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https://hmfso365-my.sharepoint.com/personal/lsuarez_hmfs_gov_co/Documents/Documentos/"/>
    </mc:Choice>
  </mc:AlternateContent>
  <xr:revisionPtr revIDLastSave="227" documentId="13_ncr:1_{B00B7940-09AD-4D4D-AC1A-D07744402214}" xr6:coauthVersionLast="47" xr6:coauthVersionMax="47" xr10:uidLastSave="{F9FD5EED-C825-4664-8123-108CBB25DD60}"/>
  <bookViews>
    <workbookView xWindow="-120" yWindow="-120" windowWidth="29040" windowHeight="15840" firstSheet="11" activeTab="13" xr2:uid="{00000000-000D-0000-FFFF-FFFF00000000}"/>
  </bookViews>
  <sheets>
    <sheet name="INSTRUCCIONES" sheetId="1" r:id="rId1"/>
    <sheet name="ENERO" sheetId="2" r:id="rId2"/>
    <sheet name="FEBRERO" sheetId="3" r:id="rId3"/>
    <sheet name="MARZO" sheetId="4" r:id="rId4"/>
    <sheet name="ABRIL" sheetId="5" r:id="rId5"/>
    <sheet name="MAYO" sheetId="6" r:id="rId6"/>
    <sheet name="JUNIO" sheetId="7" r:id="rId7"/>
    <sheet name="JULIO" sheetId="8" r:id="rId8"/>
    <sheet name="AGOSTO" sheetId="9" r:id="rId9"/>
    <sheet name="SEPTIEMBRE" sheetId="10" r:id="rId10"/>
    <sheet name="VALIDACION SIHO CONTRATACION" sheetId="17" r:id="rId11"/>
    <sheet name="OCTUBRE" sheetId="11" r:id="rId12"/>
    <sheet name="NOVIEMBRE" sheetId="12" r:id="rId13"/>
    <sheet name="DICIEMBRE" sheetId="13" r:id="rId14"/>
    <sheet name="Datos para el 2193" sheetId="14" r:id="rId15"/>
    <sheet name="SEGUIMIENTO EQUILIBRIOS" sheetId="15" r:id="rId16"/>
    <sheet name="VERIFICACION MANTENIMIENTO" sheetId="16" r:id="rId17"/>
  </sheets>
  <externalReferences>
    <externalReference r:id="rId18"/>
    <externalReference r:id="rId19"/>
    <externalReference r:id="rId20"/>
    <externalReference r:id="rId21"/>
  </externalReferences>
  <definedNames>
    <definedName name="_xlnm._FilterDatabase" localSheetId="8" hidden="1">AGOSTO!$A$6:$BR$6</definedName>
    <definedName name="_xlnm._FilterDatabase" localSheetId="13" hidden="1">DICIEMBRE!$T$1:$T$263</definedName>
    <definedName name="_xlnm._FilterDatabase" localSheetId="6" hidden="1">JUNIO!$T$1:$T$999</definedName>
    <definedName name="_xlnm._FilterDatabase" localSheetId="12" hidden="1">NOVIEMBRE!$A$16:$BR$124</definedName>
    <definedName name="_xlnm._FilterDatabase" localSheetId="11" hidden="1">OCTUBRE!$A$23:$BR$23</definedName>
    <definedName name="_xlnm._FilterDatabase" localSheetId="9" hidden="1">SEPTIEMBRE!$T$1:$T$263</definedName>
    <definedName name="Reconocimiento_dispon_inicial_ene">ENERO!$H$12:$H$15</definedName>
    <definedName name="Reconocimiento_dispon_inicial_feb">FEBRERO!$H$12:$H$15</definedName>
    <definedName name="Reconocimiento_dispon_inicial_mar">MARZO!$H$12:$H$15</definedName>
    <definedName name="va">JUNIO!$T$41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8" i="13" l="1"/>
  <c r="K98" i="13"/>
  <c r="K79" i="13" l="1"/>
  <c r="K33" i="13"/>
  <c r="K90" i="13"/>
  <c r="H33" i="13" l="1"/>
  <c r="F20" i="17" l="1"/>
  <c r="G3" i="17"/>
  <c r="E13" i="17"/>
  <c r="G5" i="17" s="1"/>
  <c r="E14" i="17"/>
  <c r="G6" i="17" s="1"/>
  <c r="E15" i="17"/>
  <c r="G7" i="17" s="1"/>
  <c r="E12" i="17"/>
  <c r="G4" i="17" s="1"/>
  <c r="G8" i="17" s="1"/>
  <c r="D16" i="17"/>
  <c r="E16" i="17" l="1"/>
  <c r="C5" i="17"/>
  <c r="C6" i="17"/>
  <c r="C7" i="17"/>
  <c r="C4" i="17"/>
  <c r="C8" i="17" s="1"/>
  <c r="AN86" i="13"/>
  <c r="AK34" i="10"/>
  <c r="AN89" i="10"/>
  <c r="AN88" i="10"/>
  <c r="AN87" i="10"/>
  <c r="AN86" i="10"/>
  <c r="AN85" i="10"/>
  <c r="AN84" i="10"/>
  <c r="AN40" i="10"/>
  <c r="AN39" i="10"/>
  <c r="AN38" i="10"/>
  <c r="AN37" i="10"/>
  <c r="AN36" i="10"/>
  <c r="AK87" i="7"/>
  <c r="AK86" i="7"/>
  <c r="AK85" i="7"/>
  <c r="AK84" i="7"/>
  <c r="AK40" i="7"/>
  <c r="AK39" i="7"/>
  <c r="AK38" i="7"/>
  <c r="AK37" i="7"/>
  <c r="AK36" i="7"/>
  <c r="AK84" i="10" l="1"/>
  <c r="AK40" i="10"/>
  <c r="AK39" i="10"/>
  <c r="AK38" i="10"/>
  <c r="AK37" i="10"/>
  <c r="AK36" i="10"/>
  <c r="AM84" i="13"/>
  <c r="AL84" i="13"/>
  <c r="H89" i="13"/>
  <c r="K29" i="12" l="1"/>
  <c r="H80" i="13"/>
  <c r="H27" i="13"/>
  <c r="AM237" i="12"/>
  <c r="K78" i="13"/>
  <c r="F51" i="14"/>
  <c r="BQ28" i="3"/>
  <c r="R58" i="14"/>
  <c r="P59" i="14"/>
  <c r="O59" i="14"/>
  <c r="M59" i="14"/>
  <c r="L59" i="14"/>
  <c r="K59" i="14"/>
  <c r="J59" i="14"/>
  <c r="I59" i="14"/>
  <c r="H59" i="14"/>
  <c r="G59" i="14"/>
  <c r="F48" i="14"/>
  <c r="F55" i="14"/>
  <c r="F59" i="14"/>
  <c r="AF63" i="11"/>
  <c r="AF261" i="11"/>
  <c r="AF104" i="11"/>
  <c r="AF155" i="11"/>
  <c r="AE156" i="3"/>
  <c r="AG156" i="3"/>
  <c r="AE156" i="4"/>
  <c r="AG156" i="4"/>
  <c r="AE156" i="5"/>
  <c r="AG156" i="5"/>
  <c r="AE156" i="6"/>
  <c r="AG156" i="6"/>
  <c r="AE156" i="7"/>
  <c r="AG156" i="7"/>
  <c r="AE156" i="8"/>
  <c r="AG156" i="8"/>
  <c r="AE156" i="9"/>
  <c r="AG156" i="9"/>
  <c r="AE156" i="10"/>
  <c r="AG156" i="10"/>
  <c r="AE156" i="11" s="1"/>
  <c r="AG156" i="11" s="1"/>
  <c r="AE156" i="12" s="1"/>
  <c r="AG156" i="12" s="1"/>
  <c r="AE156" i="13" s="1"/>
  <c r="AG156" i="13" s="1"/>
  <c r="AE158" i="3"/>
  <c r="AG158" i="3"/>
  <c r="AE159" i="4"/>
  <c r="AG159" i="4"/>
  <c r="AE158" i="5"/>
  <c r="AG158" i="5"/>
  <c r="AE158" i="6"/>
  <c r="AG158" i="6"/>
  <c r="AE158" i="7"/>
  <c r="AG158" i="7"/>
  <c r="AE158" i="8"/>
  <c r="AG158" i="8"/>
  <c r="AE158" i="9"/>
  <c r="AG158" i="9"/>
  <c r="AE158" i="10"/>
  <c r="AG158" i="10"/>
  <c r="AE158" i="11" s="1"/>
  <c r="AG158" i="11" s="1"/>
  <c r="AE158" i="12" s="1"/>
  <c r="AG158" i="12" s="1"/>
  <c r="AE158" i="13" s="1"/>
  <c r="AG158" i="13" s="1"/>
  <c r="AE159" i="3"/>
  <c r="AG159" i="3"/>
  <c r="AE160" i="4"/>
  <c r="AG160" i="4"/>
  <c r="AE159" i="5"/>
  <c r="AG159" i="5"/>
  <c r="AE159" i="6"/>
  <c r="AG159" i="6"/>
  <c r="AE159" i="7"/>
  <c r="AG159" i="7"/>
  <c r="AE159" i="8"/>
  <c r="AG159" i="8"/>
  <c r="AE159" i="9"/>
  <c r="AG159" i="9"/>
  <c r="AE159" i="10"/>
  <c r="AG159" i="10"/>
  <c r="AE159" i="11" s="1"/>
  <c r="AG159" i="11" s="1"/>
  <c r="AE159" i="12" s="1"/>
  <c r="AG159" i="12" s="1"/>
  <c r="AE159" i="13" s="1"/>
  <c r="AG159" i="13" s="1"/>
  <c r="AE160" i="3"/>
  <c r="AG160" i="3"/>
  <c r="AE161" i="4"/>
  <c r="AG161" i="4"/>
  <c r="AE160" i="5"/>
  <c r="AG160" i="5"/>
  <c r="AE160" i="6"/>
  <c r="AG160" i="6"/>
  <c r="AE160" i="7"/>
  <c r="AG160" i="7"/>
  <c r="AE160" i="8"/>
  <c r="AG160" i="8"/>
  <c r="AE160" i="9"/>
  <c r="AG160" i="9"/>
  <c r="AE160" i="10"/>
  <c r="AG160" i="10"/>
  <c r="AE160" i="11" s="1"/>
  <c r="AG160" i="11" s="1"/>
  <c r="AE160" i="12" s="1"/>
  <c r="AG160" i="12" s="1"/>
  <c r="AE160" i="13" s="1"/>
  <c r="AG160" i="13" s="1"/>
  <c r="AE161" i="3"/>
  <c r="AG161" i="3"/>
  <c r="AE162" i="4"/>
  <c r="AG162" i="4"/>
  <c r="AE161" i="5"/>
  <c r="AG161" i="5"/>
  <c r="AE161" i="6"/>
  <c r="AG161" i="6"/>
  <c r="AE161" i="7"/>
  <c r="AG161" i="7"/>
  <c r="AE161" i="8"/>
  <c r="AG161" i="8"/>
  <c r="AE161" i="9"/>
  <c r="AG161" i="9"/>
  <c r="AE161" i="10"/>
  <c r="AG161" i="10"/>
  <c r="AE161" i="11" s="1"/>
  <c r="AG161" i="11" s="1"/>
  <c r="AE161" i="12" s="1"/>
  <c r="AG161" i="12" s="1"/>
  <c r="AE161" i="13" s="1"/>
  <c r="AG161" i="13" s="1"/>
  <c r="AE162" i="3"/>
  <c r="AG162" i="3"/>
  <c r="AE163" i="4"/>
  <c r="AG163" i="4"/>
  <c r="AE162" i="5"/>
  <c r="AG162" i="5"/>
  <c r="AE162" i="6"/>
  <c r="AG162" i="6"/>
  <c r="AE162" i="7"/>
  <c r="AG162" i="7"/>
  <c r="AE162" i="8"/>
  <c r="AG162" i="8"/>
  <c r="AE162" i="9"/>
  <c r="AG162" i="9"/>
  <c r="AE162" i="10"/>
  <c r="AG162" i="10"/>
  <c r="AE162" i="11" s="1"/>
  <c r="AG162" i="11" s="1"/>
  <c r="AE162" i="12" s="1"/>
  <c r="AG162" i="12" s="1"/>
  <c r="AE162" i="13" s="1"/>
  <c r="AG162" i="13" s="1"/>
  <c r="AE163" i="3"/>
  <c r="AG163" i="3"/>
  <c r="AE164" i="4"/>
  <c r="AG164" i="4"/>
  <c r="AE163" i="5"/>
  <c r="AG163" i="5"/>
  <c r="AE163" i="6"/>
  <c r="AG163" i="6"/>
  <c r="AE163" i="7"/>
  <c r="AG163" i="7"/>
  <c r="AE163" i="8"/>
  <c r="AG163" i="8"/>
  <c r="AE163" i="9"/>
  <c r="AG163" i="9"/>
  <c r="AE163" i="10"/>
  <c r="AG163" i="10"/>
  <c r="AE163" i="11" s="1"/>
  <c r="AG163" i="11" s="1"/>
  <c r="AE163" i="12" s="1"/>
  <c r="AG163" i="12" s="1"/>
  <c r="AE163" i="13" s="1"/>
  <c r="AG163" i="13" s="1"/>
  <c r="AE164" i="3"/>
  <c r="AG164" i="3"/>
  <c r="AE165" i="4"/>
  <c r="AG165" i="4"/>
  <c r="AE164" i="5"/>
  <c r="AG164" i="5"/>
  <c r="AE164" i="6"/>
  <c r="AG164" i="6"/>
  <c r="AE164" i="7"/>
  <c r="AG164" i="7"/>
  <c r="AE164" i="8"/>
  <c r="AG164" i="8"/>
  <c r="AE164" i="9"/>
  <c r="AG164" i="9"/>
  <c r="AE164" i="10"/>
  <c r="AG164" i="10"/>
  <c r="AE164" i="11"/>
  <c r="AG164" i="11" s="1"/>
  <c r="AE165" i="3"/>
  <c r="AG165" i="3"/>
  <c r="AE166" i="4"/>
  <c r="AG166" i="4"/>
  <c r="AE165" i="5"/>
  <c r="AG165" i="5"/>
  <c r="AE165" i="6"/>
  <c r="AG165" i="6"/>
  <c r="AE165" i="7"/>
  <c r="AG165" i="7"/>
  <c r="AE165" i="8"/>
  <c r="AG165" i="8"/>
  <c r="AE165" i="9"/>
  <c r="AG165" i="9"/>
  <c r="AE165" i="10"/>
  <c r="AG165" i="10"/>
  <c r="AE165" i="11" s="1"/>
  <c r="AG165" i="11" s="1"/>
  <c r="AE165" i="12" s="1"/>
  <c r="AG165" i="12" s="1"/>
  <c r="AE165" i="13" s="1"/>
  <c r="AG165" i="13" s="1"/>
  <c r="AE167" i="3"/>
  <c r="AG167" i="3"/>
  <c r="AE167" i="4"/>
  <c r="AG167" i="4"/>
  <c r="AE166" i="5"/>
  <c r="AG166" i="5"/>
  <c r="AE166" i="6"/>
  <c r="AG166" i="6"/>
  <c r="AE166" i="7"/>
  <c r="AG166" i="7"/>
  <c r="AE166" i="8"/>
  <c r="AG166" i="8"/>
  <c r="AE166" i="9"/>
  <c r="AG166" i="9"/>
  <c r="AE166" i="10"/>
  <c r="AG166" i="10"/>
  <c r="AE166" i="11" s="1"/>
  <c r="AG166" i="11" s="1"/>
  <c r="AE166" i="12" s="1"/>
  <c r="AG166" i="12" s="1"/>
  <c r="AE166" i="13" s="1"/>
  <c r="AG166" i="13" s="1"/>
  <c r="D26" i="3"/>
  <c r="D26" i="4"/>
  <c r="D26" i="5"/>
  <c r="D26" i="6"/>
  <c r="D26" i="7"/>
  <c r="D26" i="8"/>
  <c r="D26" i="9"/>
  <c r="D26" i="10"/>
  <c r="D26" i="11" s="1"/>
  <c r="D26" i="12" s="1"/>
  <c r="D26" i="13" s="1"/>
  <c r="E26" i="3"/>
  <c r="E26" i="4"/>
  <c r="E26" i="5"/>
  <c r="E26" i="6"/>
  <c r="E26" i="7"/>
  <c r="E26" i="8"/>
  <c r="E26" i="9"/>
  <c r="E26" i="10"/>
  <c r="E26" i="11" s="1"/>
  <c r="E26" i="12" s="1"/>
  <c r="E26" i="13" s="1"/>
  <c r="D23" i="3"/>
  <c r="D23" i="4"/>
  <c r="D23" i="5"/>
  <c r="D23" i="6"/>
  <c r="D23" i="7"/>
  <c r="D23" i="8"/>
  <c r="D23" i="9"/>
  <c r="D23" i="10"/>
  <c r="D23" i="11" s="1"/>
  <c r="D23" i="12" s="1"/>
  <c r="D23" i="13" s="1"/>
  <c r="E23" i="3"/>
  <c r="E23" i="4"/>
  <c r="E23" i="5"/>
  <c r="E23" i="6"/>
  <c r="E23" i="7"/>
  <c r="E23" i="8"/>
  <c r="E23" i="9"/>
  <c r="E23" i="10"/>
  <c r="E23" i="11" s="1"/>
  <c r="E23" i="12" s="1"/>
  <c r="E23" i="13" s="1"/>
  <c r="D30" i="3"/>
  <c r="D30" i="4"/>
  <c r="D30" i="5"/>
  <c r="D30" i="6"/>
  <c r="D30" i="7"/>
  <c r="D30" i="8"/>
  <c r="D30" i="9"/>
  <c r="D30" i="10"/>
  <c r="D30" i="11" s="1"/>
  <c r="D30" i="12" s="1"/>
  <c r="D30" i="13" s="1"/>
  <c r="E30" i="3"/>
  <c r="E30" i="4"/>
  <c r="E30" i="5"/>
  <c r="E30" i="6"/>
  <c r="E30" i="7"/>
  <c r="E30" i="8"/>
  <c r="E30" i="9"/>
  <c r="E30" i="10"/>
  <c r="E30" i="11" s="1"/>
  <c r="E30" i="12" s="1"/>
  <c r="E30" i="13" s="1"/>
  <c r="D33" i="3"/>
  <c r="D33" i="4"/>
  <c r="D33" i="5"/>
  <c r="D33" i="6"/>
  <c r="D33" i="7"/>
  <c r="D33" i="8"/>
  <c r="D33" i="9"/>
  <c r="D33" i="10"/>
  <c r="D33" i="11" s="1"/>
  <c r="D33" i="12" s="1"/>
  <c r="D33" i="13" s="1"/>
  <c r="E33" i="3"/>
  <c r="E33" i="4"/>
  <c r="E33" i="5"/>
  <c r="E33" i="6"/>
  <c r="E33" i="7"/>
  <c r="E33" i="8"/>
  <c r="E33" i="9"/>
  <c r="E33" i="10"/>
  <c r="E33" i="11" s="1"/>
  <c r="E33" i="12" s="1"/>
  <c r="E33" i="13" s="1"/>
  <c r="D36" i="3"/>
  <c r="D36" i="4"/>
  <c r="D36" i="5"/>
  <c r="D36" i="6"/>
  <c r="D36" i="7"/>
  <c r="D36" i="8"/>
  <c r="D36" i="9"/>
  <c r="D36" i="10"/>
  <c r="D36" i="11"/>
  <c r="D36" i="12"/>
  <c r="D36" i="13" s="1"/>
  <c r="E36" i="3"/>
  <c r="E36" i="4"/>
  <c r="E36" i="5"/>
  <c r="E36" i="6"/>
  <c r="E36" i="7"/>
  <c r="E36" i="8"/>
  <c r="E36" i="9"/>
  <c r="E36" i="10"/>
  <c r="E36" i="11" s="1"/>
  <c r="E36" i="12" s="1"/>
  <c r="E36" i="13" s="1"/>
  <c r="D38" i="3"/>
  <c r="D38" i="4"/>
  <c r="D38" i="5"/>
  <c r="D38" i="6"/>
  <c r="D38" i="7"/>
  <c r="D38" i="8"/>
  <c r="D38" i="9"/>
  <c r="D38" i="10"/>
  <c r="D38" i="11"/>
  <c r="D38" i="12" s="1"/>
  <c r="D38" i="13" s="1"/>
  <c r="E38" i="3"/>
  <c r="E38" i="4"/>
  <c r="E38" i="5"/>
  <c r="E38" i="6"/>
  <c r="E38" i="7"/>
  <c r="E38" i="8"/>
  <c r="E38" i="9"/>
  <c r="E38" i="10"/>
  <c r="E38" i="11" s="1"/>
  <c r="E38" i="12" s="1"/>
  <c r="E38" i="13" s="1"/>
  <c r="D39" i="3"/>
  <c r="D39" i="4"/>
  <c r="D39" i="5"/>
  <c r="D39" i="6"/>
  <c r="D39" i="7"/>
  <c r="D39" i="8"/>
  <c r="D39" i="9"/>
  <c r="D39" i="10"/>
  <c r="D39" i="11" s="1"/>
  <c r="D39" i="12" s="1"/>
  <c r="D39" i="13" s="1"/>
  <c r="E39" i="3"/>
  <c r="E39" i="4"/>
  <c r="E39" i="5"/>
  <c r="E39" i="6"/>
  <c r="E39" i="7"/>
  <c r="E39" i="8"/>
  <c r="E39" i="9"/>
  <c r="E39" i="10"/>
  <c r="E39" i="11"/>
  <c r="E39" i="12" s="1"/>
  <c r="E39" i="13" s="1"/>
  <c r="D40" i="3"/>
  <c r="D40" i="4"/>
  <c r="D40" i="5"/>
  <c r="D40" i="6"/>
  <c r="D40" i="7"/>
  <c r="D40" i="8"/>
  <c r="D40" i="9"/>
  <c r="D40" i="10"/>
  <c r="D40" i="11"/>
  <c r="D40" i="12" s="1"/>
  <c r="D40" i="13" s="1"/>
  <c r="E40" i="3"/>
  <c r="E40" i="4"/>
  <c r="E40" i="5"/>
  <c r="E40" i="6"/>
  <c r="E40" i="7"/>
  <c r="E40" i="8"/>
  <c r="E40" i="9"/>
  <c r="E40" i="10"/>
  <c r="E40" i="11" s="1"/>
  <c r="E40" i="12" s="1"/>
  <c r="E40" i="13" s="1"/>
  <c r="D64" i="3"/>
  <c r="D64" i="4"/>
  <c r="D64" i="5"/>
  <c r="D64" i="6"/>
  <c r="D64" i="7"/>
  <c r="D64" i="8"/>
  <c r="D64" i="9"/>
  <c r="D64" i="10"/>
  <c r="D64" i="11" s="1"/>
  <c r="D64" i="12" s="1"/>
  <c r="D64" i="13" s="1"/>
  <c r="E64" i="3"/>
  <c r="E64" i="4"/>
  <c r="E64" i="5"/>
  <c r="E64" i="6"/>
  <c r="E64" i="7"/>
  <c r="E64" i="8"/>
  <c r="E64" i="9"/>
  <c r="E64" i="10"/>
  <c r="E64" i="11" s="1"/>
  <c r="E64" i="12" s="1"/>
  <c r="E64" i="13" s="1"/>
  <c r="D43" i="3"/>
  <c r="D43" i="4"/>
  <c r="D43" i="5"/>
  <c r="D43" i="6"/>
  <c r="D43" i="7"/>
  <c r="D43" i="8"/>
  <c r="D43" i="9"/>
  <c r="D43" i="10"/>
  <c r="D43" i="11" s="1"/>
  <c r="D43" i="12" s="1"/>
  <c r="D43" i="13" s="1"/>
  <c r="E43" i="3"/>
  <c r="E43" i="4"/>
  <c r="E43" i="5"/>
  <c r="E43" i="6"/>
  <c r="E43" i="7"/>
  <c r="E43" i="8"/>
  <c r="E43" i="9"/>
  <c r="E43" i="10"/>
  <c r="E43" i="11" s="1"/>
  <c r="E43" i="12" s="1"/>
  <c r="E43" i="13" s="1"/>
  <c r="D41" i="3"/>
  <c r="D41" i="4"/>
  <c r="D41" i="5"/>
  <c r="D41" i="6"/>
  <c r="D41" i="7"/>
  <c r="D41" i="8"/>
  <c r="D41" i="9"/>
  <c r="D41" i="10"/>
  <c r="D41" i="11" s="1"/>
  <c r="D41" i="12" s="1"/>
  <c r="D41" i="13" s="1"/>
  <c r="E41" i="3"/>
  <c r="E41" i="4"/>
  <c r="E41" i="5"/>
  <c r="E41" i="6"/>
  <c r="E41" i="7"/>
  <c r="E41" i="8"/>
  <c r="E41" i="9"/>
  <c r="E41" i="10"/>
  <c r="E41" i="11" s="1"/>
  <c r="E41" i="12" s="1"/>
  <c r="E41" i="13" s="1"/>
  <c r="D52" i="3"/>
  <c r="D52" i="4"/>
  <c r="D52" i="5"/>
  <c r="D52" i="6"/>
  <c r="D52" i="7"/>
  <c r="D52" i="8"/>
  <c r="D52" i="9"/>
  <c r="D52" i="10"/>
  <c r="D52" i="11"/>
  <c r="D52" i="12"/>
  <c r="D52" i="13" s="1"/>
  <c r="E52" i="3"/>
  <c r="E52" i="4"/>
  <c r="E52" i="5"/>
  <c r="E52" i="6"/>
  <c r="E52" i="7"/>
  <c r="E52" i="8"/>
  <c r="E52" i="9"/>
  <c r="E52" i="10"/>
  <c r="E52" i="11"/>
  <c r="E52" i="12" s="1"/>
  <c r="E52" i="13" s="1"/>
  <c r="D55" i="3"/>
  <c r="D55" i="4"/>
  <c r="D55" i="5"/>
  <c r="D55" i="6"/>
  <c r="D55" i="7"/>
  <c r="D55" i="8"/>
  <c r="D55" i="9"/>
  <c r="D55" i="10"/>
  <c r="D55" i="11" s="1"/>
  <c r="D55" i="12" s="1"/>
  <c r="D55" i="13" s="1"/>
  <c r="E55" i="3"/>
  <c r="E55" i="4"/>
  <c r="E55" i="5"/>
  <c r="E55" i="6"/>
  <c r="E55" i="7"/>
  <c r="E55" i="8"/>
  <c r="E55" i="9"/>
  <c r="E55" i="10"/>
  <c r="E55" i="11"/>
  <c r="E55" i="12" s="1"/>
  <c r="E55" i="13" s="1"/>
  <c r="D58" i="3"/>
  <c r="D58" i="4"/>
  <c r="D58" i="5"/>
  <c r="D58" i="6"/>
  <c r="D58" i="7"/>
  <c r="D58" i="8"/>
  <c r="D58" i="9"/>
  <c r="D58" i="10"/>
  <c r="D58" i="11"/>
  <c r="D58" i="12" s="1"/>
  <c r="D58" i="13" s="1"/>
  <c r="E58" i="3"/>
  <c r="E58" i="4"/>
  <c r="E58" i="5"/>
  <c r="E58" i="6"/>
  <c r="E58" i="7"/>
  <c r="E58" i="8"/>
  <c r="E58" i="9"/>
  <c r="E58" i="10"/>
  <c r="E58" i="11" s="1"/>
  <c r="E58" i="12" s="1"/>
  <c r="E58" i="13" s="1"/>
  <c r="D61" i="3"/>
  <c r="D61" i="4"/>
  <c r="D61" i="5"/>
  <c r="D61" i="6"/>
  <c r="D61" i="7"/>
  <c r="D61" i="8"/>
  <c r="D61" i="9"/>
  <c r="D61" i="10"/>
  <c r="D61" i="11" s="1"/>
  <c r="D61" i="12" s="1"/>
  <c r="D61" i="13" s="1"/>
  <c r="E61" i="3"/>
  <c r="E61" i="4"/>
  <c r="E61" i="5"/>
  <c r="E61" i="6"/>
  <c r="E61" i="7"/>
  <c r="E61" i="8"/>
  <c r="E61" i="9"/>
  <c r="E61" i="10"/>
  <c r="E61" i="11" s="1"/>
  <c r="E61" i="12" s="1"/>
  <c r="E61" i="13" s="1"/>
  <c r="D67" i="3"/>
  <c r="D67" i="4"/>
  <c r="D67" i="5"/>
  <c r="D67" i="6"/>
  <c r="D67" i="7"/>
  <c r="D67" i="8"/>
  <c r="D67" i="9"/>
  <c r="D67" i="10"/>
  <c r="D67" i="11"/>
  <c r="D67" i="12"/>
  <c r="D67" i="13" s="1"/>
  <c r="E67" i="3"/>
  <c r="E67" i="4"/>
  <c r="E67" i="5"/>
  <c r="E67" i="6"/>
  <c r="E67" i="7"/>
  <c r="E67" i="8"/>
  <c r="E67" i="9"/>
  <c r="E67" i="10"/>
  <c r="E67" i="11"/>
  <c r="E67" i="12" s="1"/>
  <c r="E67" i="13" s="1"/>
  <c r="D70" i="3"/>
  <c r="D70" i="4"/>
  <c r="D70" i="5"/>
  <c r="D70" i="6"/>
  <c r="D70" i="7"/>
  <c r="D70" i="8"/>
  <c r="D70" i="9"/>
  <c r="D70" i="10"/>
  <c r="D70" i="11" s="1"/>
  <c r="D70" i="12" s="1"/>
  <c r="D70" i="13" s="1"/>
  <c r="E70" i="3"/>
  <c r="E70" i="4"/>
  <c r="E70" i="5"/>
  <c r="E70" i="6"/>
  <c r="E70" i="7"/>
  <c r="E70" i="8"/>
  <c r="E70" i="9"/>
  <c r="E70" i="10"/>
  <c r="E70" i="11"/>
  <c r="E70" i="12" s="1"/>
  <c r="E70" i="13" s="1"/>
  <c r="D73" i="3"/>
  <c r="D73" i="4"/>
  <c r="D73" i="5"/>
  <c r="D73" i="6"/>
  <c r="D73" i="7"/>
  <c r="D73" i="8"/>
  <c r="D73" i="9"/>
  <c r="D73" i="10"/>
  <c r="D73" i="11" s="1"/>
  <c r="D73" i="12" s="1"/>
  <c r="D73" i="13" s="1"/>
  <c r="E73" i="3"/>
  <c r="E73" i="4"/>
  <c r="E73" i="5"/>
  <c r="E73" i="6"/>
  <c r="E73" i="7"/>
  <c r="E73" i="8"/>
  <c r="E73" i="9"/>
  <c r="E73" i="10"/>
  <c r="E73" i="11" s="1"/>
  <c r="E73" i="12" s="1"/>
  <c r="E73" i="13" s="1"/>
  <c r="D76" i="3"/>
  <c r="D76" i="4"/>
  <c r="D76" i="5"/>
  <c r="D76" i="6"/>
  <c r="D76" i="7"/>
  <c r="D76" i="8"/>
  <c r="D76" i="9"/>
  <c r="D76" i="10"/>
  <c r="D76" i="11" s="1"/>
  <c r="D76" i="12" s="1"/>
  <c r="D76" i="13" s="1"/>
  <c r="E76" i="3"/>
  <c r="E76" i="4"/>
  <c r="E76" i="5"/>
  <c r="E76" i="6"/>
  <c r="E76" i="7"/>
  <c r="E76" i="8"/>
  <c r="E76" i="9"/>
  <c r="E76" i="10"/>
  <c r="E76" i="11" s="1"/>
  <c r="E76" i="12" s="1"/>
  <c r="E76" i="13" s="1"/>
  <c r="D79" i="3"/>
  <c r="D79" i="4"/>
  <c r="D79" i="5"/>
  <c r="D79" i="6"/>
  <c r="D79" i="7"/>
  <c r="D79" i="8"/>
  <c r="D79" i="9"/>
  <c r="D79" i="10"/>
  <c r="D79" i="11" s="1"/>
  <c r="D79" i="12" s="1"/>
  <c r="D79" i="13" s="1"/>
  <c r="E79" i="3"/>
  <c r="E79" i="4"/>
  <c r="E79" i="5"/>
  <c r="E79" i="6"/>
  <c r="E79" i="7"/>
  <c r="E79" i="8"/>
  <c r="E79" i="9"/>
  <c r="E79" i="10"/>
  <c r="E79" i="11" s="1"/>
  <c r="E79" i="12" s="1"/>
  <c r="E79" i="13" s="1"/>
  <c r="D82" i="3"/>
  <c r="D82" i="4"/>
  <c r="D82" i="5"/>
  <c r="D82" i="6"/>
  <c r="D82" i="7"/>
  <c r="D82" i="8"/>
  <c r="D82" i="9"/>
  <c r="D82" i="10"/>
  <c r="D82" i="11" s="1"/>
  <c r="D82" i="12" s="1"/>
  <c r="D82" i="13" s="1"/>
  <c r="E82" i="3"/>
  <c r="E82" i="4"/>
  <c r="E82" i="5"/>
  <c r="E82" i="6"/>
  <c r="E82" i="7"/>
  <c r="E82" i="8"/>
  <c r="E82" i="9"/>
  <c r="E82" i="10"/>
  <c r="E82" i="11" s="1"/>
  <c r="E82" i="12" s="1"/>
  <c r="E82" i="13" s="1"/>
  <c r="D86" i="3"/>
  <c r="D86" i="4"/>
  <c r="D86" i="5"/>
  <c r="D86" i="6"/>
  <c r="D86" i="7"/>
  <c r="D86" i="8"/>
  <c r="D86" i="9"/>
  <c r="D86" i="10"/>
  <c r="D86" i="11"/>
  <c r="D86" i="12" s="1"/>
  <c r="D86" i="13" s="1"/>
  <c r="E86" i="3"/>
  <c r="E86" i="4"/>
  <c r="E86" i="5"/>
  <c r="E86" i="6"/>
  <c r="E86" i="7"/>
  <c r="E86" i="8"/>
  <c r="E86" i="9"/>
  <c r="E86" i="10"/>
  <c r="E86" i="11" s="1"/>
  <c r="E86" i="12" s="1"/>
  <c r="E86" i="13" s="1"/>
  <c r="D87" i="3"/>
  <c r="D87" i="4"/>
  <c r="D87" i="5"/>
  <c r="D87" i="6"/>
  <c r="D87" i="7"/>
  <c r="D87" i="8"/>
  <c r="D87" i="9"/>
  <c r="D87" i="10"/>
  <c r="D87" i="11" s="1"/>
  <c r="D87" i="12" s="1"/>
  <c r="D87" i="13" s="1"/>
  <c r="E87" i="3"/>
  <c r="E87" i="4"/>
  <c r="E87" i="5"/>
  <c r="E87" i="6"/>
  <c r="E87" i="7"/>
  <c r="E87" i="8"/>
  <c r="E87" i="9"/>
  <c r="E87" i="10"/>
  <c r="E87" i="11" s="1"/>
  <c r="E87" i="12" s="1"/>
  <c r="E87" i="13" s="1"/>
  <c r="D88" i="3"/>
  <c r="D88" i="4"/>
  <c r="D88" i="5"/>
  <c r="D88" i="6"/>
  <c r="D88" i="7"/>
  <c r="D88" i="8"/>
  <c r="D88" i="9"/>
  <c r="D88" i="10"/>
  <c r="D88" i="11" s="1"/>
  <c r="D88" i="12" s="1"/>
  <c r="D88" i="13" s="1"/>
  <c r="E88" i="3"/>
  <c r="E88" i="4"/>
  <c r="E88" i="5"/>
  <c r="E88" i="6"/>
  <c r="E88" i="7"/>
  <c r="E88" i="8"/>
  <c r="E88" i="9"/>
  <c r="E88" i="10"/>
  <c r="E88" i="11" s="1"/>
  <c r="E88" i="12" s="1"/>
  <c r="E88" i="13" s="1"/>
  <c r="D89" i="3"/>
  <c r="D89" i="4"/>
  <c r="D89" i="5"/>
  <c r="D89" i="6"/>
  <c r="D89" i="7"/>
  <c r="D89" i="8"/>
  <c r="D89" i="9"/>
  <c r="D89" i="10"/>
  <c r="D89" i="11" s="1"/>
  <c r="D89" i="12" s="1"/>
  <c r="D89" i="13" s="1"/>
  <c r="E89" i="3"/>
  <c r="E89" i="4"/>
  <c r="E89" i="5"/>
  <c r="E89" i="6"/>
  <c r="E89" i="7"/>
  <c r="E89" i="8"/>
  <c r="E89" i="9"/>
  <c r="E89" i="10"/>
  <c r="E89" i="11" s="1"/>
  <c r="E89" i="12" s="1"/>
  <c r="E89" i="13" s="1"/>
  <c r="D90" i="3"/>
  <c r="D90" i="4"/>
  <c r="D90" i="5"/>
  <c r="D90" i="6"/>
  <c r="D90" i="7"/>
  <c r="D90" i="8"/>
  <c r="D90" i="9"/>
  <c r="D90" i="10"/>
  <c r="D90" i="11" s="1"/>
  <c r="D90" i="12" s="1"/>
  <c r="D90" i="13" s="1"/>
  <c r="D91" i="3"/>
  <c r="D91" i="4"/>
  <c r="D91" i="5"/>
  <c r="D91" i="6"/>
  <c r="D91" i="7"/>
  <c r="D91" i="8"/>
  <c r="D91" i="9"/>
  <c r="D91" i="10"/>
  <c r="D91" i="11"/>
  <c r="D91" i="12" s="1"/>
  <c r="D91" i="13" s="1"/>
  <c r="E91" i="3"/>
  <c r="E91" i="4"/>
  <c r="E91" i="5"/>
  <c r="E91" i="6"/>
  <c r="E91" i="7"/>
  <c r="E91" i="8"/>
  <c r="E91" i="9"/>
  <c r="E91" i="10"/>
  <c r="E91" i="11"/>
  <c r="E91" i="12" s="1"/>
  <c r="E91" i="13" s="1"/>
  <c r="D46" i="3"/>
  <c r="D46" i="4"/>
  <c r="D46" i="5"/>
  <c r="D46" i="6"/>
  <c r="D46" i="7"/>
  <c r="D46" i="8"/>
  <c r="D46" i="9"/>
  <c r="D46" i="10"/>
  <c r="D46" i="11" s="1"/>
  <c r="D46" i="12" s="1"/>
  <c r="D46" i="13" s="1"/>
  <c r="E46" i="3"/>
  <c r="E46" i="4"/>
  <c r="E46" i="5"/>
  <c r="E46" i="6"/>
  <c r="E46" i="7"/>
  <c r="E46" i="8"/>
  <c r="E46" i="9"/>
  <c r="E46" i="10"/>
  <c r="E46" i="11" s="1"/>
  <c r="E46" i="12" s="1"/>
  <c r="E46" i="13" s="1"/>
  <c r="D49" i="3"/>
  <c r="D49" i="4"/>
  <c r="D49" i="5"/>
  <c r="D49" i="6"/>
  <c r="D49" i="7"/>
  <c r="D49" i="8"/>
  <c r="D49" i="9"/>
  <c r="D49" i="10"/>
  <c r="D49" i="11" s="1"/>
  <c r="D49" i="12" s="1"/>
  <c r="D49" i="13" s="1"/>
  <c r="E49" i="3"/>
  <c r="E49" i="4"/>
  <c r="E49" i="5"/>
  <c r="E49" i="6"/>
  <c r="E49" i="7"/>
  <c r="E49" i="8"/>
  <c r="E49" i="9"/>
  <c r="E49" i="10"/>
  <c r="E49" i="11" s="1"/>
  <c r="E49" i="12" s="1"/>
  <c r="E49" i="13" s="1"/>
  <c r="D95" i="3"/>
  <c r="D95" i="4"/>
  <c r="D95" i="5"/>
  <c r="D95" i="6"/>
  <c r="D95" i="7"/>
  <c r="D95" i="8"/>
  <c r="D95" i="9"/>
  <c r="D95" i="10"/>
  <c r="D95" i="11" s="1"/>
  <c r="D95" i="12" s="1"/>
  <c r="D95" i="13" s="1"/>
  <c r="E95" i="3"/>
  <c r="E95" i="4"/>
  <c r="E95" i="5"/>
  <c r="E95" i="6"/>
  <c r="E95" i="7"/>
  <c r="E95" i="8"/>
  <c r="E95" i="9"/>
  <c r="E95" i="10"/>
  <c r="E95" i="11" s="1"/>
  <c r="E95" i="12" s="1"/>
  <c r="E95" i="13" s="1"/>
  <c r="D96" i="3"/>
  <c r="D96" i="4"/>
  <c r="D96" i="5"/>
  <c r="D96" i="6"/>
  <c r="D96" i="7"/>
  <c r="D96" i="8"/>
  <c r="D96" i="9"/>
  <c r="D96" i="10"/>
  <c r="D96" i="11" s="1"/>
  <c r="D96" i="12" s="1"/>
  <c r="D96" i="13" s="1"/>
  <c r="E96" i="3"/>
  <c r="E96" i="4"/>
  <c r="E96" i="5"/>
  <c r="E96" i="6"/>
  <c r="E96" i="7"/>
  <c r="E96" i="8"/>
  <c r="E96" i="9"/>
  <c r="E96" i="10"/>
  <c r="E96" i="11"/>
  <c r="E96" i="12" s="1"/>
  <c r="E96" i="13" s="1"/>
  <c r="D97" i="3"/>
  <c r="D97" i="4"/>
  <c r="D97" i="5"/>
  <c r="D97" i="6"/>
  <c r="D97" i="7"/>
  <c r="D97" i="8"/>
  <c r="D97" i="9"/>
  <c r="D97" i="10"/>
  <c r="D97" i="11"/>
  <c r="D97" i="12" s="1"/>
  <c r="D97" i="13" s="1"/>
  <c r="E97" i="3"/>
  <c r="E97" i="4"/>
  <c r="E97" i="5"/>
  <c r="E97" i="6"/>
  <c r="E97" i="7"/>
  <c r="E97" i="8"/>
  <c r="E97" i="9"/>
  <c r="E97" i="10"/>
  <c r="E97" i="11" s="1"/>
  <c r="E97" i="12" s="1"/>
  <c r="E97" i="13" s="1"/>
  <c r="D99" i="3"/>
  <c r="D99" i="4"/>
  <c r="D99" i="5"/>
  <c r="D99" i="6"/>
  <c r="D99" i="7"/>
  <c r="D99" i="8"/>
  <c r="D99" i="9"/>
  <c r="D99" i="10"/>
  <c r="D99" i="11" s="1"/>
  <c r="D99" i="12" s="1"/>
  <c r="D99" i="13" s="1"/>
  <c r="E99" i="3"/>
  <c r="E99" i="4"/>
  <c r="E99" i="5"/>
  <c r="E99" i="6"/>
  <c r="E99" i="7"/>
  <c r="E99" i="8"/>
  <c r="E99" i="9"/>
  <c r="E99" i="10"/>
  <c r="E99" i="11" s="1"/>
  <c r="E99" i="12" s="1"/>
  <c r="E99" i="13" s="1"/>
  <c r="D105" i="3"/>
  <c r="D105" i="4"/>
  <c r="D105" i="5"/>
  <c r="D105" i="6"/>
  <c r="D105" i="7"/>
  <c r="D105" i="8"/>
  <c r="D105" i="9"/>
  <c r="D105" i="11"/>
  <c r="D105" i="12" s="1"/>
  <c r="D105" i="13" s="1"/>
  <c r="E105" i="3"/>
  <c r="E105" i="4"/>
  <c r="E105" i="5"/>
  <c r="E105" i="6"/>
  <c r="E105" i="7"/>
  <c r="E105" i="8"/>
  <c r="E105" i="9"/>
  <c r="E105" i="10"/>
  <c r="E105" i="11" s="1"/>
  <c r="E105" i="12" s="1"/>
  <c r="E105" i="13" s="1"/>
  <c r="D106" i="3"/>
  <c r="D106" i="4"/>
  <c r="D106" i="5"/>
  <c r="D106" i="6"/>
  <c r="D106" i="7"/>
  <c r="D106" i="8"/>
  <c r="D106" i="11"/>
  <c r="D106" i="12"/>
  <c r="D106" i="13"/>
  <c r="E106" i="3"/>
  <c r="E106" i="4"/>
  <c r="E106" i="5"/>
  <c r="E106" i="6"/>
  <c r="E106" i="7"/>
  <c r="E106" i="8"/>
  <c r="E106" i="10"/>
  <c r="E106" i="11"/>
  <c r="E106" i="12" s="1"/>
  <c r="E106" i="13" s="1"/>
  <c r="D107" i="3"/>
  <c r="D107" i="4"/>
  <c r="D107" i="5"/>
  <c r="D107" i="6"/>
  <c r="D107" i="7"/>
  <c r="D107" i="8"/>
  <c r="D107" i="9"/>
  <c r="D107" i="11"/>
  <c r="D107" i="12" s="1"/>
  <c r="D107" i="13" s="1"/>
  <c r="D108" i="3"/>
  <c r="D108" i="4"/>
  <c r="D108" i="5"/>
  <c r="D108" i="6"/>
  <c r="D108" i="7"/>
  <c r="D108" i="8"/>
  <c r="D108" i="9"/>
  <c r="D108" i="11"/>
  <c r="D108" i="12" s="1"/>
  <c r="D108" i="13" s="1"/>
  <c r="E108" i="3"/>
  <c r="E108" i="4"/>
  <c r="E108" i="5"/>
  <c r="E108" i="6"/>
  <c r="E108" i="7"/>
  <c r="E108" i="8"/>
  <c r="E108" i="9"/>
  <c r="E108" i="10"/>
  <c r="E108" i="11" s="1"/>
  <c r="E108" i="12" s="1"/>
  <c r="E108" i="13" s="1"/>
  <c r="D109" i="3"/>
  <c r="D109" i="4"/>
  <c r="D109" i="5"/>
  <c r="D109" i="6"/>
  <c r="D109" i="7"/>
  <c r="D109" i="8"/>
  <c r="D109" i="9"/>
  <c r="D109" i="11"/>
  <c r="D109" i="12" s="1"/>
  <c r="D109" i="13" s="1"/>
  <c r="E109" i="3"/>
  <c r="E109" i="4"/>
  <c r="E109" i="5"/>
  <c r="E109" i="6"/>
  <c r="E109" i="7"/>
  <c r="E109" i="8"/>
  <c r="E109" i="9"/>
  <c r="E109" i="10"/>
  <c r="E109" i="11" s="1"/>
  <c r="E109" i="12" s="1"/>
  <c r="E109" i="13" s="1"/>
  <c r="D110" i="3"/>
  <c r="D110" i="4"/>
  <c r="D110" i="5"/>
  <c r="D110" i="6"/>
  <c r="D110" i="7"/>
  <c r="D110" i="8"/>
  <c r="D110" i="9"/>
  <c r="D110" i="11"/>
  <c r="D110" i="12" s="1"/>
  <c r="D110" i="13" s="1"/>
  <c r="E110" i="3"/>
  <c r="E110" i="4"/>
  <c r="E110" i="5"/>
  <c r="E110" i="6"/>
  <c r="E110" i="7"/>
  <c r="E110" i="8"/>
  <c r="E110" i="9"/>
  <c r="E110" i="10"/>
  <c r="E110" i="11"/>
  <c r="E110" i="12" s="1"/>
  <c r="E110" i="13" s="1"/>
  <c r="D98" i="3"/>
  <c r="D98" i="4"/>
  <c r="D98" i="5"/>
  <c r="D98" i="6"/>
  <c r="D98" i="7"/>
  <c r="D98" i="8"/>
  <c r="D98" i="9"/>
  <c r="D98" i="10"/>
  <c r="D98" i="11" s="1"/>
  <c r="D98" i="12" s="1"/>
  <c r="D98" i="13" s="1"/>
  <c r="E98" i="3"/>
  <c r="E98" i="4"/>
  <c r="E98" i="5"/>
  <c r="E98" i="6"/>
  <c r="E98" i="7"/>
  <c r="E98" i="8"/>
  <c r="E98" i="9"/>
  <c r="E98" i="10"/>
  <c r="E98" i="11" s="1"/>
  <c r="E98" i="12" s="1"/>
  <c r="E98" i="13" s="1"/>
  <c r="D100" i="3"/>
  <c r="D100" i="4"/>
  <c r="D100" i="5"/>
  <c r="D100" i="6"/>
  <c r="D100" i="7"/>
  <c r="D100" i="8"/>
  <c r="D100" i="9"/>
  <c r="D100" i="10"/>
  <c r="D100" i="11" s="1"/>
  <c r="D100" i="12" s="1"/>
  <c r="D100" i="13" s="1"/>
  <c r="E100" i="3"/>
  <c r="E100" i="4"/>
  <c r="E100" i="5"/>
  <c r="E100" i="6"/>
  <c r="E100" i="7"/>
  <c r="E100" i="8"/>
  <c r="E100" i="9"/>
  <c r="E100" i="10"/>
  <c r="E100" i="11" s="1"/>
  <c r="E100" i="12" s="1"/>
  <c r="E100" i="13" s="1"/>
  <c r="D101" i="3"/>
  <c r="D101" i="4"/>
  <c r="D101" i="5"/>
  <c r="D101" i="6"/>
  <c r="D101" i="7"/>
  <c r="D101" i="8"/>
  <c r="D101" i="9"/>
  <c r="D101" i="10"/>
  <c r="D101" i="11" s="1"/>
  <c r="D101" i="12" s="1"/>
  <c r="D101" i="13" s="1"/>
  <c r="E101" i="3"/>
  <c r="E101" i="4"/>
  <c r="E101" i="5"/>
  <c r="E101" i="6"/>
  <c r="E101" i="7"/>
  <c r="E101" i="8"/>
  <c r="E101" i="9"/>
  <c r="E101" i="10"/>
  <c r="E101" i="11"/>
  <c r="E101" i="12" s="1"/>
  <c r="E101" i="13" s="1"/>
  <c r="AE148" i="3"/>
  <c r="AG148" i="3"/>
  <c r="AE148" i="4"/>
  <c r="AG148" i="4"/>
  <c r="AE148" i="5"/>
  <c r="AG148" i="5"/>
  <c r="AE148" i="6"/>
  <c r="AG148" i="6"/>
  <c r="AE148" i="7"/>
  <c r="AG148" i="7"/>
  <c r="AE148" i="8"/>
  <c r="AG148" i="8"/>
  <c r="AE148" i="9"/>
  <c r="AG148" i="9"/>
  <c r="AE148" i="10"/>
  <c r="AG148" i="10"/>
  <c r="AE148" i="11"/>
  <c r="AG148" i="11"/>
  <c r="AE148" i="12" s="1"/>
  <c r="AG148" i="12" s="1"/>
  <c r="AE148" i="13" s="1"/>
  <c r="AG148" i="13" s="1"/>
  <c r="AE118" i="3"/>
  <c r="AG118" i="3"/>
  <c r="AE118" i="4"/>
  <c r="AG118" i="4"/>
  <c r="AE118" i="5"/>
  <c r="AG118" i="5"/>
  <c r="AE118" i="6"/>
  <c r="AG118" i="6"/>
  <c r="AE118" i="7"/>
  <c r="AG118" i="7"/>
  <c r="AE118" i="8"/>
  <c r="AG118" i="8"/>
  <c r="AE118" i="9"/>
  <c r="AG118" i="9"/>
  <c r="AE118" i="10"/>
  <c r="AG118" i="10"/>
  <c r="AE118" i="11" s="1"/>
  <c r="AG118" i="11" s="1"/>
  <c r="AE118" i="12" s="1"/>
  <c r="AG118" i="12" s="1"/>
  <c r="AE118" i="13" s="1"/>
  <c r="AG118" i="13" s="1"/>
  <c r="AE120" i="3"/>
  <c r="AG120" i="3"/>
  <c r="AE120" i="4"/>
  <c r="AG120" i="4"/>
  <c r="AE120" i="5"/>
  <c r="AG120" i="5"/>
  <c r="AE120" i="6"/>
  <c r="AG120" i="6"/>
  <c r="AE120" i="7"/>
  <c r="AG120" i="7"/>
  <c r="AE120" i="8"/>
  <c r="AG120" i="8"/>
  <c r="AE120" i="9"/>
  <c r="AG120" i="9"/>
  <c r="AE120" i="10"/>
  <c r="AG120" i="10"/>
  <c r="AE120" i="11"/>
  <c r="AG120" i="11" s="1"/>
  <c r="AE120" i="12" s="1"/>
  <c r="AG120" i="12" s="1"/>
  <c r="AE120" i="13" s="1"/>
  <c r="AG120" i="13" s="1"/>
  <c r="AB156" i="3"/>
  <c r="AD156" i="3"/>
  <c r="AB156" i="4"/>
  <c r="AD156" i="4"/>
  <c r="AB156" i="5"/>
  <c r="AD156" i="5"/>
  <c r="AB156" i="6"/>
  <c r="AD156" i="6"/>
  <c r="AB156" i="7"/>
  <c r="AD156" i="7"/>
  <c r="AB156" i="8"/>
  <c r="AD156" i="8"/>
  <c r="AB156" i="9"/>
  <c r="AD156" i="9"/>
  <c r="AB156" i="10"/>
  <c r="AD156" i="10"/>
  <c r="AB156" i="11" s="1"/>
  <c r="AD156" i="11" s="1"/>
  <c r="AB156" i="12" s="1"/>
  <c r="AD156" i="12" s="1"/>
  <c r="AB156" i="13" s="1"/>
  <c r="AD156" i="13" s="1"/>
  <c r="AB158" i="3"/>
  <c r="AD158" i="3"/>
  <c r="AB159" i="4"/>
  <c r="AD159" i="4"/>
  <c r="AB158" i="5"/>
  <c r="AD158" i="5"/>
  <c r="AB158" i="6"/>
  <c r="AD158" i="6"/>
  <c r="AB158" i="7"/>
  <c r="AD158" i="7"/>
  <c r="AB158" i="8"/>
  <c r="AD158" i="8"/>
  <c r="AB158" i="9"/>
  <c r="AD158" i="9"/>
  <c r="AB158" i="10"/>
  <c r="AD158" i="10"/>
  <c r="AB158" i="11" s="1"/>
  <c r="AD158" i="11" s="1"/>
  <c r="AB158" i="12" s="1"/>
  <c r="AD158" i="12" s="1"/>
  <c r="AB158" i="13" s="1"/>
  <c r="AD158" i="13" s="1"/>
  <c r="AB159" i="3"/>
  <c r="AD159" i="3"/>
  <c r="AB160" i="4"/>
  <c r="AD160" i="4"/>
  <c r="AB159" i="5"/>
  <c r="AD159" i="5"/>
  <c r="AB159" i="6"/>
  <c r="AD159" i="6"/>
  <c r="AB159" i="7"/>
  <c r="AD159" i="7"/>
  <c r="AB159" i="8"/>
  <c r="AD159" i="8"/>
  <c r="AB159" i="9"/>
  <c r="AD159" i="9"/>
  <c r="AB159" i="10"/>
  <c r="AD159" i="10"/>
  <c r="AB159" i="11" s="1"/>
  <c r="AD159" i="11" s="1"/>
  <c r="AB159" i="12" s="1"/>
  <c r="AD159" i="12" s="1"/>
  <c r="AB159" i="13" s="1"/>
  <c r="AD159" i="13" s="1"/>
  <c r="AB160" i="3"/>
  <c r="AD160" i="3"/>
  <c r="AB161" i="4"/>
  <c r="AD161" i="4"/>
  <c r="AB160" i="5"/>
  <c r="AD160" i="5"/>
  <c r="AB160" i="6"/>
  <c r="AD160" i="6"/>
  <c r="AB160" i="7"/>
  <c r="AD160" i="7"/>
  <c r="AB160" i="8"/>
  <c r="AD160" i="8"/>
  <c r="AB160" i="9"/>
  <c r="AD160" i="9"/>
  <c r="AB160" i="10"/>
  <c r="AD160" i="10"/>
  <c r="AB160" i="11" s="1"/>
  <c r="AD160" i="11" s="1"/>
  <c r="AB160" i="12" s="1"/>
  <c r="AD160" i="12" s="1"/>
  <c r="AB160" i="13" s="1"/>
  <c r="AD160" i="13" s="1"/>
  <c r="AB161" i="3"/>
  <c r="AD161" i="3"/>
  <c r="AB162" i="4"/>
  <c r="AD162" i="4"/>
  <c r="AB161" i="5"/>
  <c r="AD161" i="5"/>
  <c r="AB161" i="6"/>
  <c r="AD161" i="6"/>
  <c r="AB161" i="7"/>
  <c r="AD161" i="7"/>
  <c r="AB161" i="8"/>
  <c r="AD161" i="8"/>
  <c r="AB161" i="9"/>
  <c r="AD161" i="9"/>
  <c r="AB161" i="10"/>
  <c r="AD161" i="10"/>
  <c r="AB161" i="11" s="1"/>
  <c r="AD161" i="11" s="1"/>
  <c r="AB161" i="12" s="1"/>
  <c r="AD161" i="12" s="1"/>
  <c r="AB161" i="13" s="1"/>
  <c r="AD161" i="13" s="1"/>
  <c r="AB162" i="3"/>
  <c r="AD162" i="3"/>
  <c r="AB163" i="4"/>
  <c r="AD163" i="4"/>
  <c r="AB162" i="5"/>
  <c r="AD162" i="5"/>
  <c r="AB162" i="6"/>
  <c r="AD162" i="6"/>
  <c r="AB162" i="7"/>
  <c r="AD162" i="7"/>
  <c r="AB162" i="8"/>
  <c r="AD162" i="8"/>
  <c r="AB162" i="9"/>
  <c r="AD162" i="9"/>
  <c r="AB162" i="10"/>
  <c r="AD162" i="10"/>
  <c r="AB162" i="11" s="1"/>
  <c r="AD162" i="11" s="1"/>
  <c r="AB162" i="12" s="1"/>
  <c r="AD162" i="12" s="1"/>
  <c r="AB162" i="13" s="1"/>
  <c r="AD162" i="13" s="1"/>
  <c r="AB163" i="3"/>
  <c r="AD163" i="3"/>
  <c r="AB164" i="4"/>
  <c r="AD164" i="4"/>
  <c r="AB163" i="5"/>
  <c r="AD163" i="5"/>
  <c r="AB163" i="6"/>
  <c r="AD163" i="6"/>
  <c r="AB163" i="7"/>
  <c r="AD163" i="7"/>
  <c r="AB163" i="8"/>
  <c r="AD163" i="8"/>
  <c r="AB163" i="9"/>
  <c r="AD163" i="9"/>
  <c r="AB163" i="10"/>
  <c r="AD163" i="10"/>
  <c r="AB163" i="11" s="1"/>
  <c r="AD163" i="11" s="1"/>
  <c r="AB163" i="12" s="1"/>
  <c r="AD163" i="12" s="1"/>
  <c r="AB163" i="13" s="1"/>
  <c r="AD163" i="13" s="1"/>
  <c r="AB164" i="3"/>
  <c r="AD164" i="3"/>
  <c r="AB165" i="4"/>
  <c r="AD165" i="4"/>
  <c r="AB164" i="5"/>
  <c r="AD164" i="5"/>
  <c r="AB164" i="6"/>
  <c r="AD164" i="6"/>
  <c r="AB164" i="7"/>
  <c r="AD164" i="7"/>
  <c r="AB164" i="8"/>
  <c r="AD164" i="8"/>
  <c r="AB164" i="9"/>
  <c r="AD164" i="9"/>
  <c r="AB164" i="10"/>
  <c r="AD164" i="10"/>
  <c r="AB164" i="11"/>
  <c r="AD164" i="11" s="1"/>
  <c r="AB164" i="12" s="1"/>
  <c r="AD164" i="12" s="1"/>
  <c r="AB164" i="13" s="1"/>
  <c r="AD164" i="13" s="1"/>
  <c r="AB165" i="3"/>
  <c r="AD165" i="3"/>
  <c r="AB166" i="4"/>
  <c r="AD166" i="4"/>
  <c r="AB165" i="5"/>
  <c r="AD165" i="5"/>
  <c r="AB165" i="6"/>
  <c r="AD165" i="6"/>
  <c r="AB165" i="7"/>
  <c r="AD165" i="7"/>
  <c r="AB165" i="8"/>
  <c r="AD165" i="8"/>
  <c r="AB165" i="9"/>
  <c r="AD165" i="9"/>
  <c r="AB165" i="10"/>
  <c r="AD165" i="10"/>
  <c r="AB165" i="11" s="1"/>
  <c r="AD165" i="11" s="1"/>
  <c r="AB165" i="12" s="1"/>
  <c r="AD165" i="12" s="1"/>
  <c r="AB165" i="13" s="1"/>
  <c r="AD165" i="13" s="1"/>
  <c r="AB167" i="3"/>
  <c r="AD167" i="3"/>
  <c r="AB167" i="4"/>
  <c r="AD167" i="4"/>
  <c r="AB166" i="5"/>
  <c r="AD166" i="5"/>
  <c r="AB166" i="6"/>
  <c r="AD166" i="6"/>
  <c r="AB166" i="7"/>
  <c r="AD166" i="7"/>
  <c r="AB166" i="8"/>
  <c r="AD166" i="8"/>
  <c r="AB166" i="9"/>
  <c r="AD166" i="9"/>
  <c r="AB166" i="10"/>
  <c r="AD166" i="10"/>
  <c r="AB166" i="11" s="1"/>
  <c r="AD166" i="11" s="1"/>
  <c r="AB166" i="12" s="1"/>
  <c r="AD166" i="12" s="1"/>
  <c r="AB166" i="13" s="1"/>
  <c r="AD166" i="13" s="1"/>
  <c r="Y156" i="3"/>
  <c r="AA156" i="3"/>
  <c r="Y156" i="4"/>
  <c r="AA156" i="4"/>
  <c r="Y156" i="5"/>
  <c r="AA156" i="5"/>
  <c r="Y156" i="6"/>
  <c r="AA156" i="6"/>
  <c r="Y156" i="7"/>
  <c r="AA156" i="7"/>
  <c r="Y156" i="8"/>
  <c r="AA156" i="8"/>
  <c r="Y156" i="9"/>
  <c r="AA156" i="9"/>
  <c r="Y156" i="10"/>
  <c r="AA156" i="10"/>
  <c r="Y156" i="11" s="1"/>
  <c r="AA156" i="11" s="1"/>
  <c r="Y156" i="12" s="1"/>
  <c r="AA156" i="12" s="1"/>
  <c r="Y156" i="13" s="1"/>
  <c r="AA156" i="13" s="1"/>
  <c r="Y158" i="3"/>
  <c r="AA158" i="3"/>
  <c r="Y159" i="4"/>
  <c r="AA159" i="4"/>
  <c r="Y158" i="5"/>
  <c r="AA158" i="5"/>
  <c r="Y158" i="6"/>
  <c r="AA158" i="6"/>
  <c r="Y158" i="7"/>
  <c r="AA158" i="7"/>
  <c r="Y158" i="8"/>
  <c r="AA158" i="8"/>
  <c r="Y158" i="9"/>
  <c r="AA158" i="9"/>
  <c r="Y158" i="10"/>
  <c r="AA158" i="10"/>
  <c r="Y158" i="11" s="1"/>
  <c r="AA158" i="11" s="1"/>
  <c r="Y158" i="12" s="1"/>
  <c r="AA158" i="12" s="1"/>
  <c r="Y158" i="13" s="1"/>
  <c r="AA158" i="13" s="1"/>
  <c r="Y159" i="3"/>
  <c r="AA159" i="3"/>
  <c r="Y160" i="4"/>
  <c r="AA160" i="4"/>
  <c r="Y159" i="5"/>
  <c r="AA159" i="5"/>
  <c r="Y159" i="6"/>
  <c r="AA159" i="6"/>
  <c r="Y159" i="7"/>
  <c r="AA159" i="7"/>
  <c r="Y159" i="8"/>
  <c r="AA159" i="8"/>
  <c r="Y159" i="9"/>
  <c r="AA159" i="9"/>
  <c r="Y159" i="10"/>
  <c r="AA159" i="10"/>
  <c r="Y159" i="11" s="1"/>
  <c r="AA159" i="11" s="1"/>
  <c r="Y159" i="12" s="1"/>
  <c r="AA159" i="12" s="1"/>
  <c r="Y159" i="13" s="1"/>
  <c r="AA159" i="13" s="1"/>
  <c r="Y160" i="3"/>
  <c r="AA160" i="3"/>
  <c r="Y161" i="4"/>
  <c r="AA161" i="4"/>
  <c r="Y160" i="5"/>
  <c r="AA160" i="5"/>
  <c r="Y160" i="6"/>
  <c r="AA160" i="6"/>
  <c r="Y160" i="7"/>
  <c r="AA160" i="7"/>
  <c r="Y160" i="8"/>
  <c r="AA160" i="8"/>
  <c r="Y160" i="9"/>
  <c r="AA160" i="9"/>
  <c r="Y160" i="10"/>
  <c r="AA160" i="10"/>
  <c r="Y160" i="11" s="1"/>
  <c r="AA160" i="11" s="1"/>
  <c r="Y160" i="12" s="1"/>
  <c r="AA160" i="12" s="1"/>
  <c r="Y160" i="13" s="1"/>
  <c r="AA160" i="13" s="1"/>
  <c r="Y161" i="3"/>
  <c r="AA161" i="3"/>
  <c r="Y162" i="4"/>
  <c r="AA162" i="4"/>
  <c r="Y161" i="5"/>
  <c r="AA161" i="5"/>
  <c r="Y161" i="6"/>
  <c r="AA161" i="6"/>
  <c r="Y161" i="7"/>
  <c r="AA161" i="7"/>
  <c r="Y161" i="8"/>
  <c r="AA161" i="8"/>
  <c r="Y161" i="9"/>
  <c r="AA161" i="9"/>
  <c r="Y161" i="10"/>
  <c r="AA161" i="10"/>
  <c r="Y161" i="11" s="1"/>
  <c r="AA161" i="11" s="1"/>
  <c r="Y161" i="12" s="1"/>
  <c r="AA161" i="12" s="1"/>
  <c r="Y161" i="13" s="1"/>
  <c r="AA161" i="13" s="1"/>
  <c r="Y162" i="3"/>
  <c r="AA162" i="3"/>
  <c r="Y163" i="4"/>
  <c r="AA163" i="4"/>
  <c r="Y162" i="5"/>
  <c r="AA162" i="5"/>
  <c r="Y162" i="6"/>
  <c r="AA162" i="6"/>
  <c r="Y162" i="7"/>
  <c r="AA162" i="7"/>
  <c r="Y162" i="8"/>
  <c r="AA162" i="8"/>
  <c r="Y162" i="9"/>
  <c r="AA162" i="9"/>
  <c r="Y162" i="10"/>
  <c r="AA162" i="10"/>
  <c r="Y162" i="11" s="1"/>
  <c r="AA162" i="11" s="1"/>
  <c r="Y162" i="12" s="1"/>
  <c r="AA162" i="12" s="1"/>
  <c r="Y162" i="13" s="1"/>
  <c r="AA162" i="13" s="1"/>
  <c r="Y163" i="3"/>
  <c r="AA163" i="3"/>
  <c r="Y164" i="4"/>
  <c r="AA164" i="4"/>
  <c r="Y163" i="5"/>
  <c r="AA163" i="5"/>
  <c r="Y163" i="6"/>
  <c r="AA163" i="6"/>
  <c r="Y163" i="7"/>
  <c r="AA163" i="7"/>
  <c r="Y163" i="8"/>
  <c r="AA163" i="8"/>
  <c r="Y163" i="9"/>
  <c r="AA163" i="9"/>
  <c r="Y163" i="10"/>
  <c r="AA163" i="10"/>
  <c r="Y163" i="11"/>
  <c r="AA163" i="11" s="1"/>
  <c r="Y163" i="12" s="1"/>
  <c r="AA163" i="12" s="1"/>
  <c r="Y163" i="13" s="1"/>
  <c r="AA163" i="13" s="1"/>
  <c r="Y164" i="3"/>
  <c r="AA164" i="3"/>
  <c r="Y165" i="4"/>
  <c r="AA165" i="4"/>
  <c r="Y164" i="5"/>
  <c r="AA164" i="5"/>
  <c r="Y164" i="6"/>
  <c r="AA164" i="6"/>
  <c r="Y164" i="7"/>
  <c r="AA164" i="7"/>
  <c r="Y164" i="8"/>
  <c r="AA164" i="8"/>
  <c r="Y164" i="9"/>
  <c r="AA164" i="9"/>
  <c r="Y164" i="10"/>
  <c r="AA164" i="10"/>
  <c r="Y164" i="11" s="1"/>
  <c r="AA164" i="11" s="1"/>
  <c r="Y164" i="12" s="1"/>
  <c r="AA164" i="12" s="1"/>
  <c r="Y164" i="13" s="1"/>
  <c r="AA164" i="13" s="1"/>
  <c r="Y165" i="3"/>
  <c r="AA165" i="3"/>
  <c r="Y166" i="4"/>
  <c r="AA166" i="4"/>
  <c r="Y165" i="5"/>
  <c r="AA165" i="5"/>
  <c r="Y165" i="6"/>
  <c r="AA165" i="6"/>
  <c r="Y165" i="7"/>
  <c r="AA165" i="7"/>
  <c r="Y165" i="8"/>
  <c r="AA165" i="8"/>
  <c r="Y165" i="9"/>
  <c r="AA165" i="9"/>
  <c r="Y165" i="10"/>
  <c r="AA165" i="10"/>
  <c r="Y165" i="11" s="1"/>
  <c r="AA165" i="11" s="1"/>
  <c r="Y165" i="12" s="1"/>
  <c r="AA165" i="12" s="1"/>
  <c r="Y165" i="13" s="1"/>
  <c r="AA165" i="13" s="1"/>
  <c r="Y167" i="3"/>
  <c r="AA167" i="3"/>
  <c r="Y167" i="4"/>
  <c r="AA167" i="4"/>
  <c r="Y166" i="5"/>
  <c r="AA166" i="5"/>
  <c r="Y166" i="6"/>
  <c r="AA166" i="6"/>
  <c r="Y166" i="7"/>
  <c r="AA166" i="7"/>
  <c r="Y166" i="8"/>
  <c r="AA166" i="8"/>
  <c r="Y166" i="9"/>
  <c r="AA166" i="9"/>
  <c r="Y166" i="10"/>
  <c r="AA166" i="10"/>
  <c r="Y166" i="11" s="1"/>
  <c r="AA166" i="11" s="1"/>
  <c r="Y166" i="12" s="1"/>
  <c r="AA166" i="12" s="1"/>
  <c r="Y166" i="13" s="1"/>
  <c r="AA166" i="13" s="1"/>
  <c r="V156" i="3"/>
  <c r="V156" i="4"/>
  <c r="V156" i="5"/>
  <c r="V156" i="6"/>
  <c r="V156" i="7"/>
  <c r="V156" i="8"/>
  <c r="V156" i="9"/>
  <c r="V156" i="10"/>
  <c r="V156" i="11" s="1"/>
  <c r="V156" i="12" s="1"/>
  <c r="V156" i="13" s="1"/>
  <c r="W156" i="3"/>
  <c r="W156" i="4"/>
  <c r="W156" i="5"/>
  <c r="W156" i="6"/>
  <c r="W156" i="7"/>
  <c r="W156" i="8"/>
  <c r="W156" i="9"/>
  <c r="W156" i="10"/>
  <c r="W156" i="11"/>
  <c r="W156" i="12" s="1"/>
  <c r="W156" i="13" s="1"/>
  <c r="V158" i="3"/>
  <c r="V159" i="4"/>
  <c r="V158" i="5"/>
  <c r="V158" i="6"/>
  <c r="V158" i="7"/>
  <c r="V158" i="8"/>
  <c r="V158" i="9"/>
  <c r="V158" i="10"/>
  <c r="V158" i="11" s="1"/>
  <c r="V158" i="12" s="1"/>
  <c r="V158" i="13" s="1"/>
  <c r="W158" i="3"/>
  <c r="W159" i="4"/>
  <c r="W158" i="5"/>
  <c r="W158" i="6"/>
  <c r="W158" i="7"/>
  <c r="W158" i="8"/>
  <c r="W158" i="9"/>
  <c r="W158" i="10"/>
  <c r="W158" i="11"/>
  <c r="W158" i="12"/>
  <c r="W158" i="13" s="1"/>
  <c r="V159" i="3"/>
  <c r="V160" i="4"/>
  <c r="V159" i="5"/>
  <c r="V159" i="6"/>
  <c r="V159" i="7"/>
  <c r="V159" i="8"/>
  <c r="V159" i="9"/>
  <c r="V159" i="10"/>
  <c r="V159" i="11" s="1"/>
  <c r="V159" i="12" s="1"/>
  <c r="V159" i="13" s="1"/>
  <c r="W159" i="3"/>
  <c r="W160" i="4"/>
  <c r="W159" i="5"/>
  <c r="W159" i="6"/>
  <c r="W159" i="7"/>
  <c r="W159" i="8"/>
  <c r="W159" i="9"/>
  <c r="W159" i="10"/>
  <c r="W159" i="11" s="1"/>
  <c r="W159" i="12" s="1"/>
  <c r="W159" i="13" s="1"/>
  <c r="V160" i="3"/>
  <c r="V161" i="4"/>
  <c r="V160" i="5"/>
  <c r="V160" i="6"/>
  <c r="V160" i="7"/>
  <c r="V160" i="8"/>
  <c r="V160" i="9"/>
  <c r="V160" i="10"/>
  <c r="V160" i="11" s="1"/>
  <c r="V160" i="12" s="1"/>
  <c r="V160" i="13" s="1"/>
  <c r="W160" i="3"/>
  <c r="W161" i="4"/>
  <c r="W160" i="5"/>
  <c r="W160" i="6"/>
  <c r="W160" i="7"/>
  <c r="W160" i="8"/>
  <c r="W160" i="9"/>
  <c r="W160" i="10"/>
  <c r="W160" i="11" s="1"/>
  <c r="W160" i="12" s="1"/>
  <c r="W160" i="13" s="1"/>
  <c r="V161" i="3"/>
  <c r="V162" i="4"/>
  <c r="V161" i="5"/>
  <c r="V161" i="6"/>
  <c r="V161" i="7"/>
  <c r="V161" i="8"/>
  <c r="V161" i="9"/>
  <c r="V161" i="10"/>
  <c r="V161" i="11"/>
  <c r="V161" i="12" s="1"/>
  <c r="V161" i="13" s="1"/>
  <c r="W161" i="3"/>
  <c r="W162" i="4"/>
  <c r="W161" i="5"/>
  <c r="W161" i="6"/>
  <c r="W161" i="7"/>
  <c r="W161" i="8"/>
  <c r="W161" i="9"/>
  <c r="W161" i="10"/>
  <c r="W161" i="11" s="1"/>
  <c r="W161" i="12" s="1"/>
  <c r="W161" i="13" s="1"/>
  <c r="V162" i="3"/>
  <c r="V163" i="4"/>
  <c r="V162" i="5"/>
  <c r="V162" i="6"/>
  <c r="V162" i="7"/>
  <c r="V162" i="8"/>
  <c r="V162" i="9"/>
  <c r="V162" i="10"/>
  <c r="V162" i="11" s="1"/>
  <c r="V162" i="12" s="1"/>
  <c r="V162" i="13" s="1"/>
  <c r="W162" i="3"/>
  <c r="W163" i="4"/>
  <c r="W162" i="5"/>
  <c r="W162" i="6"/>
  <c r="W162" i="7"/>
  <c r="W162" i="8"/>
  <c r="W162" i="9"/>
  <c r="W162" i="10"/>
  <c r="W162" i="11" s="1"/>
  <c r="W162" i="12" s="1"/>
  <c r="W162" i="13" s="1"/>
  <c r="V163" i="3"/>
  <c r="V164" i="4"/>
  <c r="V163" i="5"/>
  <c r="V163" i="6"/>
  <c r="V163" i="7"/>
  <c r="V163" i="8"/>
  <c r="V163" i="9"/>
  <c r="V163" i="10"/>
  <c r="V163" i="11" s="1"/>
  <c r="V163" i="12" s="1"/>
  <c r="V163" i="13" s="1"/>
  <c r="W163" i="3"/>
  <c r="W164" i="4"/>
  <c r="W163" i="5"/>
  <c r="W163" i="6"/>
  <c r="W163" i="7"/>
  <c r="W163" i="8"/>
  <c r="W163" i="9"/>
  <c r="W163" i="10"/>
  <c r="W163" i="11" s="1"/>
  <c r="W163" i="12" s="1"/>
  <c r="W163" i="13" s="1"/>
  <c r="V164" i="3"/>
  <c r="V165" i="4"/>
  <c r="V164" i="5"/>
  <c r="V164" i="6"/>
  <c r="V164" i="7"/>
  <c r="V164" i="8"/>
  <c r="V164" i="9"/>
  <c r="V164" i="10"/>
  <c r="V164" i="11" s="1"/>
  <c r="V164" i="12" s="1"/>
  <c r="V164" i="13" s="1"/>
  <c r="W164" i="3"/>
  <c r="W165" i="4"/>
  <c r="W164" i="5"/>
  <c r="W164" i="6"/>
  <c r="W164" i="7"/>
  <c r="W164" i="8"/>
  <c r="W164" i="9"/>
  <c r="W164" i="10"/>
  <c r="W164" i="11" s="1"/>
  <c r="W164" i="12" s="1"/>
  <c r="W164" i="13" s="1"/>
  <c r="V165" i="3"/>
  <c r="V166" i="4"/>
  <c r="V165" i="5"/>
  <c r="V165" i="6"/>
  <c r="V165" i="7"/>
  <c r="V165" i="8"/>
  <c r="V165" i="9"/>
  <c r="V165" i="10"/>
  <c r="V165" i="11" s="1"/>
  <c r="V165" i="12" s="1"/>
  <c r="V165" i="13" s="1"/>
  <c r="W165" i="3"/>
  <c r="W166" i="4"/>
  <c r="W165" i="5"/>
  <c r="W165" i="6"/>
  <c r="W165" i="7"/>
  <c r="W165" i="8"/>
  <c r="W165" i="9"/>
  <c r="W165" i="10"/>
  <c r="W165" i="11" s="1"/>
  <c r="W165" i="12" s="1"/>
  <c r="W165" i="13" s="1"/>
  <c r="V166" i="3"/>
  <c r="V167" i="4"/>
  <c r="V166" i="5"/>
  <c r="V166" i="6"/>
  <c r="V166" i="7"/>
  <c r="V166" i="8"/>
  <c r="V166" i="9"/>
  <c r="V166" i="10"/>
  <c r="V166" i="11" s="1"/>
  <c r="V166" i="12" s="1"/>
  <c r="V166" i="13" s="1"/>
  <c r="W167" i="3"/>
  <c r="W167" i="4"/>
  <c r="W166" i="5"/>
  <c r="W166" i="6"/>
  <c r="W166" i="7"/>
  <c r="W166" i="8"/>
  <c r="W166" i="9"/>
  <c r="W166" i="10"/>
  <c r="W166" i="11" s="1"/>
  <c r="W166" i="12" s="1"/>
  <c r="W166" i="13" s="1"/>
  <c r="O33" i="14"/>
  <c r="O34" i="14"/>
  <c r="O35" i="14"/>
  <c r="O32" i="14"/>
  <c r="BQ13" i="11"/>
  <c r="O36" i="14"/>
  <c r="O31" i="14"/>
  <c r="O37" i="14"/>
  <c r="O30" i="14"/>
  <c r="O39" i="14"/>
  <c r="O40" i="14"/>
  <c r="O41" i="14"/>
  <c r="O42" i="14"/>
  <c r="O43" i="14"/>
  <c r="O44" i="14"/>
  <c r="O38" i="14"/>
  <c r="O46" i="14"/>
  <c r="O47" i="14"/>
  <c r="O45" i="14"/>
  <c r="O29" i="14"/>
  <c r="O49" i="14"/>
  <c r="O50" i="14"/>
  <c r="O51" i="14"/>
  <c r="O48" i="14"/>
  <c r="O52" i="14"/>
  <c r="O53" i="14"/>
  <c r="BQ31" i="11"/>
  <c r="O54" i="14"/>
  <c r="AF14" i="11"/>
  <c r="AF12" i="11"/>
  <c r="AF145" i="11"/>
  <c r="AF110" i="11"/>
  <c r="AF10" i="11"/>
  <c r="AF8" i="11"/>
  <c r="AL126" i="13"/>
  <c r="AL50" i="13"/>
  <c r="AL51" i="13"/>
  <c r="AL152" i="13"/>
  <c r="AL131" i="13"/>
  <c r="AL21" i="13"/>
  <c r="AE115" i="3"/>
  <c r="AG115" i="3"/>
  <c r="AE115" i="4"/>
  <c r="AG115" i="4"/>
  <c r="AE115" i="5"/>
  <c r="AG115" i="5"/>
  <c r="AE115" i="6"/>
  <c r="AG115" i="6"/>
  <c r="AE115" i="7"/>
  <c r="AG115" i="7"/>
  <c r="AE115" i="8"/>
  <c r="AG115" i="8"/>
  <c r="AE115" i="9"/>
  <c r="AG115" i="9"/>
  <c r="AE115" i="10"/>
  <c r="AG115" i="10"/>
  <c r="AE115" i="11"/>
  <c r="AG115" i="11" s="1"/>
  <c r="AE115" i="12" s="1"/>
  <c r="AG115" i="12" s="1"/>
  <c r="AE115" i="13" s="1"/>
  <c r="AG115" i="13" s="1"/>
  <c r="AE116" i="3"/>
  <c r="AG116" i="3"/>
  <c r="AE116" i="4"/>
  <c r="AG116" i="4"/>
  <c r="AE116" i="5"/>
  <c r="AG116" i="5"/>
  <c r="AE116" i="6"/>
  <c r="AG116" i="6"/>
  <c r="AE116" i="7"/>
  <c r="AG116" i="7"/>
  <c r="AE116" i="8"/>
  <c r="AG116" i="8"/>
  <c r="AE116" i="9"/>
  <c r="AG116" i="9"/>
  <c r="AE116" i="10"/>
  <c r="AG116" i="10"/>
  <c r="AE116" i="11" s="1"/>
  <c r="AG116" i="11" s="1"/>
  <c r="AE117" i="3"/>
  <c r="AG117" i="3"/>
  <c r="AE117" i="4"/>
  <c r="AG117" i="4"/>
  <c r="AE117" i="5"/>
  <c r="AG117" i="5"/>
  <c r="AE117" i="6"/>
  <c r="AG117" i="6"/>
  <c r="AE117" i="7"/>
  <c r="AG117" i="7"/>
  <c r="AE117" i="8"/>
  <c r="AG117" i="8"/>
  <c r="AE117" i="9"/>
  <c r="AG117" i="9"/>
  <c r="AE117" i="10"/>
  <c r="AG117" i="10"/>
  <c r="AE117" i="11" s="1"/>
  <c r="AG117" i="11" s="1"/>
  <c r="AE117" i="12" s="1"/>
  <c r="AG117" i="12" s="1"/>
  <c r="AE117" i="13" s="1"/>
  <c r="AG117" i="13" s="1"/>
  <c r="AE119" i="3"/>
  <c r="AG119" i="3"/>
  <c r="AE119" i="4"/>
  <c r="AG119" i="4"/>
  <c r="AE119" i="5"/>
  <c r="AG119" i="5"/>
  <c r="AE119" i="6"/>
  <c r="AG119" i="6"/>
  <c r="AE119" i="7"/>
  <c r="AG119" i="7"/>
  <c r="AE119" i="8"/>
  <c r="AG119" i="8"/>
  <c r="AE119" i="9"/>
  <c r="AG119" i="9"/>
  <c r="AE119" i="10"/>
  <c r="AG119" i="10"/>
  <c r="AE119" i="11" s="1"/>
  <c r="AG119" i="11" s="1"/>
  <c r="AE119" i="12" s="1"/>
  <c r="AG119" i="12" s="1"/>
  <c r="AE119" i="13" s="1"/>
  <c r="AG119" i="13" s="1"/>
  <c r="AE121" i="3"/>
  <c r="AG121" i="3"/>
  <c r="AE121" i="4"/>
  <c r="AG121" i="4"/>
  <c r="AE121" i="5"/>
  <c r="AG121" i="5"/>
  <c r="AE121" i="6"/>
  <c r="AG121" i="6"/>
  <c r="AE121" i="7"/>
  <c r="AG121" i="7"/>
  <c r="AE121" i="8"/>
  <c r="AG121" i="8"/>
  <c r="AE121" i="9"/>
  <c r="AG121" i="9"/>
  <c r="AE121" i="10"/>
  <c r="AG121" i="10"/>
  <c r="AE121" i="11" s="1"/>
  <c r="AG121" i="11" s="1"/>
  <c r="AE121" i="12" s="1"/>
  <c r="AG121" i="12" s="1"/>
  <c r="AE121" i="13" s="1"/>
  <c r="AG121" i="13" s="1"/>
  <c r="AE124" i="3"/>
  <c r="AG124" i="3"/>
  <c r="AE124" i="4"/>
  <c r="AG124" i="4"/>
  <c r="AE124" i="5"/>
  <c r="AG124" i="5"/>
  <c r="AE124" i="6"/>
  <c r="AG124" i="6"/>
  <c r="AE124" i="7"/>
  <c r="AG124" i="7"/>
  <c r="AE124" i="8"/>
  <c r="AG124" i="8"/>
  <c r="AE124" i="9"/>
  <c r="AG124" i="9"/>
  <c r="AE124" i="10"/>
  <c r="AG124" i="10"/>
  <c r="AE124" i="11" s="1"/>
  <c r="AG124" i="11" s="1"/>
  <c r="AE124" i="12" s="1"/>
  <c r="AG124" i="12" s="1"/>
  <c r="AE124" i="13" s="1"/>
  <c r="AG124" i="13" s="1"/>
  <c r="AE125" i="3"/>
  <c r="AG125" i="3"/>
  <c r="AE125" i="4"/>
  <c r="AG125" i="4"/>
  <c r="AE125" i="5"/>
  <c r="AG125" i="5"/>
  <c r="AE125" i="6"/>
  <c r="AG125" i="6"/>
  <c r="AE125" i="7"/>
  <c r="AG125" i="7"/>
  <c r="AE125" i="8"/>
  <c r="AG125" i="8"/>
  <c r="AE125" i="9"/>
  <c r="AG125" i="9"/>
  <c r="AE125" i="10"/>
  <c r="AG125" i="10"/>
  <c r="AE125" i="11" s="1"/>
  <c r="AG125" i="11" s="1"/>
  <c r="AE125" i="12" s="1"/>
  <c r="AG125" i="12" s="1"/>
  <c r="AE125" i="13" s="1"/>
  <c r="AG125" i="13" s="1"/>
  <c r="AE126" i="3"/>
  <c r="AG126" i="3"/>
  <c r="AE126" i="4"/>
  <c r="AG126" i="4"/>
  <c r="AE126" i="5"/>
  <c r="AG126" i="5"/>
  <c r="AE126" i="6"/>
  <c r="AG126" i="6"/>
  <c r="AE126" i="7"/>
  <c r="AG126" i="7"/>
  <c r="AE126" i="8"/>
  <c r="AG126" i="8"/>
  <c r="AE126" i="9"/>
  <c r="AG126" i="9"/>
  <c r="AE126" i="10"/>
  <c r="AG126" i="10"/>
  <c r="AE126" i="11" s="1"/>
  <c r="AG126" i="11" s="1"/>
  <c r="AE126" i="12" s="1"/>
  <c r="AG126" i="12" s="1"/>
  <c r="AE126" i="13" s="1"/>
  <c r="AG126" i="13" s="1"/>
  <c r="AE127" i="3"/>
  <c r="AG127" i="3"/>
  <c r="AE127" i="4"/>
  <c r="AG127" i="4"/>
  <c r="AE127" i="5"/>
  <c r="AG127" i="5"/>
  <c r="AE127" i="6"/>
  <c r="AG127" i="6"/>
  <c r="AE127" i="7"/>
  <c r="AG127" i="7"/>
  <c r="AE127" i="8"/>
  <c r="AG127" i="8"/>
  <c r="AE127" i="9"/>
  <c r="AG127" i="9"/>
  <c r="AE127" i="10"/>
  <c r="AG127" i="10"/>
  <c r="AE127" i="11" s="1"/>
  <c r="AG127" i="11" s="1"/>
  <c r="AE128" i="3"/>
  <c r="AG128" i="3"/>
  <c r="AE128" i="4"/>
  <c r="AG128" i="4"/>
  <c r="AE128" i="5"/>
  <c r="AG128" i="5"/>
  <c r="AE128" i="6"/>
  <c r="AG128" i="6"/>
  <c r="AE128" i="7"/>
  <c r="AG128" i="7"/>
  <c r="AE128" i="8"/>
  <c r="AG128" i="8"/>
  <c r="AE128" i="9"/>
  <c r="AG128" i="9"/>
  <c r="AE128" i="10"/>
  <c r="AG128" i="10"/>
  <c r="AE128" i="11" s="1"/>
  <c r="AG128" i="11" s="1"/>
  <c r="AE128" i="12" s="1"/>
  <c r="AG128" i="12" s="1"/>
  <c r="AE128" i="13" s="1"/>
  <c r="AG128" i="13" s="1"/>
  <c r="AE129" i="3"/>
  <c r="AG129" i="3"/>
  <c r="AE129" i="4"/>
  <c r="AG129" i="4"/>
  <c r="AE129" i="5"/>
  <c r="AG129" i="5"/>
  <c r="AE129" i="6"/>
  <c r="AG129" i="6"/>
  <c r="AE129" i="7"/>
  <c r="AG129" i="7"/>
  <c r="AE129" i="8"/>
  <c r="AG129" i="8"/>
  <c r="AE129" i="9"/>
  <c r="AG129" i="9"/>
  <c r="AE129" i="10"/>
  <c r="AG129" i="10"/>
  <c r="AE129" i="11" s="1"/>
  <c r="AG129" i="11" s="1"/>
  <c r="AE129" i="12" s="1"/>
  <c r="AG129" i="12" s="1"/>
  <c r="AE129" i="13" s="1"/>
  <c r="AG129" i="13" s="1"/>
  <c r="AE130" i="3"/>
  <c r="AG130" i="3"/>
  <c r="AE130" i="4"/>
  <c r="AG130" i="4"/>
  <c r="AE130" i="5"/>
  <c r="AG130" i="5"/>
  <c r="AE130" i="6"/>
  <c r="AG130" i="6"/>
  <c r="AE130" i="7"/>
  <c r="AG130" i="7"/>
  <c r="AE130" i="8"/>
  <c r="AG130" i="8"/>
  <c r="AE130" i="9"/>
  <c r="AG130" i="9"/>
  <c r="AE130" i="10"/>
  <c r="AG130" i="10"/>
  <c r="AE130" i="11" s="1"/>
  <c r="AG130" i="11" s="1"/>
  <c r="AE130" i="12" s="1"/>
  <c r="AG130" i="12" s="1"/>
  <c r="AE130" i="13" s="1"/>
  <c r="AG130" i="13" s="1"/>
  <c r="AE131" i="3"/>
  <c r="AG131" i="3"/>
  <c r="AE131" i="4"/>
  <c r="AG131" i="4"/>
  <c r="AE131" i="5"/>
  <c r="AG131" i="5"/>
  <c r="AE131" i="6"/>
  <c r="AG131" i="6"/>
  <c r="AE131" i="7"/>
  <c r="AG131" i="7"/>
  <c r="AE131" i="8"/>
  <c r="AG131" i="8"/>
  <c r="AE131" i="9"/>
  <c r="AG131" i="9"/>
  <c r="AE131" i="10"/>
  <c r="AG131" i="10"/>
  <c r="AE131" i="11"/>
  <c r="AG131" i="11"/>
  <c r="AE131" i="12" s="1"/>
  <c r="AG131" i="12" s="1"/>
  <c r="AE131" i="13" s="1"/>
  <c r="AG131" i="13" s="1"/>
  <c r="AE132" i="3"/>
  <c r="AG132" i="3"/>
  <c r="AE132" i="4"/>
  <c r="AG132" i="4"/>
  <c r="AE132" i="5"/>
  <c r="AG132" i="5"/>
  <c r="AE132" i="6"/>
  <c r="AG132" i="6"/>
  <c r="AE132" i="7"/>
  <c r="AG132" i="7"/>
  <c r="AE132" i="8"/>
  <c r="AG132" i="8"/>
  <c r="AE132" i="9"/>
  <c r="AG132" i="9"/>
  <c r="AE132" i="10"/>
  <c r="AG132" i="10"/>
  <c r="AE132" i="11" s="1"/>
  <c r="AG132" i="11" s="1"/>
  <c r="AE132" i="12" s="1"/>
  <c r="AG132" i="12" s="1"/>
  <c r="AE132" i="13" s="1"/>
  <c r="AG132" i="13" s="1"/>
  <c r="AE133" i="3"/>
  <c r="AG133" i="3"/>
  <c r="AE133" i="4"/>
  <c r="AG133" i="4"/>
  <c r="AE133" i="5"/>
  <c r="AG133" i="5"/>
  <c r="AE133" i="6"/>
  <c r="AG133" i="6"/>
  <c r="AE133" i="7"/>
  <c r="AG133" i="7"/>
  <c r="AE133" i="8"/>
  <c r="AG133" i="8"/>
  <c r="AE133" i="9"/>
  <c r="AG133" i="9"/>
  <c r="AE133" i="10"/>
  <c r="AG133" i="10"/>
  <c r="AE133" i="11" s="1"/>
  <c r="AG133" i="11" s="1"/>
  <c r="AE133" i="12" s="1"/>
  <c r="AG133" i="12"/>
  <c r="AE133" i="13" s="1"/>
  <c r="AG133" i="13" s="1"/>
  <c r="AE134" i="3"/>
  <c r="AG134" i="3"/>
  <c r="AE134" i="4"/>
  <c r="AG134" i="4"/>
  <c r="AE134" i="5"/>
  <c r="AG134" i="5"/>
  <c r="AE134" i="6"/>
  <c r="AG134" i="6"/>
  <c r="AE134" i="7"/>
  <c r="AG134" i="7"/>
  <c r="AE134" i="8"/>
  <c r="AG134" i="8"/>
  <c r="AE134" i="9"/>
  <c r="AG134" i="9"/>
  <c r="AE134" i="10"/>
  <c r="AG134" i="10"/>
  <c r="AE134" i="11" s="1"/>
  <c r="AG134" i="11" s="1"/>
  <c r="AE134" i="12" s="1"/>
  <c r="AG134" i="12" s="1"/>
  <c r="AE134" i="13" s="1"/>
  <c r="AG134" i="13" s="1"/>
  <c r="AE135" i="3"/>
  <c r="AG135" i="3"/>
  <c r="AE135" i="4"/>
  <c r="AG135" i="4"/>
  <c r="AE135" i="5"/>
  <c r="AG135" i="5"/>
  <c r="AE135" i="6"/>
  <c r="AG135" i="6"/>
  <c r="AE135" i="7"/>
  <c r="AG135" i="7"/>
  <c r="AE135" i="8"/>
  <c r="AG135" i="8"/>
  <c r="AE135" i="9"/>
  <c r="AG135" i="9"/>
  <c r="AE135" i="10"/>
  <c r="AG135" i="10"/>
  <c r="AE135" i="11" s="1"/>
  <c r="AG135" i="11" s="1"/>
  <c r="AE135" i="12" s="1"/>
  <c r="AG135" i="12" s="1"/>
  <c r="AE135" i="13" s="1"/>
  <c r="AG135" i="13" s="1"/>
  <c r="AE136" i="3"/>
  <c r="AG136" i="3"/>
  <c r="AE136" i="4"/>
  <c r="AG136" i="4"/>
  <c r="AE136" i="5"/>
  <c r="AG136" i="5"/>
  <c r="AE136" i="6"/>
  <c r="AG136" i="6"/>
  <c r="AE136" i="7"/>
  <c r="AG136" i="7"/>
  <c r="AE136" i="8"/>
  <c r="AG136" i="8"/>
  <c r="AE136" i="9"/>
  <c r="AG136" i="9"/>
  <c r="AE136" i="10"/>
  <c r="AG136" i="10"/>
  <c r="AE136" i="11" s="1"/>
  <c r="AG136" i="11" s="1"/>
  <c r="AE136" i="12" s="1"/>
  <c r="AG136" i="12" s="1"/>
  <c r="AE136" i="13" s="1"/>
  <c r="AG136" i="13" s="1"/>
  <c r="AE137" i="3"/>
  <c r="AG137" i="3"/>
  <c r="AE137" i="4"/>
  <c r="AG137" i="4"/>
  <c r="AE137" i="5"/>
  <c r="AG137" i="5"/>
  <c r="AE137" i="6"/>
  <c r="AG137" i="6"/>
  <c r="AE137" i="7"/>
  <c r="AG137" i="7"/>
  <c r="AE137" i="8"/>
  <c r="AG137" i="8"/>
  <c r="AE137" i="9"/>
  <c r="AG137" i="9"/>
  <c r="AE137" i="10"/>
  <c r="AG137" i="10"/>
  <c r="AE137" i="11" s="1"/>
  <c r="AG137" i="11" s="1"/>
  <c r="AE137" i="12" s="1"/>
  <c r="AG137" i="12" s="1"/>
  <c r="AE137" i="13" s="1"/>
  <c r="AG137" i="13" s="1"/>
  <c r="AE138" i="3"/>
  <c r="AG138" i="3"/>
  <c r="AE138" i="4"/>
  <c r="AG138" i="4"/>
  <c r="AE138" i="5"/>
  <c r="AG138" i="5"/>
  <c r="AE138" i="6"/>
  <c r="AG138" i="6"/>
  <c r="AE138" i="7"/>
  <c r="AG138" i="7"/>
  <c r="AE138" i="8"/>
  <c r="AG138" i="8"/>
  <c r="AE138" i="9"/>
  <c r="AG138" i="9"/>
  <c r="AE138" i="10"/>
  <c r="AG138" i="10"/>
  <c r="AE138" i="11" s="1"/>
  <c r="AG138" i="11" s="1"/>
  <c r="AE138" i="12" s="1"/>
  <c r="AG138" i="12" s="1"/>
  <c r="AE138" i="13" s="1"/>
  <c r="AG138" i="13" s="1"/>
  <c r="AE139" i="3"/>
  <c r="AG139" i="3"/>
  <c r="AE139" i="4"/>
  <c r="AG139" i="4"/>
  <c r="AE139" i="5"/>
  <c r="AG139" i="5"/>
  <c r="AE139" i="6"/>
  <c r="AG139" i="6"/>
  <c r="AE139" i="7"/>
  <c r="AG139" i="7"/>
  <c r="AE139" i="8"/>
  <c r="AG139" i="8"/>
  <c r="AE139" i="9"/>
  <c r="AG139" i="9"/>
  <c r="AE139" i="10"/>
  <c r="AG139" i="10"/>
  <c r="AE139" i="11"/>
  <c r="AG139" i="11" s="1"/>
  <c r="AE139" i="12" s="1"/>
  <c r="AG139" i="12" s="1"/>
  <c r="AE139" i="13" s="1"/>
  <c r="AG139" i="13" s="1"/>
  <c r="AE142" i="3"/>
  <c r="AG142" i="3"/>
  <c r="AE142" i="4"/>
  <c r="AG142" i="4"/>
  <c r="AE142" i="5"/>
  <c r="AG142" i="5"/>
  <c r="AE142" i="6"/>
  <c r="AG142" i="6"/>
  <c r="AE142" i="7"/>
  <c r="AG142" i="7"/>
  <c r="AE142" i="8"/>
  <c r="AG142" i="8"/>
  <c r="AE142" i="9"/>
  <c r="AG142" i="9"/>
  <c r="AE142" i="10"/>
  <c r="AG142" i="10"/>
  <c r="AE142" i="11"/>
  <c r="AG142" i="11" s="1"/>
  <c r="AE142" i="12" s="1"/>
  <c r="AG142" i="12" s="1"/>
  <c r="AE142" i="13" s="1"/>
  <c r="AG142" i="13" s="1"/>
  <c r="AE143" i="3"/>
  <c r="AG143" i="3"/>
  <c r="AE143" i="4"/>
  <c r="AG143" i="4"/>
  <c r="AE143" i="5"/>
  <c r="AG143" i="5"/>
  <c r="AE143" i="6"/>
  <c r="AG143" i="6"/>
  <c r="AE143" i="7"/>
  <c r="AG143" i="7"/>
  <c r="AE143" i="8"/>
  <c r="AG143" i="8"/>
  <c r="AE143" i="9"/>
  <c r="AG143" i="9"/>
  <c r="AE143" i="10"/>
  <c r="AG143" i="10"/>
  <c r="AE143" i="11"/>
  <c r="AG143" i="11" s="1"/>
  <c r="AE150" i="3"/>
  <c r="AG150" i="3"/>
  <c r="AE150" i="4"/>
  <c r="AG150" i="4"/>
  <c r="AE150" i="5"/>
  <c r="AG150" i="5"/>
  <c r="AE150" i="6"/>
  <c r="AG150" i="6"/>
  <c r="AE150" i="7"/>
  <c r="AG150" i="7"/>
  <c r="AE150" i="8"/>
  <c r="AG150" i="8"/>
  <c r="AE150" i="9"/>
  <c r="AG150" i="9"/>
  <c r="AE150" i="10"/>
  <c r="AG150" i="10"/>
  <c r="AE150" i="11"/>
  <c r="AG150" i="11" s="1"/>
  <c r="AE151" i="3"/>
  <c r="AG151" i="3"/>
  <c r="AE151" i="4"/>
  <c r="AG151" i="4"/>
  <c r="AE151" i="5"/>
  <c r="AG151" i="5"/>
  <c r="AE151" i="6"/>
  <c r="AG151" i="6"/>
  <c r="AE151" i="7"/>
  <c r="AG151" i="7"/>
  <c r="AE151" i="8"/>
  <c r="AG151" i="8"/>
  <c r="AE151" i="9"/>
  <c r="AG151" i="9"/>
  <c r="AE151" i="10"/>
  <c r="AG151" i="10"/>
  <c r="AE151" i="11" s="1"/>
  <c r="AG151" i="11" s="1"/>
  <c r="AE151" i="12" s="1"/>
  <c r="AG151" i="12" s="1"/>
  <c r="AE151" i="13" s="1"/>
  <c r="AG151" i="13" s="1"/>
  <c r="AE152" i="3"/>
  <c r="AG152" i="3"/>
  <c r="AE152" i="4"/>
  <c r="AG152" i="4"/>
  <c r="AE152" i="5"/>
  <c r="AG152" i="5"/>
  <c r="AE152" i="6"/>
  <c r="AG152" i="6"/>
  <c r="AE152" i="7"/>
  <c r="AG152" i="7"/>
  <c r="AE152" i="8"/>
  <c r="AG152" i="8"/>
  <c r="AE152" i="9"/>
  <c r="AG152" i="9"/>
  <c r="AE152" i="10"/>
  <c r="AG152" i="10"/>
  <c r="AE152" i="11" s="1"/>
  <c r="AG152" i="11" s="1"/>
  <c r="AE152" i="12" s="1"/>
  <c r="AG152" i="12" s="1"/>
  <c r="AE152" i="13" s="1"/>
  <c r="AG152" i="13" s="1"/>
  <c r="AE153" i="3"/>
  <c r="AG153" i="3"/>
  <c r="AE153" i="4"/>
  <c r="AG153" i="4"/>
  <c r="AE153" i="5"/>
  <c r="AG153" i="5"/>
  <c r="AE153" i="6"/>
  <c r="AG153" i="6"/>
  <c r="AE153" i="7"/>
  <c r="AG153" i="7"/>
  <c r="AE153" i="8"/>
  <c r="AG153" i="8"/>
  <c r="AE153" i="9"/>
  <c r="AG153" i="9"/>
  <c r="AE153" i="10"/>
  <c r="AG153" i="10"/>
  <c r="AE153" i="11"/>
  <c r="AG153" i="11" s="1"/>
  <c r="AB115" i="3"/>
  <c r="AD115" i="3"/>
  <c r="AB115" i="4"/>
  <c r="AD115" i="4"/>
  <c r="AB115" i="5"/>
  <c r="AD115" i="5"/>
  <c r="AB115" i="6"/>
  <c r="AD115" i="6"/>
  <c r="AB115" i="7"/>
  <c r="AD115" i="7"/>
  <c r="AB115" i="8"/>
  <c r="AD115" i="8"/>
  <c r="AB115" i="9"/>
  <c r="AD115" i="9"/>
  <c r="AB115" i="10"/>
  <c r="AD115" i="10"/>
  <c r="AB115" i="11"/>
  <c r="AD115" i="11" s="1"/>
  <c r="AB115" i="12" s="1"/>
  <c r="AD115" i="12" s="1"/>
  <c r="AB115" i="13" s="1"/>
  <c r="AD115" i="13" s="1"/>
  <c r="AB116" i="3"/>
  <c r="AD116" i="3"/>
  <c r="AB116" i="4"/>
  <c r="AD116" i="4"/>
  <c r="AB116" i="5"/>
  <c r="AD116" i="5"/>
  <c r="AB116" i="6"/>
  <c r="AD116" i="6"/>
  <c r="AB116" i="7"/>
  <c r="AD116" i="7"/>
  <c r="AB116" i="8"/>
  <c r="AD116" i="8"/>
  <c r="AB116" i="9"/>
  <c r="AD116" i="9"/>
  <c r="AB116" i="10"/>
  <c r="AD116" i="10"/>
  <c r="AB116" i="11" s="1"/>
  <c r="AD116" i="11" s="1"/>
  <c r="AB116" i="12" s="1"/>
  <c r="AD116" i="12" s="1"/>
  <c r="AB116" i="13" s="1"/>
  <c r="AD116" i="13" s="1"/>
  <c r="AB117" i="3"/>
  <c r="AD117" i="3"/>
  <c r="AB117" i="4"/>
  <c r="AD117" i="4"/>
  <c r="AB117" i="5"/>
  <c r="AD117" i="5"/>
  <c r="AB117" i="6"/>
  <c r="AD117" i="6"/>
  <c r="AB117" i="7"/>
  <c r="AD117" i="7"/>
  <c r="AB117" i="8"/>
  <c r="AD117" i="8"/>
  <c r="AB117" i="9"/>
  <c r="AD117" i="9"/>
  <c r="AB117" i="10"/>
  <c r="AD117" i="10"/>
  <c r="AB117" i="11" s="1"/>
  <c r="AD117" i="11" s="1"/>
  <c r="AB118" i="3"/>
  <c r="AD118" i="3"/>
  <c r="AB118" i="4"/>
  <c r="AD118" i="4"/>
  <c r="AB118" i="5"/>
  <c r="AD118" i="5"/>
  <c r="AB118" i="6"/>
  <c r="AD118" i="6"/>
  <c r="AB118" i="7"/>
  <c r="AD118" i="7"/>
  <c r="AB118" i="8"/>
  <c r="AD118" i="8"/>
  <c r="AB118" i="9"/>
  <c r="AD118" i="9"/>
  <c r="AB118" i="10"/>
  <c r="AD118" i="10"/>
  <c r="AB118" i="11"/>
  <c r="AD118" i="11" s="1"/>
  <c r="AB118" i="12" s="1"/>
  <c r="AD118" i="12" s="1"/>
  <c r="AB118" i="13" s="1"/>
  <c r="AD118" i="13" s="1"/>
  <c r="AB119" i="3"/>
  <c r="AD119" i="3"/>
  <c r="AB119" i="4"/>
  <c r="AD119" i="4"/>
  <c r="AB119" i="5"/>
  <c r="AD119" i="5"/>
  <c r="AB119" i="6"/>
  <c r="AD119" i="6"/>
  <c r="AB119" i="7"/>
  <c r="AD119" i="7"/>
  <c r="AB119" i="8"/>
  <c r="AD119" i="8"/>
  <c r="AB119" i="9"/>
  <c r="AD119" i="9"/>
  <c r="AB119" i="10"/>
  <c r="AD119" i="10"/>
  <c r="AB119" i="11"/>
  <c r="AD119" i="11" s="1"/>
  <c r="AB119" i="12" s="1"/>
  <c r="AD119" i="12" s="1"/>
  <c r="AB119" i="13" s="1"/>
  <c r="AD119" i="13" s="1"/>
  <c r="AB120" i="3"/>
  <c r="AD120" i="3"/>
  <c r="AB120" i="4"/>
  <c r="AD120" i="4"/>
  <c r="AB120" i="5"/>
  <c r="AD120" i="5"/>
  <c r="AB120" i="6"/>
  <c r="AD120" i="6"/>
  <c r="AB120" i="7"/>
  <c r="AD120" i="7"/>
  <c r="AB120" i="8"/>
  <c r="AD120" i="8"/>
  <c r="AB120" i="9"/>
  <c r="AD120" i="9"/>
  <c r="AB120" i="10"/>
  <c r="AD120" i="10"/>
  <c r="AB120" i="11"/>
  <c r="AD120" i="11" s="1"/>
  <c r="AB120" i="12" s="1"/>
  <c r="AD120" i="12" s="1"/>
  <c r="AB120" i="13" s="1"/>
  <c r="AD120" i="13" s="1"/>
  <c r="AB121" i="3"/>
  <c r="AD121" i="3"/>
  <c r="AB121" i="4"/>
  <c r="AD121" i="4"/>
  <c r="AB121" i="5"/>
  <c r="AD121" i="5"/>
  <c r="AB121" i="6"/>
  <c r="AD121" i="6"/>
  <c r="AB121" i="7"/>
  <c r="AD121" i="7"/>
  <c r="AB121" i="8"/>
  <c r="AD121" i="8"/>
  <c r="AB121" i="9"/>
  <c r="AD121" i="9"/>
  <c r="AB121" i="10"/>
  <c r="AD121" i="10"/>
  <c r="AB121" i="11" s="1"/>
  <c r="AD121" i="11" s="1"/>
  <c r="AB121" i="12" s="1"/>
  <c r="AD121" i="12" s="1"/>
  <c r="AB121" i="13" s="1"/>
  <c r="AD121" i="13" s="1"/>
  <c r="AB124" i="3"/>
  <c r="AD124" i="3"/>
  <c r="AB124" i="4"/>
  <c r="AD124" i="4"/>
  <c r="AB124" i="5"/>
  <c r="AD124" i="5"/>
  <c r="AB124" i="6"/>
  <c r="AD124" i="6"/>
  <c r="AB124" i="7"/>
  <c r="AD124" i="7"/>
  <c r="AB124" i="8"/>
  <c r="AD124" i="8"/>
  <c r="AB124" i="9"/>
  <c r="AD124" i="9"/>
  <c r="AB124" i="10"/>
  <c r="AD124" i="10"/>
  <c r="AB124" i="11" s="1"/>
  <c r="AD124" i="11" s="1"/>
  <c r="AB124" i="12" s="1"/>
  <c r="AD124" i="12" s="1"/>
  <c r="AB124" i="13" s="1"/>
  <c r="AD124" i="13" s="1"/>
  <c r="AB125" i="3"/>
  <c r="AD125" i="3"/>
  <c r="AB125" i="4"/>
  <c r="AD125" i="4"/>
  <c r="AB125" i="5"/>
  <c r="AD125" i="5"/>
  <c r="AB125" i="6"/>
  <c r="AD125" i="6"/>
  <c r="AB125" i="7"/>
  <c r="AD125" i="7"/>
  <c r="AB125" i="8"/>
  <c r="AD125" i="8"/>
  <c r="AB125" i="9"/>
  <c r="AD125" i="9"/>
  <c r="AB125" i="10"/>
  <c r="AD125" i="10"/>
  <c r="AB125" i="11" s="1"/>
  <c r="AD125" i="11" s="1"/>
  <c r="AB125" i="12" s="1"/>
  <c r="AD125" i="12" s="1"/>
  <c r="AB125" i="13" s="1"/>
  <c r="AD125" i="13" s="1"/>
  <c r="AB126" i="3"/>
  <c r="AD126" i="3"/>
  <c r="AB126" i="4"/>
  <c r="AD126" i="4"/>
  <c r="AB126" i="5"/>
  <c r="AD126" i="5"/>
  <c r="AB126" i="6"/>
  <c r="AD126" i="6"/>
  <c r="AB126" i="7"/>
  <c r="AD126" i="7"/>
  <c r="AB126" i="8"/>
  <c r="AD126" i="8"/>
  <c r="AB126" i="9"/>
  <c r="AD126" i="9"/>
  <c r="AB126" i="10"/>
  <c r="AD126" i="10"/>
  <c r="AB126" i="11" s="1"/>
  <c r="AD126" i="11" s="1"/>
  <c r="AB126" i="12" s="1"/>
  <c r="AD126" i="12" s="1"/>
  <c r="AB126" i="13" s="1"/>
  <c r="AD126" i="13" s="1"/>
  <c r="AB127" i="3"/>
  <c r="AD127" i="3"/>
  <c r="AB127" i="4"/>
  <c r="AD127" i="4"/>
  <c r="AB127" i="5"/>
  <c r="AD127" i="5"/>
  <c r="AB127" i="6"/>
  <c r="AD127" i="6"/>
  <c r="AB127" i="7"/>
  <c r="AD127" i="7"/>
  <c r="AB127" i="8"/>
  <c r="AD127" i="8"/>
  <c r="AB127" i="9"/>
  <c r="AD127" i="9"/>
  <c r="AB127" i="10"/>
  <c r="AD127" i="10"/>
  <c r="AB127" i="11"/>
  <c r="AD127" i="11" s="1"/>
  <c r="AB127" i="12" s="1"/>
  <c r="AD127" i="12" s="1"/>
  <c r="AB127" i="13" s="1"/>
  <c r="AD127" i="13" s="1"/>
  <c r="AB128" i="3"/>
  <c r="AD128" i="3"/>
  <c r="AB128" i="4"/>
  <c r="AD128" i="4"/>
  <c r="AB128" i="5"/>
  <c r="AD128" i="5"/>
  <c r="AB128" i="6"/>
  <c r="AD128" i="6"/>
  <c r="AB128" i="7"/>
  <c r="AD128" i="7"/>
  <c r="AB128" i="8"/>
  <c r="AD128" i="8"/>
  <c r="AB128" i="9"/>
  <c r="AD128" i="9"/>
  <c r="AB128" i="10"/>
  <c r="AD128" i="10"/>
  <c r="AB128" i="11" s="1"/>
  <c r="AD128" i="11" s="1"/>
  <c r="AB128" i="12" s="1"/>
  <c r="AD128" i="12" s="1"/>
  <c r="AB128" i="13" s="1"/>
  <c r="AD128" i="13" s="1"/>
  <c r="AB129" i="3"/>
  <c r="AD129" i="3"/>
  <c r="AB129" i="4"/>
  <c r="AD129" i="4"/>
  <c r="AB129" i="5"/>
  <c r="AD129" i="5"/>
  <c r="AB129" i="6"/>
  <c r="AD129" i="6"/>
  <c r="AB129" i="7"/>
  <c r="AD129" i="7"/>
  <c r="AB129" i="8"/>
  <c r="AD129" i="8"/>
  <c r="AB129" i="9"/>
  <c r="AD129" i="9"/>
  <c r="AB129" i="10"/>
  <c r="AD129" i="10"/>
  <c r="AB129" i="11"/>
  <c r="AD129" i="11" s="1"/>
  <c r="AB129" i="12" s="1"/>
  <c r="AD129" i="12" s="1"/>
  <c r="AB129" i="13" s="1"/>
  <c r="AD129" i="13" s="1"/>
  <c r="AB130" i="3"/>
  <c r="AD130" i="3"/>
  <c r="AB130" i="4"/>
  <c r="AD130" i="4"/>
  <c r="AB130" i="5"/>
  <c r="AD130" i="5"/>
  <c r="AB130" i="6"/>
  <c r="AD130" i="6"/>
  <c r="AB130" i="7"/>
  <c r="AD130" i="7"/>
  <c r="AB130" i="8"/>
  <c r="AD130" i="8"/>
  <c r="AB130" i="9"/>
  <c r="AD130" i="9"/>
  <c r="AB130" i="10"/>
  <c r="AD130" i="10"/>
  <c r="AB130" i="11"/>
  <c r="AD130" i="11" s="1"/>
  <c r="AB130" i="12" s="1"/>
  <c r="AD130" i="12" s="1"/>
  <c r="AB130" i="13" s="1"/>
  <c r="AD130" i="13" s="1"/>
  <c r="AB131" i="3"/>
  <c r="AD131" i="3"/>
  <c r="AB131" i="4"/>
  <c r="AD131" i="4"/>
  <c r="AB131" i="5"/>
  <c r="AD131" i="5"/>
  <c r="AB131" i="6"/>
  <c r="AD131" i="6"/>
  <c r="AB131" i="7"/>
  <c r="AD131" i="7"/>
  <c r="AB131" i="8"/>
  <c r="AD131" i="8"/>
  <c r="AB131" i="9"/>
  <c r="AD131" i="9"/>
  <c r="AB131" i="10"/>
  <c r="AD131" i="10"/>
  <c r="AB131" i="11"/>
  <c r="AD131" i="11" s="1"/>
  <c r="AB132" i="3"/>
  <c r="AD132" i="3"/>
  <c r="AB132" i="4"/>
  <c r="AD132" i="4"/>
  <c r="AB132" i="5"/>
  <c r="AD132" i="5"/>
  <c r="AB132" i="6"/>
  <c r="AD132" i="6"/>
  <c r="AB132" i="7"/>
  <c r="AD132" i="7"/>
  <c r="AB132" i="8"/>
  <c r="AD132" i="8"/>
  <c r="AB132" i="9"/>
  <c r="AD132" i="9"/>
  <c r="AB132" i="10"/>
  <c r="AD132" i="10"/>
  <c r="AB132" i="11"/>
  <c r="AD132" i="11" s="1"/>
  <c r="AB132" i="12" s="1"/>
  <c r="AD132" i="12" s="1"/>
  <c r="AB132" i="13" s="1"/>
  <c r="AD132" i="13" s="1"/>
  <c r="AB133" i="3"/>
  <c r="AD133" i="3"/>
  <c r="AB133" i="4"/>
  <c r="AD133" i="4"/>
  <c r="AB133" i="5"/>
  <c r="AD133" i="5"/>
  <c r="AB133" i="6"/>
  <c r="AD133" i="6"/>
  <c r="AB133" i="7"/>
  <c r="AD133" i="7"/>
  <c r="AB133" i="8"/>
  <c r="AD133" i="8"/>
  <c r="AB133" i="9"/>
  <c r="AD133" i="9"/>
  <c r="AB133" i="10"/>
  <c r="AD133" i="10"/>
  <c r="AB133" i="11" s="1"/>
  <c r="AD133" i="11"/>
  <c r="AB133" i="12" s="1"/>
  <c r="AD133" i="12" s="1"/>
  <c r="AB133" i="13" s="1"/>
  <c r="AD133" i="13" s="1"/>
  <c r="AB134" i="3"/>
  <c r="AD134" i="3"/>
  <c r="AB134" i="4"/>
  <c r="AD134" i="4"/>
  <c r="AB134" i="5"/>
  <c r="AD134" i="5"/>
  <c r="AB134" i="6"/>
  <c r="AD134" i="6"/>
  <c r="AB134" i="7"/>
  <c r="AD134" i="7"/>
  <c r="AB134" i="8"/>
  <c r="AD134" i="8"/>
  <c r="AB134" i="9"/>
  <c r="AD134" i="9"/>
  <c r="AB134" i="10"/>
  <c r="AD134" i="10"/>
  <c r="AB134" i="11" s="1"/>
  <c r="AD134" i="11" s="1"/>
  <c r="AB134" i="12" s="1"/>
  <c r="AD134" i="12" s="1"/>
  <c r="AB134" i="13" s="1"/>
  <c r="AD134" i="13" s="1"/>
  <c r="AB135" i="3"/>
  <c r="AD135" i="3"/>
  <c r="AB135" i="4"/>
  <c r="AD135" i="4"/>
  <c r="AB135" i="5"/>
  <c r="AD135" i="5"/>
  <c r="AB135" i="6"/>
  <c r="AD135" i="6"/>
  <c r="AB135" i="7"/>
  <c r="AD135" i="7"/>
  <c r="AB135" i="8"/>
  <c r="AD135" i="8"/>
  <c r="AB135" i="9"/>
  <c r="AD135" i="9"/>
  <c r="AB135" i="10"/>
  <c r="AD135" i="10"/>
  <c r="AB135" i="11" s="1"/>
  <c r="AD135" i="11" s="1"/>
  <c r="AB135" i="12" s="1"/>
  <c r="AD135" i="12" s="1"/>
  <c r="AB135" i="13" s="1"/>
  <c r="AD135" i="13" s="1"/>
  <c r="AB136" i="3"/>
  <c r="AD136" i="3"/>
  <c r="AB136" i="4"/>
  <c r="AD136" i="4"/>
  <c r="AB136" i="5"/>
  <c r="AD136" i="5"/>
  <c r="AB136" i="6"/>
  <c r="AD136" i="6"/>
  <c r="AB136" i="7"/>
  <c r="AD136" i="7"/>
  <c r="AB136" i="8"/>
  <c r="AD136" i="8"/>
  <c r="AB136" i="9"/>
  <c r="AD136" i="9"/>
  <c r="AB136" i="10"/>
  <c r="AD136" i="10"/>
  <c r="AB136" i="11"/>
  <c r="AD136" i="11" s="1"/>
  <c r="AB136" i="12" s="1"/>
  <c r="AD136" i="12" s="1"/>
  <c r="AB136" i="13" s="1"/>
  <c r="AD136" i="13" s="1"/>
  <c r="AB137" i="3"/>
  <c r="AD137" i="3"/>
  <c r="AB137" i="4"/>
  <c r="AD137" i="4"/>
  <c r="AB137" i="5"/>
  <c r="AD137" i="5"/>
  <c r="AB137" i="6"/>
  <c r="AD137" i="6"/>
  <c r="AB137" i="7"/>
  <c r="AD137" i="7"/>
  <c r="AB137" i="8"/>
  <c r="AD137" i="8"/>
  <c r="AB137" i="9"/>
  <c r="AD137" i="9"/>
  <c r="AB137" i="10"/>
  <c r="AD137" i="10"/>
  <c r="AB137" i="11"/>
  <c r="AD137" i="11" s="1"/>
  <c r="AB137" i="12" s="1"/>
  <c r="AD137" i="12" s="1"/>
  <c r="AB137" i="13" s="1"/>
  <c r="AD137" i="13" s="1"/>
  <c r="AB138" i="3"/>
  <c r="AD138" i="3"/>
  <c r="AB138" i="4"/>
  <c r="AD138" i="4"/>
  <c r="AB138" i="5"/>
  <c r="AD138" i="5"/>
  <c r="AB138" i="6"/>
  <c r="AD138" i="6"/>
  <c r="AB138" i="7"/>
  <c r="AD138" i="7"/>
  <c r="AB138" i="8"/>
  <c r="AD138" i="8"/>
  <c r="AB138" i="9"/>
  <c r="AD138" i="9"/>
  <c r="AB138" i="10"/>
  <c r="AD138" i="10"/>
  <c r="AB138" i="11" s="1"/>
  <c r="AD138" i="11"/>
  <c r="AB138" i="12" s="1"/>
  <c r="AD138" i="12" s="1"/>
  <c r="AB138" i="13" s="1"/>
  <c r="AD138" i="13" s="1"/>
  <c r="AB139" i="3"/>
  <c r="AD139" i="3"/>
  <c r="AB139" i="4"/>
  <c r="AD139" i="4"/>
  <c r="AB139" i="5"/>
  <c r="AD139" i="5"/>
  <c r="AB139" i="6"/>
  <c r="AD139" i="6"/>
  <c r="AB139" i="7"/>
  <c r="AD139" i="7"/>
  <c r="AB139" i="8"/>
  <c r="AD139" i="8"/>
  <c r="AB139" i="9"/>
  <c r="AD139" i="9"/>
  <c r="AB139" i="10"/>
  <c r="AD139" i="10"/>
  <c r="AB139" i="11" s="1"/>
  <c r="AD139" i="11" s="1"/>
  <c r="AB139" i="12" s="1"/>
  <c r="AD139" i="12" s="1"/>
  <c r="AB139" i="13" s="1"/>
  <c r="AD139" i="13" s="1"/>
  <c r="AB142" i="3"/>
  <c r="AD142" i="3"/>
  <c r="AB142" i="4"/>
  <c r="AD142" i="4"/>
  <c r="AB142" i="5"/>
  <c r="AD142" i="5"/>
  <c r="AB142" i="6"/>
  <c r="AD142" i="6"/>
  <c r="AB142" i="7"/>
  <c r="AD142" i="7"/>
  <c r="AB142" i="8"/>
  <c r="AD142" i="8"/>
  <c r="AB142" i="9"/>
  <c r="AD142" i="9"/>
  <c r="AB142" i="10"/>
  <c r="AD142" i="10"/>
  <c r="AB142" i="11"/>
  <c r="AD142" i="11" s="1"/>
  <c r="AB142" i="12" s="1"/>
  <c r="AD142" i="12" s="1"/>
  <c r="AB142" i="13" s="1"/>
  <c r="AD142" i="13" s="1"/>
  <c r="AB143" i="3"/>
  <c r="AD143" i="3"/>
  <c r="AB143" i="4"/>
  <c r="AD143" i="4"/>
  <c r="AB143" i="5"/>
  <c r="AD143" i="5"/>
  <c r="AB143" i="6"/>
  <c r="AD143" i="6"/>
  <c r="AB143" i="7"/>
  <c r="AD143" i="7"/>
  <c r="AB143" i="8"/>
  <c r="AD143" i="8"/>
  <c r="AB143" i="9"/>
  <c r="AD143" i="9"/>
  <c r="AB143" i="10"/>
  <c r="AD143" i="10"/>
  <c r="AB143" i="11"/>
  <c r="AD143" i="11" s="1"/>
  <c r="AB148" i="3"/>
  <c r="AD148" i="3"/>
  <c r="AB148" i="4"/>
  <c r="AD148" i="4"/>
  <c r="AB148" i="5"/>
  <c r="AD148" i="5"/>
  <c r="AB148" i="6"/>
  <c r="AD148" i="6"/>
  <c r="AB148" i="7"/>
  <c r="AD148" i="7"/>
  <c r="AB148" i="8"/>
  <c r="AD148" i="8"/>
  <c r="AB148" i="9"/>
  <c r="AD148" i="9"/>
  <c r="AB148" i="10"/>
  <c r="AD148" i="10"/>
  <c r="AB148" i="11" s="1"/>
  <c r="AD148" i="11" s="1"/>
  <c r="AB148" i="12" s="1"/>
  <c r="AD148" i="12" s="1"/>
  <c r="AB148" i="13" s="1"/>
  <c r="AD148" i="13" s="1"/>
  <c r="AB150" i="3"/>
  <c r="AD150" i="3"/>
  <c r="AB150" i="4"/>
  <c r="AD150" i="4"/>
  <c r="AB150" i="5"/>
  <c r="AD150" i="5"/>
  <c r="AB150" i="6"/>
  <c r="AD150" i="6"/>
  <c r="AB150" i="7"/>
  <c r="AD150" i="7"/>
  <c r="AB150" i="8"/>
  <c r="AD150" i="8"/>
  <c r="AB150" i="9"/>
  <c r="AD150" i="9"/>
  <c r="AB150" i="10"/>
  <c r="AD150" i="10"/>
  <c r="AB150" i="11" s="1"/>
  <c r="AD150" i="11" s="1"/>
  <c r="AB150" i="12" s="1"/>
  <c r="AD150" i="12" s="1"/>
  <c r="AB150" i="13" s="1"/>
  <c r="AD150" i="13" s="1"/>
  <c r="AB151" i="3"/>
  <c r="AD151" i="3"/>
  <c r="AB151" i="4"/>
  <c r="AD151" i="4"/>
  <c r="AB151" i="5"/>
  <c r="AD151" i="5"/>
  <c r="AB151" i="6"/>
  <c r="AD151" i="6"/>
  <c r="AB151" i="7"/>
  <c r="AD151" i="7"/>
  <c r="AB151" i="8"/>
  <c r="AD151" i="8"/>
  <c r="AB151" i="9"/>
  <c r="AD151" i="9"/>
  <c r="AB151" i="10"/>
  <c r="AD151" i="10"/>
  <c r="AB151" i="11"/>
  <c r="AD151" i="11" s="1"/>
  <c r="AB152" i="3"/>
  <c r="AD152" i="3"/>
  <c r="AB152" i="4"/>
  <c r="AD152" i="4"/>
  <c r="AB152" i="5"/>
  <c r="AD152" i="5"/>
  <c r="AB152" i="6"/>
  <c r="AD152" i="6"/>
  <c r="AB152" i="7"/>
  <c r="AD152" i="7"/>
  <c r="AB152" i="8"/>
  <c r="AD152" i="8"/>
  <c r="AB152" i="9"/>
  <c r="AD152" i="9"/>
  <c r="AB152" i="10"/>
  <c r="AD152" i="10"/>
  <c r="AB152" i="11" s="1"/>
  <c r="AD152" i="11" s="1"/>
  <c r="AB152" i="12" s="1"/>
  <c r="AD152" i="12" s="1"/>
  <c r="AB152" i="13" s="1"/>
  <c r="AD152" i="13" s="1"/>
  <c r="AB153" i="3"/>
  <c r="AD153" i="3"/>
  <c r="AB153" i="4"/>
  <c r="AD153" i="4"/>
  <c r="AB153" i="5"/>
  <c r="AD153" i="5"/>
  <c r="AB153" i="6"/>
  <c r="AD153" i="6"/>
  <c r="AB153" i="7"/>
  <c r="AD153" i="7"/>
  <c r="AB153" i="8"/>
  <c r="AD153" i="8"/>
  <c r="AB153" i="9"/>
  <c r="AD153" i="9"/>
  <c r="AB153" i="10"/>
  <c r="AD153" i="10"/>
  <c r="AB153" i="11" s="1"/>
  <c r="AD153" i="11" s="1"/>
  <c r="AB153" i="12" s="1"/>
  <c r="AD153" i="12" s="1"/>
  <c r="AB153" i="13" s="1"/>
  <c r="AD153" i="13" s="1"/>
  <c r="AB17" i="3"/>
  <c r="AD17" i="3"/>
  <c r="AB17" i="4"/>
  <c r="AD17" i="4"/>
  <c r="AB17" i="5"/>
  <c r="AD17" i="5"/>
  <c r="AB17" i="6"/>
  <c r="AD17" i="6"/>
  <c r="AB17" i="7"/>
  <c r="AD17" i="7"/>
  <c r="AB17" i="8"/>
  <c r="AD17" i="8"/>
  <c r="AB17" i="9"/>
  <c r="AD17" i="9"/>
  <c r="AB17" i="10"/>
  <c r="AD17" i="10"/>
  <c r="AB17" i="11" s="1"/>
  <c r="AD17" i="11" s="1"/>
  <c r="AB17" i="12" s="1"/>
  <c r="AD17" i="12" s="1"/>
  <c r="AB17" i="13" s="1"/>
  <c r="AD17" i="13" s="1"/>
  <c r="AB18" i="3"/>
  <c r="AD18" i="3"/>
  <c r="AB18" i="4"/>
  <c r="AD18" i="4"/>
  <c r="AB18" i="5"/>
  <c r="AD18" i="5"/>
  <c r="AB18" i="6"/>
  <c r="AD18" i="6"/>
  <c r="AB18" i="7"/>
  <c r="AD18" i="7"/>
  <c r="AB18" i="8"/>
  <c r="AD18" i="8"/>
  <c r="AB18" i="9"/>
  <c r="AD18" i="9"/>
  <c r="AB18" i="10"/>
  <c r="AD18" i="10"/>
  <c r="AB18" i="11" s="1"/>
  <c r="AD18" i="11" s="1"/>
  <c r="AB18" i="12" s="1"/>
  <c r="AD18" i="12" s="1"/>
  <c r="AB18" i="13" s="1"/>
  <c r="AD18" i="13" s="1"/>
  <c r="AB19" i="3"/>
  <c r="AD19" i="3"/>
  <c r="AB19" i="4"/>
  <c r="AD19" i="4"/>
  <c r="AB19" i="5"/>
  <c r="AD19" i="5"/>
  <c r="AB19" i="6"/>
  <c r="AD19" i="6"/>
  <c r="AB19" i="7"/>
  <c r="AD19" i="7"/>
  <c r="AB19" i="8"/>
  <c r="AD19" i="8"/>
  <c r="AB19" i="9"/>
  <c r="AD19" i="9"/>
  <c r="AB19" i="10"/>
  <c r="AD19" i="10"/>
  <c r="AB19" i="11" s="1"/>
  <c r="AD19" i="11" s="1"/>
  <c r="AB19" i="12" s="1"/>
  <c r="AD19" i="12" s="1"/>
  <c r="AB19" i="13" s="1"/>
  <c r="AD19" i="13" s="1"/>
  <c r="AB21" i="3"/>
  <c r="AD21" i="3"/>
  <c r="AB21" i="4"/>
  <c r="AD21" i="4"/>
  <c r="AB21" i="5"/>
  <c r="AD21" i="5"/>
  <c r="AB21" i="6"/>
  <c r="AD21" i="6"/>
  <c r="AB21" i="7"/>
  <c r="AD21" i="7"/>
  <c r="AB21" i="8"/>
  <c r="AD21" i="8"/>
  <c r="AB21" i="9"/>
  <c r="AD21" i="9"/>
  <c r="AB21" i="10"/>
  <c r="AD21" i="10"/>
  <c r="AB21" i="11" s="1"/>
  <c r="AD21" i="11" s="1"/>
  <c r="AB21" i="12" s="1"/>
  <c r="AD21" i="12" s="1"/>
  <c r="AB21" i="13" s="1"/>
  <c r="AD21" i="13" s="1"/>
  <c r="AB22" i="3"/>
  <c r="AD22" i="3"/>
  <c r="AB22" i="4"/>
  <c r="AD22" i="4"/>
  <c r="AB22" i="5"/>
  <c r="AD22" i="5"/>
  <c r="AB22" i="6"/>
  <c r="AD22" i="6"/>
  <c r="AB22" i="7"/>
  <c r="AD22" i="7"/>
  <c r="AB22" i="8"/>
  <c r="AD22" i="8"/>
  <c r="AB22" i="9"/>
  <c r="AD22" i="9"/>
  <c r="AB22" i="10"/>
  <c r="AD22" i="10"/>
  <c r="AB22" i="11"/>
  <c r="AD22" i="11" s="1"/>
  <c r="AB22" i="12" s="1"/>
  <c r="AD22" i="12" s="1"/>
  <c r="AB22" i="13" s="1"/>
  <c r="AD22" i="13" s="1"/>
  <c r="AB23" i="3"/>
  <c r="AD23" i="3"/>
  <c r="AB23" i="4"/>
  <c r="AD23" i="4"/>
  <c r="AB23" i="5"/>
  <c r="AD23" i="5"/>
  <c r="AB23" i="6"/>
  <c r="AD23" i="6"/>
  <c r="AB23" i="7"/>
  <c r="AD23" i="7"/>
  <c r="AB23" i="8"/>
  <c r="AD23" i="8"/>
  <c r="AB23" i="9"/>
  <c r="AD23" i="9"/>
  <c r="AB23" i="10"/>
  <c r="AD23" i="10"/>
  <c r="AB23" i="11" s="1"/>
  <c r="AD23" i="11" s="1"/>
  <c r="AB23" i="12" s="1"/>
  <c r="AD23" i="12" s="1"/>
  <c r="AB23" i="13" s="1"/>
  <c r="AD23" i="13" s="1"/>
  <c r="AB24" i="3"/>
  <c r="AD24" i="3"/>
  <c r="AB24" i="4"/>
  <c r="AD24" i="4"/>
  <c r="AB24" i="5"/>
  <c r="AD24" i="5"/>
  <c r="AB24" i="6"/>
  <c r="AD24" i="6"/>
  <c r="AB24" i="7"/>
  <c r="AD24" i="7"/>
  <c r="AB24" i="8"/>
  <c r="AD24" i="8"/>
  <c r="AB24" i="9"/>
  <c r="AD24" i="9"/>
  <c r="AB24" i="10"/>
  <c r="AD24" i="10"/>
  <c r="AB24" i="11"/>
  <c r="AD24" i="11" s="1"/>
  <c r="AB24" i="12" s="1"/>
  <c r="AD24" i="12" s="1"/>
  <c r="AB24" i="13" s="1"/>
  <c r="AD24" i="13" s="1"/>
  <c r="AB25" i="3"/>
  <c r="AD25" i="3"/>
  <c r="AB25" i="4"/>
  <c r="AD25" i="4"/>
  <c r="AB25" i="5"/>
  <c r="AD25" i="5"/>
  <c r="AB25" i="6"/>
  <c r="AD25" i="6"/>
  <c r="AB25" i="7"/>
  <c r="AD25" i="7"/>
  <c r="AB25" i="8"/>
  <c r="AD25" i="8"/>
  <c r="AB25" i="9"/>
  <c r="AD25" i="9"/>
  <c r="AB25" i="10"/>
  <c r="AD25" i="10"/>
  <c r="AB25" i="11"/>
  <c r="AD25" i="11" s="1"/>
  <c r="AB25" i="12" s="1"/>
  <c r="AD25" i="12" s="1"/>
  <c r="AB25" i="13" s="1"/>
  <c r="AD25" i="13" s="1"/>
  <c r="AB26" i="3"/>
  <c r="AD26" i="3"/>
  <c r="AB26" i="4"/>
  <c r="AD26" i="4"/>
  <c r="AB26" i="5"/>
  <c r="AD26" i="5"/>
  <c r="AB26" i="6"/>
  <c r="AD26" i="6"/>
  <c r="AB26" i="7"/>
  <c r="AD26" i="7"/>
  <c r="AB26" i="8"/>
  <c r="AD26" i="8"/>
  <c r="AB26" i="9"/>
  <c r="AD26" i="9"/>
  <c r="AB26" i="10"/>
  <c r="AD26" i="10"/>
  <c r="AB26" i="11" s="1"/>
  <c r="AD26" i="11" s="1"/>
  <c r="AB26" i="12" s="1"/>
  <c r="AD26" i="12" s="1"/>
  <c r="AB26" i="13" s="1"/>
  <c r="AD26" i="13" s="1"/>
  <c r="AB27" i="3"/>
  <c r="AD27" i="3"/>
  <c r="AB27" i="4"/>
  <c r="AD27" i="4"/>
  <c r="AB27" i="5"/>
  <c r="AD27" i="5"/>
  <c r="AB27" i="6"/>
  <c r="AD27" i="6"/>
  <c r="AB27" i="7"/>
  <c r="AD27" i="7"/>
  <c r="AB27" i="8"/>
  <c r="AD27" i="8"/>
  <c r="AB27" i="9"/>
  <c r="AD27" i="9"/>
  <c r="AB27" i="10"/>
  <c r="AD27" i="10"/>
  <c r="AB27" i="11" s="1"/>
  <c r="AD27" i="11" s="1"/>
  <c r="AB27" i="12" s="1"/>
  <c r="AD27" i="12" s="1"/>
  <c r="AB27" i="13" s="1"/>
  <c r="AD27" i="13" s="1"/>
  <c r="AB28" i="3"/>
  <c r="AD28" i="3"/>
  <c r="AB28" i="4"/>
  <c r="AD28" i="4"/>
  <c r="AB28" i="5"/>
  <c r="AD28" i="5"/>
  <c r="AB28" i="6"/>
  <c r="AD28" i="6"/>
  <c r="AB28" i="7"/>
  <c r="AD28" i="7"/>
  <c r="AB28" i="8"/>
  <c r="AD28" i="8"/>
  <c r="AB28" i="9"/>
  <c r="AD28" i="9"/>
  <c r="AB28" i="10"/>
  <c r="AD28" i="10"/>
  <c r="AB28" i="11" s="1"/>
  <c r="AD28" i="11" s="1"/>
  <c r="AB28" i="12" s="1"/>
  <c r="AD28" i="12" s="1"/>
  <c r="AB28" i="13" s="1"/>
  <c r="AD28" i="13" s="1"/>
  <c r="AB29" i="3"/>
  <c r="AD29" i="3"/>
  <c r="AB29" i="4"/>
  <c r="AD29" i="4"/>
  <c r="AB29" i="5"/>
  <c r="AD29" i="5"/>
  <c r="AB29" i="6"/>
  <c r="AD29" i="6"/>
  <c r="AB29" i="7"/>
  <c r="AD29" i="7"/>
  <c r="AB29" i="8"/>
  <c r="AD29" i="8"/>
  <c r="AB29" i="9"/>
  <c r="AD29" i="9"/>
  <c r="AB29" i="10"/>
  <c r="AD29" i="10"/>
  <c r="AB29" i="11" s="1"/>
  <c r="AD29" i="11" s="1"/>
  <c r="AB29" i="12" s="1"/>
  <c r="AD29" i="12" s="1"/>
  <c r="AB29" i="13" s="1"/>
  <c r="AD29" i="13" s="1"/>
  <c r="AB30" i="3"/>
  <c r="AD30" i="3"/>
  <c r="AB30" i="4"/>
  <c r="AD30" i="4"/>
  <c r="AB30" i="5"/>
  <c r="AD30" i="5"/>
  <c r="AB30" i="6"/>
  <c r="AD30" i="6"/>
  <c r="AB30" i="7"/>
  <c r="AD30" i="7"/>
  <c r="AB30" i="8"/>
  <c r="AD30" i="8"/>
  <c r="AB30" i="9"/>
  <c r="AD30" i="9"/>
  <c r="AB30" i="10"/>
  <c r="AD30" i="10"/>
  <c r="AB30" i="11" s="1"/>
  <c r="AD30" i="11" s="1"/>
  <c r="AB30" i="12" s="1"/>
  <c r="AD30" i="12" s="1"/>
  <c r="AB30" i="13" s="1"/>
  <c r="AD30" i="13" s="1"/>
  <c r="AB31" i="3"/>
  <c r="AD31" i="3"/>
  <c r="AB31" i="4"/>
  <c r="AD31" i="4"/>
  <c r="AB31" i="5"/>
  <c r="AD31" i="5"/>
  <c r="AB31" i="6"/>
  <c r="AD31" i="6"/>
  <c r="AB31" i="7"/>
  <c r="AD31" i="7"/>
  <c r="AB31" i="8"/>
  <c r="AD31" i="8"/>
  <c r="AB31" i="9"/>
  <c r="AD31" i="9"/>
  <c r="AB31" i="10"/>
  <c r="AD31" i="10"/>
  <c r="AB31" i="11" s="1"/>
  <c r="AD31" i="11"/>
  <c r="AB31" i="12" s="1"/>
  <c r="AD31" i="12" s="1"/>
  <c r="AB31" i="13" s="1"/>
  <c r="AD31" i="13" s="1"/>
  <c r="AB32" i="3"/>
  <c r="AD32" i="3"/>
  <c r="AB32" i="4"/>
  <c r="AD32" i="4"/>
  <c r="AB32" i="5"/>
  <c r="AD32" i="5"/>
  <c r="AB32" i="6"/>
  <c r="AD32" i="6"/>
  <c r="AB32" i="7"/>
  <c r="AD32" i="7"/>
  <c r="AB32" i="8"/>
  <c r="AD32" i="8"/>
  <c r="AB32" i="9"/>
  <c r="AD32" i="9"/>
  <c r="AB32" i="10"/>
  <c r="AD32" i="10"/>
  <c r="AB32" i="11"/>
  <c r="AD32" i="11" s="1"/>
  <c r="AB32" i="12" s="1"/>
  <c r="AD32" i="12" s="1"/>
  <c r="AB32" i="13" s="1"/>
  <c r="AD32" i="13" s="1"/>
  <c r="AB33" i="3"/>
  <c r="AD33" i="3"/>
  <c r="AB33" i="4"/>
  <c r="AD33" i="4"/>
  <c r="AB33" i="5"/>
  <c r="AD33" i="5"/>
  <c r="AB33" i="6"/>
  <c r="AD33" i="6"/>
  <c r="AB33" i="7"/>
  <c r="AD33" i="7"/>
  <c r="AB33" i="8"/>
  <c r="AD33" i="8"/>
  <c r="AB33" i="9"/>
  <c r="AD33" i="9"/>
  <c r="AB33" i="10"/>
  <c r="AD33" i="10"/>
  <c r="AB33" i="11" s="1"/>
  <c r="AD33" i="11" s="1"/>
  <c r="AB33" i="12" s="1"/>
  <c r="AD33" i="12" s="1"/>
  <c r="AB33" i="13" s="1"/>
  <c r="AD33" i="13" s="1"/>
  <c r="AB36" i="3"/>
  <c r="AD36" i="3"/>
  <c r="AB36" i="4"/>
  <c r="AD36" i="4"/>
  <c r="AB36" i="5"/>
  <c r="AD36" i="5"/>
  <c r="AB36" i="6"/>
  <c r="AD36" i="6"/>
  <c r="AB36" i="7"/>
  <c r="AD36" i="7"/>
  <c r="AB36" i="8"/>
  <c r="AD36" i="8"/>
  <c r="AB36" i="9"/>
  <c r="AD36" i="9"/>
  <c r="AB36" i="10"/>
  <c r="AD36" i="10"/>
  <c r="AB36" i="11" s="1"/>
  <c r="AD36" i="11" s="1"/>
  <c r="AB36" i="12" s="1"/>
  <c r="AD36" i="12" s="1"/>
  <c r="AB36" i="13" s="1"/>
  <c r="AD36" i="13" s="1"/>
  <c r="AB37" i="3"/>
  <c r="AD37" i="3"/>
  <c r="AB37" i="4"/>
  <c r="AD37" i="4"/>
  <c r="AB37" i="5"/>
  <c r="AD37" i="5"/>
  <c r="AB37" i="6"/>
  <c r="AD37" i="6"/>
  <c r="AB37" i="7"/>
  <c r="AD37" i="7"/>
  <c r="AB37" i="8"/>
  <c r="AD37" i="8"/>
  <c r="AB37" i="9"/>
  <c r="AD37" i="9"/>
  <c r="AB37" i="10"/>
  <c r="AD37" i="10"/>
  <c r="AB37" i="11" s="1"/>
  <c r="AD37" i="11" s="1"/>
  <c r="AB37" i="12" s="1"/>
  <c r="AD37" i="12" s="1"/>
  <c r="AB37" i="13" s="1"/>
  <c r="AD37" i="13" s="1"/>
  <c r="AB38" i="3"/>
  <c r="AD38" i="3"/>
  <c r="AB38" i="4"/>
  <c r="AD38" i="4"/>
  <c r="AB38" i="5"/>
  <c r="AD38" i="5"/>
  <c r="AB38" i="6"/>
  <c r="AD38" i="6"/>
  <c r="AB38" i="7"/>
  <c r="AD38" i="7"/>
  <c r="AB38" i="8"/>
  <c r="AD38" i="8"/>
  <c r="AB38" i="9"/>
  <c r="AD38" i="9"/>
  <c r="AB38" i="10"/>
  <c r="AD38" i="10"/>
  <c r="AB38" i="11" s="1"/>
  <c r="AD38" i="11" s="1"/>
  <c r="AB38" i="12" s="1"/>
  <c r="AD38" i="12" s="1"/>
  <c r="AB38" i="13" s="1"/>
  <c r="AD38" i="13" s="1"/>
  <c r="AB39" i="3"/>
  <c r="AD39" i="3"/>
  <c r="AB39" i="4"/>
  <c r="AD39" i="4"/>
  <c r="AB39" i="5"/>
  <c r="AD39" i="5"/>
  <c r="AB39" i="6"/>
  <c r="AD39" i="6"/>
  <c r="AB39" i="7"/>
  <c r="AD39" i="7"/>
  <c r="AB39" i="8"/>
  <c r="AD39" i="8"/>
  <c r="AB39" i="9"/>
  <c r="AD39" i="9"/>
  <c r="AB39" i="10"/>
  <c r="AD39" i="10"/>
  <c r="AB39" i="11" s="1"/>
  <c r="AD39" i="11"/>
  <c r="AB39" i="12" s="1"/>
  <c r="AD39" i="12" s="1"/>
  <c r="AB39" i="13" s="1"/>
  <c r="AD39" i="13" s="1"/>
  <c r="AB40" i="3"/>
  <c r="AD40" i="3"/>
  <c r="AB40" i="4"/>
  <c r="AD40" i="4"/>
  <c r="AB40" i="5"/>
  <c r="AD40" i="5"/>
  <c r="AB40" i="6"/>
  <c r="AD40" i="6"/>
  <c r="AB40" i="7"/>
  <c r="AD40" i="7"/>
  <c r="AB40" i="8"/>
  <c r="AD40" i="8"/>
  <c r="AB40" i="9"/>
  <c r="AD40" i="9"/>
  <c r="AB40" i="10"/>
  <c r="AD40" i="10"/>
  <c r="AB40" i="11" s="1"/>
  <c r="AD40" i="11" s="1"/>
  <c r="AB40" i="12" s="1"/>
  <c r="AD40" i="12" s="1"/>
  <c r="AB40" i="13" s="1"/>
  <c r="AD40" i="13" s="1"/>
  <c r="AB41" i="3"/>
  <c r="AD41" i="3"/>
  <c r="AB41" i="4"/>
  <c r="AD41" i="4"/>
  <c r="AB41" i="5"/>
  <c r="AD41" i="5"/>
  <c r="AB41" i="6"/>
  <c r="AD41" i="6"/>
  <c r="AB41" i="7"/>
  <c r="AD41" i="7"/>
  <c r="AB41" i="8"/>
  <c r="AD41" i="8"/>
  <c r="AB41" i="9"/>
  <c r="AD41" i="9"/>
  <c r="AB41" i="10"/>
  <c r="AD41" i="10"/>
  <c r="AB41" i="11" s="1"/>
  <c r="AD41" i="11" s="1"/>
  <c r="AB41" i="12" s="1"/>
  <c r="AD41" i="12" s="1"/>
  <c r="AB41" i="13" s="1"/>
  <c r="AD41" i="13" s="1"/>
  <c r="AB45" i="3"/>
  <c r="AD45" i="3"/>
  <c r="AB45" i="4"/>
  <c r="AD45" i="4"/>
  <c r="AB45" i="5"/>
  <c r="AD45" i="5"/>
  <c r="AB45" i="6"/>
  <c r="AD45" i="6"/>
  <c r="AB45" i="7"/>
  <c r="AD45" i="7"/>
  <c r="AB45" i="8"/>
  <c r="AD45" i="8"/>
  <c r="AB45" i="9"/>
  <c r="AD45" i="9"/>
  <c r="AB45" i="10"/>
  <c r="AD45" i="10"/>
  <c r="AB45" i="11" s="1"/>
  <c r="AD45" i="11" s="1"/>
  <c r="AB45" i="12"/>
  <c r="AD45" i="12" s="1"/>
  <c r="AB45" i="13" s="1"/>
  <c r="AD45" i="13" s="1"/>
  <c r="AB46" i="3"/>
  <c r="AD46" i="3"/>
  <c r="AB46" i="4"/>
  <c r="AD46" i="4"/>
  <c r="AB46" i="5"/>
  <c r="AD46" i="5"/>
  <c r="AB46" i="6"/>
  <c r="AD46" i="6"/>
  <c r="AB46" i="7"/>
  <c r="AD46" i="7"/>
  <c r="AB46" i="8"/>
  <c r="AD46" i="8"/>
  <c r="AB46" i="9"/>
  <c r="AD46" i="9"/>
  <c r="AB46" i="10"/>
  <c r="AD46" i="10"/>
  <c r="AB46" i="11" s="1"/>
  <c r="AD46" i="11" s="1"/>
  <c r="AB46" i="12" s="1"/>
  <c r="AD46" i="12" s="1"/>
  <c r="AB46" i="13" s="1"/>
  <c r="AD46" i="13" s="1"/>
  <c r="AB47" i="3"/>
  <c r="AD47" i="3"/>
  <c r="AB47" i="4"/>
  <c r="AD47" i="4"/>
  <c r="AB47" i="5"/>
  <c r="AD47" i="5"/>
  <c r="AB47" i="6"/>
  <c r="AD47" i="6"/>
  <c r="AB47" i="7"/>
  <c r="AD47" i="7"/>
  <c r="AB47" i="8"/>
  <c r="AD47" i="8"/>
  <c r="AB47" i="9"/>
  <c r="AD47" i="9"/>
  <c r="AB47" i="10"/>
  <c r="AD47" i="10"/>
  <c r="AB47" i="11" s="1"/>
  <c r="AD47" i="11" s="1"/>
  <c r="AB47" i="12" s="1"/>
  <c r="AD47" i="12" s="1"/>
  <c r="AB47" i="13" s="1"/>
  <c r="AD47" i="13" s="1"/>
  <c r="AB48" i="3"/>
  <c r="AD48" i="3"/>
  <c r="AB48" i="4"/>
  <c r="AD48" i="4"/>
  <c r="AB48" i="5"/>
  <c r="AD48" i="5"/>
  <c r="AB48" i="6"/>
  <c r="AD48" i="6"/>
  <c r="AB48" i="7"/>
  <c r="AD48" i="7"/>
  <c r="AB48" i="8"/>
  <c r="AD48" i="8"/>
  <c r="AB48" i="9"/>
  <c r="AD48" i="9"/>
  <c r="AB48" i="10"/>
  <c r="AD48" i="10"/>
  <c r="AB48" i="11" s="1"/>
  <c r="AD48" i="11" s="1"/>
  <c r="AB48" i="12" s="1"/>
  <c r="AD48" i="12" s="1"/>
  <c r="AB48" i="13" s="1"/>
  <c r="AD48" i="13" s="1"/>
  <c r="AB50" i="3"/>
  <c r="AD50" i="3"/>
  <c r="AB50" i="4"/>
  <c r="AD50" i="4"/>
  <c r="AB50" i="5"/>
  <c r="AD50" i="5"/>
  <c r="AB50" i="6"/>
  <c r="AD50" i="6"/>
  <c r="AB50" i="7"/>
  <c r="AD50" i="7"/>
  <c r="AB50" i="8"/>
  <c r="AD50" i="8"/>
  <c r="AB50" i="9"/>
  <c r="AD50" i="9"/>
  <c r="AB50" i="10"/>
  <c r="AD50" i="10"/>
  <c r="AB50" i="11"/>
  <c r="AD50" i="11" s="1"/>
  <c r="AB50" i="12" s="1"/>
  <c r="AD50" i="12" s="1"/>
  <c r="AB50" i="13" s="1"/>
  <c r="AD50" i="13" s="1"/>
  <c r="AB51" i="3"/>
  <c r="AD51" i="3"/>
  <c r="AB51" i="4"/>
  <c r="AD51" i="4"/>
  <c r="AB51" i="5"/>
  <c r="AD51" i="5"/>
  <c r="AB51" i="6"/>
  <c r="AD51" i="6"/>
  <c r="AB51" i="7"/>
  <c r="AD51" i="7"/>
  <c r="AB51" i="8"/>
  <c r="AD51" i="8"/>
  <c r="AB51" i="9"/>
  <c r="AD51" i="9"/>
  <c r="AB51" i="10"/>
  <c r="AD51" i="10"/>
  <c r="AB51" i="11"/>
  <c r="AD51" i="11" s="1"/>
  <c r="AB51" i="12" s="1"/>
  <c r="AD51" i="12" s="1"/>
  <c r="AB51" i="13" s="1"/>
  <c r="AD51" i="13" s="1"/>
  <c r="AB52" i="3"/>
  <c r="AD52" i="3"/>
  <c r="AB52" i="4"/>
  <c r="AD52" i="4"/>
  <c r="AB52" i="5"/>
  <c r="AD52" i="5"/>
  <c r="AB52" i="6"/>
  <c r="AD52" i="6"/>
  <c r="AB52" i="7"/>
  <c r="AD52" i="7"/>
  <c r="AB52" i="8"/>
  <c r="AD52" i="8"/>
  <c r="AB52" i="9"/>
  <c r="AD52" i="9"/>
  <c r="AB52" i="10"/>
  <c r="AD52" i="10"/>
  <c r="AB52" i="11" s="1"/>
  <c r="AD52" i="11" s="1"/>
  <c r="AB52" i="12" s="1"/>
  <c r="AD52" i="12" s="1"/>
  <c r="AB52" i="13" s="1"/>
  <c r="AD52" i="13" s="1"/>
  <c r="AB53" i="3"/>
  <c r="AD53" i="3"/>
  <c r="AB53" i="4"/>
  <c r="AD53" i="4"/>
  <c r="AB53" i="5"/>
  <c r="AD53" i="5"/>
  <c r="AB53" i="6"/>
  <c r="AD53" i="6"/>
  <c r="AB53" i="7"/>
  <c r="AD53" i="7"/>
  <c r="AB53" i="8"/>
  <c r="AD53" i="8"/>
  <c r="AB53" i="9"/>
  <c r="AD53" i="9"/>
  <c r="AB53" i="10"/>
  <c r="AD53" i="10"/>
  <c r="AB53" i="11" s="1"/>
  <c r="AD53" i="11" s="1"/>
  <c r="AB53" i="12" s="1"/>
  <c r="AD53" i="12" s="1"/>
  <c r="AB53" i="13" s="1"/>
  <c r="AD53" i="13" s="1"/>
  <c r="AB54" i="3"/>
  <c r="AD54" i="3"/>
  <c r="AB54" i="4"/>
  <c r="AD54" i="4"/>
  <c r="AB54" i="5"/>
  <c r="AD54" i="5"/>
  <c r="AB54" i="6"/>
  <c r="AD54" i="6"/>
  <c r="AB54" i="7"/>
  <c r="AD54" i="7"/>
  <c r="AB54" i="8"/>
  <c r="AD54" i="8"/>
  <c r="AB54" i="9"/>
  <c r="AD54" i="9"/>
  <c r="AB54" i="10"/>
  <c r="AD54" i="10"/>
  <c r="AB54" i="11"/>
  <c r="AD54" i="11" s="1"/>
  <c r="AB54" i="12" s="1"/>
  <c r="AD54" i="12" s="1"/>
  <c r="AB54" i="13" s="1"/>
  <c r="AD54" i="13" s="1"/>
  <c r="AB55" i="3"/>
  <c r="AD55" i="3"/>
  <c r="AB55" i="4"/>
  <c r="AD55" i="4"/>
  <c r="AB55" i="5"/>
  <c r="AD55" i="5"/>
  <c r="AB55" i="6"/>
  <c r="AD55" i="6"/>
  <c r="AB55" i="7"/>
  <c r="AD55" i="7"/>
  <c r="AB55" i="8"/>
  <c r="AD55" i="8"/>
  <c r="AB55" i="9"/>
  <c r="AD55" i="9"/>
  <c r="AB55" i="10"/>
  <c r="AD55" i="10"/>
  <c r="AB55" i="11" s="1"/>
  <c r="AD55" i="11" s="1"/>
  <c r="AB55" i="12" s="1"/>
  <c r="AD55" i="12" s="1"/>
  <c r="AB55" i="13" s="1"/>
  <c r="AD55" i="13" s="1"/>
  <c r="AB59" i="3"/>
  <c r="AD59" i="3"/>
  <c r="AB59" i="4"/>
  <c r="AD59" i="4"/>
  <c r="AB59" i="5"/>
  <c r="AD59" i="5"/>
  <c r="AB59" i="6"/>
  <c r="AD59" i="6"/>
  <c r="AB59" i="7"/>
  <c r="AD59" i="7"/>
  <c r="AB59" i="8"/>
  <c r="AD59" i="8"/>
  <c r="AB59" i="9"/>
  <c r="AD59" i="9"/>
  <c r="AB59" i="10"/>
  <c r="AD59" i="10"/>
  <c r="AB59" i="11" s="1"/>
  <c r="AD59" i="11" s="1"/>
  <c r="AB59" i="12" s="1"/>
  <c r="AD59" i="12" s="1"/>
  <c r="AB59" i="13" s="1"/>
  <c r="AD59" i="13" s="1"/>
  <c r="AB60" i="3"/>
  <c r="AD60" i="3"/>
  <c r="AB60" i="4"/>
  <c r="AD60" i="4"/>
  <c r="AB60" i="5"/>
  <c r="AD60" i="5"/>
  <c r="AB60" i="6"/>
  <c r="AD60" i="6"/>
  <c r="AB60" i="7"/>
  <c r="AD60" i="7"/>
  <c r="AB60" i="8"/>
  <c r="AD60" i="8"/>
  <c r="AB60" i="9"/>
  <c r="AD60" i="9"/>
  <c r="AB60" i="10"/>
  <c r="AD60" i="10"/>
  <c r="AB60" i="11" s="1"/>
  <c r="AD60" i="11" s="1"/>
  <c r="AB60" i="12" s="1"/>
  <c r="AD60" i="12" s="1"/>
  <c r="AB60" i="13" s="1"/>
  <c r="AD60" i="13" s="1"/>
  <c r="AB61" i="3"/>
  <c r="AD61" i="3"/>
  <c r="AB61" i="4"/>
  <c r="AD61" i="4"/>
  <c r="AB61" i="5"/>
  <c r="AD61" i="5"/>
  <c r="AB61" i="6"/>
  <c r="AD61" i="6"/>
  <c r="AB61" i="7"/>
  <c r="AD61" i="7"/>
  <c r="AB61" i="8"/>
  <c r="AD61" i="8"/>
  <c r="AB61" i="9"/>
  <c r="AD61" i="9"/>
  <c r="AB61" i="10"/>
  <c r="AD61" i="10"/>
  <c r="AB61" i="11" s="1"/>
  <c r="AD61" i="11" s="1"/>
  <c r="AB61" i="12" s="1"/>
  <c r="AD61" i="12" s="1"/>
  <c r="AB61" i="13" s="1"/>
  <c r="AD61" i="13" s="1"/>
  <c r="AB66" i="3"/>
  <c r="AD66" i="3"/>
  <c r="AB66" i="4"/>
  <c r="AD66" i="4"/>
  <c r="AB66" i="5"/>
  <c r="AD66" i="5"/>
  <c r="AB66" i="6"/>
  <c r="AD66" i="6"/>
  <c r="AB66" i="7"/>
  <c r="AD66" i="7"/>
  <c r="AB66" i="8"/>
  <c r="AD66" i="8"/>
  <c r="AB66" i="9"/>
  <c r="AD66" i="9"/>
  <c r="AB66" i="10"/>
  <c r="AD66" i="10"/>
  <c r="AB66" i="11" s="1"/>
  <c r="AD66" i="11" s="1"/>
  <c r="AB66" i="12" s="1"/>
  <c r="AD66" i="12" s="1"/>
  <c r="AB66" i="13" s="1"/>
  <c r="AD66" i="13" s="1"/>
  <c r="AB67" i="3"/>
  <c r="AD67" i="3"/>
  <c r="AB67" i="4"/>
  <c r="AD67" i="4"/>
  <c r="AB67" i="5"/>
  <c r="AD67" i="5"/>
  <c r="AB67" i="6"/>
  <c r="AD67" i="6"/>
  <c r="AB67" i="7"/>
  <c r="AD67" i="7"/>
  <c r="AB67" i="8"/>
  <c r="AD67" i="8"/>
  <c r="AB67" i="9"/>
  <c r="AD67" i="9"/>
  <c r="AB67" i="10"/>
  <c r="AD67" i="10"/>
  <c r="AB67" i="11" s="1"/>
  <c r="AD67" i="11" s="1"/>
  <c r="AB67" i="12" s="1"/>
  <c r="AD67" i="12" s="1"/>
  <c r="AB67" i="13" s="1"/>
  <c r="AD67" i="13" s="1"/>
  <c r="AB68" i="3"/>
  <c r="AD68" i="3"/>
  <c r="AB68" i="4"/>
  <c r="AD68" i="4"/>
  <c r="AB68" i="5"/>
  <c r="AD68" i="5"/>
  <c r="AB68" i="6"/>
  <c r="AD68" i="6"/>
  <c r="AB68" i="7"/>
  <c r="AD68" i="7"/>
  <c r="AB68" i="8"/>
  <c r="AD68" i="8"/>
  <c r="AB68" i="9"/>
  <c r="AD68" i="9"/>
  <c r="AB68" i="10"/>
  <c r="AD68" i="10"/>
  <c r="AB68" i="11" s="1"/>
  <c r="AD68" i="11" s="1"/>
  <c r="AB68" i="12" s="1"/>
  <c r="AD68" i="12" s="1"/>
  <c r="AB68" i="13" s="1"/>
  <c r="AD68" i="13" s="1"/>
  <c r="AB70" i="3"/>
  <c r="AD70" i="3"/>
  <c r="AB70" i="4"/>
  <c r="AD70" i="4"/>
  <c r="AB70" i="5"/>
  <c r="AD70" i="5"/>
  <c r="AB70" i="6"/>
  <c r="AD70" i="6"/>
  <c r="AB70" i="7"/>
  <c r="AD70" i="7"/>
  <c r="AB70" i="8"/>
  <c r="AD70" i="8"/>
  <c r="AB70" i="9"/>
  <c r="AD70" i="9"/>
  <c r="AB70" i="10"/>
  <c r="AD70" i="10"/>
  <c r="AB70" i="11" s="1"/>
  <c r="AD70" i="11" s="1"/>
  <c r="AB70" i="12" s="1"/>
  <c r="AD70" i="12" s="1"/>
  <c r="AB70" i="13" s="1"/>
  <c r="AD70" i="13" s="1"/>
  <c r="AB71" i="3"/>
  <c r="AD71" i="3"/>
  <c r="AB71" i="4"/>
  <c r="AD71" i="4"/>
  <c r="AB71" i="5"/>
  <c r="AD71" i="5"/>
  <c r="AB71" i="6"/>
  <c r="AD71" i="6"/>
  <c r="AB71" i="7"/>
  <c r="AD71" i="7"/>
  <c r="AB71" i="8"/>
  <c r="AD71" i="8"/>
  <c r="AB71" i="9"/>
  <c r="AD71" i="9"/>
  <c r="AB71" i="10"/>
  <c r="AD71" i="10"/>
  <c r="AB71" i="11" s="1"/>
  <c r="AD71" i="11" s="1"/>
  <c r="AB71" i="12" s="1"/>
  <c r="AD71" i="12" s="1"/>
  <c r="AB71" i="13" s="1"/>
  <c r="AD71" i="13" s="1"/>
  <c r="AB72" i="3"/>
  <c r="AD72" i="3"/>
  <c r="AB72" i="4"/>
  <c r="AD72" i="4"/>
  <c r="AB72" i="5"/>
  <c r="AD72" i="5"/>
  <c r="AB72" i="6"/>
  <c r="AD72" i="6"/>
  <c r="AB72" i="7"/>
  <c r="AD72" i="7"/>
  <c r="AB72" i="8"/>
  <c r="AD72" i="8"/>
  <c r="AB72" i="9"/>
  <c r="AD72" i="9"/>
  <c r="AB72" i="10"/>
  <c r="AD72" i="10"/>
  <c r="AB72" i="11" s="1"/>
  <c r="AD72" i="11" s="1"/>
  <c r="AB72" i="12" s="1"/>
  <c r="AD72" i="12" s="1"/>
  <c r="AB72" i="13" s="1"/>
  <c r="AD72" i="13" s="1"/>
  <c r="AB73" i="3"/>
  <c r="AD73" i="3"/>
  <c r="AB73" i="4"/>
  <c r="AD73" i="4"/>
  <c r="AB73" i="5"/>
  <c r="AD73" i="5"/>
  <c r="AB73" i="6"/>
  <c r="AD73" i="6"/>
  <c r="AB73" i="7"/>
  <c r="AD73" i="7"/>
  <c r="AB73" i="8"/>
  <c r="AD73" i="8"/>
  <c r="AB73" i="9"/>
  <c r="AD73" i="9"/>
  <c r="AB73" i="10"/>
  <c r="AD73" i="10"/>
  <c r="AB73" i="11" s="1"/>
  <c r="AD73" i="11" s="1"/>
  <c r="AB73" i="12" s="1"/>
  <c r="AD73" i="12" s="1"/>
  <c r="AB73" i="13" s="1"/>
  <c r="AD73" i="13" s="1"/>
  <c r="AB74" i="3"/>
  <c r="AD74" i="3"/>
  <c r="AB74" i="4"/>
  <c r="AD74" i="4"/>
  <c r="AB74" i="5"/>
  <c r="AD74" i="5"/>
  <c r="AB74" i="6"/>
  <c r="AD74" i="6"/>
  <c r="AB74" i="7"/>
  <c r="AD74" i="7"/>
  <c r="AB74" i="8"/>
  <c r="AD74" i="8"/>
  <c r="AB74" i="9"/>
  <c r="AD74" i="9"/>
  <c r="AB74" i="10"/>
  <c r="AD74" i="10"/>
  <c r="AB74" i="11"/>
  <c r="AD74" i="11" s="1"/>
  <c r="AB74" i="12" s="1"/>
  <c r="AD74" i="12" s="1"/>
  <c r="AB74" i="13" s="1"/>
  <c r="AD74" i="13" s="1"/>
  <c r="AB75" i="3"/>
  <c r="AD75" i="3"/>
  <c r="AB75" i="4"/>
  <c r="AD75" i="4"/>
  <c r="AB75" i="5"/>
  <c r="AD75" i="5"/>
  <c r="AB75" i="6"/>
  <c r="AD75" i="6"/>
  <c r="AB75" i="7"/>
  <c r="AD75" i="7"/>
  <c r="AB75" i="8"/>
  <c r="AD75" i="8"/>
  <c r="AB75" i="9"/>
  <c r="AD75" i="9"/>
  <c r="AB75" i="10"/>
  <c r="AD75" i="10"/>
  <c r="AB75" i="11"/>
  <c r="AD75" i="11" s="1"/>
  <c r="AB75" i="12" s="1"/>
  <c r="AD75" i="12" s="1"/>
  <c r="AB75" i="13" s="1"/>
  <c r="AD75" i="13" s="1"/>
  <c r="AB76" i="3"/>
  <c r="AD76" i="3"/>
  <c r="AB76" i="4"/>
  <c r="AD76" i="4"/>
  <c r="AB76" i="5"/>
  <c r="AD76" i="5"/>
  <c r="AB76" i="6"/>
  <c r="AD76" i="6"/>
  <c r="AB76" i="7"/>
  <c r="AD76" i="7"/>
  <c r="AB76" i="8"/>
  <c r="AD76" i="8"/>
  <c r="AB76" i="9"/>
  <c r="AD76" i="9"/>
  <c r="AB76" i="10"/>
  <c r="AD76" i="10"/>
  <c r="AB76" i="11" s="1"/>
  <c r="AD76" i="11" s="1"/>
  <c r="AB76" i="12" s="1"/>
  <c r="AD76" i="12" s="1"/>
  <c r="AB76" i="13" s="1"/>
  <c r="AD76" i="13" s="1"/>
  <c r="AB77" i="3"/>
  <c r="AD77" i="3"/>
  <c r="AB77" i="4"/>
  <c r="AD77" i="4"/>
  <c r="AB77" i="5"/>
  <c r="AD77" i="5"/>
  <c r="AB77" i="6"/>
  <c r="AD77" i="6"/>
  <c r="AB77" i="7"/>
  <c r="AD77" i="7"/>
  <c r="AB77" i="8"/>
  <c r="AD77" i="8"/>
  <c r="AB77" i="9"/>
  <c r="AD77" i="9"/>
  <c r="AB77" i="10"/>
  <c r="AD77" i="10"/>
  <c r="AB77" i="11"/>
  <c r="AD77" i="11"/>
  <c r="AB77" i="12" s="1"/>
  <c r="AD77" i="12" s="1"/>
  <c r="AB77" i="13" s="1"/>
  <c r="AD77" i="13" s="1"/>
  <c r="AB78" i="3"/>
  <c r="AD78" i="3"/>
  <c r="AB78" i="4"/>
  <c r="AD78" i="4"/>
  <c r="AB78" i="5"/>
  <c r="AD78" i="5"/>
  <c r="AB78" i="6"/>
  <c r="AD78" i="6"/>
  <c r="AB78" i="7"/>
  <c r="AD78" i="7"/>
  <c r="AB78" i="8"/>
  <c r="AD78" i="8"/>
  <c r="AB78" i="9"/>
  <c r="AD78" i="9"/>
  <c r="AB78" i="10"/>
  <c r="AD78" i="10"/>
  <c r="AB78" i="11" s="1"/>
  <c r="AD78" i="11" s="1"/>
  <c r="AB78" i="12" s="1"/>
  <c r="AD78" i="12" s="1"/>
  <c r="AB78" i="13" s="1"/>
  <c r="AD78" i="13" s="1"/>
  <c r="AB79" i="3"/>
  <c r="AD79" i="3"/>
  <c r="AB79" i="4"/>
  <c r="AD79" i="4"/>
  <c r="AB79" i="5"/>
  <c r="AD79" i="5"/>
  <c r="AB79" i="6"/>
  <c r="AD79" i="6"/>
  <c r="AB79" i="7"/>
  <c r="AD79" i="7"/>
  <c r="AB79" i="8"/>
  <c r="AD79" i="8"/>
  <c r="AB79" i="9"/>
  <c r="AD79" i="9"/>
  <c r="AB79" i="10"/>
  <c r="AD79" i="10"/>
  <c r="AB79" i="11" s="1"/>
  <c r="AD79" i="11" s="1"/>
  <c r="AB79" i="12" s="1"/>
  <c r="AD79" i="12" s="1"/>
  <c r="AB79" i="13" s="1"/>
  <c r="AD79" i="13" s="1"/>
  <c r="AB80" i="3"/>
  <c r="AD80" i="3"/>
  <c r="AB80" i="4"/>
  <c r="AD80" i="4"/>
  <c r="AB80" i="5"/>
  <c r="AD80" i="5"/>
  <c r="AB80" i="6"/>
  <c r="AD80" i="6"/>
  <c r="AB80" i="7"/>
  <c r="AD80" i="7"/>
  <c r="AB80" i="8"/>
  <c r="AD80" i="8"/>
  <c r="AB80" i="9"/>
  <c r="AD80" i="9"/>
  <c r="AB80" i="10"/>
  <c r="AD80" i="10"/>
  <c r="AB80" i="11" s="1"/>
  <c r="AD80" i="11" s="1"/>
  <c r="AB80" i="12" s="1"/>
  <c r="AD80" i="12" s="1"/>
  <c r="AB80" i="13" s="1"/>
  <c r="AD80" i="13" s="1"/>
  <c r="AB81" i="3"/>
  <c r="AD81" i="3"/>
  <c r="AB81" i="4"/>
  <c r="AD81" i="4"/>
  <c r="AB81" i="5"/>
  <c r="AD81" i="5"/>
  <c r="AB81" i="6"/>
  <c r="AD81" i="6"/>
  <c r="AB81" i="7"/>
  <c r="AD81" i="7"/>
  <c r="AB81" i="8"/>
  <c r="AD81" i="8"/>
  <c r="AB81" i="9"/>
  <c r="AD81" i="9"/>
  <c r="AB81" i="10"/>
  <c r="AD81" i="10"/>
  <c r="AB81" i="11"/>
  <c r="AD81" i="11" s="1"/>
  <c r="AB81" i="12" s="1"/>
  <c r="AD81" i="12" s="1"/>
  <c r="AB81" i="13" s="1"/>
  <c r="AD81" i="13" s="1"/>
  <c r="AB84" i="3"/>
  <c r="AD84" i="3"/>
  <c r="AB84" i="4"/>
  <c r="AD84" i="4"/>
  <c r="AB84" i="5"/>
  <c r="AD84" i="5"/>
  <c r="AB84" i="6"/>
  <c r="AD84" i="6"/>
  <c r="AB84" i="7"/>
  <c r="AD84" i="7"/>
  <c r="AB84" i="8"/>
  <c r="AD84" i="8"/>
  <c r="AB84" i="9"/>
  <c r="AD84" i="9"/>
  <c r="AB84" i="10"/>
  <c r="AD84" i="10"/>
  <c r="AB84" i="11" s="1"/>
  <c r="AD84" i="11" s="1"/>
  <c r="AB84" i="12" s="1"/>
  <c r="AD84" i="12" s="1"/>
  <c r="AB84" i="13" s="1"/>
  <c r="AD84" i="13" s="1"/>
  <c r="AB85" i="3"/>
  <c r="AD85" i="3"/>
  <c r="AB85" i="4"/>
  <c r="AD85" i="4"/>
  <c r="AB85" i="5"/>
  <c r="AD85" i="5"/>
  <c r="AB85" i="6"/>
  <c r="AD85" i="6"/>
  <c r="AB85" i="7"/>
  <c r="AD85" i="7"/>
  <c r="AB85" i="8"/>
  <c r="AD85" i="8"/>
  <c r="AB85" i="9"/>
  <c r="AD85" i="9"/>
  <c r="AB85" i="10"/>
  <c r="AD85" i="10"/>
  <c r="AB85" i="11" s="1"/>
  <c r="AD85" i="11" s="1"/>
  <c r="AB85" i="12" s="1"/>
  <c r="AD85" i="12" s="1"/>
  <c r="AB85" i="13" s="1"/>
  <c r="AD85" i="13" s="1"/>
  <c r="AB86" i="3"/>
  <c r="AD86" i="3"/>
  <c r="AB86" i="4"/>
  <c r="AD86" i="4"/>
  <c r="AB86" i="5"/>
  <c r="AD86" i="5"/>
  <c r="AB86" i="6"/>
  <c r="AD86" i="6"/>
  <c r="AB86" i="7"/>
  <c r="AD86" i="7"/>
  <c r="AB86" i="8"/>
  <c r="AD86" i="8"/>
  <c r="AB86" i="9"/>
  <c r="AD86" i="9"/>
  <c r="AB86" i="10"/>
  <c r="AD86" i="10"/>
  <c r="AB86" i="11" s="1"/>
  <c r="AD86" i="11" s="1"/>
  <c r="AB86" i="12" s="1"/>
  <c r="AD86" i="12" s="1"/>
  <c r="AB86" i="13" s="1"/>
  <c r="AD86" i="13" s="1"/>
  <c r="AB87" i="3"/>
  <c r="AD87" i="3"/>
  <c r="AB87" i="4"/>
  <c r="AD87" i="4"/>
  <c r="AB87" i="5"/>
  <c r="AD87" i="5"/>
  <c r="AB87" i="6"/>
  <c r="AD87" i="6"/>
  <c r="AB87" i="7"/>
  <c r="AD87" i="7"/>
  <c r="AB87" i="8"/>
  <c r="AD87" i="8"/>
  <c r="AB87" i="9"/>
  <c r="AD87" i="9"/>
  <c r="AB87" i="10"/>
  <c r="AD87" i="10"/>
  <c r="AB87" i="11" s="1"/>
  <c r="AD87" i="11" s="1"/>
  <c r="AB87" i="12" s="1"/>
  <c r="AD87" i="12" s="1"/>
  <c r="AB87" i="13" s="1"/>
  <c r="AD87" i="13" s="1"/>
  <c r="AB88" i="3"/>
  <c r="AD88" i="3"/>
  <c r="AB88" i="4"/>
  <c r="AD88" i="4"/>
  <c r="AB88" i="5"/>
  <c r="AD88" i="5"/>
  <c r="AB88" i="6"/>
  <c r="AD88" i="6"/>
  <c r="AB88" i="7"/>
  <c r="AD88" i="7"/>
  <c r="AB88" i="8"/>
  <c r="AD88" i="8"/>
  <c r="AB88" i="9"/>
  <c r="AD88" i="9"/>
  <c r="AB88" i="10"/>
  <c r="AD88" i="10"/>
  <c r="AB88" i="11" s="1"/>
  <c r="AD88" i="11" s="1"/>
  <c r="AB88" i="12" s="1"/>
  <c r="AD88" i="12" s="1"/>
  <c r="AB88" i="13" s="1"/>
  <c r="AD88" i="13" s="1"/>
  <c r="AB92" i="3"/>
  <c r="AD92" i="3"/>
  <c r="AB92" i="4"/>
  <c r="AD92" i="4"/>
  <c r="AB92" i="5"/>
  <c r="AD92" i="5"/>
  <c r="AB92" i="6"/>
  <c r="AD92" i="6"/>
  <c r="AB92" i="7"/>
  <c r="AD92" i="7"/>
  <c r="AB92" i="8"/>
  <c r="AD92" i="8"/>
  <c r="AB92" i="9"/>
  <c r="AD92" i="9"/>
  <c r="AB92" i="10"/>
  <c r="AD92" i="10"/>
  <c r="AB92" i="11"/>
  <c r="AD92" i="11" s="1"/>
  <c r="AB92" i="12" s="1"/>
  <c r="AD92" i="12" s="1"/>
  <c r="AB92" i="13" s="1"/>
  <c r="AD92" i="13" s="1"/>
  <c r="AB93" i="3"/>
  <c r="AD93" i="3"/>
  <c r="AB93" i="4"/>
  <c r="AD93" i="4"/>
  <c r="AB93" i="5"/>
  <c r="AD93" i="5"/>
  <c r="AB93" i="6"/>
  <c r="AD93" i="6"/>
  <c r="AB93" i="7"/>
  <c r="AD93" i="7"/>
  <c r="AB93" i="8"/>
  <c r="AD93" i="8"/>
  <c r="AB93" i="9"/>
  <c r="AD93" i="9"/>
  <c r="AB93" i="10"/>
  <c r="AD93" i="10"/>
  <c r="AB93" i="11" s="1"/>
  <c r="AD93" i="11" s="1"/>
  <c r="AB93" i="12" s="1"/>
  <c r="AD93" i="12" s="1"/>
  <c r="AB93" i="13" s="1"/>
  <c r="AD93" i="13" s="1"/>
  <c r="AB94" i="3"/>
  <c r="AD94" i="3"/>
  <c r="AB94" i="4"/>
  <c r="AD94" i="4"/>
  <c r="AB94" i="5"/>
  <c r="AD94" i="5"/>
  <c r="AB94" i="6"/>
  <c r="AD94" i="6"/>
  <c r="AB94" i="7"/>
  <c r="AD94" i="7"/>
  <c r="AB94" i="8"/>
  <c r="AD94" i="8"/>
  <c r="AB94" i="9"/>
  <c r="AD94" i="9"/>
  <c r="AB94" i="10"/>
  <c r="AD94" i="10"/>
  <c r="AB94" i="11" s="1"/>
  <c r="AD94" i="11" s="1"/>
  <c r="AB94" i="12" s="1"/>
  <c r="AD94" i="12" s="1"/>
  <c r="AB94" i="13" s="1"/>
  <c r="AD94" i="13" s="1"/>
  <c r="AB95" i="3"/>
  <c r="AD95" i="3"/>
  <c r="AB95" i="4"/>
  <c r="AD95" i="4"/>
  <c r="AB95" i="5"/>
  <c r="AD95" i="5"/>
  <c r="AB95" i="6"/>
  <c r="AD95" i="6"/>
  <c r="AB95" i="7"/>
  <c r="AD95" i="7"/>
  <c r="AB95" i="8"/>
  <c r="AD95" i="8"/>
  <c r="AB95" i="9"/>
  <c r="AD95" i="9"/>
  <c r="AB95" i="10"/>
  <c r="AD95" i="10"/>
  <c r="AB95" i="11" s="1"/>
  <c r="AD95" i="11" s="1"/>
  <c r="AB95" i="12" s="1"/>
  <c r="AD95" i="12" s="1"/>
  <c r="AB95" i="13" s="1"/>
  <c r="AD95" i="13" s="1"/>
  <c r="AB97" i="3"/>
  <c r="AD97" i="3"/>
  <c r="AB97" i="4"/>
  <c r="AD97" i="4"/>
  <c r="AB97" i="5"/>
  <c r="AD97" i="5"/>
  <c r="AB97" i="6"/>
  <c r="AD97" i="6"/>
  <c r="AB97" i="7"/>
  <c r="AD97" i="7"/>
  <c r="AB97" i="8"/>
  <c r="AD97" i="8"/>
  <c r="AB97" i="9"/>
  <c r="AD97" i="9"/>
  <c r="AB97" i="10"/>
  <c r="AD97" i="10"/>
  <c r="AB97" i="11" s="1"/>
  <c r="AD97" i="11" s="1"/>
  <c r="AB97" i="12" s="1"/>
  <c r="AD97" i="12" s="1"/>
  <c r="AB97" i="13" s="1"/>
  <c r="AD97" i="13" s="1"/>
  <c r="AB98" i="3"/>
  <c r="AD98" i="3"/>
  <c r="AB98" i="4"/>
  <c r="AD98" i="4"/>
  <c r="AB98" i="5"/>
  <c r="AD98" i="5"/>
  <c r="AB98" i="6"/>
  <c r="AD98" i="6"/>
  <c r="AB98" i="7"/>
  <c r="AD98" i="7"/>
  <c r="AB98" i="8"/>
  <c r="AD98" i="8"/>
  <c r="AB98" i="9"/>
  <c r="AD98" i="9"/>
  <c r="AB98" i="10"/>
  <c r="AD98" i="10"/>
  <c r="AB98" i="11" s="1"/>
  <c r="AD98" i="11" s="1"/>
  <c r="AB98" i="12" s="1"/>
  <c r="AD98" i="12" s="1"/>
  <c r="AB98" i="13" s="1"/>
  <c r="AD98" i="13" s="1"/>
  <c r="AB99" i="3"/>
  <c r="AD99" i="3"/>
  <c r="AB99" i="4"/>
  <c r="AD99" i="4"/>
  <c r="AB99" i="5"/>
  <c r="AD99" i="5"/>
  <c r="AB99" i="6"/>
  <c r="AD99" i="6"/>
  <c r="AB99" i="7"/>
  <c r="AD99" i="7"/>
  <c r="AB99" i="8"/>
  <c r="AD99" i="8"/>
  <c r="AB99" i="9"/>
  <c r="AD99" i="9"/>
  <c r="AB99" i="10"/>
  <c r="AD99" i="10"/>
  <c r="AB99" i="11" s="1"/>
  <c r="AD99" i="11" s="1"/>
  <c r="AB99" i="12" s="1"/>
  <c r="AD99" i="12" s="1"/>
  <c r="AB99" i="13" s="1"/>
  <c r="AD99" i="13" s="1"/>
  <c r="AB100" i="3"/>
  <c r="AD100" i="3"/>
  <c r="AB100" i="4"/>
  <c r="AD100" i="4"/>
  <c r="AB100" i="5"/>
  <c r="AD100" i="5"/>
  <c r="AB100" i="6"/>
  <c r="AD100" i="6"/>
  <c r="AB100" i="7"/>
  <c r="AD100" i="7"/>
  <c r="AB100" i="8"/>
  <c r="AD100" i="8"/>
  <c r="AB100" i="9"/>
  <c r="AD100" i="9"/>
  <c r="AB100" i="10"/>
  <c r="AD100" i="10"/>
  <c r="AB100" i="11"/>
  <c r="AD100" i="11" s="1"/>
  <c r="AB100" i="12" s="1"/>
  <c r="AD100" i="12" s="1"/>
  <c r="AB100" i="13" s="1"/>
  <c r="AD100" i="13" s="1"/>
  <c r="AB101" i="3"/>
  <c r="AD101" i="3"/>
  <c r="AB101" i="4"/>
  <c r="AD101" i="4"/>
  <c r="AB101" i="5"/>
  <c r="AD101" i="5"/>
  <c r="AB101" i="6"/>
  <c r="AD101" i="6"/>
  <c r="AB101" i="7"/>
  <c r="AD101" i="7"/>
  <c r="AB101" i="8"/>
  <c r="AD101" i="8"/>
  <c r="AB101" i="9"/>
  <c r="AD101" i="9"/>
  <c r="AB101" i="10"/>
  <c r="AD101" i="10"/>
  <c r="AB101" i="11"/>
  <c r="AD101" i="11" s="1"/>
  <c r="AB101" i="12" s="1"/>
  <c r="AD101" i="12" s="1"/>
  <c r="AB101" i="13" s="1"/>
  <c r="AD101" i="13" s="1"/>
  <c r="AB102" i="3"/>
  <c r="AD102" i="3"/>
  <c r="AB102" i="4"/>
  <c r="AD102" i="4"/>
  <c r="AB102" i="5"/>
  <c r="AD102" i="5"/>
  <c r="AB102" i="6"/>
  <c r="AD102" i="6"/>
  <c r="AB102" i="7"/>
  <c r="AD102" i="7"/>
  <c r="AB102" i="8"/>
  <c r="AD102" i="8"/>
  <c r="AB102" i="9"/>
  <c r="AD102" i="9"/>
  <c r="AB102" i="10"/>
  <c r="AD102" i="10"/>
  <c r="AB102" i="11" s="1"/>
  <c r="AD102" i="11" s="1"/>
  <c r="AB102" i="12" s="1"/>
  <c r="AD102" i="12" s="1"/>
  <c r="AB102" i="13" s="1"/>
  <c r="AD102" i="13" s="1"/>
  <c r="AB108" i="3"/>
  <c r="AD108" i="3"/>
  <c r="AB108" i="4"/>
  <c r="AD108" i="4"/>
  <c r="AB108" i="5"/>
  <c r="AD108" i="5"/>
  <c r="AB108" i="6"/>
  <c r="AD108" i="6"/>
  <c r="AB108" i="7"/>
  <c r="AD108" i="7"/>
  <c r="AB108" i="8"/>
  <c r="AD108" i="8"/>
  <c r="AB108" i="9"/>
  <c r="AD108" i="9"/>
  <c r="AB108" i="10"/>
  <c r="AD108" i="10"/>
  <c r="AB108" i="11"/>
  <c r="AD108" i="11" s="1"/>
  <c r="AB108" i="12" s="1"/>
  <c r="AD108" i="12" s="1"/>
  <c r="AB108" i="13" s="1"/>
  <c r="AD108" i="13" s="1"/>
  <c r="AB172" i="3"/>
  <c r="AD172" i="3"/>
  <c r="AB172" i="4"/>
  <c r="AD172" i="4"/>
  <c r="AB171" i="5"/>
  <c r="AD171" i="5"/>
  <c r="AB171" i="6"/>
  <c r="AD171" i="6"/>
  <c r="AB171" i="7"/>
  <c r="AD171" i="7"/>
  <c r="AB171" i="8"/>
  <c r="AD171" i="8"/>
  <c r="AB171" i="9"/>
  <c r="AD171" i="9"/>
  <c r="AB171" i="10"/>
  <c r="AD171" i="10"/>
  <c r="AB171" i="11" s="1"/>
  <c r="AD171" i="11" s="1"/>
  <c r="AB171" i="12" s="1"/>
  <c r="AD171" i="12" s="1"/>
  <c r="AB171" i="13" s="1"/>
  <c r="AD171" i="13" s="1"/>
  <c r="AB173" i="3"/>
  <c r="AD173" i="3"/>
  <c r="AB173" i="4"/>
  <c r="AD173" i="4"/>
  <c r="AB172" i="5"/>
  <c r="AD172" i="5"/>
  <c r="AB172" i="6"/>
  <c r="AD172" i="6"/>
  <c r="AB172" i="7"/>
  <c r="AD172" i="7"/>
  <c r="AB172" i="8"/>
  <c r="AD172" i="8"/>
  <c r="AB172" i="9"/>
  <c r="AD172" i="9"/>
  <c r="AB172" i="10"/>
  <c r="AD172" i="10"/>
  <c r="AB172" i="11"/>
  <c r="AD172" i="11" s="1"/>
  <c r="AB172" i="12" s="1"/>
  <c r="AD172" i="12" s="1"/>
  <c r="AB172" i="13" s="1"/>
  <c r="AD172" i="13" s="1"/>
  <c r="AB176" i="3"/>
  <c r="AD176" i="3"/>
  <c r="AB176" i="4"/>
  <c r="AD176" i="4"/>
  <c r="AB175" i="5"/>
  <c r="AD175" i="5"/>
  <c r="AB175" i="6"/>
  <c r="AD175" i="6"/>
  <c r="AB175" i="7"/>
  <c r="AD175" i="7"/>
  <c r="AB175" i="8"/>
  <c r="AD175" i="8"/>
  <c r="AB175" i="9"/>
  <c r="AD175" i="9"/>
  <c r="AB175" i="10"/>
  <c r="AD175" i="10"/>
  <c r="AB175" i="11"/>
  <c r="AD175" i="11" s="1"/>
  <c r="AB175" i="12" s="1"/>
  <c r="AD175" i="12" s="1"/>
  <c r="AB175" i="13" s="1"/>
  <c r="AD175" i="13" s="1"/>
  <c r="AB177" i="3"/>
  <c r="AD177" i="3"/>
  <c r="AB177" i="4"/>
  <c r="AD177" i="4"/>
  <c r="AB176" i="5"/>
  <c r="AD176" i="5"/>
  <c r="AB176" i="6"/>
  <c r="AD176" i="6"/>
  <c r="AB176" i="7"/>
  <c r="AD176" i="7"/>
  <c r="AB176" i="8"/>
  <c r="AD176" i="8"/>
  <c r="AB176" i="9"/>
  <c r="AD176" i="9"/>
  <c r="AB176" i="10"/>
  <c r="AD176" i="10"/>
  <c r="AB176" i="11" s="1"/>
  <c r="AD176" i="11" s="1"/>
  <c r="AB176" i="12" s="1"/>
  <c r="AD176" i="12" s="1"/>
  <c r="AB176" i="13" s="1"/>
  <c r="AD176" i="13" s="1"/>
  <c r="AB178" i="3"/>
  <c r="AD178" i="3"/>
  <c r="AB178" i="4"/>
  <c r="AD178" i="4"/>
  <c r="AB177" i="5"/>
  <c r="AD177" i="5"/>
  <c r="AB177" i="6"/>
  <c r="AD177" i="6"/>
  <c r="AB177" i="7"/>
  <c r="AD177" i="7"/>
  <c r="AB177" i="8"/>
  <c r="AD177" i="8"/>
  <c r="AB177" i="9"/>
  <c r="AD177" i="9"/>
  <c r="AB177" i="10"/>
  <c r="AD177" i="10"/>
  <c r="AB177" i="11"/>
  <c r="AD177" i="11" s="1"/>
  <c r="AB177" i="12" s="1"/>
  <c r="AD177" i="12" s="1"/>
  <c r="AB177" i="13" s="1"/>
  <c r="AD177" i="13" s="1"/>
  <c r="AB179" i="3"/>
  <c r="AD179" i="3"/>
  <c r="AB179" i="4"/>
  <c r="AD179" i="4"/>
  <c r="AB178" i="5"/>
  <c r="AD178" i="5"/>
  <c r="AB178" i="6"/>
  <c r="AD178" i="6"/>
  <c r="AB178" i="7"/>
  <c r="AD178" i="7"/>
  <c r="AB178" i="8"/>
  <c r="AD178" i="8"/>
  <c r="AB178" i="9"/>
  <c r="AD178" i="9"/>
  <c r="AB178" i="10"/>
  <c r="AD178" i="10"/>
  <c r="AB178" i="11" s="1"/>
  <c r="AD178" i="11"/>
  <c r="AB178" i="12" s="1"/>
  <c r="AD178" i="12" s="1"/>
  <c r="AB178" i="13" s="1"/>
  <c r="AD178" i="13" s="1"/>
  <c r="AB180" i="3"/>
  <c r="AD180" i="3"/>
  <c r="AB180" i="4"/>
  <c r="AD180" i="4"/>
  <c r="AB179" i="5"/>
  <c r="AD179" i="5"/>
  <c r="AB179" i="6"/>
  <c r="AD179" i="6"/>
  <c r="AB179" i="7"/>
  <c r="AD179" i="7"/>
  <c r="AB179" i="8"/>
  <c r="AD179" i="8"/>
  <c r="AB179" i="9"/>
  <c r="AD179" i="9"/>
  <c r="AB179" i="10"/>
  <c r="AD179" i="10"/>
  <c r="AB179" i="11" s="1"/>
  <c r="AD179" i="11" s="1"/>
  <c r="AB179" i="12" s="1"/>
  <c r="AD179" i="12" s="1"/>
  <c r="AB179" i="13" s="1"/>
  <c r="AD179" i="13" s="1"/>
  <c r="AB181" i="3"/>
  <c r="AD181" i="3"/>
  <c r="AB181" i="4"/>
  <c r="AD181" i="4"/>
  <c r="AB180" i="5"/>
  <c r="AD180" i="5"/>
  <c r="AB180" i="6"/>
  <c r="AD180" i="6"/>
  <c r="AB180" i="7"/>
  <c r="AD180" i="7"/>
  <c r="AB180" i="8"/>
  <c r="AD180" i="8"/>
  <c r="AB180" i="9"/>
  <c r="AD180" i="9"/>
  <c r="AB180" i="10"/>
  <c r="AD180" i="10"/>
  <c r="AB180" i="11"/>
  <c r="AD180" i="11" s="1"/>
  <c r="AB180" i="12" s="1"/>
  <c r="AD180" i="12" s="1"/>
  <c r="AB180" i="13" s="1"/>
  <c r="AD180" i="13" s="1"/>
  <c r="AB182" i="3"/>
  <c r="AD182" i="3"/>
  <c r="AB182" i="4"/>
  <c r="AD182" i="4"/>
  <c r="AB181" i="5"/>
  <c r="AD181" i="5"/>
  <c r="AB181" i="6"/>
  <c r="AD181" i="6"/>
  <c r="AB181" i="7"/>
  <c r="AD181" i="7"/>
  <c r="AB181" i="8"/>
  <c r="AD181" i="8"/>
  <c r="AB181" i="9"/>
  <c r="AD181" i="9"/>
  <c r="AB181" i="10"/>
  <c r="AD181" i="10"/>
  <c r="AB181" i="11" s="1"/>
  <c r="AD181" i="11" s="1"/>
  <c r="AB181" i="12" s="1"/>
  <c r="AD181" i="12" s="1"/>
  <c r="AB181" i="13" s="1"/>
  <c r="AD181" i="13" s="1"/>
  <c r="AB185" i="3"/>
  <c r="AD185" i="3"/>
  <c r="AB185" i="4"/>
  <c r="AD185" i="4"/>
  <c r="AB184" i="5"/>
  <c r="AD184" i="5"/>
  <c r="AB184" i="6"/>
  <c r="AD184" i="6"/>
  <c r="AB184" i="7"/>
  <c r="AD184" i="7"/>
  <c r="AB184" i="8"/>
  <c r="AD184" i="8"/>
  <c r="AB184" i="9"/>
  <c r="AD184" i="9"/>
  <c r="AB184" i="10"/>
  <c r="AD184" i="10"/>
  <c r="AB184" i="11" s="1"/>
  <c r="AD184" i="11" s="1"/>
  <c r="AB184" i="12" s="1"/>
  <c r="AD184" i="12" s="1"/>
  <c r="AB184" i="13" s="1"/>
  <c r="AD184" i="13" s="1"/>
  <c r="AB187" i="3"/>
  <c r="AD187" i="3"/>
  <c r="AB187" i="4"/>
  <c r="AD187" i="4"/>
  <c r="AB186" i="5"/>
  <c r="AD186" i="5"/>
  <c r="AB186" i="6"/>
  <c r="AD186" i="6"/>
  <c r="AB186" i="7"/>
  <c r="AD186" i="7"/>
  <c r="AB186" i="8"/>
  <c r="AD186" i="8"/>
  <c r="AB186" i="9"/>
  <c r="AD186" i="9"/>
  <c r="AB186" i="10"/>
  <c r="AD186" i="10"/>
  <c r="AB186" i="11" s="1"/>
  <c r="AD186" i="11" s="1"/>
  <c r="AB186" i="12" s="1"/>
  <c r="AD186" i="12" s="1"/>
  <c r="AB186" i="13" s="1"/>
  <c r="AD186" i="13" s="1"/>
  <c r="AB188" i="3"/>
  <c r="AD188" i="3"/>
  <c r="AB188" i="4"/>
  <c r="AD188" i="4"/>
  <c r="AB187" i="5"/>
  <c r="AD187" i="5"/>
  <c r="AB187" i="6"/>
  <c r="AD187" i="6"/>
  <c r="AB187" i="7"/>
  <c r="AD187" i="7"/>
  <c r="AB187" i="8"/>
  <c r="AD187" i="8"/>
  <c r="AB187" i="9"/>
  <c r="AD187" i="9"/>
  <c r="AB187" i="10"/>
  <c r="AD187" i="10"/>
  <c r="AB187" i="11" s="1"/>
  <c r="AD187" i="11" s="1"/>
  <c r="AB187" i="12" s="1"/>
  <c r="AD187" i="12" s="1"/>
  <c r="AB187" i="13" s="1"/>
  <c r="AD187" i="13" s="1"/>
  <c r="AB190" i="3"/>
  <c r="AD190" i="3"/>
  <c r="AB190" i="4"/>
  <c r="AD190" i="4"/>
  <c r="AB189" i="5"/>
  <c r="AD189" i="5"/>
  <c r="AB188" i="6"/>
  <c r="AD188" i="6"/>
  <c r="AB188" i="7"/>
  <c r="AD188" i="7"/>
  <c r="AB188" i="8"/>
  <c r="AD188" i="8"/>
  <c r="AB188" i="9"/>
  <c r="AD188" i="9"/>
  <c r="AB188" i="10"/>
  <c r="AD188" i="10"/>
  <c r="AB188" i="11" s="1"/>
  <c r="AD188" i="11" s="1"/>
  <c r="AB188" i="12" s="1"/>
  <c r="AD188" i="12" s="1"/>
  <c r="AB188" i="13" s="1"/>
  <c r="AD188" i="13" s="1"/>
  <c r="AB189" i="6"/>
  <c r="AD189" i="6"/>
  <c r="AB189" i="7"/>
  <c r="AD189" i="7"/>
  <c r="AB189" i="8"/>
  <c r="AD189" i="8"/>
  <c r="AB189" i="9"/>
  <c r="AD189" i="9"/>
  <c r="AB189" i="10"/>
  <c r="AD189" i="10"/>
  <c r="AB189" i="11" s="1"/>
  <c r="AD189" i="11" s="1"/>
  <c r="AB189" i="12" s="1"/>
  <c r="AD189" i="12" s="1"/>
  <c r="AB189" i="13" s="1"/>
  <c r="AD189" i="13" s="1"/>
  <c r="AB191" i="3"/>
  <c r="AD191" i="3"/>
  <c r="AB191" i="4"/>
  <c r="AD191" i="4"/>
  <c r="AB190" i="5"/>
  <c r="AD190" i="5"/>
  <c r="AB190" i="6"/>
  <c r="AD190" i="6"/>
  <c r="AB190" i="7"/>
  <c r="AD190" i="7"/>
  <c r="AB190" i="8"/>
  <c r="AD190" i="8"/>
  <c r="AB190" i="9"/>
  <c r="AD190" i="9"/>
  <c r="AB190" i="10"/>
  <c r="AD190" i="10"/>
  <c r="AB190" i="11"/>
  <c r="AD190" i="11" s="1"/>
  <c r="AB190" i="12" s="1"/>
  <c r="AD190" i="12" s="1"/>
  <c r="AB190" i="13" s="1"/>
  <c r="AD190" i="13" s="1"/>
  <c r="AB198" i="3"/>
  <c r="AD198" i="3"/>
  <c r="AB198" i="4"/>
  <c r="AD198" i="4"/>
  <c r="AB197" i="5"/>
  <c r="AD197" i="5"/>
  <c r="AB197" i="6"/>
  <c r="AD197" i="6"/>
  <c r="AB197" i="7"/>
  <c r="AD197" i="7"/>
  <c r="AB197" i="8"/>
  <c r="AD197" i="8"/>
  <c r="AB197" i="9"/>
  <c r="AD197" i="9"/>
  <c r="AB197" i="10"/>
  <c r="AD197" i="10"/>
  <c r="AB197" i="11" s="1"/>
  <c r="AD197" i="11" s="1"/>
  <c r="AB197" i="12" s="1"/>
  <c r="AD197" i="12" s="1"/>
  <c r="AB197" i="13" s="1"/>
  <c r="AD197" i="13" s="1"/>
  <c r="BP26" i="13" s="1"/>
  <c r="AB199" i="3"/>
  <c r="AD199" i="3"/>
  <c r="AB199" i="4"/>
  <c r="AD199" i="4"/>
  <c r="AB198" i="5"/>
  <c r="AD198" i="5"/>
  <c r="AB198" i="6"/>
  <c r="AD198" i="6"/>
  <c r="AB198" i="7"/>
  <c r="AD198" i="7"/>
  <c r="AB198" i="8"/>
  <c r="AD198" i="8"/>
  <c r="AB198" i="9"/>
  <c r="AD198" i="9"/>
  <c r="AB198" i="10"/>
  <c r="AD198" i="10"/>
  <c r="AB198" i="11" s="1"/>
  <c r="AD198" i="11" s="1"/>
  <c r="AB198" i="12" s="1"/>
  <c r="AD198" i="12" s="1"/>
  <c r="AB198" i="13" s="1"/>
  <c r="AD198" i="13" s="1"/>
  <c r="AB200" i="3"/>
  <c r="AD200" i="3"/>
  <c r="AB200" i="4"/>
  <c r="AD200" i="4"/>
  <c r="AB199" i="5"/>
  <c r="AD199" i="5"/>
  <c r="AB199" i="6"/>
  <c r="AD199" i="6"/>
  <c r="AB199" i="7"/>
  <c r="AD199" i="7"/>
  <c r="AB199" i="8"/>
  <c r="AD199" i="8"/>
  <c r="AB199" i="9"/>
  <c r="AD199" i="9"/>
  <c r="AB199" i="10"/>
  <c r="AD199" i="10"/>
  <c r="AB199" i="11" s="1"/>
  <c r="AD199" i="11" s="1"/>
  <c r="AB199" i="12" s="1"/>
  <c r="AD199" i="12" s="1"/>
  <c r="AB199" i="13" s="1"/>
  <c r="AD199" i="13" s="1"/>
  <c r="AB201" i="3"/>
  <c r="AD201" i="3"/>
  <c r="AB201" i="4"/>
  <c r="AD201" i="4"/>
  <c r="AB200" i="5"/>
  <c r="AD200" i="5"/>
  <c r="AB200" i="6"/>
  <c r="AD200" i="6"/>
  <c r="AB200" i="7"/>
  <c r="AD200" i="7"/>
  <c r="AB200" i="8"/>
  <c r="AD200" i="8"/>
  <c r="AB200" i="9"/>
  <c r="AD200" i="9"/>
  <c r="AB200" i="10"/>
  <c r="AD200" i="10"/>
  <c r="AB200" i="11" s="1"/>
  <c r="AD200" i="11" s="1"/>
  <c r="AB200" i="12" s="1"/>
  <c r="AD200" i="12" s="1"/>
  <c r="AB200" i="13" s="1"/>
  <c r="AD200" i="13" s="1"/>
  <c r="AB202" i="3"/>
  <c r="AD202" i="3"/>
  <c r="AB202" i="4"/>
  <c r="AD202" i="4"/>
  <c r="AB201" i="5"/>
  <c r="AD201" i="5"/>
  <c r="AB201" i="6"/>
  <c r="AD201" i="6"/>
  <c r="AB201" i="7"/>
  <c r="AD201" i="7"/>
  <c r="AB201" i="8"/>
  <c r="AD201" i="8"/>
  <c r="AB201" i="9"/>
  <c r="AD201" i="9"/>
  <c r="AB201" i="10"/>
  <c r="AD201" i="10"/>
  <c r="AB201" i="11"/>
  <c r="AD201" i="11" s="1"/>
  <c r="AB201" i="12" s="1"/>
  <c r="AD201" i="12" s="1"/>
  <c r="AB201" i="13" s="1"/>
  <c r="AD201" i="13" s="1"/>
  <c r="AB203" i="3"/>
  <c r="AD203" i="3"/>
  <c r="AB203" i="4"/>
  <c r="AD203" i="4"/>
  <c r="AB202" i="5"/>
  <c r="AD202" i="5"/>
  <c r="AB202" i="6"/>
  <c r="AD202" i="6"/>
  <c r="AB202" i="7"/>
  <c r="AD202" i="7"/>
  <c r="AB202" i="8"/>
  <c r="AD202" i="8"/>
  <c r="AB202" i="9"/>
  <c r="AD202" i="9"/>
  <c r="AB202" i="10"/>
  <c r="AD202" i="10"/>
  <c r="AB202" i="11"/>
  <c r="AD202" i="11" s="1"/>
  <c r="AB202" i="12" s="1"/>
  <c r="AD202" i="12" s="1"/>
  <c r="AB202" i="13" s="1"/>
  <c r="AD202" i="13" s="1"/>
  <c r="AB204" i="3"/>
  <c r="AD204" i="3"/>
  <c r="AB204" i="4"/>
  <c r="AD204" i="4"/>
  <c r="AB203" i="5"/>
  <c r="AD203" i="5"/>
  <c r="AB203" i="6"/>
  <c r="AD203" i="6"/>
  <c r="AB203" i="7"/>
  <c r="AD203" i="7"/>
  <c r="AB203" i="8"/>
  <c r="AD203" i="8"/>
  <c r="AB203" i="9"/>
  <c r="AD203" i="9"/>
  <c r="AB203" i="10"/>
  <c r="AD203" i="10"/>
  <c r="AB203" i="11" s="1"/>
  <c r="AD203" i="11" s="1"/>
  <c r="AB203" i="12" s="1"/>
  <c r="AD203" i="12" s="1"/>
  <c r="AB203" i="13" s="1"/>
  <c r="AD203" i="13" s="1"/>
  <c r="AB206" i="3"/>
  <c r="AD206" i="3"/>
  <c r="AB206" i="4"/>
  <c r="AD206" i="4"/>
  <c r="AB205" i="5"/>
  <c r="AD205" i="5"/>
  <c r="AB205" i="6"/>
  <c r="AD205" i="6"/>
  <c r="AB205" i="7"/>
  <c r="AD205" i="7"/>
  <c r="AB205" i="8"/>
  <c r="AD205" i="8"/>
  <c r="AB205" i="9"/>
  <c r="AD205" i="9"/>
  <c r="AB205" i="10"/>
  <c r="AD205" i="10"/>
  <c r="AB205" i="11"/>
  <c r="AD205" i="11" s="1"/>
  <c r="AB205" i="12" s="1"/>
  <c r="AD205" i="12" s="1"/>
  <c r="AB205" i="13" s="1"/>
  <c r="AD205" i="13" s="1"/>
  <c r="AD204" i="13" s="1"/>
  <c r="AB207" i="3"/>
  <c r="AD207" i="3"/>
  <c r="AB207" i="4"/>
  <c r="AD207" i="4"/>
  <c r="AB206" i="5"/>
  <c r="AD206" i="5"/>
  <c r="AB206" i="6"/>
  <c r="AD206" i="6"/>
  <c r="AB206" i="7"/>
  <c r="AD206" i="7"/>
  <c r="AB206" i="8"/>
  <c r="AD206" i="8"/>
  <c r="AB206" i="9"/>
  <c r="AD206" i="9"/>
  <c r="AB206" i="10"/>
  <c r="AD206" i="10"/>
  <c r="AB206" i="11" s="1"/>
  <c r="AD206" i="11" s="1"/>
  <c r="AB206" i="12" s="1"/>
  <c r="AD206" i="12" s="1"/>
  <c r="AB206" i="13" s="1"/>
  <c r="AD206" i="13" s="1"/>
  <c r="AB212" i="3"/>
  <c r="AD212" i="3"/>
  <c r="AB212" i="4"/>
  <c r="AD212" i="4"/>
  <c r="AB211" i="5"/>
  <c r="AD211" i="5"/>
  <c r="AB211" i="6"/>
  <c r="AD211" i="6"/>
  <c r="AB211" i="7"/>
  <c r="AD211" i="7"/>
  <c r="AB211" i="8"/>
  <c r="AD211" i="8"/>
  <c r="AB211" i="9"/>
  <c r="AD211" i="9"/>
  <c r="AB211" i="10"/>
  <c r="AD211" i="10"/>
  <c r="AB211" i="11"/>
  <c r="AD211" i="11" s="1"/>
  <c r="AB211" i="12" s="1"/>
  <c r="AD211" i="12" s="1"/>
  <c r="AB211" i="13" s="1"/>
  <c r="AD211" i="13" s="1"/>
  <c r="AB213" i="3"/>
  <c r="AD213" i="3"/>
  <c r="AB213" i="4"/>
  <c r="AD213" i="4"/>
  <c r="AB212" i="5"/>
  <c r="AD212" i="5"/>
  <c r="AB212" i="6"/>
  <c r="AD212" i="6"/>
  <c r="AB212" i="7"/>
  <c r="AD212" i="7"/>
  <c r="AB212" i="8"/>
  <c r="AD212" i="8"/>
  <c r="AB212" i="9"/>
  <c r="AD212" i="9"/>
  <c r="AB212" i="10"/>
  <c r="AD212" i="10"/>
  <c r="AB212" i="11"/>
  <c r="AD212" i="11" s="1"/>
  <c r="AB212" i="12" s="1"/>
  <c r="AD212" i="12" s="1"/>
  <c r="AB212" i="13" s="1"/>
  <c r="AD212" i="13" s="1"/>
  <c r="AB214" i="3"/>
  <c r="AD214" i="3"/>
  <c r="AB214" i="4"/>
  <c r="AD214" i="4"/>
  <c r="AB213" i="5"/>
  <c r="AD213" i="5"/>
  <c r="AB213" i="6"/>
  <c r="AD213" i="6"/>
  <c r="AB213" i="7"/>
  <c r="AD213" i="7"/>
  <c r="AB213" i="8"/>
  <c r="AD213" i="8"/>
  <c r="AB213" i="9"/>
  <c r="AD213" i="9"/>
  <c r="AB213" i="10"/>
  <c r="AD213" i="10"/>
  <c r="AB213" i="11" s="1"/>
  <c r="AD213" i="11" s="1"/>
  <c r="AB213" i="12" s="1"/>
  <c r="AD213" i="12" s="1"/>
  <c r="AB213" i="13" s="1"/>
  <c r="AD213" i="13" s="1"/>
  <c r="AB215" i="3"/>
  <c r="AD215" i="3"/>
  <c r="AB215" i="4"/>
  <c r="AD215" i="4"/>
  <c r="AB214" i="5"/>
  <c r="AD214" i="5"/>
  <c r="AB214" i="6"/>
  <c r="AD214" i="6"/>
  <c r="AB214" i="7"/>
  <c r="AD214" i="7"/>
  <c r="AB214" i="8"/>
  <c r="AD214" i="8"/>
  <c r="AB214" i="9"/>
  <c r="AD214" i="9"/>
  <c r="AB214" i="10"/>
  <c r="AD214" i="10"/>
  <c r="AB214" i="11" s="1"/>
  <c r="AD214" i="11" s="1"/>
  <c r="AB214" i="12" s="1"/>
  <c r="AD214" i="12" s="1"/>
  <c r="AB214" i="13" s="1"/>
  <c r="AD214" i="13" s="1"/>
  <c r="AB216" i="3"/>
  <c r="AD216" i="3"/>
  <c r="AB216" i="4"/>
  <c r="AD216" i="4"/>
  <c r="AB215" i="5"/>
  <c r="AD215" i="5"/>
  <c r="AB215" i="6"/>
  <c r="AD215" i="6"/>
  <c r="AB215" i="7"/>
  <c r="AD215" i="7"/>
  <c r="AB215" i="8"/>
  <c r="AD215" i="8"/>
  <c r="AB215" i="9"/>
  <c r="AD215" i="9"/>
  <c r="AB215" i="10"/>
  <c r="AD215" i="10"/>
  <c r="AB215" i="11" s="1"/>
  <c r="AD215" i="11"/>
  <c r="AB215" i="12" s="1"/>
  <c r="AD215" i="12" s="1"/>
  <c r="AB215" i="13" s="1"/>
  <c r="AD215" i="13" s="1"/>
  <c r="AB217" i="3"/>
  <c r="AD217" i="3"/>
  <c r="AB217" i="4"/>
  <c r="AD217" i="4"/>
  <c r="AB216" i="5"/>
  <c r="AD216" i="5"/>
  <c r="AB216" i="6"/>
  <c r="AD216" i="6"/>
  <c r="AB216" i="7"/>
  <c r="AD216" i="7"/>
  <c r="AB216" i="8"/>
  <c r="AD216" i="8"/>
  <c r="AB216" i="9"/>
  <c r="AD216" i="9"/>
  <c r="AB216" i="10"/>
  <c r="AD216" i="10"/>
  <c r="AB216" i="11" s="1"/>
  <c r="AD216" i="11" s="1"/>
  <c r="AB216" i="12" s="1"/>
  <c r="AD216" i="12"/>
  <c r="AB216" i="13" s="1"/>
  <c r="AD216" i="13"/>
  <c r="AB218" i="3"/>
  <c r="AD218" i="3"/>
  <c r="AB218" i="4"/>
  <c r="AD218" i="4"/>
  <c r="AB217" i="5"/>
  <c r="AD217" i="5"/>
  <c r="AB217" i="6"/>
  <c r="AD217" i="6"/>
  <c r="AB217" i="7"/>
  <c r="AD217" i="7"/>
  <c r="AB217" i="8"/>
  <c r="AD217" i="8"/>
  <c r="AB217" i="9"/>
  <c r="AD217" i="9"/>
  <c r="AB217" i="10"/>
  <c r="AD217" i="10"/>
  <c r="AB217" i="11" s="1"/>
  <c r="AD217" i="11" s="1"/>
  <c r="AB217" i="12" s="1"/>
  <c r="AD217" i="12" s="1"/>
  <c r="AB217" i="13" s="1"/>
  <c r="AD217" i="13" s="1"/>
  <c r="AB223" i="3"/>
  <c r="AD223" i="3"/>
  <c r="AB223" i="4"/>
  <c r="AD223" i="4"/>
  <c r="AB222" i="5"/>
  <c r="AD222" i="5"/>
  <c r="AB222" i="6"/>
  <c r="AD222" i="6"/>
  <c r="AB222" i="7"/>
  <c r="AD222" i="7"/>
  <c r="AB222" i="8"/>
  <c r="AD222" i="8"/>
  <c r="AB222" i="9"/>
  <c r="AD222" i="9"/>
  <c r="AB222" i="10"/>
  <c r="AD222" i="10"/>
  <c r="AB222" i="11" s="1"/>
  <c r="AD222" i="11" s="1"/>
  <c r="AB222" i="12" s="1"/>
  <c r="AD222" i="12" s="1"/>
  <c r="AB222" i="13" s="1"/>
  <c r="AD222" i="13" s="1"/>
  <c r="AB224" i="3"/>
  <c r="AD224" i="3"/>
  <c r="AB224" i="4"/>
  <c r="AD224" i="4"/>
  <c r="AB223" i="5"/>
  <c r="AD223" i="5"/>
  <c r="AB223" i="6"/>
  <c r="AD223" i="6"/>
  <c r="AB223" i="7"/>
  <c r="AD223" i="7"/>
  <c r="AB223" i="8"/>
  <c r="AD223" i="8"/>
  <c r="AB223" i="9"/>
  <c r="AD223" i="9"/>
  <c r="AB223" i="10"/>
  <c r="AD223" i="10"/>
  <c r="AB223" i="11"/>
  <c r="AD223" i="11" s="1"/>
  <c r="AB223" i="12" s="1"/>
  <c r="AD223" i="12" s="1"/>
  <c r="AB223" i="13" s="1"/>
  <c r="AD223" i="13" s="1"/>
  <c r="AB225" i="3"/>
  <c r="AD225" i="3"/>
  <c r="AB225" i="4"/>
  <c r="AD225" i="4"/>
  <c r="AB224" i="5"/>
  <c r="AD224" i="5"/>
  <c r="AB224" i="6"/>
  <c r="AD224" i="6"/>
  <c r="AB224" i="7"/>
  <c r="AD224" i="7"/>
  <c r="AB224" i="8"/>
  <c r="AD224" i="8"/>
  <c r="AB224" i="9"/>
  <c r="AD224" i="9"/>
  <c r="AB224" i="10"/>
  <c r="AD224" i="10"/>
  <c r="AB224" i="11"/>
  <c r="AD224" i="11" s="1"/>
  <c r="AB224" i="12" s="1"/>
  <c r="AD224" i="12" s="1"/>
  <c r="AB224" i="13" s="1"/>
  <c r="AD224" i="13" s="1"/>
  <c r="AB228" i="3"/>
  <c r="AD228" i="3"/>
  <c r="AB228" i="4"/>
  <c r="AD228" i="4"/>
  <c r="AB227" i="5"/>
  <c r="AD227" i="5"/>
  <c r="AB227" i="6"/>
  <c r="AD227" i="6"/>
  <c r="AB227" i="7"/>
  <c r="AD227" i="7"/>
  <c r="AB227" i="8"/>
  <c r="AD227" i="8"/>
  <c r="AB227" i="9"/>
  <c r="AD227" i="9"/>
  <c r="AB227" i="10"/>
  <c r="AD227" i="10"/>
  <c r="AB227" i="11" s="1"/>
  <c r="AD227" i="11" s="1"/>
  <c r="AB227" i="12" s="1"/>
  <c r="AD227" i="12" s="1"/>
  <c r="AB227" i="13" s="1"/>
  <c r="AD227" i="13" s="1"/>
  <c r="AB229" i="3"/>
  <c r="AD229" i="3"/>
  <c r="AB229" i="4"/>
  <c r="AD229" i="4"/>
  <c r="AB228" i="5"/>
  <c r="AD228" i="5"/>
  <c r="AB228" i="6"/>
  <c r="AD228" i="6"/>
  <c r="AB228" i="7"/>
  <c r="AD228" i="7"/>
  <c r="AB228" i="8"/>
  <c r="AD228" i="8"/>
  <c r="AB228" i="9"/>
  <c r="AD228" i="9"/>
  <c r="AB228" i="10"/>
  <c r="AD228" i="10"/>
  <c r="AB228" i="11"/>
  <c r="AD228" i="11" s="1"/>
  <c r="AB228" i="12" s="1"/>
  <c r="AD228" i="12" s="1"/>
  <c r="AB228" i="13" s="1"/>
  <c r="AD228" i="13" s="1"/>
  <c r="AB230" i="3"/>
  <c r="AD230" i="3"/>
  <c r="AB230" i="4"/>
  <c r="AD230" i="4"/>
  <c r="AB229" i="5"/>
  <c r="AD229" i="5"/>
  <c r="AB229" i="6"/>
  <c r="AD229" i="6"/>
  <c r="AB229" i="7"/>
  <c r="AD229" i="7"/>
  <c r="AB229" i="8"/>
  <c r="AD229" i="8"/>
  <c r="AB229" i="9"/>
  <c r="AD229" i="9"/>
  <c r="AB229" i="10"/>
  <c r="AD229" i="10"/>
  <c r="AB229" i="11" s="1"/>
  <c r="AD229" i="11" s="1"/>
  <c r="AB229" i="12" s="1"/>
  <c r="AD229" i="12" s="1"/>
  <c r="AB229" i="13" s="1"/>
  <c r="AD229" i="13" s="1"/>
  <c r="AB236" i="3"/>
  <c r="AD236" i="3"/>
  <c r="AB236" i="4"/>
  <c r="AD236" i="4"/>
  <c r="AB235" i="5"/>
  <c r="AD235" i="5"/>
  <c r="AB235" i="6"/>
  <c r="AD235" i="6"/>
  <c r="AB235" i="7"/>
  <c r="AD235" i="7"/>
  <c r="AB235" i="8"/>
  <c r="AD235" i="8"/>
  <c r="AB235" i="9"/>
  <c r="AD235" i="9"/>
  <c r="AB235" i="10"/>
  <c r="AD235" i="10"/>
  <c r="AB235" i="11" s="1"/>
  <c r="AD235" i="11"/>
  <c r="AB235" i="12" s="1"/>
  <c r="AD235" i="12" s="1"/>
  <c r="AB235" i="13" s="1"/>
  <c r="AD235" i="13" s="1"/>
  <c r="AB237" i="3"/>
  <c r="AD237" i="3"/>
  <c r="AB237" i="4"/>
  <c r="AD237" i="4"/>
  <c r="AB236" i="5"/>
  <c r="AD236" i="5"/>
  <c r="AB236" i="6"/>
  <c r="AD236" i="6"/>
  <c r="AB236" i="7"/>
  <c r="AD236" i="7"/>
  <c r="AB236" i="8"/>
  <c r="AD236" i="8"/>
  <c r="AB236" i="9"/>
  <c r="AD236" i="9"/>
  <c r="AB236" i="10"/>
  <c r="AD236" i="10"/>
  <c r="AB236" i="11" s="1"/>
  <c r="AD236" i="11" s="1"/>
  <c r="AB236" i="12" s="1"/>
  <c r="AD236" i="12" s="1"/>
  <c r="AB236" i="13" s="1"/>
  <c r="AD236" i="13" s="1"/>
  <c r="AB238" i="3"/>
  <c r="AD238" i="3"/>
  <c r="AB238" i="4"/>
  <c r="AD238" i="4"/>
  <c r="AB237" i="5"/>
  <c r="AD237" i="5"/>
  <c r="AB237" i="6"/>
  <c r="AD237" i="6"/>
  <c r="AB237" i="7"/>
  <c r="AD237" i="7"/>
  <c r="AB237" i="8"/>
  <c r="AD237" i="8"/>
  <c r="AB237" i="9"/>
  <c r="AD237" i="9"/>
  <c r="AB237" i="10"/>
  <c r="AD237" i="10"/>
  <c r="AB237" i="11" s="1"/>
  <c r="AD237" i="11" s="1"/>
  <c r="AB237" i="12" s="1"/>
  <c r="AD237" i="12" s="1"/>
  <c r="AB237" i="13" s="1"/>
  <c r="AD237" i="13" s="1"/>
  <c r="AB239" i="3"/>
  <c r="AD239" i="3"/>
  <c r="AB239" i="4"/>
  <c r="AD239" i="4"/>
  <c r="AB238" i="5"/>
  <c r="AD238" i="5"/>
  <c r="AB238" i="6"/>
  <c r="AD238" i="6"/>
  <c r="AB238" i="7"/>
  <c r="AD238" i="7"/>
  <c r="AB238" i="8"/>
  <c r="AD238" i="8"/>
  <c r="AB238" i="9"/>
  <c r="AD238" i="9"/>
  <c r="AB238" i="10"/>
  <c r="AD238" i="10"/>
  <c r="AB238" i="11" s="1"/>
  <c r="AD238" i="11" s="1"/>
  <c r="AB238" i="12" s="1"/>
  <c r="AD238" i="12" s="1"/>
  <c r="AB238" i="13" s="1"/>
  <c r="AD238" i="13" s="1"/>
  <c r="AB240" i="3"/>
  <c r="AD240" i="3"/>
  <c r="AB240" i="4"/>
  <c r="AD240" i="4"/>
  <c r="AB239" i="5"/>
  <c r="AD239" i="5"/>
  <c r="AB239" i="6"/>
  <c r="AD239" i="6"/>
  <c r="AB239" i="7"/>
  <c r="AD239" i="7"/>
  <c r="AB239" i="8"/>
  <c r="AD239" i="8"/>
  <c r="AB239" i="9"/>
  <c r="AD239" i="9"/>
  <c r="AB239" i="10"/>
  <c r="AD239" i="10"/>
  <c r="AB239" i="11" s="1"/>
  <c r="AD239" i="11" s="1"/>
  <c r="AB239" i="12" s="1"/>
  <c r="AD239" i="12" s="1"/>
  <c r="AB239" i="13" s="1"/>
  <c r="AD239" i="13" s="1"/>
  <c r="AB241" i="3"/>
  <c r="AD241" i="3"/>
  <c r="AB241" i="4"/>
  <c r="AD241" i="4"/>
  <c r="AB240" i="5"/>
  <c r="AD240" i="5"/>
  <c r="AB240" i="6"/>
  <c r="AD240" i="6"/>
  <c r="AB240" i="7"/>
  <c r="AD240" i="7"/>
  <c r="AB240" i="8"/>
  <c r="AD240" i="8"/>
  <c r="AB240" i="9"/>
  <c r="AD240" i="9"/>
  <c r="AB240" i="10"/>
  <c r="AD240" i="10"/>
  <c r="AB240" i="11"/>
  <c r="AD240" i="11" s="1"/>
  <c r="AB240" i="12" s="1"/>
  <c r="AD240" i="12" s="1"/>
  <c r="AB240" i="13" s="1"/>
  <c r="AD240" i="13" s="1"/>
  <c r="AB244" i="3"/>
  <c r="AD244" i="3"/>
  <c r="AB244" i="4"/>
  <c r="AD244" i="4"/>
  <c r="AB243" i="5"/>
  <c r="AD243" i="5"/>
  <c r="AB243" i="6"/>
  <c r="AD243" i="6"/>
  <c r="AB243" i="7"/>
  <c r="AD243" i="7"/>
  <c r="AB243" i="8"/>
  <c r="AD243" i="8"/>
  <c r="AB243" i="9"/>
  <c r="AD243" i="9"/>
  <c r="AB243" i="10"/>
  <c r="AD243" i="10"/>
  <c r="AB243" i="11" s="1"/>
  <c r="AD243" i="11" s="1"/>
  <c r="AB243" i="12" s="1"/>
  <c r="AD243" i="12" s="1"/>
  <c r="AB243" i="13" s="1"/>
  <c r="AD243" i="13" s="1"/>
  <c r="AB245" i="3"/>
  <c r="AD245" i="3"/>
  <c r="AB245" i="4"/>
  <c r="AD245" i="4"/>
  <c r="AB244" i="5"/>
  <c r="AD244" i="5"/>
  <c r="AB244" i="6"/>
  <c r="AD244" i="6"/>
  <c r="AB244" i="7"/>
  <c r="AD244" i="7"/>
  <c r="AB244" i="8"/>
  <c r="AD244" i="8"/>
  <c r="AB244" i="9"/>
  <c r="AD244" i="9"/>
  <c r="AB244" i="10"/>
  <c r="AD244" i="10"/>
  <c r="AB244" i="11" s="1"/>
  <c r="AD244" i="11" s="1"/>
  <c r="AB244" i="12" s="1"/>
  <c r="AD244" i="12" s="1"/>
  <c r="AB244" i="13" s="1"/>
  <c r="AD244" i="13" s="1"/>
  <c r="AB246" i="3"/>
  <c r="AD246" i="3"/>
  <c r="AB246" i="4"/>
  <c r="AD246" i="4"/>
  <c r="AB245" i="5"/>
  <c r="AD245" i="5"/>
  <c r="AB245" i="6"/>
  <c r="AD245" i="6"/>
  <c r="AB245" i="7"/>
  <c r="AD245" i="7"/>
  <c r="AB245" i="8"/>
  <c r="AD245" i="8"/>
  <c r="AB245" i="9"/>
  <c r="AD245" i="9"/>
  <c r="AB245" i="10"/>
  <c r="AD245" i="10"/>
  <c r="AB245" i="11"/>
  <c r="AD245" i="11" s="1"/>
  <c r="AB245" i="12" s="1"/>
  <c r="AD245" i="12" s="1"/>
  <c r="AB245" i="13" s="1"/>
  <c r="AD245" i="13" s="1"/>
  <c r="AB247" i="3"/>
  <c r="AD247" i="3"/>
  <c r="AB247" i="4"/>
  <c r="AD247" i="4"/>
  <c r="AB246" i="5"/>
  <c r="AD246" i="5"/>
  <c r="AB246" i="6"/>
  <c r="AD246" i="6"/>
  <c r="AB246" i="7"/>
  <c r="AD246" i="7"/>
  <c r="AB246" i="8"/>
  <c r="AD246" i="8"/>
  <c r="AB246" i="9"/>
  <c r="AD246" i="9"/>
  <c r="AB246" i="10"/>
  <c r="AD246" i="10"/>
  <c r="AB246" i="11" s="1"/>
  <c r="AD246" i="11" s="1"/>
  <c r="AB246" i="12" s="1"/>
  <c r="AD246" i="12" s="1"/>
  <c r="AB246" i="13" s="1"/>
  <c r="AD246" i="13" s="1"/>
  <c r="AB248" i="3"/>
  <c r="AD248" i="3"/>
  <c r="AB248" i="4"/>
  <c r="AD248" i="4"/>
  <c r="AB247" i="5"/>
  <c r="AD247" i="5"/>
  <c r="AB247" i="6"/>
  <c r="AD247" i="6"/>
  <c r="AB247" i="7"/>
  <c r="AD247" i="7"/>
  <c r="AB247" i="8"/>
  <c r="AD247" i="8"/>
  <c r="AB247" i="9"/>
  <c r="AD247" i="9"/>
  <c r="AB247" i="10"/>
  <c r="AD247" i="10"/>
  <c r="AB247" i="11" s="1"/>
  <c r="AD247" i="11" s="1"/>
  <c r="AB247" i="12" s="1"/>
  <c r="AD247" i="12" s="1"/>
  <c r="AB247" i="13" s="1"/>
  <c r="AD247" i="13" s="1"/>
  <c r="AB249" i="3"/>
  <c r="AD249" i="3"/>
  <c r="AB249" i="4"/>
  <c r="AD249" i="4"/>
  <c r="AB248" i="5"/>
  <c r="AD248" i="5"/>
  <c r="AB248" i="6"/>
  <c r="AD248" i="6"/>
  <c r="AB248" i="7"/>
  <c r="AD248" i="7"/>
  <c r="AB248" i="8"/>
  <c r="AD248" i="8"/>
  <c r="AB248" i="9"/>
  <c r="AD248" i="9"/>
  <c r="AB248" i="10"/>
  <c r="AD248" i="10"/>
  <c r="AB248" i="11" s="1"/>
  <c r="AD248" i="11"/>
  <c r="AB248" i="12" s="1"/>
  <c r="AD248" i="12" s="1"/>
  <c r="AB248" i="13" s="1"/>
  <c r="AD248" i="13" s="1"/>
  <c r="AB250" i="3"/>
  <c r="AD250" i="3"/>
  <c r="AB250" i="4"/>
  <c r="AD250" i="4"/>
  <c r="AB249" i="5"/>
  <c r="AD249" i="5"/>
  <c r="AB249" i="6"/>
  <c r="AD249" i="6"/>
  <c r="AB249" i="7"/>
  <c r="AD249" i="7"/>
  <c r="AB249" i="8"/>
  <c r="AD249" i="8"/>
  <c r="AB249" i="9"/>
  <c r="AD249" i="9"/>
  <c r="AB249" i="10"/>
  <c r="AD249" i="10"/>
  <c r="AB249" i="11"/>
  <c r="AD249" i="11" s="1"/>
  <c r="AB249" i="12" s="1"/>
  <c r="AD249" i="12" s="1"/>
  <c r="AB249" i="13" s="1"/>
  <c r="AD249" i="13" s="1"/>
  <c r="AB251" i="3"/>
  <c r="AD251" i="3"/>
  <c r="AB251" i="4"/>
  <c r="AD251" i="4"/>
  <c r="AB250" i="5"/>
  <c r="AD250" i="5"/>
  <c r="AB250" i="6"/>
  <c r="AD250" i="6"/>
  <c r="AB250" i="7"/>
  <c r="AD250" i="7"/>
  <c r="AB250" i="8"/>
  <c r="AD250" i="8"/>
  <c r="AB250" i="9"/>
  <c r="AD250" i="9"/>
  <c r="AB250" i="10"/>
  <c r="AD250" i="10"/>
  <c r="AB250" i="11" s="1"/>
  <c r="AD250" i="11" s="1"/>
  <c r="AB250" i="12" s="1"/>
  <c r="AD250" i="12" s="1"/>
  <c r="AB250" i="13" s="1"/>
  <c r="AD250" i="13" s="1"/>
  <c r="AB252" i="3"/>
  <c r="AD252" i="3"/>
  <c r="AB252" i="4"/>
  <c r="AD252" i="4"/>
  <c r="AB251" i="5"/>
  <c r="AD251" i="5"/>
  <c r="AB251" i="6"/>
  <c r="AD251" i="6"/>
  <c r="AB251" i="7"/>
  <c r="AD251" i="7"/>
  <c r="AB251" i="8"/>
  <c r="AD251" i="8"/>
  <c r="AB251" i="9"/>
  <c r="AD251" i="9"/>
  <c r="AB251" i="10"/>
  <c r="AD251" i="10"/>
  <c r="AB251" i="11" s="1"/>
  <c r="AD251" i="11" s="1"/>
  <c r="AB251" i="12" s="1"/>
  <c r="AD251" i="12" s="1"/>
  <c r="AB251" i="13" s="1"/>
  <c r="AD251" i="13" s="1"/>
  <c r="AB253" i="3"/>
  <c r="AD253" i="3"/>
  <c r="AB253" i="4"/>
  <c r="AD253" i="4"/>
  <c r="AB252" i="5"/>
  <c r="AD252" i="5"/>
  <c r="AB252" i="6"/>
  <c r="AD252" i="6"/>
  <c r="AB252" i="7"/>
  <c r="AD252" i="7"/>
  <c r="AB252" i="8"/>
  <c r="AD252" i="8"/>
  <c r="AB252" i="9"/>
  <c r="AD252" i="9"/>
  <c r="AB252" i="10"/>
  <c r="AD252" i="10"/>
  <c r="AB252" i="11" s="1"/>
  <c r="AD252" i="11" s="1"/>
  <c r="AB252" i="12" s="1"/>
  <c r="AD252" i="12" s="1"/>
  <c r="AB252" i="13" s="1"/>
  <c r="AD252" i="13" s="1"/>
  <c r="AB254" i="3"/>
  <c r="AD254" i="3"/>
  <c r="AB254" i="4"/>
  <c r="AD254" i="4"/>
  <c r="AB253" i="5"/>
  <c r="AD253" i="5"/>
  <c r="AB253" i="6"/>
  <c r="AD253" i="6"/>
  <c r="AB253" i="7"/>
  <c r="AD253" i="7"/>
  <c r="AB253" i="8"/>
  <c r="AD253" i="8"/>
  <c r="AB253" i="9"/>
  <c r="AD253" i="9"/>
  <c r="AB253" i="10"/>
  <c r="AD253" i="10"/>
  <c r="AB253" i="11"/>
  <c r="AD253" i="11" s="1"/>
  <c r="AB253" i="12" s="1"/>
  <c r="AD253" i="12" s="1"/>
  <c r="AB253" i="13" s="1"/>
  <c r="AD253" i="13" s="1"/>
  <c r="AB255" i="3"/>
  <c r="AD255" i="3"/>
  <c r="AB255" i="4"/>
  <c r="AD255" i="4"/>
  <c r="AB254" i="5"/>
  <c r="AD254" i="5"/>
  <c r="AB254" i="6"/>
  <c r="AD254" i="6"/>
  <c r="AB254" i="7"/>
  <c r="AD254" i="7"/>
  <c r="AB254" i="8"/>
  <c r="AD254" i="8"/>
  <c r="AB254" i="9"/>
  <c r="AD254" i="9"/>
  <c r="AB254" i="10"/>
  <c r="AD254" i="10"/>
  <c r="AB254" i="11"/>
  <c r="AD254" i="11" s="1"/>
  <c r="AB254" i="12" s="1"/>
  <c r="AD254" i="12" s="1"/>
  <c r="AB254" i="13" s="1"/>
  <c r="AD254" i="13" s="1"/>
  <c r="AB256" i="3"/>
  <c r="AD256" i="3"/>
  <c r="AB256" i="4"/>
  <c r="AD256" i="4"/>
  <c r="AB255" i="5"/>
  <c r="AD255" i="5"/>
  <c r="AB255" i="6"/>
  <c r="AD255" i="6"/>
  <c r="AB255" i="7"/>
  <c r="AD255" i="7"/>
  <c r="AB255" i="8"/>
  <c r="AD255" i="8"/>
  <c r="AB255" i="9"/>
  <c r="AD255" i="9"/>
  <c r="AB255" i="10"/>
  <c r="AD255" i="10"/>
  <c r="AB255" i="11" s="1"/>
  <c r="AD255" i="11" s="1"/>
  <c r="AB255" i="12" s="1"/>
  <c r="AD255" i="12" s="1"/>
  <c r="AB255" i="13" s="1"/>
  <c r="AD255" i="13" s="1"/>
  <c r="J12" i="3"/>
  <c r="L12" i="3"/>
  <c r="J12" i="4"/>
  <c r="L12" i="4"/>
  <c r="J12" i="5"/>
  <c r="L12" i="5"/>
  <c r="J12" i="6"/>
  <c r="L12" i="6"/>
  <c r="J12" i="7"/>
  <c r="L12" i="7"/>
  <c r="J12" i="8"/>
  <c r="L12" i="8"/>
  <c r="J12" i="9"/>
  <c r="L12" i="9"/>
  <c r="J12" i="10"/>
  <c r="L12" i="10"/>
  <c r="J12" i="11" s="1"/>
  <c r="L12" i="11" s="1"/>
  <c r="J12" i="12" s="1"/>
  <c r="L12" i="12" s="1"/>
  <c r="J12" i="13" s="1"/>
  <c r="J13" i="3"/>
  <c r="L13" i="3"/>
  <c r="J13" i="4"/>
  <c r="L13" i="4"/>
  <c r="J13" i="5"/>
  <c r="L13" i="5"/>
  <c r="J13" i="6"/>
  <c r="L13" i="6"/>
  <c r="J13" i="7"/>
  <c r="L13" i="7"/>
  <c r="J13" i="8"/>
  <c r="L13" i="8"/>
  <c r="J13" i="9"/>
  <c r="L13" i="9"/>
  <c r="J13" i="10"/>
  <c r="L13" i="10"/>
  <c r="J13" i="11" s="1"/>
  <c r="L13" i="11" s="1"/>
  <c r="J13" i="12" s="1"/>
  <c r="L13" i="12" s="1"/>
  <c r="J13" i="13" s="1"/>
  <c r="J14" i="3"/>
  <c r="L14" i="3"/>
  <c r="J14" i="4"/>
  <c r="L14" i="4"/>
  <c r="J14" i="5"/>
  <c r="L14" i="5"/>
  <c r="J14" i="6"/>
  <c r="L14" i="6"/>
  <c r="J14" i="7"/>
  <c r="L14" i="7"/>
  <c r="J14" i="8"/>
  <c r="L14" i="8"/>
  <c r="J14" i="9"/>
  <c r="L14" i="9"/>
  <c r="J14" i="10"/>
  <c r="L14" i="10"/>
  <c r="J14" i="11" s="1"/>
  <c r="L14" i="11" s="1"/>
  <c r="J14" i="12" s="1"/>
  <c r="L14" i="12" s="1"/>
  <c r="J14" i="13" s="1"/>
  <c r="J15" i="3"/>
  <c r="L15" i="3"/>
  <c r="J15" i="4"/>
  <c r="L15" i="4"/>
  <c r="J15" i="5"/>
  <c r="L15" i="5"/>
  <c r="J15" i="6"/>
  <c r="L15" i="6"/>
  <c r="J15" i="7"/>
  <c r="L15" i="7"/>
  <c r="J15" i="8"/>
  <c r="L15" i="8"/>
  <c r="J15" i="9"/>
  <c r="L15" i="9"/>
  <c r="J15" i="10"/>
  <c r="L15" i="10"/>
  <c r="J15" i="11"/>
  <c r="L15" i="11" s="1"/>
  <c r="J15" i="12" s="1"/>
  <c r="L15" i="12" s="1"/>
  <c r="J15" i="13" s="1"/>
  <c r="J23" i="3"/>
  <c r="L23" i="3"/>
  <c r="J23" i="4"/>
  <c r="L23" i="4"/>
  <c r="J23" i="5"/>
  <c r="L23" i="5"/>
  <c r="J23" i="6"/>
  <c r="L23" i="6"/>
  <c r="J23" i="7"/>
  <c r="L23" i="7"/>
  <c r="J23" i="8"/>
  <c r="L23" i="8"/>
  <c r="J23" i="9"/>
  <c r="L23" i="9"/>
  <c r="J23" i="10"/>
  <c r="L23" i="10"/>
  <c r="J23" i="11" s="1"/>
  <c r="L23" i="11" s="1"/>
  <c r="J23" i="12" s="1"/>
  <c r="L23" i="12" s="1"/>
  <c r="J23" i="13" s="1"/>
  <c r="J24" i="3"/>
  <c r="L24" i="3"/>
  <c r="J24" i="4"/>
  <c r="L24" i="4"/>
  <c r="J24" i="5"/>
  <c r="L24" i="5"/>
  <c r="J24" i="6"/>
  <c r="L24" i="6"/>
  <c r="J24" i="7"/>
  <c r="L24" i="7"/>
  <c r="J24" i="8"/>
  <c r="L24" i="8"/>
  <c r="J24" i="9"/>
  <c r="L24" i="9"/>
  <c r="J24" i="10"/>
  <c r="L24" i="10"/>
  <c r="J24" i="11"/>
  <c r="L24" i="11" s="1"/>
  <c r="J24" i="12" s="1"/>
  <c r="L24" i="12" s="1"/>
  <c r="J24" i="13" s="1"/>
  <c r="J26" i="3"/>
  <c r="L26" i="3"/>
  <c r="J26" i="4"/>
  <c r="L26" i="4"/>
  <c r="J26" i="5"/>
  <c r="L26" i="5"/>
  <c r="J26" i="6"/>
  <c r="L26" i="6"/>
  <c r="J26" i="7"/>
  <c r="L26" i="7"/>
  <c r="J26" i="8"/>
  <c r="L26" i="8"/>
  <c r="J26" i="9"/>
  <c r="L26" i="9"/>
  <c r="J26" i="10"/>
  <c r="L26" i="10"/>
  <c r="J26" i="11" s="1"/>
  <c r="L26" i="11" s="1"/>
  <c r="J26" i="12" s="1"/>
  <c r="L26" i="12" s="1"/>
  <c r="J26" i="13" s="1"/>
  <c r="J27" i="3"/>
  <c r="L27" i="3"/>
  <c r="J27" i="4"/>
  <c r="L27" i="4"/>
  <c r="J27" i="5"/>
  <c r="L27" i="5"/>
  <c r="J27" i="6"/>
  <c r="L27" i="6"/>
  <c r="J27" i="7"/>
  <c r="L27" i="7"/>
  <c r="J27" i="8"/>
  <c r="L27" i="8"/>
  <c r="J27" i="9"/>
  <c r="L27" i="9"/>
  <c r="J27" i="10"/>
  <c r="L27" i="10"/>
  <c r="J27" i="11" s="1"/>
  <c r="L27" i="11" s="1"/>
  <c r="J27" i="12" s="1"/>
  <c r="L27" i="12" s="1"/>
  <c r="J27" i="13" s="1"/>
  <c r="J30" i="3"/>
  <c r="L30" i="3"/>
  <c r="J30" i="4"/>
  <c r="L30" i="4"/>
  <c r="J30" i="5"/>
  <c r="L30" i="5"/>
  <c r="J30" i="6"/>
  <c r="L30" i="6"/>
  <c r="J30" i="7"/>
  <c r="L30" i="7"/>
  <c r="J30" i="8"/>
  <c r="L30" i="8"/>
  <c r="J30" i="9"/>
  <c r="L30" i="9"/>
  <c r="J30" i="10"/>
  <c r="L30" i="10"/>
  <c r="J30" i="11" s="1"/>
  <c r="L30" i="11" s="1"/>
  <c r="J30" i="12" s="1"/>
  <c r="L30" i="12" s="1"/>
  <c r="J30" i="13" s="1"/>
  <c r="J31" i="3"/>
  <c r="L31" i="3"/>
  <c r="J31" i="4"/>
  <c r="L31" i="4"/>
  <c r="J31" i="5"/>
  <c r="L31" i="5"/>
  <c r="J31" i="6"/>
  <c r="L31" i="6"/>
  <c r="J31" i="7"/>
  <c r="L31" i="7"/>
  <c r="J31" i="8"/>
  <c r="L31" i="8"/>
  <c r="J31" i="9"/>
  <c r="L31" i="9"/>
  <c r="J31" i="10"/>
  <c r="L31" i="10"/>
  <c r="J31" i="11"/>
  <c r="L31" i="11" s="1"/>
  <c r="J31" i="12" s="1"/>
  <c r="L31" i="12" s="1"/>
  <c r="J31" i="13" s="1"/>
  <c r="J33" i="3"/>
  <c r="L33" i="3"/>
  <c r="J33" i="4"/>
  <c r="L33" i="4"/>
  <c r="J33" i="5"/>
  <c r="L33" i="5"/>
  <c r="J33" i="6"/>
  <c r="L33" i="6"/>
  <c r="J33" i="7"/>
  <c r="L33" i="7"/>
  <c r="J33" i="8"/>
  <c r="L33" i="8"/>
  <c r="J33" i="9"/>
  <c r="L33" i="9"/>
  <c r="J33" i="10"/>
  <c r="L33" i="10"/>
  <c r="J33" i="11" s="1"/>
  <c r="L33" i="11" s="1"/>
  <c r="J33" i="12" s="1"/>
  <c r="L33" i="12" s="1"/>
  <c r="J33" i="13" s="1"/>
  <c r="J34" i="3"/>
  <c r="L34" i="3"/>
  <c r="J34" i="4"/>
  <c r="L34" i="4"/>
  <c r="J34" i="5"/>
  <c r="L34" i="5"/>
  <c r="J34" i="6"/>
  <c r="L34" i="6"/>
  <c r="J34" i="7"/>
  <c r="L34" i="7"/>
  <c r="J34" i="8"/>
  <c r="L34" i="8"/>
  <c r="J34" i="9"/>
  <c r="L34" i="9"/>
  <c r="J34" i="10"/>
  <c r="L34" i="10"/>
  <c r="J34" i="11" s="1"/>
  <c r="L34" i="11" s="1"/>
  <c r="J34" i="12" s="1"/>
  <c r="L34" i="12" s="1"/>
  <c r="J34" i="13" s="1"/>
  <c r="J36" i="3"/>
  <c r="L36" i="3"/>
  <c r="J36" i="4"/>
  <c r="L36" i="4"/>
  <c r="J36" i="5"/>
  <c r="L36" i="5"/>
  <c r="J36" i="6"/>
  <c r="L36" i="6"/>
  <c r="J36" i="7"/>
  <c r="L36" i="7"/>
  <c r="J36" i="8"/>
  <c r="L36" i="8"/>
  <c r="J36" i="9"/>
  <c r="L36" i="9"/>
  <c r="J36" i="10"/>
  <c r="L36" i="10"/>
  <c r="J36" i="11"/>
  <c r="L36" i="11" s="1"/>
  <c r="J36" i="12" s="1"/>
  <c r="L36" i="12" s="1"/>
  <c r="J36" i="13" s="1"/>
  <c r="J37" i="3"/>
  <c r="L37" i="3"/>
  <c r="J37" i="4"/>
  <c r="L37" i="4"/>
  <c r="J37" i="5"/>
  <c r="L37" i="5"/>
  <c r="J37" i="6"/>
  <c r="L37" i="6"/>
  <c r="J37" i="7"/>
  <c r="L37" i="7"/>
  <c r="J37" i="8"/>
  <c r="L37" i="8"/>
  <c r="J37" i="9"/>
  <c r="L37" i="9"/>
  <c r="J37" i="10"/>
  <c r="L37" i="10"/>
  <c r="J37" i="11" s="1"/>
  <c r="L37" i="11" s="1"/>
  <c r="J37" i="12" s="1"/>
  <c r="L37" i="12" s="1"/>
  <c r="J37" i="13" s="1"/>
  <c r="J38" i="3"/>
  <c r="L38" i="3"/>
  <c r="J38" i="4"/>
  <c r="L38" i="4"/>
  <c r="J38" i="5"/>
  <c r="L38" i="5"/>
  <c r="J38" i="6"/>
  <c r="L38" i="6"/>
  <c r="J38" i="7"/>
  <c r="L38" i="7"/>
  <c r="J38" i="8"/>
  <c r="L38" i="8"/>
  <c r="J38" i="9"/>
  <c r="L38" i="9"/>
  <c r="J38" i="10"/>
  <c r="L38" i="10"/>
  <c r="J38" i="11" s="1"/>
  <c r="L38" i="11" s="1"/>
  <c r="J38" i="12" s="1"/>
  <c r="L38" i="12" s="1"/>
  <c r="J38" i="13" s="1"/>
  <c r="L38" i="13"/>
  <c r="J39" i="3"/>
  <c r="L39" i="3"/>
  <c r="J39" i="4"/>
  <c r="L39" i="4"/>
  <c r="J39" i="5"/>
  <c r="L39" i="5"/>
  <c r="J39" i="6"/>
  <c r="L39" i="6"/>
  <c r="J39" i="7"/>
  <c r="L39" i="7"/>
  <c r="J39" i="8"/>
  <c r="L39" i="8"/>
  <c r="J39" i="9"/>
  <c r="L39" i="9"/>
  <c r="J39" i="10"/>
  <c r="L39" i="10"/>
  <c r="J39" i="11"/>
  <c r="L39" i="11" s="1"/>
  <c r="J39" i="12" s="1"/>
  <c r="L39" i="12" s="1"/>
  <c r="J39" i="13" s="1"/>
  <c r="J40" i="3"/>
  <c r="L40" i="3"/>
  <c r="J40" i="4"/>
  <c r="L40" i="4"/>
  <c r="J40" i="5"/>
  <c r="L40" i="5"/>
  <c r="J40" i="6"/>
  <c r="L40" i="6"/>
  <c r="J40" i="7"/>
  <c r="L40" i="7"/>
  <c r="J40" i="8"/>
  <c r="L40" i="8"/>
  <c r="J40" i="9"/>
  <c r="L40" i="9"/>
  <c r="J40" i="10"/>
  <c r="L40" i="10"/>
  <c r="J40" i="11" s="1"/>
  <c r="L40" i="11" s="1"/>
  <c r="J40" i="12" s="1"/>
  <c r="L40" i="12" s="1"/>
  <c r="J40" i="13" s="1"/>
  <c r="J41" i="3"/>
  <c r="L41" i="3"/>
  <c r="J41" i="4"/>
  <c r="L41" i="4"/>
  <c r="J41" i="5"/>
  <c r="L41" i="5"/>
  <c r="J41" i="6"/>
  <c r="L41" i="6"/>
  <c r="J41" i="7"/>
  <c r="L41" i="7"/>
  <c r="J41" i="8"/>
  <c r="L41" i="8"/>
  <c r="J41" i="9"/>
  <c r="L41" i="9"/>
  <c r="J41" i="10"/>
  <c r="L41" i="10"/>
  <c r="J41" i="11" s="1"/>
  <c r="L41" i="11" s="1"/>
  <c r="J41" i="12" s="1"/>
  <c r="L41" i="12" s="1"/>
  <c r="J41" i="13" s="1"/>
  <c r="J43" i="3"/>
  <c r="L43" i="3"/>
  <c r="J43" i="4"/>
  <c r="L43" i="4"/>
  <c r="J43" i="5"/>
  <c r="L43" i="5"/>
  <c r="J43" i="6"/>
  <c r="L43" i="6"/>
  <c r="J43" i="7"/>
  <c r="L43" i="7"/>
  <c r="J43" i="8"/>
  <c r="L43" i="8"/>
  <c r="J43" i="9"/>
  <c r="L43" i="9"/>
  <c r="J43" i="10"/>
  <c r="L43" i="10"/>
  <c r="J43" i="11" s="1"/>
  <c r="L43" i="11" s="1"/>
  <c r="J43" i="12" s="1"/>
  <c r="L43" i="12" s="1"/>
  <c r="J43" i="13" s="1"/>
  <c r="J44" i="3"/>
  <c r="L44" i="3"/>
  <c r="J44" i="4"/>
  <c r="L44" i="4"/>
  <c r="J44" i="5"/>
  <c r="L44" i="5"/>
  <c r="J44" i="6"/>
  <c r="L44" i="6"/>
  <c r="J44" i="7"/>
  <c r="L44" i="7"/>
  <c r="J44" i="8"/>
  <c r="L44" i="8"/>
  <c r="J44" i="9"/>
  <c r="L44" i="9"/>
  <c r="J44" i="10"/>
  <c r="L44" i="10"/>
  <c r="J44" i="11" s="1"/>
  <c r="L44" i="11" s="1"/>
  <c r="J44" i="12" s="1"/>
  <c r="L44" i="12" s="1"/>
  <c r="J44" i="13" s="1"/>
  <c r="J46" i="3"/>
  <c r="L46" i="3"/>
  <c r="J46" i="4"/>
  <c r="L46" i="4"/>
  <c r="J46" i="5"/>
  <c r="L46" i="5"/>
  <c r="J46" i="6"/>
  <c r="L46" i="6"/>
  <c r="J46" i="7"/>
  <c r="L46" i="7"/>
  <c r="J46" i="8"/>
  <c r="L46" i="8"/>
  <c r="J46" i="9"/>
  <c r="L46" i="9"/>
  <c r="J46" i="10"/>
  <c r="L46" i="10"/>
  <c r="J46" i="11" s="1"/>
  <c r="L46" i="11" s="1"/>
  <c r="J46" i="12" s="1"/>
  <c r="L46" i="12" s="1"/>
  <c r="J46" i="13" s="1"/>
  <c r="J47" i="3"/>
  <c r="L47" i="3"/>
  <c r="J47" i="4"/>
  <c r="L47" i="4"/>
  <c r="J47" i="5"/>
  <c r="L47" i="5"/>
  <c r="J47" i="6"/>
  <c r="L47" i="6"/>
  <c r="J47" i="7"/>
  <c r="L47" i="7"/>
  <c r="J47" i="8"/>
  <c r="L47" i="8"/>
  <c r="J47" i="9"/>
  <c r="L47" i="9"/>
  <c r="J47" i="10"/>
  <c r="L47" i="10"/>
  <c r="J47" i="11" s="1"/>
  <c r="L47" i="11" s="1"/>
  <c r="J47" i="12" s="1"/>
  <c r="L47" i="12" s="1"/>
  <c r="J47" i="13" s="1"/>
  <c r="J49" i="3"/>
  <c r="L49" i="3"/>
  <c r="J49" i="4"/>
  <c r="L49" i="4"/>
  <c r="J49" i="5"/>
  <c r="L49" i="5"/>
  <c r="J49" i="6"/>
  <c r="L49" i="6"/>
  <c r="J49" i="7"/>
  <c r="L49" i="7"/>
  <c r="J49" i="8"/>
  <c r="L49" i="8"/>
  <c r="J49" i="9"/>
  <c r="L49" i="9"/>
  <c r="J49" i="10"/>
  <c r="L49" i="10"/>
  <c r="J49" i="11"/>
  <c r="L49" i="11" s="1"/>
  <c r="J49" i="12" s="1"/>
  <c r="L49" i="12" s="1"/>
  <c r="J49" i="13" s="1"/>
  <c r="J50" i="3"/>
  <c r="L50" i="3"/>
  <c r="J50" i="4"/>
  <c r="L50" i="4"/>
  <c r="J50" i="5"/>
  <c r="L50" i="5"/>
  <c r="J50" i="6"/>
  <c r="L50" i="6"/>
  <c r="J50" i="7"/>
  <c r="L50" i="7"/>
  <c r="J50" i="8"/>
  <c r="L50" i="8"/>
  <c r="J50" i="9"/>
  <c r="L50" i="9"/>
  <c r="J50" i="10"/>
  <c r="L50" i="10"/>
  <c r="J50" i="11" s="1"/>
  <c r="L50" i="11" s="1"/>
  <c r="J50" i="12" s="1"/>
  <c r="L50" i="12" s="1"/>
  <c r="J50" i="13" s="1"/>
  <c r="J52" i="3"/>
  <c r="L52" i="3"/>
  <c r="J52" i="4"/>
  <c r="L52" i="4"/>
  <c r="J52" i="5"/>
  <c r="L52" i="5"/>
  <c r="J52" i="6"/>
  <c r="L52" i="6"/>
  <c r="J52" i="7"/>
  <c r="L52" i="7"/>
  <c r="J52" i="8"/>
  <c r="L52" i="8"/>
  <c r="J52" i="9"/>
  <c r="L52" i="9"/>
  <c r="J52" i="10"/>
  <c r="L52" i="10"/>
  <c r="J52" i="11" s="1"/>
  <c r="L52" i="11" s="1"/>
  <c r="J52" i="12" s="1"/>
  <c r="L52" i="12" s="1"/>
  <c r="J52" i="13" s="1"/>
  <c r="J53" i="3"/>
  <c r="L53" i="3"/>
  <c r="J53" i="4"/>
  <c r="L53" i="4"/>
  <c r="J53" i="5"/>
  <c r="L53" i="5"/>
  <c r="J53" i="6"/>
  <c r="L53" i="6"/>
  <c r="J53" i="7"/>
  <c r="L53" i="7"/>
  <c r="J53" i="8"/>
  <c r="L53" i="8"/>
  <c r="J53" i="9"/>
  <c r="L53" i="9"/>
  <c r="J53" i="10"/>
  <c r="L53" i="10"/>
  <c r="J53" i="11" s="1"/>
  <c r="L53" i="11" s="1"/>
  <c r="J53" i="12" s="1"/>
  <c r="L53" i="12" s="1"/>
  <c r="J53" i="13" s="1"/>
  <c r="J55" i="3"/>
  <c r="L55" i="3"/>
  <c r="J55" i="4"/>
  <c r="L55" i="4"/>
  <c r="J55" i="5"/>
  <c r="L55" i="5"/>
  <c r="J55" i="6"/>
  <c r="L55" i="6"/>
  <c r="J55" i="7"/>
  <c r="L55" i="7"/>
  <c r="J55" i="8"/>
  <c r="L55" i="8"/>
  <c r="J55" i="9"/>
  <c r="L55" i="9"/>
  <c r="J55" i="10"/>
  <c r="L55" i="10"/>
  <c r="J55" i="11"/>
  <c r="L55" i="11" s="1"/>
  <c r="J55" i="12" s="1"/>
  <c r="L55" i="12" s="1"/>
  <c r="J55" i="13" s="1"/>
  <c r="J56" i="3"/>
  <c r="L56" i="3"/>
  <c r="J56" i="4"/>
  <c r="L56" i="4"/>
  <c r="J56" i="5"/>
  <c r="L56" i="5"/>
  <c r="J56" i="6"/>
  <c r="L56" i="6"/>
  <c r="J56" i="7"/>
  <c r="L56" i="7"/>
  <c r="J56" i="8"/>
  <c r="L56" i="8"/>
  <c r="J56" i="9"/>
  <c r="L56" i="9"/>
  <c r="J56" i="10"/>
  <c r="L56" i="10"/>
  <c r="J56" i="11" s="1"/>
  <c r="L56" i="11" s="1"/>
  <c r="J56" i="12" s="1"/>
  <c r="L56" i="12" s="1"/>
  <c r="J56" i="13" s="1"/>
  <c r="J58" i="3"/>
  <c r="L58" i="3"/>
  <c r="J58" i="4"/>
  <c r="L58" i="4"/>
  <c r="J58" i="5"/>
  <c r="L58" i="5"/>
  <c r="J58" i="6"/>
  <c r="L58" i="6"/>
  <c r="J58" i="7"/>
  <c r="L58" i="7"/>
  <c r="J58" i="8"/>
  <c r="L58" i="8"/>
  <c r="J58" i="9"/>
  <c r="L58" i="9"/>
  <c r="J58" i="10"/>
  <c r="L58" i="10"/>
  <c r="J58" i="11"/>
  <c r="L58" i="11" s="1"/>
  <c r="J58" i="12" s="1"/>
  <c r="L58" i="12" s="1"/>
  <c r="J58" i="13" s="1"/>
  <c r="J59" i="3"/>
  <c r="L59" i="3"/>
  <c r="J59" i="4"/>
  <c r="L59" i="4"/>
  <c r="J59" i="5"/>
  <c r="L59" i="5"/>
  <c r="J59" i="6"/>
  <c r="L59" i="6"/>
  <c r="J59" i="7"/>
  <c r="L59" i="7"/>
  <c r="J59" i="8"/>
  <c r="L59" i="8"/>
  <c r="J59" i="9"/>
  <c r="L59" i="9"/>
  <c r="J59" i="10"/>
  <c r="L59" i="10"/>
  <c r="J59" i="11" s="1"/>
  <c r="L59" i="11" s="1"/>
  <c r="J59" i="12" s="1"/>
  <c r="L59" i="12" s="1"/>
  <c r="J59" i="13" s="1"/>
  <c r="J61" i="3"/>
  <c r="L61" i="3"/>
  <c r="J61" i="4"/>
  <c r="L61" i="4"/>
  <c r="J61" i="5"/>
  <c r="L61" i="5"/>
  <c r="J61" i="6"/>
  <c r="L61" i="6"/>
  <c r="J61" i="7"/>
  <c r="L61" i="7"/>
  <c r="J61" i="8"/>
  <c r="L61" i="8"/>
  <c r="J61" i="9"/>
  <c r="L61" i="9"/>
  <c r="J61" i="10"/>
  <c r="L61" i="10"/>
  <c r="J61" i="11" s="1"/>
  <c r="L61" i="11" s="1"/>
  <c r="J61" i="12" s="1"/>
  <c r="L61" i="12" s="1"/>
  <c r="J61" i="13" s="1"/>
  <c r="J62" i="3"/>
  <c r="L62" i="3"/>
  <c r="J62" i="4"/>
  <c r="L62" i="4"/>
  <c r="J62" i="5"/>
  <c r="L62" i="5"/>
  <c r="J62" i="6"/>
  <c r="L62" i="6"/>
  <c r="J62" i="7"/>
  <c r="L62" i="7"/>
  <c r="J62" i="8"/>
  <c r="L62" i="8"/>
  <c r="J62" i="9"/>
  <c r="L62" i="9"/>
  <c r="J62" i="10"/>
  <c r="L62" i="10"/>
  <c r="J62" i="11" s="1"/>
  <c r="L62" i="11" s="1"/>
  <c r="J62" i="12" s="1"/>
  <c r="L62" i="12" s="1"/>
  <c r="J62" i="13" s="1"/>
  <c r="J64" i="3"/>
  <c r="L64" i="3"/>
  <c r="J64" i="4"/>
  <c r="L64" i="4"/>
  <c r="J64" i="5"/>
  <c r="L64" i="5"/>
  <c r="J64" i="6"/>
  <c r="L64" i="6"/>
  <c r="J64" i="7"/>
  <c r="L64" i="7"/>
  <c r="J64" i="8"/>
  <c r="L64" i="8"/>
  <c r="J64" i="9"/>
  <c r="L64" i="9"/>
  <c r="J64" i="10"/>
  <c r="L64" i="10"/>
  <c r="J64" i="11" s="1"/>
  <c r="L64" i="11" s="1"/>
  <c r="J64" i="12" s="1"/>
  <c r="L64" i="12" s="1"/>
  <c r="J64" i="13" s="1"/>
  <c r="J65" i="3"/>
  <c r="L65" i="3"/>
  <c r="J65" i="4"/>
  <c r="L65" i="4"/>
  <c r="J65" i="5"/>
  <c r="L65" i="5"/>
  <c r="J65" i="6"/>
  <c r="L65" i="6"/>
  <c r="J65" i="7"/>
  <c r="L65" i="7"/>
  <c r="J65" i="8"/>
  <c r="L65" i="8"/>
  <c r="J65" i="9"/>
  <c r="L65" i="9"/>
  <c r="J65" i="10"/>
  <c r="L65" i="10"/>
  <c r="J65" i="11" s="1"/>
  <c r="L65" i="11" s="1"/>
  <c r="J65" i="12" s="1"/>
  <c r="L65" i="12" s="1"/>
  <c r="J65" i="13" s="1"/>
  <c r="J67" i="3"/>
  <c r="L67" i="3"/>
  <c r="J67" i="4"/>
  <c r="L67" i="4"/>
  <c r="J67" i="5"/>
  <c r="L67" i="5"/>
  <c r="J67" i="6"/>
  <c r="L67" i="6"/>
  <c r="J67" i="7"/>
  <c r="L67" i="7"/>
  <c r="J67" i="8"/>
  <c r="L67" i="8"/>
  <c r="J67" i="9"/>
  <c r="L67" i="9"/>
  <c r="J67" i="10"/>
  <c r="L67" i="10"/>
  <c r="J67" i="11"/>
  <c r="L67" i="11" s="1"/>
  <c r="J67" i="12" s="1"/>
  <c r="L67" i="12" s="1"/>
  <c r="J67" i="13" s="1"/>
  <c r="J68" i="3"/>
  <c r="L68" i="3"/>
  <c r="J68" i="4"/>
  <c r="L68" i="4"/>
  <c r="J68" i="5"/>
  <c r="L68" i="5"/>
  <c r="J68" i="6"/>
  <c r="L68" i="6"/>
  <c r="J68" i="7"/>
  <c r="L68" i="7"/>
  <c r="J68" i="8"/>
  <c r="L68" i="8"/>
  <c r="J68" i="9"/>
  <c r="L68" i="9"/>
  <c r="J68" i="10"/>
  <c r="L68" i="10"/>
  <c r="J68" i="11"/>
  <c r="L68" i="11" s="1"/>
  <c r="J68" i="12" s="1"/>
  <c r="L68" i="12" s="1"/>
  <c r="J68" i="13" s="1"/>
  <c r="J70" i="3"/>
  <c r="L70" i="3"/>
  <c r="J70" i="4"/>
  <c r="L70" i="4"/>
  <c r="J70" i="5"/>
  <c r="L70" i="5"/>
  <c r="J70" i="6"/>
  <c r="L70" i="6"/>
  <c r="J70" i="7"/>
  <c r="L70" i="7"/>
  <c r="J70" i="8"/>
  <c r="L70" i="8"/>
  <c r="J70" i="9"/>
  <c r="L70" i="9"/>
  <c r="J70" i="10"/>
  <c r="L70" i="10"/>
  <c r="J70" i="11"/>
  <c r="L70" i="11"/>
  <c r="J70" i="12"/>
  <c r="L70" i="12" s="1"/>
  <c r="J70" i="13" s="1"/>
  <c r="J71" i="3"/>
  <c r="L71" i="3"/>
  <c r="J71" i="4"/>
  <c r="L71" i="4"/>
  <c r="J71" i="5"/>
  <c r="L71" i="5"/>
  <c r="J71" i="6"/>
  <c r="L71" i="6"/>
  <c r="J71" i="7"/>
  <c r="L71" i="7"/>
  <c r="J71" i="8"/>
  <c r="L71" i="8"/>
  <c r="J71" i="9"/>
  <c r="L71" i="9"/>
  <c r="J71" i="10"/>
  <c r="L71" i="10"/>
  <c r="J71" i="11" s="1"/>
  <c r="L71" i="11" s="1"/>
  <c r="J71" i="12" s="1"/>
  <c r="L71" i="12" s="1"/>
  <c r="J71" i="13" s="1"/>
  <c r="J73" i="3"/>
  <c r="L73" i="3"/>
  <c r="J73" i="4"/>
  <c r="L73" i="4"/>
  <c r="J73" i="5"/>
  <c r="L73" i="5"/>
  <c r="J73" i="6"/>
  <c r="L73" i="6"/>
  <c r="J73" i="7"/>
  <c r="L73" i="7"/>
  <c r="J73" i="8"/>
  <c r="L73" i="8"/>
  <c r="J73" i="9"/>
  <c r="L73" i="9"/>
  <c r="J73" i="10"/>
  <c r="L73" i="10"/>
  <c r="J73" i="11" s="1"/>
  <c r="L73" i="11" s="1"/>
  <c r="J73" i="12" s="1"/>
  <c r="L73" i="12" s="1"/>
  <c r="J73" i="13" s="1"/>
  <c r="J74" i="3"/>
  <c r="L74" i="3"/>
  <c r="J74" i="4"/>
  <c r="L74" i="4"/>
  <c r="J74" i="5"/>
  <c r="L74" i="5"/>
  <c r="J74" i="6"/>
  <c r="L74" i="6"/>
  <c r="J74" i="7"/>
  <c r="L74" i="7"/>
  <c r="J74" i="8"/>
  <c r="L74" i="8"/>
  <c r="J74" i="9"/>
  <c r="L74" i="9"/>
  <c r="J74" i="10"/>
  <c r="L74" i="10"/>
  <c r="J74" i="11" s="1"/>
  <c r="L74" i="11" s="1"/>
  <c r="J74" i="12" s="1"/>
  <c r="L74" i="12" s="1"/>
  <c r="J74" i="13"/>
  <c r="J76" i="3"/>
  <c r="L76" i="3"/>
  <c r="J76" i="4"/>
  <c r="L76" i="4"/>
  <c r="J76" i="5"/>
  <c r="L76" i="5"/>
  <c r="J76" i="6"/>
  <c r="L76" i="6"/>
  <c r="J76" i="7"/>
  <c r="L76" i="7"/>
  <c r="J76" i="8"/>
  <c r="L76" i="8"/>
  <c r="J76" i="9"/>
  <c r="L76" i="9"/>
  <c r="J76" i="10"/>
  <c r="L76" i="10"/>
  <c r="J76" i="11" s="1"/>
  <c r="L76" i="11" s="1"/>
  <c r="J76" i="12" s="1"/>
  <c r="L76" i="12" s="1"/>
  <c r="J76" i="13" s="1"/>
  <c r="J77" i="3"/>
  <c r="L77" i="3"/>
  <c r="J77" i="4"/>
  <c r="L77" i="4"/>
  <c r="J77" i="5"/>
  <c r="L77" i="5"/>
  <c r="J77" i="6"/>
  <c r="L77" i="6"/>
  <c r="J77" i="7"/>
  <c r="L77" i="7"/>
  <c r="J77" i="8"/>
  <c r="L77" i="8"/>
  <c r="J77" i="9"/>
  <c r="L77" i="9"/>
  <c r="J77" i="10"/>
  <c r="L77" i="10"/>
  <c r="J77" i="11"/>
  <c r="L77" i="11" s="1"/>
  <c r="J77" i="12" s="1"/>
  <c r="L77" i="12" s="1"/>
  <c r="J77" i="13" s="1"/>
  <c r="J79" i="3"/>
  <c r="L79" i="3"/>
  <c r="J79" i="4"/>
  <c r="L79" i="4"/>
  <c r="J79" i="5"/>
  <c r="L79" i="5"/>
  <c r="J79" i="6"/>
  <c r="L79" i="6"/>
  <c r="J79" i="7"/>
  <c r="L79" i="7"/>
  <c r="J79" i="8"/>
  <c r="L79" i="8"/>
  <c r="J79" i="9"/>
  <c r="L79" i="9"/>
  <c r="J79" i="10"/>
  <c r="L79" i="10"/>
  <c r="J79" i="11"/>
  <c r="L79" i="11" s="1"/>
  <c r="J79" i="12" s="1"/>
  <c r="L79" i="12" s="1"/>
  <c r="J79" i="13" s="1"/>
  <c r="J80" i="3"/>
  <c r="L80" i="3"/>
  <c r="J80" i="4"/>
  <c r="L80" i="4"/>
  <c r="J80" i="5"/>
  <c r="L80" i="5"/>
  <c r="J80" i="6"/>
  <c r="L80" i="6"/>
  <c r="J80" i="7"/>
  <c r="L80" i="7"/>
  <c r="J80" i="8"/>
  <c r="L80" i="8"/>
  <c r="J80" i="9"/>
  <c r="L80" i="9"/>
  <c r="J80" i="10"/>
  <c r="L80" i="10"/>
  <c r="J80" i="11" s="1"/>
  <c r="L80" i="11" s="1"/>
  <c r="J80" i="12" s="1"/>
  <c r="L80" i="12" s="1"/>
  <c r="J80" i="13" s="1"/>
  <c r="J82" i="3"/>
  <c r="L82" i="3"/>
  <c r="J82" i="4"/>
  <c r="L82" i="4"/>
  <c r="J82" i="5"/>
  <c r="L82" i="5"/>
  <c r="J82" i="6"/>
  <c r="L82" i="6"/>
  <c r="J82" i="7"/>
  <c r="L82" i="7"/>
  <c r="J82" i="8"/>
  <c r="L82" i="8"/>
  <c r="J82" i="9"/>
  <c r="L82" i="9"/>
  <c r="J82" i="10"/>
  <c r="L82" i="10"/>
  <c r="J82" i="11"/>
  <c r="L82" i="11" s="1"/>
  <c r="J82" i="12" s="1"/>
  <c r="L82" i="12" s="1"/>
  <c r="J82" i="13" s="1"/>
  <c r="J83" i="3"/>
  <c r="L83" i="3"/>
  <c r="J83" i="4"/>
  <c r="L83" i="4"/>
  <c r="J83" i="5"/>
  <c r="L83" i="5"/>
  <c r="J83" i="6"/>
  <c r="L83" i="6"/>
  <c r="J83" i="7"/>
  <c r="L83" i="7"/>
  <c r="J83" i="8"/>
  <c r="L83" i="8"/>
  <c r="J83" i="9"/>
  <c r="L83" i="9"/>
  <c r="J83" i="10"/>
  <c r="L83" i="10"/>
  <c r="J83" i="11" s="1"/>
  <c r="L83" i="11" s="1"/>
  <c r="J83" i="12" s="1"/>
  <c r="L83" i="12" s="1"/>
  <c r="J83" i="13" s="1"/>
  <c r="J86" i="3"/>
  <c r="L86" i="3"/>
  <c r="J86" i="4"/>
  <c r="L86" i="4"/>
  <c r="J86" i="5"/>
  <c r="L86" i="5"/>
  <c r="J86" i="6"/>
  <c r="L86" i="6"/>
  <c r="J86" i="7"/>
  <c r="L86" i="7"/>
  <c r="J86" i="8"/>
  <c r="L86" i="8"/>
  <c r="J86" i="9"/>
  <c r="L86" i="9"/>
  <c r="J86" i="10"/>
  <c r="L86" i="10"/>
  <c r="J86" i="11" s="1"/>
  <c r="L86" i="11" s="1"/>
  <c r="J86" i="12" s="1"/>
  <c r="L86" i="12" s="1"/>
  <c r="J86" i="13" s="1"/>
  <c r="J87" i="3"/>
  <c r="L87" i="3"/>
  <c r="J87" i="4"/>
  <c r="L87" i="4"/>
  <c r="J87" i="5"/>
  <c r="L87" i="5"/>
  <c r="J87" i="6"/>
  <c r="L87" i="6"/>
  <c r="J87" i="7"/>
  <c r="L87" i="7"/>
  <c r="J87" i="8"/>
  <c r="L87" i="8"/>
  <c r="J87" i="9"/>
  <c r="L87" i="9"/>
  <c r="J87" i="10"/>
  <c r="L87" i="10"/>
  <c r="J87" i="11"/>
  <c r="L87" i="11"/>
  <c r="J87" i="12" s="1"/>
  <c r="L87" i="12" s="1"/>
  <c r="J87" i="13" s="1"/>
  <c r="J88" i="3"/>
  <c r="L88" i="3"/>
  <c r="J88" i="4"/>
  <c r="L88" i="4"/>
  <c r="J88" i="5"/>
  <c r="L88" i="5"/>
  <c r="J88" i="6"/>
  <c r="L88" i="6"/>
  <c r="J88" i="7"/>
  <c r="L88" i="7"/>
  <c r="J88" i="8"/>
  <c r="L88" i="8"/>
  <c r="J88" i="9"/>
  <c r="L88" i="9"/>
  <c r="J88" i="10"/>
  <c r="L88" i="10"/>
  <c r="J88" i="11" s="1"/>
  <c r="L88" i="11" s="1"/>
  <c r="J88" i="12" s="1"/>
  <c r="L88" i="12" s="1"/>
  <c r="J88" i="13" s="1"/>
  <c r="J89" i="3"/>
  <c r="L89" i="3"/>
  <c r="J89" i="4"/>
  <c r="L89" i="4"/>
  <c r="J89" i="5"/>
  <c r="L89" i="5"/>
  <c r="J89" i="6"/>
  <c r="L89" i="6"/>
  <c r="J89" i="7"/>
  <c r="L89" i="7"/>
  <c r="J89" i="8"/>
  <c r="L89" i="8"/>
  <c r="J89" i="9"/>
  <c r="L89" i="9"/>
  <c r="J89" i="10"/>
  <c r="L89" i="10"/>
  <c r="J89" i="11" s="1"/>
  <c r="L89" i="11" s="1"/>
  <c r="J89" i="12" s="1"/>
  <c r="L89" i="12" s="1"/>
  <c r="J89" i="13" s="1"/>
  <c r="J90" i="3"/>
  <c r="L90" i="3"/>
  <c r="J90" i="4"/>
  <c r="L90" i="4"/>
  <c r="J90" i="5"/>
  <c r="L90" i="5"/>
  <c r="J90" i="6"/>
  <c r="L90" i="6"/>
  <c r="J90" i="7"/>
  <c r="L90" i="7"/>
  <c r="J90" i="8"/>
  <c r="L90" i="8"/>
  <c r="J90" i="9"/>
  <c r="L90" i="9"/>
  <c r="J90" i="10"/>
  <c r="L90" i="10"/>
  <c r="J90" i="11" s="1"/>
  <c r="L90" i="11" s="1"/>
  <c r="J90" i="12" s="1"/>
  <c r="L90" i="12" s="1"/>
  <c r="J90" i="13" s="1"/>
  <c r="J91" i="3"/>
  <c r="L91" i="3"/>
  <c r="J91" i="4"/>
  <c r="L91" i="4"/>
  <c r="J91" i="5"/>
  <c r="L91" i="5"/>
  <c r="J91" i="6"/>
  <c r="L91" i="6"/>
  <c r="J91" i="7"/>
  <c r="L91" i="7"/>
  <c r="J91" i="8"/>
  <c r="L91" i="8"/>
  <c r="J91" i="9"/>
  <c r="L91" i="9"/>
  <c r="J91" i="10"/>
  <c r="L91" i="10"/>
  <c r="J91" i="11" s="1"/>
  <c r="L91" i="11" s="1"/>
  <c r="J91" i="12" s="1"/>
  <c r="L91" i="12" s="1"/>
  <c r="J91" i="13" s="1"/>
  <c r="J92" i="3"/>
  <c r="L92" i="3"/>
  <c r="J92" i="4"/>
  <c r="L92" i="4"/>
  <c r="J92" i="5"/>
  <c r="L92" i="5"/>
  <c r="J92" i="6"/>
  <c r="L92" i="6"/>
  <c r="J92" i="7"/>
  <c r="L92" i="7"/>
  <c r="J92" i="8"/>
  <c r="L92" i="8"/>
  <c r="J92" i="9"/>
  <c r="L92" i="9"/>
  <c r="J92" i="10"/>
  <c r="L92" i="10"/>
  <c r="J92" i="11" s="1"/>
  <c r="L92" i="11" s="1"/>
  <c r="J92" i="12" s="1"/>
  <c r="L92" i="12" s="1"/>
  <c r="J92" i="13" s="1"/>
  <c r="J95" i="3"/>
  <c r="L95" i="3"/>
  <c r="J95" i="4"/>
  <c r="L95" i="4"/>
  <c r="J95" i="5"/>
  <c r="L95" i="5"/>
  <c r="J95" i="6"/>
  <c r="L95" i="6"/>
  <c r="J95" i="7"/>
  <c r="L95" i="7"/>
  <c r="J95" i="8"/>
  <c r="L95" i="8"/>
  <c r="J95" i="9"/>
  <c r="L95" i="9"/>
  <c r="J95" i="10"/>
  <c r="L95" i="10"/>
  <c r="J95" i="11" s="1"/>
  <c r="L95" i="11" s="1"/>
  <c r="J95" i="12" s="1"/>
  <c r="L95" i="12" s="1"/>
  <c r="J95" i="13" s="1"/>
  <c r="J96" i="3"/>
  <c r="L96" i="3"/>
  <c r="J96" i="4"/>
  <c r="L96" i="4"/>
  <c r="J96" i="5"/>
  <c r="L96" i="5"/>
  <c r="J96" i="6"/>
  <c r="L96" i="6"/>
  <c r="J96" i="7"/>
  <c r="L96" i="7"/>
  <c r="J96" i="8"/>
  <c r="L96" i="8"/>
  <c r="J96" i="9"/>
  <c r="L96" i="9"/>
  <c r="J96" i="10"/>
  <c r="L96" i="10"/>
  <c r="J96" i="11"/>
  <c r="L96" i="11"/>
  <c r="J96" i="12" s="1"/>
  <c r="L96" i="12" s="1"/>
  <c r="J96" i="13" s="1"/>
  <c r="J97" i="3"/>
  <c r="L97" i="3"/>
  <c r="J97" i="4"/>
  <c r="L97" i="4"/>
  <c r="J97" i="5"/>
  <c r="L97" i="5"/>
  <c r="J97" i="6"/>
  <c r="L97" i="6"/>
  <c r="J97" i="7"/>
  <c r="L97" i="7"/>
  <c r="J97" i="8"/>
  <c r="L97" i="8"/>
  <c r="J97" i="9"/>
  <c r="L97" i="9"/>
  <c r="J97" i="10"/>
  <c r="L97" i="10"/>
  <c r="J97" i="11" s="1"/>
  <c r="L97" i="11" s="1"/>
  <c r="J97" i="12" s="1"/>
  <c r="L97" i="12" s="1"/>
  <c r="J97" i="13" s="1"/>
  <c r="J98" i="3"/>
  <c r="L98" i="3"/>
  <c r="J98" i="4"/>
  <c r="L98" i="4"/>
  <c r="J98" i="5"/>
  <c r="L98" i="5"/>
  <c r="J98" i="6"/>
  <c r="L98" i="6"/>
  <c r="J98" i="7"/>
  <c r="L98" i="7"/>
  <c r="J98" i="8"/>
  <c r="L98" i="8"/>
  <c r="J98" i="9"/>
  <c r="L98" i="9"/>
  <c r="J98" i="10"/>
  <c r="L98" i="10"/>
  <c r="J98" i="11" s="1"/>
  <c r="L98" i="11" s="1"/>
  <c r="J98" i="12" s="1"/>
  <c r="L98" i="12" s="1"/>
  <c r="J98" i="13" s="1"/>
  <c r="J99" i="3"/>
  <c r="L99" i="3"/>
  <c r="J99" i="4"/>
  <c r="L99" i="4"/>
  <c r="J99" i="5"/>
  <c r="L99" i="5"/>
  <c r="J99" i="6"/>
  <c r="L99" i="6"/>
  <c r="J99" i="7"/>
  <c r="L99" i="7"/>
  <c r="J99" i="8"/>
  <c r="L99" i="8"/>
  <c r="J99" i="9"/>
  <c r="L99" i="9"/>
  <c r="J99" i="10"/>
  <c r="L99" i="10"/>
  <c r="J99" i="11"/>
  <c r="L99" i="11"/>
  <c r="J99" i="12" s="1"/>
  <c r="L99" i="12" s="1"/>
  <c r="J99" i="13" s="1"/>
  <c r="J100" i="3"/>
  <c r="L100" i="3"/>
  <c r="J100" i="4"/>
  <c r="L100" i="4"/>
  <c r="J100" i="5"/>
  <c r="L100" i="5"/>
  <c r="J100" i="6"/>
  <c r="L100" i="6"/>
  <c r="J100" i="7"/>
  <c r="L100" i="7"/>
  <c r="J100" i="8"/>
  <c r="L100" i="8"/>
  <c r="J100" i="9"/>
  <c r="L100" i="9"/>
  <c r="J100" i="10"/>
  <c r="L100" i="10"/>
  <c r="J100" i="11" s="1"/>
  <c r="L100" i="11" s="1"/>
  <c r="J100" i="12" s="1"/>
  <c r="L100" i="12" s="1"/>
  <c r="J100" i="13" s="1"/>
  <c r="J101" i="3"/>
  <c r="L101" i="3"/>
  <c r="J101" i="4"/>
  <c r="L101" i="4"/>
  <c r="J101" i="5"/>
  <c r="L101" i="5"/>
  <c r="J101" i="6"/>
  <c r="L101" i="6"/>
  <c r="J101" i="7"/>
  <c r="L101" i="7"/>
  <c r="J101" i="8"/>
  <c r="L101" i="8"/>
  <c r="J101" i="9"/>
  <c r="L101" i="9"/>
  <c r="J101" i="10"/>
  <c r="L101" i="10"/>
  <c r="J101" i="11" s="1"/>
  <c r="L101" i="11" s="1"/>
  <c r="J101" i="12" s="1"/>
  <c r="L101" i="12" s="1"/>
  <c r="J101" i="13" s="1"/>
  <c r="J102" i="3"/>
  <c r="L102" i="3"/>
  <c r="J102" i="4"/>
  <c r="L102" i="4"/>
  <c r="J102" i="5"/>
  <c r="L102" i="5"/>
  <c r="J102" i="6"/>
  <c r="L102" i="6"/>
  <c r="J102" i="7"/>
  <c r="L102" i="7"/>
  <c r="J102" i="8"/>
  <c r="L102" i="8"/>
  <c r="J102" i="9"/>
  <c r="L102" i="9"/>
  <c r="J102" i="10"/>
  <c r="L102" i="10"/>
  <c r="J102" i="11" s="1"/>
  <c r="L102" i="11" s="1"/>
  <c r="J102" i="12" s="1"/>
  <c r="L102" i="12" s="1"/>
  <c r="J102" i="13"/>
  <c r="J105" i="3"/>
  <c r="L105" i="3"/>
  <c r="J105" i="4"/>
  <c r="L105" i="4"/>
  <c r="J105" i="5"/>
  <c r="L105" i="5"/>
  <c r="J105" i="6"/>
  <c r="L105" i="6"/>
  <c r="J105" i="7"/>
  <c r="L105" i="7"/>
  <c r="J105" i="8"/>
  <c r="L105" i="8"/>
  <c r="J105" i="9"/>
  <c r="L105" i="9"/>
  <c r="J105" i="10"/>
  <c r="L105" i="10"/>
  <c r="J105" i="11" s="1"/>
  <c r="L105" i="11" s="1"/>
  <c r="J105" i="12" s="1"/>
  <c r="L105" i="12" s="1"/>
  <c r="J105" i="13" s="1"/>
  <c r="J106" i="3"/>
  <c r="L106" i="3"/>
  <c r="J106" i="4"/>
  <c r="L106" i="4"/>
  <c r="J106" i="5"/>
  <c r="L106" i="5"/>
  <c r="J106" i="6"/>
  <c r="L106" i="6"/>
  <c r="J106" i="7"/>
  <c r="L106" i="7"/>
  <c r="J106" i="8"/>
  <c r="L106" i="8"/>
  <c r="J106" i="9"/>
  <c r="L106" i="9"/>
  <c r="J106" i="10"/>
  <c r="L106" i="10"/>
  <c r="J106" i="11" s="1"/>
  <c r="L106" i="11" s="1"/>
  <c r="J106" i="12" s="1"/>
  <c r="L106" i="12" s="1"/>
  <c r="J106" i="13" s="1"/>
  <c r="J107" i="3"/>
  <c r="L107" i="3"/>
  <c r="J107" i="4"/>
  <c r="L107" i="4"/>
  <c r="J107" i="5"/>
  <c r="L107" i="5"/>
  <c r="J107" i="6"/>
  <c r="L107" i="6"/>
  <c r="J107" i="7"/>
  <c r="L107" i="7"/>
  <c r="J107" i="8"/>
  <c r="L107" i="8"/>
  <c r="J107" i="9"/>
  <c r="L107" i="9"/>
  <c r="J107" i="10"/>
  <c r="L107" i="10"/>
  <c r="J107" i="11"/>
  <c r="L107" i="11" s="1"/>
  <c r="J107" i="12" s="1"/>
  <c r="L107" i="12"/>
  <c r="J107" i="13" s="1"/>
  <c r="J108" i="3"/>
  <c r="L108" i="3"/>
  <c r="J108" i="4"/>
  <c r="L108" i="4"/>
  <c r="J108" i="5"/>
  <c r="L108" i="5"/>
  <c r="J108" i="6"/>
  <c r="L108" i="6"/>
  <c r="J108" i="7"/>
  <c r="L108" i="7"/>
  <c r="J108" i="8"/>
  <c r="L108" i="8"/>
  <c r="J108" i="9"/>
  <c r="L108" i="9"/>
  <c r="J108" i="10"/>
  <c r="L108" i="10"/>
  <c r="J108" i="11" s="1"/>
  <c r="L108" i="11" s="1"/>
  <c r="J108" i="12" s="1"/>
  <c r="L108" i="12" s="1"/>
  <c r="J108" i="13" s="1"/>
  <c r="J109" i="3"/>
  <c r="L109" i="3"/>
  <c r="J109" i="4"/>
  <c r="L109" i="4"/>
  <c r="J109" i="5"/>
  <c r="L109" i="5"/>
  <c r="J109" i="6"/>
  <c r="L109" i="6"/>
  <c r="J109" i="7"/>
  <c r="L109" i="7"/>
  <c r="J109" i="8"/>
  <c r="L109" i="8"/>
  <c r="J109" i="9"/>
  <c r="L109" i="9"/>
  <c r="J109" i="10"/>
  <c r="L109" i="10"/>
  <c r="J109" i="11" s="1"/>
  <c r="L109" i="11" s="1"/>
  <c r="J109" i="12" s="1"/>
  <c r="L109" i="12" s="1"/>
  <c r="J109" i="13" s="1"/>
  <c r="J110" i="3"/>
  <c r="L110" i="3"/>
  <c r="J110" i="4"/>
  <c r="L110" i="4"/>
  <c r="J110" i="5"/>
  <c r="L110" i="5"/>
  <c r="J110" i="6"/>
  <c r="L110" i="6"/>
  <c r="J110" i="7"/>
  <c r="L110" i="7"/>
  <c r="J110" i="8"/>
  <c r="L110" i="8"/>
  <c r="J110" i="9"/>
  <c r="L110" i="9"/>
  <c r="J110" i="10"/>
  <c r="L110" i="10"/>
  <c r="J110" i="11" s="1"/>
  <c r="L110" i="11" s="1"/>
  <c r="J110" i="12" s="1"/>
  <c r="L110" i="12" s="1"/>
  <c r="J110" i="13" s="1"/>
  <c r="J111" i="3"/>
  <c r="L111" i="3"/>
  <c r="J111" i="4"/>
  <c r="L111" i="4"/>
  <c r="J111" i="5"/>
  <c r="L111" i="5"/>
  <c r="J111" i="6"/>
  <c r="L111" i="6"/>
  <c r="J111" i="7"/>
  <c r="L111" i="7"/>
  <c r="J111" i="8"/>
  <c r="L111" i="8"/>
  <c r="J111" i="9"/>
  <c r="L111" i="9"/>
  <c r="J111" i="10"/>
  <c r="L111" i="10"/>
  <c r="J111" i="11" s="1"/>
  <c r="L111" i="11" s="1"/>
  <c r="J111" i="12" s="1"/>
  <c r="L111" i="12" s="1"/>
  <c r="J111" i="13" s="1"/>
  <c r="J115" i="3"/>
  <c r="L115" i="3"/>
  <c r="J115" i="4"/>
  <c r="L115" i="4"/>
  <c r="J115" i="5"/>
  <c r="L115" i="5"/>
  <c r="J115" i="6"/>
  <c r="L115" i="6"/>
  <c r="J115" i="7"/>
  <c r="L115" i="7"/>
  <c r="J115" i="8"/>
  <c r="L115" i="8"/>
  <c r="J115" i="10"/>
  <c r="L115" i="10"/>
  <c r="J115" i="11" s="1"/>
  <c r="L115" i="11"/>
  <c r="J115" i="12" s="1"/>
  <c r="L115" i="12" s="1"/>
  <c r="J115" i="13" s="1"/>
  <c r="J116" i="3"/>
  <c r="L116" i="3"/>
  <c r="J116" i="4"/>
  <c r="L116" i="4"/>
  <c r="J116" i="5"/>
  <c r="L116" i="5"/>
  <c r="J116" i="6"/>
  <c r="L116" i="6"/>
  <c r="J116" i="7"/>
  <c r="L116" i="7"/>
  <c r="J116" i="8"/>
  <c r="L116" i="8"/>
  <c r="J116" i="10"/>
  <c r="L116" i="10"/>
  <c r="J116" i="11" s="1"/>
  <c r="L116" i="11" s="1"/>
  <c r="J116" i="12" s="1"/>
  <c r="L116" i="12" s="1"/>
  <c r="J116" i="13" s="1"/>
  <c r="J117" i="3"/>
  <c r="L117" i="3"/>
  <c r="J117" i="4"/>
  <c r="L117" i="4"/>
  <c r="J117" i="5"/>
  <c r="L117" i="5"/>
  <c r="J117" i="6"/>
  <c r="L117" i="6"/>
  <c r="J117" i="7"/>
  <c r="L117" i="7"/>
  <c r="J117" i="8"/>
  <c r="L117" i="8"/>
  <c r="J117" i="10"/>
  <c r="L117" i="10"/>
  <c r="J117" i="11" s="1"/>
  <c r="L117" i="11"/>
  <c r="J117" i="12" s="1"/>
  <c r="L117" i="12" s="1"/>
  <c r="J117" i="13" s="1"/>
  <c r="J118" i="3"/>
  <c r="L118" i="3"/>
  <c r="J118" i="4"/>
  <c r="L118" i="4"/>
  <c r="J118" i="5"/>
  <c r="L118" i="5"/>
  <c r="J118" i="6"/>
  <c r="L118" i="6"/>
  <c r="J118" i="7"/>
  <c r="L118" i="7"/>
  <c r="J118" i="8"/>
  <c r="L118" i="8"/>
  <c r="J118" i="10"/>
  <c r="L118" i="10"/>
  <c r="J118" i="11" s="1"/>
  <c r="L118" i="11" s="1"/>
  <c r="J118" i="12" s="1"/>
  <c r="L118" i="12" s="1"/>
  <c r="J118" i="13" s="1"/>
  <c r="J119" i="3"/>
  <c r="L119" i="3"/>
  <c r="J119" i="4"/>
  <c r="L119" i="4"/>
  <c r="J119" i="5"/>
  <c r="L119" i="5"/>
  <c r="J119" i="6"/>
  <c r="L119" i="6"/>
  <c r="J119" i="7"/>
  <c r="L119" i="7"/>
  <c r="J119" i="8"/>
  <c r="L119" i="8"/>
  <c r="J119" i="9"/>
  <c r="L119" i="9"/>
  <c r="J119" i="10"/>
  <c r="L119" i="10"/>
  <c r="J119" i="11" s="1"/>
  <c r="L119" i="11" s="1"/>
  <c r="J119" i="12" s="1"/>
  <c r="L119" i="12" s="1"/>
  <c r="J119" i="13" s="1"/>
  <c r="J120" i="3"/>
  <c r="L120" i="3"/>
  <c r="J120" i="4"/>
  <c r="L120" i="4"/>
  <c r="J120" i="5"/>
  <c r="L120" i="5"/>
  <c r="J120" i="6"/>
  <c r="L120" i="6"/>
  <c r="J120" i="7"/>
  <c r="L120" i="7"/>
  <c r="J120" i="8"/>
  <c r="L120" i="8"/>
  <c r="J120" i="9"/>
  <c r="L120" i="9"/>
  <c r="J120" i="10"/>
  <c r="L120" i="10"/>
  <c r="J120" i="11" s="1"/>
  <c r="L120" i="11" s="1"/>
  <c r="J120" i="12" s="1"/>
  <c r="L120" i="12" s="1"/>
  <c r="J120" i="13" s="1"/>
  <c r="J121" i="3"/>
  <c r="L121" i="3"/>
  <c r="J121" i="4"/>
  <c r="L121" i="4"/>
  <c r="J121" i="5"/>
  <c r="L121" i="5"/>
  <c r="J121" i="6"/>
  <c r="L121" i="6"/>
  <c r="J121" i="7"/>
  <c r="L121" i="7"/>
  <c r="J121" i="8"/>
  <c r="L121" i="8"/>
  <c r="J121" i="9"/>
  <c r="L121" i="9"/>
  <c r="J121" i="10"/>
  <c r="L121" i="10"/>
  <c r="J121" i="11" s="1"/>
  <c r="L121" i="11" s="1"/>
  <c r="J121" i="12" s="1"/>
  <c r="L121" i="12" s="1"/>
  <c r="J121" i="13" s="1"/>
  <c r="J122" i="3"/>
  <c r="L122" i="3"/>
  <c r="J122" i="4"/>
  <c r="L122" i="4"/>
  <c r="J122" i="5"/>
  <c r="L122" i="5"/>
  <c r="J122" i="6"/>
  <c r="L122" i="6"/>
  <c r="J122" i="7"/>
  <c r="L122" i="7"/>
  <c r="J122" i="8"/>
  <c r="L122" i="8"/>
  <c r="J122" i="9"/>
  <c r="L122" i="9"/>
  <c r="J122" i="10"/>
  <c r="L122" i="10"/>
  <c r="J122" i="11" s="1"/>
  <c r="L122" i="11" s="1"/>
  <c r="J122" i="12" s="1"/>
  <c r="L122" i="12" s="1"/>
  <c r="J122" i="13" s="1"/>
  <c r="J123" i="3"/>
  <c r="L123" i="3"/>
  <c r="J123" i="4"/>
  <c r="L123" i="4"/>
  <c r="J123" i="5"/>
  <c r="L123" i="5"/>
  <c r="J123" i="6"/>
  <c r="L123" i="6"/>
  <c r="J123" i="7"/>
  <c r="L123" i="7"/>
  <c r="J123" i="8"/>
  <c r="L123" i="8"/>
  <c r="J123" i="9"/>
  <c r="L123" i="9"/>
  <c r="J123" i="10"/>
  <c r="L123" i="10"/>
  <c r="J123" i="11" s="1"/>
  <c r="L123" i="11" s="1"/>
  <c r="J123" i="12" s="1"/>
  <c r="L123" i="12" s="1"/>
  <c r="J123" i="13" s="1"/>
  <c r="J124" i="3"/>
  <c r="L124" i="3"/>
  <c r="J124" i="4"/>
  <c r="L124" i="4"/>
  <c r="J124" i="5"/>
  <c r="L124" i="5"/>
  <c r="J124" i="6"/>
  <c r="L124" i="6"/>
  <c r="J124" i="7"/>
  <c r="L124" i="7"/>
  <c r="J124" i="8"/>
  <c r="L124" i="8"/>
  <c r="J124" i="9"/>
  <c r="L124" i="9"/>
  <c r="J124" i="10"/>
  <c r="L124" i="10"/>
  <c r="J124" i="11" s="1"/>
  <c r="L124" i="11" s="1"/>
  <c r="J124" i="12" s="1"/>
  <c r="L124" i="12" s="1"/>
  <c r="J124" i="13" s="1"/>
  <c r="Q85" i="12"/>
  <c r="Q19" i="12" s="1"/>
  <c r="Q17" i="12" s="1"/>
  <c r="T237" i="13"/>
  <c r="AM237" i="13"/>
  <c r="AE201" i="3"/>
  <c r="AG201" i="3"/>
  <c r="AE201" i="4"/>
  <c r="AG201" i="4"/>
  <c r="AE200" i="5"/>
  <c r="AG200" i="5"/>
  <c r="AE200" i="6"/>
  <c r="AG200" i="6"/>
  <c r="AE200" i="7"/>
  <c r="AG200" i="7"/>
  <c r="AE200" i="8"/>
  <c r="AG200" i="8"/>
  <c r="AE200" i="9"/>
  <c r="AG200" i="9"/>
  <c r="AE200" i="10"/>
  <c r="AG200" i="10"/>
  <c r="AE200" i="11" s="1"/>
  <c r="AG200" i="11" s="1"/>
  <c r="AE200" i="12" s="1"/>
  <c r="AG200" i="12" s="1"/>
  <c r="AE200" i="13" s="1"/>
  <c r="AG200" i="13" s="1"/>
  <c r="Y131" i="3"/>
  <c r="AA131" i="3"/>
  <c r="Y131" i="4"/>
  <c r="AA131" i="4"/>
  <c r="Y131" i="5"/>
  <c r="AA131" i="5"/>
  <c r="Y131" i="6"/>
  <c r="AA131" i="6"/>
  <c r="Y131" i="7"/>
  <c r="AA131" i="7"/>
  <c r="Y131" i="8"/>
  <c r="AA131" i="8"/>
  <c r="Y131" i="9"/>
  <c r="AA131" i="9"/>
  <c r="Y131" i="10"/>
  <c r="AA131" i="10"/>
  <c r="Y131" i="11" s="1"/>
  <c r="AA131" i="11" s="1"/>
  <c r="Y131" i="12" s="1"/>
  <c r="AA131" i="12" s="1"/>
  <c r="Y131" i="13" s="1"/>
  <c r="AA131" i="13" s="1"/>
  <c r="BE17" i="12"/>
  <c r="BE16" i="12"/>
  <c r="V45" i="3"/>
  <c r="V45" i="4"/>
  <c r="V45" i="5"/>
  <c r="V45" i="6"/>
  <c r="V45" i="7"/>
  <c r="V45" i="8"/>
  <c r="V45" i="9"/>
  <c r="V45" i="10"/>
  <c r="V45" i="11" s="1"/>
  <c r="V45" i="12" s="1"/>
  <c r="W45" i="3"/>
  <c r="W45" i="4"/>
  <c r="W45" i="5"/>
  <c r="W45" i="6"/>
  <c r="W45" i="7"/>
  <c r="W45" i="8"/>
  <c r="W45" i="9"/>
  <c r="W45" i="10"/>
  <c r="W45" i="11" s="1"/>
  <c r="W45" i="12" s="1"/>
  <c r="X45" i="12" s="1"/>
  <c r="V46" i="3"/>
  <c r="V46" i="4"/>
  <c r="V46" i="5"/>
  <c r="V46" i="6"/>
  <c r="V46" i="7"/>
  <c r="V46" i="8"/>
  <c r="V46" i="9"/>
  <c r="V46" i="10"/>
  <c r="V46" i="11" s="1"/>
  <c r="V46" i="12" s="1"/>
  <c r="W46" i="3"/>
  <c r="W46" i="4"/>
  <c r="W46" i="5"/>
  <c r="W46" i="6"/>
  <c r="W46" i="7"/>
  <c r="W46" i="8"/>
  <c r="W46" i="9"/>
  <c r="W46" i="10"/>
  <c r="W46" i="11" s="1"/>
  <c r="W46" i="12" s="1"/>
  <c r="V47" i="3"/>
  <c r="V47" i="4"/>
  <c r="V47" i="5"/>
  <c r="V47" i="6"/>
  <c r="V47" i="7"/>
  <c r="V47" i="8"/>
  <c r="V47" i="9"/>
  <c r="V47" i="10"/>
  <c r="V47" i="11" s="1"/>
  <c r="W47" i="3"/>
  <c r="W47" i="4"/>
  <c r="W47" i="5"/>
  <c r="W47" i="6"/>
  <c r="W47" i="7"/>
  <c r="W47" i="8"/>
  <c r="W47" i="9"/>
  <c r="W47" i="10"/>
  <c r="W47" i="11"/>
  <c r="W47" i="12" s="1"/>
  <c r="V48" i="3"/>
  <c r="V48" i="4"/>
  <c r="V48" i="5"/>
  <c r="V48" i="6"/>
  <c r="V48" i="7"/>
  <c r="V48" i="8"/>
  <c r="V48" i="9"/>
  <c r="V48" i="10"/>
  <c r="W48" i="3"/>
  <c r="W48" i="4"/>
  <c r="W48" i="5"/>
  <c r="W48" i="6"/>
  <c r="W48" i="7"/>
  <c r="W48" i="8"/>
  <c r="W48" i="9"/>
  <c r="W48" i="10"/>
  <c r="W48" i="11" s="1"/>
  <c r="W48" i="12" s="1"/>
  <c r="V50" i="3"/>
  <c r="V50" i="4"/>
  <c r="V50" i="5"/>
  <c r="V50" i="6"/>
  <c r="V50" i="7"/>
  <c r="V50" i="8"/>
  <c r="V50" i="9"/>
  <c r="V50" i="10"/>
  <c r="W50" i="3"/>
  <c r="W50" i="4"/>
  <c r="W50" i="5"/>
  <c r="W50" i="6"/>
  <c r="W50" i="7"/>
  <c r="W50" i="8"/>
  <c r="W50" i="9"/>
  <c r="W50" i="10"/>
  <c r="W50" i="11" s="1"/>
  <c r="W50" i="12" s="1"/>
  <c r="V51" i="3"/>
  <c r="V51" i="4"/>
  <c r="V51" i="5"/>
  <c r="V51" i="6"/>
  <c r="V51" i="7"/>
  <c r="V51" i="8"/>
  <c r="V51" i="9"/>
  <c r="V51" i="10"/>
  <c r="V51" i="11" s="1"/>
  <c r="V51" i="12" s="1"/>
  <c r="W51" i="3"/>
  <c r="W51" i="4"/>
  <c r="W51" i="5"/>
  <c r="W51" i="6"/>
  <c r="W51" i="7"/>
  <c r="W51" i="8"/>
  <c r="W51" i="9"/>
  <c r="W51" i="10"/>
  <c r="W51" i="11"/>
  <c r="W51" i="12" s="1"/>
  <c r="V52" i="3"/>
  <c r="V52" i="4"/>
  <c r="V52" i="5"/>
  <c r="V52" i="6"/>
  <c r="V52" i="7"/>
  <c r="V52" i="8"/>
  <c r="V52" i="9"/>
  <c r="V52" i="10"/>
  <c r="V52" i="11" s="1"/>
  <c r="W52" i="3"/>
  <c r="W52" i="4"/>
  <c r="W52" i="5"/>
  <c r="W52" i="6"/>
  <c r="W52" i="7"/>
  <c r="W52" i="8"/>
  <c r="W52" i="9"/>
  <c r="W52" i="10"/>
  <c r="W52" i="11" s="1"/>
  <c r="W52" i="12" s="1"/>
  <c r="V53" i="3"/>
  <c r="V53" i="4"/>
  <c r="V53" i="5"/>
  <c r="V53" i="6"/>
  <c r="V53" i="7"/>
  <c r="V53" i="8"/>
  <c r="V53" i="9"/>
  <c r="V53" i="10"/>
  <c r="V53" i="11"/>
  <c r="V53" i="12" s="1"/>
  <c r="W53" i="3"/>
  <c r="W53" i="4"/>
  <c r="W53" i="5"/>
  <c r="W53" i="6"/>
  <c r="W53" i="7"/>
  <c r="W53" i="8"/>
  <c r="W53" i="9"/>
  <c r="W53" i="10"/>
  <c r="W53" i="11" s="1"/>
  <c r="W53" i="12" s="1"/>
  <c r="V54" i="3"/>
  <c r="V54" i="4"/>
  <c r="V54" i="5"/>
  <c r="V54" i="6"/>
  <c r="V54" i="7"/>
  <c r="V54" i="8"/>
  <c r="V54" i="9"/>
  <c r="V54" i="10"/>
  <c r="V54" i="11" s="1"/>
  <c r="V54" i="12" s="1"/>
  <c r="W54" i="3"/>
  <c r="W54" i="4"/>
  <c r="W54" i="5"/>
  <c r="W54" i="6"/>
  <c r="W54" i="7"/>
  <c r="W54" i="8"/>
  <c r="W54" i="9"/>
  <c r="W54" i="10"/>
  <c r="W54" i="11"/>
  <c r="W54" i="12" s="1"/>
  <c r="V55" i="3"/>
  <c r="V55" i="4"/>
  <c r="V55" i="5"/>
  <c r="V55" i="6"/>
  <c r="V55" i="7"/>
  <c r="V55" i="8"/>
  <c r="V55" i="9"/>
  <c r="V55" i="10"/>
  <c r="V55" i="11" s="1"/>
  <c r="V55" i="12"/>
  <c r="W55" i="3"/>
  <c r="W55" i="4"/>
  <c r="W55" i="5"/>
  <c r="W55" i="6"/>
  <c r="W55" i="7"/>
  <c r="W55" i="8"/>
  <c r="W55" i="9"/>
  <c r="W55" i="10"/>
  <c r="W55" i="11"/>
  <c r="W55" i="12" s="1"/>
  <c r="V59" i="3"/>
  <c r="V59" i="4"/>
  <c r="V59" i="5"/>
  <c r="V59" i="6"/>
  <c r="V59" i="7"/>
  <c r="V59" i="8"/>
  <c r="V59" i="9"/>
  <c r="V59" i="10"/>
  <c r="X59" i="10" s="1"/>
  <c r="W59" i="3"/>
  <c r="W59" i="4"/>
  <c r="W59" i="5"/>
  <c r="W59" i="6"/>
  <c r="W59" i="7"/>
  <c r="W59" i="8"/>
  <c r="W59" i="9"/>
  <c r="W59" i="10"/>
  <c r="W59" i="11" s="1"/>
  <c r="W59" i="12"/>
  <c r="V60" i="3"/>
  <c r="V60" i="4"/>
  <c r="V60" i="5"/>
  <c r="V60" i="6"/>
  <c r="V60" i="7"/>
  <c r="V60" i="8"/>
  <c r="V60" i="9"/>
  <c r="V60" i="10"/>
  <c r="W60" i="3"/>
  <c r="W60" i="4"/>
  <c r="W60" i="5"/>
  <c r="W60" i="6"/>
  <c r="W60" i="7"/>
  <c r="W60" i="8"/>
  <c r="W60" i="9"/>
  <c r="W60" i="10"/>
  <c r="W60" i="11"/>
  <c r="W60" i="12" s="1"/>
  <c r="V61" i="3"/>
  <c r="V61" i="4"/>
  <c r="V61" i="5"/>
  <c r="V61" i="6"/>
  <c r="V61" i="7"/>
  <c r="V61" i="8"/>
  <c r="V61" i="9"/>
  <c r="V61" i="10"/>
  <c r="X61" i="10" s="1"/>
  <c r="W61" i="3"/>
  <c r="W61" i="4"/>
  <c r="W61" i="5"/>
  <c r="W61" i="6"/>
  <c r="W61" i="7"/>
  <c r="W61" i="8"/>
  <c r="W61" i="9"/>
  <c r="W61" i="10"/>
  <c r="W61" i="11"/>
  <c r="W61" i="12" s="1"/>
  <c r="V92" i="3"/>
  <c r="V92" i="4"/>
  <c r="V92" i="5"/>
  <c r="V92" i="6"/>
  <c r="V92" i="7"/>
  <c r="V92" i="8"/>
  <c r="V92" i="9"/>
  <c r="V92" i="10"/>
  <c r="V92" i="11" s="1"/>
  <c r="V92" i="12" s="1"/>
  <c r="X92" i="12" s="1"/>
  <c r="W92" i="3"/>
  <c r="W92" i="4"/>
  <c r="W92" i="5"/>
  <c r="W92" i="6"/>
  <c r="W92" i="7"/>
  <c r="W92" i="8"/>
  <c r="W92" i="9"/>
  <c r="W92" i="10"/>
  <c r="W92" i="11"/>
  <c r="W92" i="12" s="1"/>
  <c r="V93" i="3"/>
  <c r="V93" i="4"/>
  <c r="V93" i="5"/>
  <c r="V93" i="6"/>
  <c r="V93" i="7"/>
  <c r="V93" i="8"/>
  <c r="V93" i="9"/>
  <c r="V93" i="10"/>
  <c r="V93" i="11" s="1"/>
  <c r="V93" i="12" s="1"/>
  <c r="W93" i="3"/>
  <c r="W93" i="4"/>
  <c r="W93" i="5"/>
  <c r="W93" i="6"/>
  <c r="W93" i="7"/>
  <c r="W93" i="8"/>
  <c r="W93" i="9"/>
  <c r="W93" i="10"/>
  <c r="V94" i="3"/>
  <c r="V94" i="4"/>
  <c r="V94" i="5"/>
  <c r="V94" i="6"/>
  <c r="V94" i="7"/>
  <c r="V94" i="8"/>
  <c r="V94" i="9"/>
  <c r="V94" i="10"/>
  <c r="V94" i="11" s="1"/>
  <c r="V94" i="12" s="1"/>
  <c r="W94" i="3"/>
  <c r="W94" i="4"/>
  <c r="W94" i="5"/>
  <c r="W94" i="6"/>
  <c r="W94" i="7"/>
  <c r="W94" i="8"/>
  <c r="W94" i="9"/>
  <c r="W94" i="10"/>
  <c r="W94" i="11" s="1"/>
  <c r="W94" i="12" s="1"/>
  <c r="V95" i="3"/>
  <c r="V95" i="4"/>
  <c r="V95" i="5"/>
  <c r="V95" i="6"/>
  <c r="V95" i="7"/>
  <c r="V95" i="8"/>
  <c r="V95" i="9"/>
  <c r="V95" i="10"/>
  <c r="V95" i="11" s="1"/>
  <c r="V95" i="12" s="1"/>
  <c r="W95" i="3"/>
  <c r="W95" i="4"/>
  <c r="W95" i="5"/>
  <c r="W95" i="6"/>
  <c r="W95" i="7"/>
  <c r="W95" i="8"/>
  <c r="W95" i="9"/>
  <c r="W95" i="10"/>
  <c r="W95" i="11" s="1"/>
  <c r="W95" i="12" s="1"/>
  <c r="V97" i="3"/>
  <c r="V97" i="4"/>
  <c r="V97" i="5"/>
  <c r="V97" i="6"/>
  <c r="V97" i="7"/>
  <c r="V97" i="8"/>
  <c r="V97" i="9"/>
  <c r="V97" i="10"/>
  <c r="W97" i="3"/>
  <c r="W97" i="4"/>
  <c r="W97" i="5"/>
  <c r="W97" i="6"/>
  <c r="W97" i="7"/>
  <c r="W97" i="8"/>
  <c r="W97" i="9"/>
  <c r="W97" i="10"/>
  <c r="W97" i="11" s="1"/>
  <c r="W97" i="12" s="1"/>
  <c r="V98" i="3"/>
  <c r="V98" i="4"/>
  <c r="V98" i="5"/>
  <c r="V98" i="6"/>
  <c r="V98" i="7"/>
  <c r="V98" i="8"/>
  <c r="V98" i="9"/>
  <c r="V98" i="10"/>
  <c r="V98" i="11"/>
  <c r="V98" i="12" s="1"/>
  <c r="W98" i="3"/>
  <c r="W98" i="4"/>
  <c r="W98" i="5"/>
  <c r="W98" i="6"/>
  <c r="W98" i="7"/>
  <c r="W98" i="8"/>
  <c r="W98" i="9"/>
  <c r="W98" i="10"/>
  <c r="W98" i="11" s="1"/>
  <c r="W98" i="12" s="1"/>
  <c r="V99" i="3"/>
  <c r="V99" i="4"/>
  <c r="V99" i="5"/>
  <c r="V99" i="6"/>
  <c r="V99" i="7"/>
  <c r="V99" i="8"/>
  <c r="V99" i="9"/>
  <c r="V99" i="10"/>
  <c r="W99" i="3"/>
  <c r="W99" i="4"/>
  <c r="W99" i="5"/>
  <c r="W99" i="6"/>
  <c r="W99" i="7"/>
  <c r="W99" i="8"/>
  <c r="W99" i="9"/>
  <c r="W99" i="10"/>
  <c r="W99" i="11"/>
  <c r="W99" i="12" s="1"/>
  <c r="V100" i="3"/>
  <c r="V100" i="4"/>
  <c r="V100" i="5"/>
  <c r="V100" i="6"/>
  <c r="V100" i="7"/>
  <c r="V100" i="8"/>
  <c r="V100" i="9"/>
  <c r="V100" i="10"/>
  <c r="V100" i="11" s="1"/>
  <c r="V100" i="12" s="1"/>
  <c r="X100" i="12" s="1"/>
  <c r="W100" i="3"/>
  <c r="W100" i="4"/>
  <c r="W100" i="5"/>
  <c r="W100" i="6"/>
  <c r="W100" i="7"/>
  <c r="W100" i="8"/>
  <c r="W100" i="9"/>
  <c r="W100" i="10"/>
  <c r="W100" i="11"/>
  <c r="W100" i="12" s="1"/>
  <c r="V101" i="3"/>
  <c r="V101" i="4"/>
  <c r="V101" i="5"/>
  <c r="V101" i="6"/>
  <c r="V101" i="7"/>
  <c r="V101" i="8"/>
  <c r="V101" i="9"/>
  <c r="V101" i="10"/>
  <c r="X101" i="10" s="1"/>
  <c r="W101" i="3"/>
  <c r="W101" i="4"/>
  <c r="W101" i="5"/>
  <c r="W101" i="6"/>
  <c r="W101" i="7"/>
  <c r="W101" i="8"/>
  <c r="W101" i="9"/>
  <c r="W101" i="10"/>
  <c r="W101" i="11" s="1"/>
  <c r="W101" i="12" s="1"/>
  <c r="V102" i="3"/>
  <c r="V102" i="4"/>
  <c r="V102" i="5"/>
  <c r="V102" i="6"/>
  <c r="V102" i="7"/>
  <c r="V102" i="8"/>
  <c r="V102" i="9"/>
  <c r="V102" i="10"/>
  <c r="V102" i="11" s="1"/>
  <c r="V102" i="12"/>
  <c r="X102" i="12" s="1"/>
  <c r="W102" i="3"/>
  <c r="W102" i="4"/>
  <c r="W102" i="5"/>
  <c r="W102" i="6"/>
  <c r="W102" i="7"/>
  <c r="W102" i="8"/>
  <c r="W102" i="9"/>
  <c r="W102" i="10"/>
  <c r="W102" i="11"/>
  <c r="W102" i="12" s="1"/>
  <c r="W106" i="3"/>
  <c r="W106" i="4"/>
  <c r="W106" i="5"/>
  <c r="W106" i="6"/>
  <c r="W106" i="7"/>
  <c r="W106" i="8"/>
  <c r="W106" i="9"/>
  <c r="W106" i="10"/>
  <c r="W106" i="11" s="1"/>
  <c r="W106" i="12" s="1"/>
  <c r="X106" i="12" s="1"/>
  <c r="W107" i="3"/>
  <c r="W107" i="4"/>
  <c r="W107" i="5"/>
  <c r="W107" i="6"/>
  <c r="W107" i="7"/>
  <c r="W107" i="8"/>
  <c r="W107" i="9"/>
  <c r="W107" i="10"/>
  <c r="W107" i="11"/>
  <c r="W107" i="12" s="1"/>
  <c r="X107" i="12"/>
  <c r="W108" i="3"/>
  <c r="W108" i="4"/>
  <c r="W108" i="5"/>
  <c r="W108" i="6"/>
  <c r="W108" i="7"/>
  <c r="W108" i="8"/>
  <c r="W108" i="9"/>
  <c r="W108" i="10"/>
  <c r="W108" i="11" s="1"/>
  <c r="W108" i="12" s="1"/>
  <c r="X108" i="12" s="1"/>
  <c r="AL153" i="12"/>
  <c r="AL147" i="12"/>
  <c r="AL157" i="12"/>
  <c r="AL155" i="12"/>
  <c r="AM234" i="12"/>
  <c r="AM233" i="12" s="1"/>
  <c r="AM231" i="12" s="1"/>
  <c r="AM8" i="12" s="1"/>
  <c r="AM258" i="12" s="1"/>
  <c r="AL234" i="12"/>
  <c r="AL233" i="12"/>
  <c r="AL231" i="12"/>
  <c r="AM221" i="12"/>
  <c r="AL221" i="12"/>
  <c r="AM219" i="12"/>
  <c r="AL219" i="12"/>
  <c r="AM196" i="12"/>
  <c r="AM195" i="12"/>
  <c r="AM194" i="12"/>
  <c r="AM192" i="12"/>
  <c r="AL196" i="12"/>
  <c r="AL195" i="12"/>
  <c r="AL194" i="12"/>
  <c r="AL192" i="12"/>
  <c r="AM183" i="12"/>
  <c r="AL183" i="12"/>
  <c r="AM174" i="12"/>
  <c r="AL174" i="12"/>
  <c r="AM170" i="12"/>
  <c r="AL170" i="12"/>
  <c r="AM155" i="12"/>
  <c r="AM147" i="12"/>
  <c r="AM145" i="12"/>
  <c r="AM114" i="12"/>
  <c r="AL114" i="12"/>
  <c r="AM112" i="12"/>
  <c r="AM83" i="12"/>
  <c r="AL83" i="12"/>
  <c r="AM65" i="12"/>
  <c r="AL65" i="12"/>
  <c r="AM16" i="12"/>
  <c r="AM14" i="12"/>
  <c r="AL16" i="12"/>
  <c r="AL14" i="12"/>
  <c r="AL17" i="12"/>
  <c r="AL20" i="12"/>
  <c r="AM20" i="12"/>
  <c r="AM35" i="12"/>
  <c r="AL39" i="12"/>
  <c r="AL35" i="12"/>
  <c r="AL44" i="12"/>
  <c r="AL43" i="12"/>
  <c r="AM44" i="12"/>
  <c r="AM43" i="12"/>
  <c r="AL49" i="12"/>
  <c r="AM49" i="12"/>
  <c r="AL57" i="12"/>
  <c r="AM57" i="12"/>
  <c r="AL58" i="12"/>
  <c r="AM58" i="12"/>
  <c r="AL69" i="12"/>
  <c r="AM69" i="12"/>
  <c r="AL84" i="12"/>
  <c r="AL91" i="12"/>
  <c r="AM91" i="12"/>
  <c r="AM90" i="12"/>
  <c r="AL96" i="12"/>
  <c r="AL90" i="12"/>
  <c r="AM96" i="12"/>
  <c r="AM104" i="12"/>
  <c r="AL105" i="12"/>
  <c r="AL104" i="12"/>
  <c r="AM105" i="12"/>
  <c r="AL123" i="12"/>
  <c r="AL112" i="12"/>
  <c r="AM123" i="12"/>
  <c r="AL141" i="12"/>
  <c r="AM141" i="12"/>
  <c r="AL149" i="12"/>
  <c r="AM149" i="12"/>
  <c r="AL151" i="12"/>
  <c r="AM157" i="12"/>
  <c r="AL172" i="12"/>
  <c r="AL185" i="12"/>
  <c r="AM185" i="12"/>
  <c r="AL187" i="12"/>
  <c r="AL203" i="12"/>
  <c r="AL204" i="12"/>
  <c r="AM204" i="12"/>
  <c r="AL205" i="12"/>
  <c r="AL210" i="12"/>
  <c r="AL209" i="12"/>
  <c r="AL208" i="12"/>
  <c r="AM210" i="12"/>
  <c r="AM209" i="12"/>
  <c r="AM208" i="12"/>
  <c r="AL226" i="12"/>
  <c r="AM226" i="12"/>
  <c r="AL242" i="12"/>
  <c r="AM242" i="12"/>
  <c r="W256" i="3"/>
  <c r="W256" i="4"/>
  <c r="W255" i="5"/>
  <c r="W255" i="6"/>
  <c r="W255" i="7"/>
  <c r="W255" i="8"/>
  <c r="W255" i="9"/>
  <c r="W255" i="10"/>
  <c r="W255" i="11" s="1"/>
  <c r="W241" i="3"/>
  <c r="W241" i="4"/>
  <c r="W240" i="5"/>
  <c r="W240" i="6"/>
  <c r="W240" i="7"/>
  <c r="W240" i="8"/>
  <c r="W240" i="9"/>
  <c r="W240" i="10"/>
  <c r="W240" i="11" s="1"/>
  <c r="W230" i="3"/>
  <c r="W230" i="4"/>
  <c r="W229" i="5"/>
  <c r="W229" i="6"/>
  <c r="W229" i="7"/>
  <c r="W229" i="8"/>
  <c r="W229" i="9"/>
  <c r="W229" i="10"/>
  <c r="W229" i="11" s="1"/>
  <c r="W225" i="3"/>
  <c r="W225" i="4"/>
  <c r="W224" i="5"/>
  <c r="W224" i="6"/>
  <c r="W224" i="7"/>
  <c r="W224" i="8"/>
  <c r="W224" i="9"/>
  <c r="W224" i="10"/>
  <c r="W224" i="11" s="1"/>
  <c r="W218" i="3"/>
  <c r="W218" i="4"/>
  <c r="W217" i="5"/>
  <c r="W217" i="6"/>
  <c r="W217" i="7"/>
  <c r="W217" i="8"/>
  <c r="W217" i="9"/>
  <c r="W217" i="10"/>
  <c r="W217" i="11"/>
  <c r="W207" i="3"/>
  <c r="W207" i="4"/>
  <c r="W206" i="5"/>
  <c r="W206" i="6"/>
  <c r="W206" i="7"/>
  <c r="W206" i="8"/>
  <c r="W206" i="9"/>
  <c r="W206" i="10"/>
  <c r="W206" i="11" s="1"/>
  <c r="W191" i="3"/>
  <c r="W191" i="4"/>
  <c r="W190" i="5"/>
  <c r="W190" i="6"/>
  <c r="W190" i="7"/>
  <c r="W190" i="8"/>
  <c r="W190" i="9"/>
  <c r="W190" i="10"/>
  <c r="W190" i="11" s="1"/>
  <c r="W182" i="3"/>
  <c r="W182" i="4"/>
  <c r="W181" i="5"/>
  <c r="W181" i="6"/>
  <c r="W181" i="7"/>
  <c r="W181" i="8"/>
  <c r="W181" i="9"/>
  <c r="W181" i="10"/>
  <c r="W181" i="11" s="1"/>
  <c r="W153" i="3"/>
  <c r="W153" i="4"/>
  <c r="W153" i="5"/>
  <c r="W153" i="6"/>
  <c r="W153" i="7"/>
  <c r="W153" i="8"/>
  <c r="W153" i="9"/>
  <c r="W153" i="10"/>
  <c r="W153" i="11"/>
  <c r="W139" i="3"/>
  <c r="W139" i="4"/>
  <c r="W139" i="5"/>
  <c r="W139" i="6"/>
  <c r="W139" i="7"/>
  <c r="W139" i="8"/>
  <c r="W139" i="9"/>
  <c r="W139" i="10"/>
  <c r="W139" i="11"/>
  <c r="W121" i="3"/>
  <c r="W121" i="4"/>
  <c r="W121" i="5"/>
  <c r="W121" i="6"/>
  <c r="W121" i="7"/>
  <c r="W121" i="8"/>
  <c r="W121" i="9"/>
  <c r="W121" i="10"/>
  <c r="W121" i="11" s="1"/>
  <c r="W88" i="3"/>
  <c r="W88" i="4"/>
  <c r="W88" i="5"/>
  <c r="W88" i="6"/>
  <c r="W88" i="7"/>
  <c r="W88" i="8"/>
  <c r="W88" i="9"/>
  <c r="W88" i="10"/>
  <c r="W88" i="11"/>
  <c r="W81" i="3"/>
  <c r="W81" i="4"/>
  <c r="W81" i="5"/>
  <c r="W81" i="6"/>
  <c r="W81" i="7"/>
  <c r="W81" i="8"/>
  <c r="W81" i="9"/>
  <c r="W81" i="10"/>
  <c r="W81" i="11"/>
  <c r="W41" i="3"/>
  <c r="W41" i="4"/>
  <c r="W41" i="5"/>
  <c r="W41" i="6"/>
  <c r="W41" i="7"/>
  <c r="W41" i="8"/>
  <c r="W41" i="9"/>
  <c r="W41" i="10"/>
  <c r="W41" i="11" s="1"/>
  <c r="W33" i="3"/>
  <c r="W33" i="4"/>
  <c r="W33" i="5"/>
  <c r="W33" i="6"/>
  <c r="W33" i="7"/>
  <c r="W33" i="8"/>
  <c r="W33" i="9"/>
  <c r="W33" i="10"/>
  <c r="W33" i="11" s="1"/>
  <c r="V17" i="3"/>
  <c r="V17" i="4"/>
  <c r="V17" i="5"/>
  <c r="V17" i="6"/>
  <c r="V17" i="7"/>
  <c r="V17" i="8"/>
  <c r="V17" i="9"/>
  <c r="V17" i="10"/>
  <c r="V17" i="11" s="1"/>
  <c r="W17" i="3"/>
  <c r="W17" i="4"/>
  <c r="W17" i="5"/>
  <c r="W17" i="6"/>
  <c r="W17" i="7"/>
  <c r="W17" i="8"/>
  <c r="W17" i="9"/>
  <c r="W17" i="10"/>
  <c r="W17" i="11" s="1"/>
  <c r="V18" i="3"/>
  <c r="V18" i="4"/>
  <c r="V18" i="5"/>
  <c r="V18" i="6"/>
  <c r="V18" i="7"/>
  <c r="V18" i="8"/>
  <c r="V18" i="9"/>
  <c r="V18" i="10"/>
  <c r="V18" i="11" s="1"/>
  <c r="W18" i="3"/>
  <c r="W18" i="4"/>
  <c r="W18" i="5"/>
  <c r="W18" i="6"/>
  <c r="W18" i="7"/>
  <c r="W18" i="8"/>
  <c r="W18" i="9"/>
  <c r="W18" i="10"/>
  <c r="W18" i="11"/>
  <c r="V19" i="3"/>
  <c r="V19" i="4"/>
  <c r="V19" i="5"/>
  <c r="V19" i="6"/>
  <c r="V19" i="7"/>
  <c r="V19" i="8"/>
  <c r="V19" i="9"/>
  <c r="V19" i="10"/>
  <c r="V19" i="11" s="1"/>
  <c r="W19" i="3"/>
  <c r="W19" i="4"/>
  <c r="W19" i="5"/>
  <c r="W19" i="6"/>
  <c r="W19" i="7"/>
  <c r="W19" i="8"/>
  <c r="W19" i="9"/>
  <c r="W19" i="10"/>
  <c r="W19" i="11" s="1"/>
  <c r="X19" i="11"/>
  <c r="V21" i="3"/>
  <c r="V21" i="4"/>
  <c r="V21" i="5"/>
  <c r="V21" i="6"/>
  <c r="V21" i="7"/>
  <c r="V21" i="8"/>
  <c r="V21" i="9"/>
  <c r="V21" i="10"/>
  <c r="V21" i="11" s="1"/>
  <c r="X21" i="11" s="1"/>
  <c r="W21" i="3"/>
  <c r="W21" i="4"/>
  <c r="W21" i="5"/>
  <c r="W21" i="6"/>
  <c r="W21" i="7"/>
  <c r="W21" i="8"/>
  <c r="W21" i="9"/>
  <c r="W21" i="10"/>
  <c r="W21" i="11"/>
  <c r="V22" i="3"/>
  <c r="V22" i="4"/>
  <c r="V22" i="5"/>
  <c r="V22" i="6"/>
  <c r="V22" i="7"/>
  <c r="V22" i="8"/>
  <c r="V22" i="9"/>
  <c r="V22" i="10"/>
  <c r="V22" i="11"/>
  <c r="X22" i="11" s="1"/>
  <c r="W22" i="3"/>
  <c r="W22" i="4"/>
  <c r="W22" i="5"/>
  <c r="W22" i="6"/>
  <c r="W22" i="7"/>
  <c r="W22" i="8"/>
  <c r="W22" i="9"/>
  <c r="W22" i="10"/>
  <c r="W22" i="11"/>
  <c r="V23" i="3"/>
  <c r="V23" i="4"/>
  <c r="V23" i="5"/>
  <c r="V23" i="6"/>
  <c r="V23" i="7"/>
  <c r="V23" i="8"/>
  <c r="V23" i="9"/>
  <c r="V23" i="10"/>
  <c r="V23" i="11" s="1"/>
  <c r="X23" i="11" s="1"/>
  <c r="W23" i="3"/>
  <c r="W23" i="4"/>
  <c r="W23" i="5"/>
  <c r="W23" i="6"/>
  <c r="W23" i="7"/>
  <c r="W23" i="8"/>
  <c r="W23" i="9"/>
  <c r="W23" i="10"/>
  <c r="W23" i="11" s="1"/>
  <c r="V24" i="3"/>
  <c r="V24" i="4"/>
  <c r="V24" i="5"/>
  <c r="V24" i="6"/>
  <c r="V24" i="7"/>
  <c r="V24" i="8"/>
  <c r="V24" i="9"/>
  <c r="V24" i="10"/>
  <c r="V24" i="11" s="1"/>
  <c r="W24" i="3"/>
  <c r="W24" i="4"/>
  <c r="W24" i="5"/>
  <c r="W24" i="6"/>
  <c r="W24" i="7"/>
  <c r="W24" i="8"/>
  <c r="W24" i="9"/>
  <c r="W24" i="10"/>
  <c r="W24" i="11" s="1"/>
  <c r="V25" i="3"/>
  <c r="V25" i="4"/>
  <c r="V25" i="5"/>
  <c r="V25" i="6"/>
  <c r="V25" i="7"/>
  <c r="V25" i="8"/>
  <c r="V25" i="9"/>
  <c r="V25" i="10"/>
  <c r="V25" i="11" s="1"/>
  <c r="W25" i="3"/>
  <c r="W25" i="4"/>
  <c r="W25" i="5"/>
  <c r="W25" i="6"/>
  <c r="W25" i="7"/>
  <c r="W25" i="8"/>
  <c r="W25" i="9"/>
  <c r="W25" i="10"/>
  <c r="W25" i="11" s="1"/>
  <c r="V26" i="3"/>
  <c r="V26" i="4"/>
  <c r="V26" i="5"/>
  <c r="V26" i="6"/>
  <c r="V26" i="7"/>
  <c r="V26" i="8"/>
  <c r="V26" i="9"/>
  <c r="V26" i="10"/>
  <c r="V26" i="11" s="1"/>
  <c r="W26" i="3"/>
  <c r="W26" i="4"/>
  <c r="W26" i="5"/>
  <c r="W26" i="6"/>
  <c r="W26" i="7"/>
  <c r="W26" i="8"/>
  <c r="W26" i="9"/>
  <c r="W26" i="10"/>
  <c r="W26" i="11" s="1"/>
  <c r="V27" i="3"/>
  <c r="V27" i="4"/>
  <c r="V27" i="5"/>
  <c r="V27" i="6"/>
  <c r="V27" i="7"/>
  <c r="V27" i="8"/>
  <c r="V27" i="9"/>
  <c r="V27" i="10"/>
  <c r="V27" i="11"/>
  <c r="W27" i="3"/>
  <c r="W27" i="4"/>
  <c r="W27" i="5"/>
  <c r="W27" i="6"/>
  <c r="W27" i="7"/>
  <c r="W27" i="8"/>
  <c r="W27" i="9"/>
  <c r="W27" i="10"/>
  <c r="W27" i="11" s="1"/>
  <c r="V28" i="3"/>
  <c r="V28" i="4"/>
  <c r="V28" i="5"/>
  <c r="V28" i="6"/>
  <c r="V28" i="7"/>
  <c r="V28" i="8"/>
  <c r="V28" i="9"/>
  <c r="V28" i="10"/>
  <c r="V28" i="11"/>
  <c r="W28" i="3"/>
  <c r="W28" i="4"/>
  <c r="W28" i="5"/>
  <c r="W28" i="6"/>
  <c r="W28" i="7"/>
  <c r="W28" i="8"/>
  <c r="W28" i="9"/>
  <c r="W28" i="10"/>
  <c r="W28" i="11" s="1"/>
  <c r="W28" i="12" s="1"/>
  <c r="W28" i="13" s="1"/>
  <c r="V29" i="3"/>
  <c r="V29" i="4"/>
  <c r="V29" i="5"/>
  <c r="V29" i="6"/>
  <c r="V29" i="7"/>
  <c r="V29" i="8"/>
  <c r="V29" i="9"/>
  <c r="V29" i="10"/>
  <c r="V29" i="11" s="1"/>
  <c r="W29" i="3"/>
  <c r="W29" i="4"/>
  <c r="W29" i="5"/>
  <c r="W29" i="6"/>
  <c r="W29" i="7"/>
  <c r="W29" i="8"/>
  <c r="W29" i="9"/>
  <c r="W29" i="10"/>
  <c r="W29" i="11" s="1"/>
  <c r="X29" i="11" s="1"/>
  <c r="V30" i="3"/>
  <c r="V30" i="4"/>
  <c r="V30" i="5"/>
  <c r="V30" i="6"/>
  <c r="V30" i="7"/>
  <c r="V30" i="8"/>
  <c r="V30" i="9"/>
  <c r="V30" i="10"/>
  <c r="V30" i="11" s="1"/>
  <c r="W30" i="3"/>
  <c r="W30" i="4"/>
  <c r="W30" i="5"/>
  <c r="W30" i="6"/>
  <c r="W30" i="7"/>
  <c r="W30" i="8"/>
  <c r="W30" i="9"/>
  <c r="W30" i="10"/>
  <c r="W30" i="11" s="1"/>
  <c r="V31" i="3"/>
  <c r="V31" i="4"/>
  <c r="V31" i="5"/>
  <c r="V31" i="6"/>
  <c r="V31" i="7"/>
  <c r="V31" i="8"/>
  <c r="V31" i="9"/>
  <c r="V31" i="10"/>
  <c r="V31" i="11" s="1"/>
  <c r="W31" i="3"/>
  <c r="W31" i="4"/>
  <c r="W31" i="5"/>
  <c r="W31" i="6"/>
  <c r="W31" i="7"/>
  <c r="W31" i="8"/>
  <c r="W31" i="9"/>
  <c r="W31" i="10"/>
  <c r="W31" i="11" s="1"/>
  <c r="V32" i="3"/>
  <c r="V32" i="4"/>
  <c r="V32" i="5"/>
  <c r="V32" i="6"/>
  <c r="V32" i="7"/>
  <c r="V32" i="8"/>
  <c r="V32" i="9"/>
  <c r="V32" i="10"/>
  <c r="V32" i="11"/>
  <c r="X32" i="11" s="1"/>
  <c r="W32" i="3"/>
  <c r="W32" i="4"/>
  <c r="W32" i="5"/>
  <c r="W32" i="6"/>
  <c r="W32" i="7"/>
  <c r="W32" i="8"/>
  <c r="W32" i="9"/>
  <c r="W32" i="10"/>
  <c r="W32" i="11" s="1"/>
  <c r="V33" i="3"/>
  <c r="V33" i="4"/>
  <c r="V33" i="5"/>
  <c r="V33" i="6"/>
  <c r="V33" i="7"/>
  <c r="V33" i="8"/>
  <c r="V33" i="9"/>
  <c r="V33" i="10"/>
  <c r="V33" i="11" s="1"/>
  <c r="V173" i="3"/>
  <c r="V173" i="4"/>
  <c r="V172" i="5"/>
  <c r="V172" i="6"/>
  <c r="V172" i="7"/>
  <c r="V172" i="8"/>
  <c r="V172" i="9"/>
  <c r="V172" i="10"/>
  <c r="V172" i="11" s="1"/>
  <c r="AL17" i="11"/>
  <c r="X51" i="10"/>
  <c r="X52" i="10"/>
  <c r="X55" i="10"/>
  <c r="X98" i="10"/>
  <c r="X100" i="10"/>
  <c r="V106" i="3"/>
  <c r="V106" i="4"/>
  <c r="V106" i="5"/>
  <c r="V106" i="6"/>
  <c r="V106" i="7"/>
  <c r="V106" i="8"/>
  <c r="V106" i="9"/>
  <c r="V106" i="10"/>
  <c r="V107" i="3"/>
  <c r="V107" i="4"/>
  <c r="V107" i="5"/>
  <c r="V107" i="6"/>
  <c r="V107" i="7"/>
  <c r="V107" i="8"/>
  <c r="V107" i="9"/>
  <c r="V107" i="10"/>
  <c r="X107" i="10" s="1"/>
  <c r="V108" i="3"/>
  <c r="V108" i="4"/>
  <c r="V108" i="5"/>
  <c r="V108" i="6"/>
  <c r="V108" i="7"/>
  <c r="V108" i="8"/>
  <c r="V108" i="9"/>
  <c r="V108" i="10"/>
  <c r="X108" i="10" s="1"/>
  <c r="AL172" i="11"/>
  <c r="AL88" i="3"/>
  <c r="Q98" i="12"/>
  <c r="K33" i="12"/>
  <c r="H98" i="12"/>
  <c r="H90" i="12"/>
  <c r="H33" i="12"/>
  <c r="Y191" i="3"/>
  <c r="AA191" i="3"/>
  <c r="Y191" i="4"/>
  <c r="AA191" i="4"/>
  <c r="Y190" i="5"/>
  <c r="AA190" i="5"/>
  <c r="Y190" i="6"/>
  <c r="AA190" i="6"/>
  <c r="Y190" i="7"/>
  <c r="AA190" i="7"/>
  <c r="Y190" i="8"/>
  <c r="AA190" i="8"/>
  <c r="Y190" i="9"/>
  <c r="AA190" i="9"/>
  <c r="Y190" i="10"/>
  <c r="AA190" i="10"/>
  <c r="Y190" i="11"/>
  <c r="Y190" i="3"/>
  <c r="AA190" i="3"/>
  <c r="Y190" i="4"/>
  <c r="AA190" i="4"/>
  <c r="Y189" i="5"/>
  <c r="AA189" i="5"/>
  <c r="Y189" i="6"/>
  <c r="AA189" i="6"/>
  <c r="Y189" i="7"/>
  <c r="AA189" i="7"/>
  <c r="Y189" i="8"/>
  <c r="AA189" i="8"/>
  <c r="Y189" i="9"/>
  <c r="AA189" i="9"/>
  <c r="Y189" i="10"/>
  <c r="AA189" i="10"/>
  <c r="Y189" i="11" s="1"/>
  <c r="Y188" i="6"/>
  <c r="AA188" i="6"/>
  <c r="Y188" i="7"/>
  <c r="AA188" i="7"/>
  <c r="Y188" i="8"/>
  <c r="AA188" i="8"/>
  <c r="Y188" i="9"/>
  <c r="AA188" i="9"/>
  <c r="Y188" i="10"/>
  <c r="AA188" i="10"/>
  <c r="Y188" i="11" s="1"/>
  <c r="AA188" i="11" s="1"/>
  <c r="Y188" i="12" s="1"/>
  <c r="AA188" i="12" s="1"/>
  <c r="Y188" i="13" s="1"/>
  <c r="AA188" i="13" s="1"/>
  <c r="Y185" i="3"/>
  <c r="AA185" i="3"/>
  <c r="Y185" i="4"/>
  <c r="AA185" i="4"/>
  <c r="Y184" i="5"/>
  <c r="AA184" i="5"/>
  <c r="Y184" i="6"/>
  <c r="AA184" i="6"/>
  <c r="Y184" i="7"/>
  <c r="AA184" i="7"/>
  <c r="Y184" i="8"/>
  <c r="AA184" i="8"/>
  <c r="Y184" i="9"/>
  <c r="AA184" i="9"/>
  <c r="Y184" i="10"/>
  <c r="AA184" i="10"/>
  <c r="Y184" i="11" s="1"/>
  <c r="Y187" i="3"/>
  <c r="AA187" i="3"/>
  <c r="Y187" i="4"/>
  <c r="AA187" i="4"/>
  <c r="Y186" i="5"/>
  <c r="AA186" i="5"/>
  <c r="Y186" i="6"/>
  <c r="AA186" i="6"/>
  <c r="Y186" i="7"/>
  <c r="AA186" i="7"/>
  <c r="Y186" i="8"/>
  <c r="AA186" i="8"/>
  <c r="Y186" i="9"/>
  <c r="AA186" i="9"/>
  <c r="Y186" i="10"/>
  <c r="AA186" i="10"/>
  <c r="Y186" i="11"/>
  <c r="Y188" i="3"/>
  <c r="AA188" i="3"/>
  <c r="Y188" i="4"/>
  <c r="AA188" i="4"/>
  <c r="Y187" i="5"/>
  <c r="AA187" i="5"/>
  <c r="Y187" i="6"/>
  <c r="AA187" i="6"/>
  <c r="Y187" i="7"/>
  <c r="AA187" i="7"/>
  <c r="Y187" i="8"/>
  <c r="AA187" i="8"/>
  <c r="Y187" i="9"/>
  <c r="AA187" i="9"/>
  <c r="Y187" i="10"/>
  <c r="AA187" i="10"/>
  <c r="Y187" i="11" s="1"/>
  <c r="AL145" i="12"/>
  <c r="AL110" i="12"/>
  <c r="AL258" i="12"/>
  <c r="AL168" i="12"/>
  <c r="AM168" i="12"/>
  <c r="AM110" i="12"/>
  <c r="AL63" i="12"/>
  <c r="AL12" i="12"/>
  <c r="AM63" i="12"/>
  <c r="AM12" i="12"/>
  <c r="AM237" i="11"/>
  <c r="Q98" i="11"/>
  <c r="BK19" i="11"/>
  <c r="K90" i="11"/>
  <c r="K33" i="11"/>
  <c r="H90" i="11"/>
  <c r="H33" i="11"/>
  <c r="BE20" i="13"/>
  <c r="Q23" i="14" s="1"/>
  <c r="BE19" i="13"/>
  <c r="Q22" i="14" s="1"/>
  <c r="BE18" i="13"/>
  <c r="BE17" i="13"/>
  <c r="Q17" i="14" s="1"/>
  <c r="R17" i="14" s="1"/>
  <c r="BE16" i="13"/>
  <c r="BE15" i="13"/>
  <c r="Q15" i="14" s="1"/>
  <c r="BE14" i="13"/>
  <c r="BE13" i="13"/>
  <c r="BE11" i="13"/>
  <c r="BE12" i="13"/>
  <c r="Q12" i="14" s="1"/>
  <c r="BE20" i="12"/>
  <c r="BE19" i="12"/>
  <c r="BE18" i="12"/>
  <c r="BE15" i="12"/>
  <c r="BE14" i="12"/>
  <c r="BE13" i="12"/>
  <c r="BE12" i="12"/>
  <c r="BE11" i="12"/>
  <c r="BK20" i="11"/>
  <c r="BK18" i="11"/>
  <c r="BK17" i="11"/>
  <c r="BK16" i="11"/>
  <c r="BK15" i="11"/>
  <c r="BK14" i="11"/>
  <c r="BK13" i="11"/>
  <c r="BK12" i="11"/>
  <c r="BK11" i="11"/>
  <c r="BK10" i="11"/>
  <c r="BK9" i="11"/>
  <c r="BE20" i="10"/>
  <c r="BE19" i="10"/>
  <c r="BE18" i="10"/>
  <c r="BE17" i="10"/>
  <c r="BE15" i="10"/>
  <c r="BE14" i="10"/>
  <c r="BE13" i="10"/>
  <c r="BE12" i="10"/>
  <c r="N12" i="14" s="1"/>
  <c r="BE11" i="10"/>
  <c r="BE10" i="10" s="1"/>
  <c r="BE9" i="10" s="1"/>
  <c r="BE20" i="9"/>
  <c r="BE19" i="9"/>
  <c r="BE18" i="9"/>
  <c r="BE17" i="9"/>
  <c r="BE15" i="9"/>
  <c r="BE14" i="9"/>
  <c r="BE12" i="9"/>
  <c r="BE11" i="9"/>
  <c r="BE20" i="8"/>
  <c r="BE19" i="8"/>
  <c r="BE18" i="8"/>
  <c r="BE16" i="8"/>
  <c r="BE15" i="8"/>
  <c r="BE14" i="8"/>
  <c r="BE13" i="8"/>
  <c r="BE20" i="7"/>
  <c r="BE19" i="7"/>
  <c r="BE18" i="7"/>
  <c r="BE17" i="7"/>
  <c r="BE16" i="7"/>
  <c r="BE15" i="7"/>
  <c r="BE14" i="7"/>
  <c r="BE12" i="7"/>
  <c r="BE11" i="7"/>
  <c r="BE20" i="6"/>
  <c r="BE19" i="6"/>
  <c r="BE18" i="6"/>
  <c r="BE17" i="6"/>
  <c r="BE15" i="6"/>
  <c r="BE14" i="6"/>
  <c r="BE13" i="6"/>
  <c r="BE12" i="6"/>
  <c r="BE11" i="6"/>
  <c r="BE20" i="5"/>
  <c r="BE19" i="5"/>
  <c r="BE18" i="5"/>
  <c r="BE17" i="5"/>
  <c r="BE16" i="5"/>
  <c r="BE15" i="5"/>
  <c r="BE14" i="5"/>
  <c r="BE13" i="5"/>
  <c r="BE12" i="5"/>
  <c r="BE11" i="5"/>
  <c r="BE20" i="4"/>
  <c r="BE18" i="4"/>
  <c r="BE17" i="4"/>
  <c r="BE16" i="4"/>
  <c r="BE15" i="4"/>
  <c r="BE14" i="4"/>
  <c r="BE13" i="4"/>
  <c r="BE12" i="4"/>
  <c r="BE11" i="4"/>
  <c r="BE20" i="3"/>
  <c r="BE19" i="3"/>
  <c r="BE18" i="3"/>
  <c r="BE17" i="3"/>
  <c r="BE16" i="3"/>
  <c r="BE15" i="3"/>
  <c r="BE14" i="3"/>
  <c r="BE13" i="3"/>
  <c r="BE11" i="3"/>
  <c r="BE17" i="2"/>
  <c r="BE15" i="2"/>
  <c r="K90" i="10"/>
  <c r="BE16" i="10"/>
  <c r="N16" i="14" s="1"/>
  <c r="K33" i="10"/>
  <c r="H90" i="10"/>
  <c r="H33" i="10"/>
  <c r="AF261" i="12"/>
  <c r="AC261" i="12"/>
  <c r="Z261" i="12"/>
  <c r="H24" i="9"/>
  <c r="H89" i="9"/>
  <c r="K89" i="9"/>
  <c r="BE16" i="9"/>
  <c r="K90" i="9"/>
  <c r="K33" i="9"/>
  <c r="BE13" i="9"/>
  <c r="K24" i="9"/>
  <c r="AM10" i="12"/>
  <c r="AL10" i="12"/>
  <c r="AL8" i="12"/>
  <c r="BE10" i="9"/>
  <c r="BE9" i="9"/>
  <c r="BE8" i="9"/>
  <c r="BE10" i="12"/>
  <c r="BE9" i="12" s="1"/>
  <c r="BE8" i="12" s="1"/>
  <c r="BE22" i="12" s="1"/>
  <c r="BE10" i="4"/>
  <c r="BE9" i="4"/>
  <c r="BE10" i="5"/>
  <c r="BE9" i="5"/>
  <c r="BE8" i="5"/>
  <c r="BE10" i="6"/>
  <c r="BK8" i="11"/>
  <c r="H90" i="9"/>
  <c r="B124" i="3"/>
  <c r="H109" i="8"/>
  <c r="K23" i="8"/>
  <c r="BE12" i="8"/>
  <c r="K26" i="8"/>
  <c r="BE11" i="8"/>
  <c r="D98" i="2"/>
  <c r="B98" i="3"/>
  <c r="K70" i="8"/>
  <c r="BE17" i="8"/>
  <c r="BE10" i="8"/>
  <c r="BE9" i="8"/>
  <c r="BE8" i="8"/>
  <c r="H89" i="8"/>
  <c r="H90" i="8"/>
  <c r="H26" i="8"/>
  <c r="H79" i="8"/>
  <c r="H33" i="8"/>
  <c r="H23" i="8"/>
  <c r="H34" i="7"/>
  <c r="K16" i="14"/>
  <c r="AF157" i="4"/>
  <c r="BQ18" i="4"/>
  <c r="AK262" i="4"/>
  <c r="U262" i="2"/>
  <c r="AK262" i="2"/>
  <c r="AF262" i="2"/>
  <c r="AE262" i="2"/>
  <c r="AC262" i="2"/>
  <c r="AB262" i="2"/>
  <c r="Z262" i="2"/>
  <c r="Y262" i="2"/>
  <c r="BQ31" i="2"/>
  <c r="AF261" i="5"/>
  <c r="K33" i="7"/>
  <c r="BE13" i="7"/>
  <c r="BE10" i="7"/>
  <c r="BE9" i="7"/>
  <c r="BE8" i="7"/>
  <c r="K34" i="7"/>
  <c r="H43" i="7"/>
  <c r="H33" i="7"/>
  <c r="H88" i="7"/>
  <c r="BQ33" i="13"/>
  <c r="BP33" i="13"/>
  <c r="BO33" i="13"/>
  <c r="BN33" i="13"/>
  <c r="BQ26" i="13"/>
  <c r="BQ23" i="13"/>
  <c r="BQ19" i="13"/>
  <c r="Q42" i="14" s="1"/>
  <c r="BQ17" i="13"/>
  <c r="BQ11" i="13"/>
  <c r="BQ10" i="13"/>
  <c r="Q33" i="14" s="1"/>
  <c r="R33" i="14" s="1"/>
  <c r="BM3" i="13"/>
  <c r="BQ33" i="12"/>
  <c r="BP33" i="12"/>
  <c r="BO33" i="12"/>
  <c r="BN33" i="12"/>
  <c r="BQ26" i="12"/>
  <c r="BQ23" i="12"/>
  <c r="BQ19" i="12"/>
  <c r="BQ17" i="12"/>
  <c r="BQ11" i="12"/>
  <c r="BQ10" i="12"/>
  <c r="BM3" i="12"/>
  <c r="BQ33" i="11"/>
  <c r="BP33" i="11"/>
  <c r="BO33" i="11"/>
  <c r="BN33" i="11"/>
  <c r="BQ26" i="11"/>
  <c r="BQ23" i="11"/>
  <c r="BQ19" i="11"/>
  <c r="BQ17" i="11"/>
  <c r="BQ11" i="11"/>
  <c r="BQ10" i="11"/>
  <c r="BM3" i="11"/>
  <c r="BQ33" i="10"/>
  <c r="BP33" i="10"/>
  <c r="BO33" i="10"/>
  <c r="BN33" i="10"/>
  <c r="BQ26" i="10"/>
  <c r="BQ23" i="10"/>
  <c r="N46" i="14" s="1"/>
  <c r="BQ19" i="10"/>
  <c r="BQ17" i="10"/>
  <c r="BQ11" i="10"/>
  <c r="N34" i="14" s="1"/>
  <c r="BQ10" i="10"/>
  <c r="N33" i="14" s="1"/>
  <c r="BM3" i="10"/>
  <c r="BQ33" i="9"/>
  <c r="BP33" i="9"/>
  <c r="BO33" i="9"/>
  <c r="BN33" i="9"/>
  <c r="BQ26" i="9"/>
  <c r="BQ23" i="9"/>
  <c r="BQ19" i="9"/>
  <c r="BQ17" i="9"/>
  <c r="BQ11" i="9"/>
  <c r="BQ10" i="9"/>
  <c r="BM3" i="9"/>
  <c r="BQ33" i="8"/>
  <c r="BP33" i="8"/>
  <c r="BO33" i="8"/>
  <c r="BN33" i="8"/>
  <c r="BQ26" i="8"/>
  <c r="BQ23" i="8"/>
  <c r="BQ19" i="8"/>
  <c r="BQ17" i="8"/>
  <c r="BQ11" i="8"/>
  <c r="BQ10" i="8"/>
  <c r="BM3" i="8"/>
  <c r="BQ33" i="7"/>
  <c r="BP33" i="7"/>
  <c r="BO33" i="7"/>
  <c r="BN33" i="7"/>
  <c r="BQ26" i="7"/>
  <c r="BQ23" i="7"/>
  <c r="BQ19" i="7"/>
  <c r="BQ17" i="7"/>
  <c r="BQ11" i="7"/>
  <c r="BQ10" i="7"/>
  <c r="BM3" i="7"/>
  <c r="BQ33" i="6"/>
  <c r="BP33" i="6"/>
  <c r="BO33" i="6"/>
  <c r="BN33" i="6"/>
  <c r="BQ26" i="6"/>
  <c r="BQ23" i="6"/>
  <c r="BQ19" i="6"/>
  <c r="BQ17" i="6"/>
  <c r="BQ11" i="6"/>
  <c r="BQ10" i="6"/>
  <c r="BM3" i="6"/>
  <c r="BQ31" i="5"/>
  <c r="BQ31" i="12"/>
  <c r="BK15" i="12"/>
  <c r="AL149" i="7"/>
  <c r="H90" i="7"/>
  <c r="H75" i="7"/>
  <c r="AF217" i="7"/>
  <c r="AF261" i="7"/>
  <c r="BQ31" i="7"/>
  <c r="K54" i="14"/>
  <c r="AC217" i="7"/>
  <c r="AC261" i="7"/>
  <c r="Z217" i="7"/>
  <c r="BM3" i="5"/>
  <c r="BQ10" i="5"/>
  <c r="BQ11" i="5"/>
  <c r="BQ17" i="5"/>
  <c r="BQ19" i="5"/>
  <c r="BQ23" i="5"/>
  <c r="BQ26" i="5"/>
  <c r="H104" i="4"/>
  <c r="AF261" i="13"/>
  <c r="BQ31" i="13" s="1"/>
  <c r="Q54" i="14" s="1"/>
  <c r="AC261" i="13"/>
  <c r="Z261" i="13"/>
  <c r="U166" i="13"/>
  <c r="AK155" i="12"/>
  <c r="U166" i="12"/>
  <c r="AC261" i="11"/>
  <c r="Z261" i="11"/>
  <c r="AK155" i="11"/>
  <c r="U166" i="11"/>
  <c r="AF261" i="10"/>
  <c r="BQ31" i="10" s="1"/>
  <c r="BK15" i="10" s="1"/>
  <c r="BL15" i="10" s="1"/>
  <c r="AC261" i="10"/>
  <c r="Z261" i="10"/>
  <c r="AK155" i="10"/>
  <c r="U166" i="10"/>
  <c r="AF261" i="9"/>
  <c r="BQ31" i="9"/>
  <c r="AC261" i="9"/>
  <c r="Z261" i="9"/>
  <c r="AK155" i="9"/>
  <c r="U166" i="9"/>
  <c r="AF261" i="8"/>
  <c r="BQ31" i="8"/>
  <c r="AC261" i="8"/>
  <c r="Z261" i="8"/>
  <c r="AK155" i="8"/>
  <c r="U166" i="8"/>
  <c r="AM157" i="7"/>
  <c r="AM155" i="7"/>
  <c r="AL157" i="7"/>
  <c r="AL155" i="7"/>
  <c r="Z261" i="7"/>
  <c r="U166" i="7"/>
  <c r="U166" i="6"/>
  <c r="S108" i="6"/>
  <c r="S167" i="6"/>
  <c r="S190" i="6"/>
  <c r="BQ33" i="5"/>
  <c r="BP33" i="5"/>
  <c r="BO33" i="5"/>
  <c r="BN33" i="5"/>
  <c r="AC261" i="5"/>
  <c r="Z261" i="5"/>
  <c r="AK155" i="5"/>
  <c r="U166" i="5"/>
  <c r="U165" i="5"/>
  <c r="BQ26" i="4"/>
  <c r="BQ23" i="4"/>
  <c r="BQ19" i="4"/>
  <c r="BQ17" i="4"/>
  <c r="BQ11" i="4"/>
  <c r="BQ10" i="4"/>
  <c r="BM3" i="4"/>
  <c r="AK10" i="4"/>
  <c r="U156" i="4"/>
  <c r="U158" i="4"/>
  <c r="U159" i="4"/>
  <c r="U160" i="4"/>
  <c r="U161" i="4"/>
  <c r="U162" i="4"/>
  <c r="U163" i="4"/>
  <c r="U164" i="4"/>
  <c r="U165" i="4"/>
  <c r="U166" i="4"/>
  <c r="U167" i="4"/>
  <c r="U33" i="4"/>
  <c r="U32" i="4"/>
  <c r="U31" i="4"/>
  <c r="U30" i="4"/>
  <c r="U29" i="4"/>
  <c r="U28" i="4"/>
  <c r="U27" i="4"/>
  <c r="U26" i="4"/>
  <c r="U25" i="4"/>
  <c r="BQ26" i="3"/>
  <c r="BQ23" i="3"/>
  <c r="BQ19" i="3"/>
  <c r="BQ17" i="3"/>
  <c r="BQ11" i="3"/>
  <c r="BQ10" i="3"/>
  <c r="BM3" i="3"/>
  <c r="T188" i="7"/>
  <c r="T188" i="8"/>
  <c r="T188" i="9"/>
  <c r="S188" i="7"/>
  <c r="S188" i="8"/>
  <c r="S188" i="9"/>
  <c r="AE189" i="4"/>
  <c r="AG189" i="4"/>
  <c r="AB189" i="4"/>
  <c r="AD189" i="4"/>
  <c r="AA189" i="4"/>
  <c r="Y188" i="5"/>
  <c r="AA188" i="5"/>
  <c r="Y189" i="4"/>
  <c r="W189" i="4"/>
  <c r="V189" i="4"/>
  <c r="V188" i="5"/>
  <c r="T189" i="4"/>
  <c r="T188" i="5"/>
  <c r="S189" i="4"/>
  <c r="S188" i="5"/>
  <c r="S188" i="3"/>
  <c r="P54" i="14"/>
  <c r="Z171" i="2"/>
  <c r="U197" i="2"/>
  <c r="BQ17" i="2"/>
  <c r="H24" i="6"/>
  <c r="H27" i="6"/>
  <c r="H47" i="6"/>
  <c r="H71" i="6"/>
  <c r="K90" i="6"/>
  <c r="BE16" i="6"/>
  <c r="BE9" i="6"/>
  <c r="BE8" i="6"/>
  <c r="K71" i="6"/>
  <c r="K47" i="6"/>
  <c r="K27" i="6"/>
  <c r="K24" i="6"/>
  <c r="H33" i="6"/>
  <c r="AL197" i="6"/>
  <c r="AL217" i="6"/>
  <c r="AL206" i="6"/>
  <c r="AL130" i="6"/>
  <c r="AL188" i="6"/>
  <c r="AF217" i="6"/>
  <c r="AF261" i="6"/>
  <c r="BQ31" i="6"/>
  <c r="AC217" i="6"/>
  <c r="AC261" i="6"/>
  <c r="Z217" i="6"/>
  <c r="Z261" i="6"/>
  <c r="H46" i="5"/>
  <c r="H43" i="5"/>
  <c r="H33" i="5"/>
  <c r="H26" i="5"/>
  <c r="H23" i="5"/>
  <c r="U157" i="4"/>
  <c r="U155" i="4"/>
  <c r="S188" i="10"/>
  <c r="S188" i="11"/>
  <c r="S188" i="12"/>
  <c r="S188" i="13"/>
  <c r="T188" i="11"/>
  <c r="T188" i="12"/>
  <c r="T188" i="13"/>
  <c r="T188" i="10"/>
  <c r="AB188" i="5"/>
  <c r="AD188" i="5"/>
  <c r="X189" i="4"/>
  <c r="AI189" i="4"/>
  <c r="W188" i="5"/>
  <c r="X188" i="5"/>
  <c r="AE188" i="5"/>
  <c r="AG188" i="5"/>
  <c r="U39" i="5"/>
  <c r="H74" i="5"/>
  <c r="H71" i="5"/>
  <c r="H65" i="5"/>
  <c r="H27" i="5"/>
  <c r="H24" i="5"/>
  <c r="K71" i="5"/>
  <c r="K74" i="5"/>
  <c r="K65" i="5"/>
  <c r="K27" i="5"/>
  <c r="K24" i="5"/>
  <c r="H90" i="5"/>
  <c r="AJ189" i="4"/>
  <c r="AH189" i="4"/>
  <c r="AI188" i="5"/>
  <c r="AJ188" i="5"/>
  <c r="AH188" i="5"/>
  <c r="AK260" i="4"/>
  <c r="AK264" i="4"/>
  <c r="AF262" i="3"/>
  <c r="BQ31" i="3"/>
  <c r="AC262" i="3"/>
  <c r="Z262" i="3"/>
  <c r="K128" i="13"/>
  <c r="H128" i="13"/>
  <c r="K128" i="12"/>
  <c r="BE21" i="12"/>
  <c r="H128" i="12"/>
  <c r="K128" i="11"/>
  <c r="H128" i="11"/>
  <c r="K128" i="10"/>
  <c r="BE21" i="10" s="1"/>
  <c r="H128" i="10"/>
  <c r="K128" i="9"/>
  <c r="BE21" i="9"/>
  <c r="BE22" i="9"/>
  <c r="H128" i="9"/>
  <c r="K128" i="8"/>
  <c r="BE21" i="8"/>
  <c r="BE22" i="8"/>
  <c r="H128" i="8"/>
  <c r="K128" i="7"/>
  <c r="BE21" i="7"/>
  <c r="BE22" i="7"/>
  <c r="H128" i="7"/>
  <c r="K128" i="6"/>
  <c r="BE21" i="6"/>
  <c r="BE22" i="6"/>
  <c r="H128" i="6"/>
  <c r="K128" i="5"/>
  <c r="BE21" i="5"/>
  <c r="BE22" i="5"/>
  <c r="H128" i="5"/>
  <c r="K128" i="4"/>
  <c r="BE21" i="4"/>
  <c r="H128" i="4"/>
  <c r="H90" i="4"/>
  <c r="K109" i="4"/>
  <c r="BE19" i="4"/>
  <c r="BE8" i="4"/>
  <c r="AF218" i="4"/>
  <c r="AC218" i="4"/>
  <c r="AC262" i="4"/>
  <c r="Z218" i="4"/>
  <c r="Z262" i="4"/>
  <c r="BQ31" i="4"/>
  <c r="AF262" i="4"/>
  <c r="BE22" i="4"/>
  <c r="H83" i="3"/>
  <c r="H74" i="3"/>
  <c r="H65" i="3"/>
  <c r="H62" i="3"/>
  <c r="H34" i="3"/>
  <c r="H27" i="3"/>
  <c r="K23" i="3"/>
  <c r="BE12" i="3"/>
  <c r="BE10" i="3"/>
  <c r="BE9" i="3"/>
  <c r="BE8" i="3"/>
  <c r="K74" i="3"/>
  <c r="K83" i="3"/>
  <c r="K65" i="3"/>
  <c r="K62" i="3"/>
  <c r="K34" i="3"/>
  <c r="K27" i="3"/>
  <c r="K24" i="3"/>
  <c r="H33" i="3"/>
  <c r="H128" i="3"/>
  <c r="K128" i="3"/>
  <c r="BE21" i="3"/>
  <c r="BE22" i="3"/>
  <c r="U225" i="3"/>
  <c r="U224" i="3"/>
  <c r="U223" i="3"/>
  <c r="U218" i="3"/>
  <c r="U217" i="3"/>
  <c r="U216" i="3"/>
  <c r="U215" i="3"/>
  <c r="U207" i="3"/>
  <c r="U206" i="3"/>
  <c r="U204" i="3"/>
  <c r="U203" i="3"/>
  <c r="U202" i="3"/>
  <c r="U201" i="3"/>
  <c r="U200" i="3"/>
  <c r="U199" i="3"/>
  <c r="U198" i="3"/>
  <c r="U191" i="3"/>
  <c r="U190" i="3"/>
  <c r="U188" i="3"/>
  <c r="U187" i="3"/>
  <c r="U185" i="3"/>
  <c r="U182" i="3"/>
  <c r="U181" i="3"/>
  <c r="U180" i="3"/>
  <c r="U179" i="3"/>
  <c r="U178" i="3"/>
  <c r="U177" i="3"/>
  <c r="U176" i="3"/>
  <c r="U173" i="3"/>
  <c r="U172" i="3"/>
  <c r="U167" i="3"/>
  <c r="U166" i="3"/>
  <c r="U165" i="3"/>
  <c r="U164" i="3"/>
  <c r="U163" i="3"/>
  <c r="U162" i="3"/>
  <c r="U161" i="3"/>
  <c r="U160" i="3"/>
  <c r="U159" i="3"/>
  <c r="U158" i="3"/>
  <c r="U156" i="3"/>
  <c r="U153" i="3"/>
  <c r="U152" i="3"/>
  <c r="U151" i="3"/>
  <c r="U150" i="3"/>
  <c r="U148" i="3"/>
  <c r="U143" i="3"/>
  <c r="U142" i="3"/>
  <c r="U139" i="3"/>
  <c r="U138" i="3"/>
  <c r="U137" i="3"/>
  <c r="U136" i="3"/>
  <c r="U135" i="3"/>
  <c r="U134" i="3"/>
  <c r="U133" i="3"/>
  <c r="U132" i="3"/>
  <c r="U131" i="3"/>
  <c r="U130" i="3"/>
  <c r="U129" i="3"/>
  <c r="U128" i="3"/>
  <c r="U127" i="3"/>
  <c r="U126" i="3"/>
  <c r="U125" i="3"/>
  <c r="U124" i="3"/>
  <c r="U121" i="3"/>
  <c r="U120" i="3"/>
  <c r="U119" i="3"/>
  <c r="U118" i="3"/>
  <c r="U117" i="3"/>
  <c r="U116" i="3"/>
  <c r="U115" i="3"/>
  <c r="U108" i="3"/>
  <c r="U107" i="3"/>
  <c r="U106" i="3"/>
  <c r="U102" i="3"/>
  <c r="U101" i="3"/>
  <c r="U100" i="3"/>
  <c r="U99" i="3"/>
  <c r="U98" i="3"/>
  <c r="U97" i="3"/>
  <c r="U95" i="3"/>
  <c r="U94" i="3"/>
  <c r="U93" i="3"/>
  <c r="U92" i="3"/>
  <c r="U88" i="3"/>
  <c r="U87" i="3"/>
  <c r="U86" i="3"/>
  <c r="U85" i="3"/>
  <c r="U84" i="3"/>
  <c r="U81" i="3"/>
  <c r="U80" i="3"/>
  <c r="U79" i="3"/>
  <c r="U78" i="3"/>
  <c r="U77" i="3"/>
  <c r="U76" i="3"/>
  <c r="U75" i="3"/>
  <c r="U74" i="3"/>
  <c r="U73" i="3"/>
  <c r="U72" i="3"/>
  <c r="U71" i="3"/>
  <c r="U70" i="3"/>
  <c r="U68" i="3"/>
  <c r="U67" i="3"/>
  <c r="U66" i="3"/>
  <c r="U61" i="3"/>
  <c r="U60" i="3"/>
  <c r="U59" i="3"/>
  <c r="U55" i="3"/>
  <c r="U54" i="3"/>
  <c r="U53" i="3"/>
  <c r="U52" i="3"/>
  <c r="U51" i="3"/>
  <c r="U50" i="3"/>
  <c r="U48" i="3"/>
  <c r="U47" i="3"/>
  <c r="U46" i="3"/>
  <c r="U45" i="3"/>
  <c r="U41" i="3"/>
  <c r="U40" i="3"/>
  <c r="U39" i="3"/>
  <c r="U38" i="3"/>
  <c r="U37" i="3"/>
  <c r="U36" i="3"/>
  <c r="U33" i="3"/>
  <c r="U32" i="3"/>
  <c r="U31" i="3"/>
  <c r="U30" i="3"/>
  <c r="U29" i="3"/>
  <c r="U28" i="3"/>
  <c r="U27" i="3"/>
  <c r="U26" i="3"/>
  <c r="U25" i="3"/>
  <c r="U24" i="3"/>
  <c r="U23" i="3"/>
  <c r="U22" i="3"/>
  <c r="U21" i="3"/>
  <c r="U19" i="3"/>
  <c r="U18" i="3"/>
  <c r="U17" i="3"/>
  <c r="G109" i="3"/>
  <c r="I90" i="2"/>
  <c r="G90" i="3"/>
  <c r="E111" i="3"/>
  <c r="AL259" i="3"/>
  <c r="S257" i="3"/>
  <c r="AE256" i="3"/>
  <c r="AG256" i="3"/>
  <c r="Y256" i="3"/>
  <c r="AA256" i="3"/>
  <c r="V256" i="3"/>
  <c r="U256" i="3"/>
  <c r="T256" i="3"/>
  <c r="S256" i="3"/>
  <c r="AE255" i="3"/>
  <c r="AG255" i="3"/>
  <c r="Y255" i="3"/>
  <c r="AA255" i="3"/>
  <c r="W255" i="3"/>
  <c r="V255" i="3"/>
  <c r="U255" i="3"/>
  <c r="T255" i="3"/>
  <c r="S255" i="3"/>
  <c r="AE254" i="3"/>
  <c r="AG254" i="3"/>
  <c r="Y254" i="3"/>
  <c r="AA254" i="3"/>
  <c r="W254" i="3"/>
  <c r="V254" i="3"/>
  <c r="U254" i="3"/>
  <c r="T254" i="3"/>
  <c r="S254" i="3"/>
  <c r="AE253" i="3"/>
  <c r="AG253" i="3"/>
  <c r="Y253" i="3"/>
  <c r="AA253" i="3"/>
  <c r="W253" i="3"/>
  <c r="V253" i="3"/>
  <c r="U253" i="3"/>
  <c r="T253" i="3"/>
  <c r="S253" i="3"/>
  <c r="AE252" i="3"/>
  <c r="AG252" i="3"/>
  <c r="Y252" i="3"/>
  <c r="AA252" i="3"/>
  <c r="W252" i="3"/>
  <c r="V252" i="3"/>
  <c r="U252" i="3"/>
  <c r="T252" i="3"/>
  <c r="S252" i="3"/>
  <c r="AE251" i="3"/>
  <c r="AG251" i="3"/>
  <c r="Y251" i="3"/>
  <c r="AA251" i="3"/>
  <c r="W251" i="3"/>
  <c r="V251" i="3"/>
  <c r="U251" i="3"/>
  <c r="T251" i="3"/>
  <c r="S251" i="3"/>
  <c r="AE250" i="3"/>
  <c r="AG250" i="3"/>
  <c r="Y250" i="3"/>
  <c r="AA250" i="3"/>
  <c r="W250" i="3"/>
  <c r="V250" i="3"/>
  <c r="U250" i="3"/>
  <c r="T250" i="3"/>
  <c r="S250" i="3"/>
  <c r="AE249" i="3"/>
  <c r="AG249" i="3"/>
  <c r="Y249" i="3"/>
  <c r="AA249" i="3"/>
  <c r="W249" i="3"/>
  <c r="V249" i="3"/>
  <c r="U249" i="3"/>
  <c r="T249" i="3"/>
  <c r="S249" i="3"/>
  <c r="AE248" i="3"/>
  <c r="AG248" i="3"/>
  <c r="Y248" i="3"/>
  <c r="AA248" i="3"/>
  <c r="W248" i="3"/>
  <c r="V248" i="3"/>
  <c r="U248" i="3"/>
  <c r="T248" i="3"/>
  <c r="S248" i="3"/>
  <c r="AE247" i="3"/>
  <c r="AG247" i="3"/>
  <c r="Y247" i="3"/>
  <c r="AA247" i="3"/>
  <c r="W247" i="3"/>
  <c r="V247" i="3"/>
  <c r="U247" i="3"/>
  <c r="T247" i="3"/>
  <c r="S247" i="3"/>
  <c r="AE246" i="3"/>
  <c r="AG246" i="3"/>
  <c r="Y246" i="3"/>
  <c r="AA246" i="3"/>
  <c r="W246" i="3"/>
  <c r="V246" i="3"/>
  <c r="U246" i="3"/>
  <c r="T246" i="3"/>
  <c r="S246" i="3"/>
  <c r="AE245" i="3"/>
  <c r="AG245" i="3"/>
  <c r="Y245" i="3"/>
  <c r="W245" i="3"/>
  <c r="V245" i="3"/>
  <c r="U245" i="3"/>
  <c r="T245" i="3"/>
  <c r="S245" i="3"/>
  <c r="AE244" i="3"/>
  <c r="AG244" i="3"/>
  <c r="Y244" i="3"/>
  <c r="AA244" i="3"/>
  <c r="W244" i="3"/>
  <c r="V244" i="3"/>
  <c r="U244" i="3"/>
  <c r="T244" i="3"/>
  <c r="S244" i="3"/>
  <c r="AM243" i="3"/>
  <c r="AL243" i="3"/>
  <c r="AF243" i="3"/>
  <c r="AC243" i="3"/>
  <c r="Z243" i="3"/>
  <c r="S243" i="3"/>
  <c r="S242" i="3"/>
  <c r="AE241" i="3"/>
  <c r="AG241" i="3"/>
  <c r="Y241" i="3"/>
  <c r="AA241" i="3"/>
  <c r="V241" i="3"/>
  <c r="U241" i="3"/>
  <c r="T241" i="3"/>
  <c r="S241" i="3"/>
  <c r="AE240" i="3"/>
  <c r="AG240" i="3"/>
  <c r="Y240" i="3"/>
  <c r="AA240" i="3"/>
  <c r="W240" i="3"/>
  <c r="V240" i="3"/>
  <c r="U240" i="3"/>
  <c r="T240" i="3"/>
  <c r="S240" i="3"/>
  <c r="AE239" i="3"/>
  <c r="AG239" i="3"/>
  <c r="Y239" i="3"/>
  <c r="AA239" i="3"/>
  <c r="W239" i="3"/>
  <c r="V239" i="3"/>
  <c r="U239" i="3"/>
  <c r="T239" i="3"/>
  <c r="S239" i="3"/>
  <c r="AE238" i="3"/>
  <c r="AG238" i="3"/>
  <c r="Y238" i="3"/>
  <c r="W238" i="3"/>
  <c r="V238" i="3"/>
  <c r="U238" i="3"/>
  <c r="T238" i="3"/>
  <c r="S238" i="3"/>
  <c r="AE237" i="3"/>
  <c r="AG237" i="3"/>
  <c r="Y237" i="3"/>
  <c r="AA237" i="3"/>
  <c r="W237" i="3"/>
  <c r="V237" i="3"/>
  <c r="U237" i="3"/>
  <c r="T237" i="3"/>
  <c r="S237" i="3"/>
  <c r="AE236" i="3"/>
  <c r="AG236" i="3"/>
  <c r="Y236" i="3"/>
  <c r="AA236" i="3"/>
  <c r="W236" i="3"/>
  <c r="V236" i="3"/>
  <c r="U236" i="3"/>
  <c r="T236" i="3"/>
  <c r="S236" i="3"/>
  <c r="AM235" i="3"/>
  <c r="AM234" i="3"/>
  <c r="AL235" i="3"/>
  <c r="AL234" i="3"/>
  <c r="AL232" i="3"/>
  <c r="AF235" i="3"/>
  <c r="AF234" i="3"/>
  <c r="AF232" i="3"/>
  <c r="BQ29" i="3"/>
  <c r="AC235" i="3"/>
  <c r="AC234" i="3"/>
  <c r="Z235" i="3"/>
  <c r="Z234" i="3"/>
  <c r="T235" i="3"/>
  <c r="S235" i="3"/>
  <c r="S234" i="3"/>
  <c r="S233" i="3"/>
  <c r="S232" i="3"/>
  <c r="S231" i="3"/>
  <c r="AE230" i="3"/>
  <c r="AG230" i="3"/>
  <c r="Y230" i="3"/>
  <c r="AA230" i="3"/>
  <c r="V230" i="3"/>
  <c r="U230" i="3"/>
  <c r="T230" i="3"/>
  <c r="S230" i="3"/>
  <c r="AE229" i="3"/>
  <c r="AG229" i="3"/>
  <c r="Y229" i="3"/>
  <c r="AA229" i="3"/>
  <c r="W229" i="3"/>
  <c r="V229" i="3"/>
  <c r="U229" i="3"/>
  <c r="T229" i="3"/>
  <c r="S229" i="3"/>
  <c r="AE228" i="3"/>
  <c r="Y228" i="3"/>
  <c r="AA228" i="3"/>
  <c r="W228" i="3"/>
  <c r="V228" i="3"/>
  <c r="U228" i="3"/>
  <c r="T228" i="3"/>
  <c r="S228" i="3"/>
  <c r="AM227" i="3"/>
  <c r="AL227" i="3"/>
  <c r="AF227" i="3"/>
  <c r="AC227" i="3"/>
  <c r="Z227" i="3"/>
  <c r="S227" i="3"/>
  <c r="S226" i="3"/>
  <c r="AE225" i="3"/>
  <c r="AG225" i="3"/>
  <c r="Y225" i="3"/>
  <c r="AA225" i="3"/>
  <c r="V225" i="3"/>
  <c r="T225" i="3"/>
  <c r="S225" i="3"/>
  <c r="AE224" i="3"/>
  <c r="AG224" i="3"/>
  <c r="Y224" i="3"/>
  <c r="W224" i="3"/>
  <c r="V224" i="3"/>
  <c r="T224" i="3"/>
  <c r="S224" i="3"/>
  <c r="AE223" i="3"/>
  <c r="AG223" i="3"/>
  <c r="Y223" i="3"/>
  <c r="AA223" i="3"/>
  <c r="W223" i="3"/>
  <c r="V223" i="3"/>
  <c r="T223" i="3"/>
  <c r="S223" i="3"/>
  <c r="AM222" i="3"/>
  <c r="AL222" i="3"/>
  <c r="AF222" i="3"/>
  <c r="AC222" i="3"/>
  <c r="Z222" i="3"/>
  <c r="S222" i="3"/>
  <c r="S221" i="3"/>
  <c r="S220" i="3"/>
  <c r="S219" i="3"/>
  <c r="AE218" i="3"/>
  <c r="AG218" i="3"/>
  <c r="Y218" i="3"/>
  <c r="AA218" i="3"/>
  <c r="V218" i="3"/>
  <c r="T218" i="3"/>
  <c r="S218" i="3"/>
  <c r="AE217" i="3"/>
  <c r="AG217" i="3"/>
  <c r="Y217" i="3"/>
  <c r="AA217" i="3"/>
  <c r="W217" i="3"/>
  <c r="V217" i="3"/>
  <c r="T217" i="3"/>
  <c r="S217" i="3"/>
  <c r="AE216" i="3"/>
  <c r="AG216" i="3"/>
  <c r="Y216" i="3"/>
  <c r="AA216" i="3"/>
  <c r="W216" i="3"/>
  <c r="V216" i="3"/>
  <c r="T216" i="3"/>
  <c r="S216" i="3"/>
  <c r="AE215" i="3"/>
  <c r="AG215" i="3"/>
  <c r="Y215" i="3"/>
  <c r="AA215" i="3"/>
  <c r="W215" i="3"/>
  <c r="V215" i="3"/>
  <c r="T215" i="3"/>
  <c r="S215" i="3"/>
  <c r="AE214" i="3"/>
  <c r="AG214" i="3"/>
  <c r="Y214" i="3"/>
  <c r="AA214" i="3"/>
  <c r="W214" i="3"/>
  <c r="V214" i="3"/>
  <c r="U214" i="3"/>
  <c r="T214" i="3"/>
  <c r="S214" i="3"/>
  <c r="AE213" i="3"/>
  <c r="AG213" i="3"/>
  <c r="Y213" i="3"/>
  <c r="AA213" i="3"/>
  <c r="W213" i="3"/>
  <c r="V213" i="3"/>
  <c r="U213" i="3"/>
  <c r="T213" i="3"/>
  <c r="S213" i="3"/>
  <c r="AE212" i="3"/>
  <c r="AA212" i="3"/>
  <c r="W212" i="3"/>
  <c r="V212" i="3"/>
  <c r="U212" i="3"/>
  <c r="T212" i="3"/>
  <c r="S212" i="3"/>
  <c r="AM211" i="3"/>
  <c r="AM210" i="3"/>
  <c r="AM209" i="3"/>
  <c r="AL211" i="3"/>
  <c r="AL210" i="3"/>
  <c r="AL209" i="3"/>
  <c r="AF211" i="3"/>
  <c r="AF210" i="3"/>
  <c r="AF209" i="3"/>
  <c r="BQ27" i="3"/>
  <c r="BQ25" i="3"/>
  <c r="AC211" i="3"/>
  <c r="Z211" i="3"/>
  <c r="Z210" i="3"/>
  <c r="Z209" i="3"/>
  <c r="T211" i="3"/>
  <c r="S211" i="3"/>
  <c r="AC210" i="3"/>
  <c r="AC209" i="3"/>
  <c r="S210" i="3"/>
  <c r="S209" i="3"/>
  <c r="S208" i="3"/>
  <c r="AE207" i="3"/>
  <c r="AG207" i="3"/>
  <c r="Y207" i="3"/>
  <c r="AA207" i="3"/>
  <c r="V207" i="3"/>
  <c r="T207" i="3"/>
  <c r="S207" i="3"/>
  <c r="AE206" i="3"/>
  <c r="AG206" i="3"/>
  <c r="AG205" i="3"/>
  <c r="AB205" i="3"/>
  <c r="Y206" i="3"/>
  <c r="AA206" i="3"/>
  <c r="AA205" i="3"/>
  <c r="W206" i="3"/>
  <c r="W205" i="3"/>
  <c r="V206" i="3"/>
  <c r="T206" i="3"/>
  <c r="S206" i="3"/>
  <c r="AM205" i="3"/>
  <c r="AL205" i="3"/>
  <c r="AF205" i="3"/>
  <c r="AC205" i="3"/>
  <c r="Z205" i="3"/>
  <c r="T205" i="3"/>
  <c r="S205" i="3"/>
  <c r="AE204" i="3"/>
  <c r="AG204" i="3"/>
  <c r="Y204" i="3"/>
  <c r="AA204" i="3"/>
  <c r="W204" i="3"/>
  <c r="V204" i="3"/>
  <c r="T204" i="3"/>
  <c r="S204" i="3"/>
  <c r="AE203" i="3"/>
  <c r="AG203" i="3"/>
  <c r="Y203" i="3"/>
  <c r="AA203" i="3"/>
  <c r="W203" i="3"/>
  <c r="V203" i="3"/>
  <c r="T203" i="3"/>
  <c r="S203" i="3"/>
  <c r="AE202" i="3"/>
  <c r="AG202" i="3"/>
  <c r="Y202" i="3"/>
  <c r="AA202" i="3"/>
  <c r="W202" i="3"/>
  <c r="V202" i="3"/>
  <c r="T202" i="3"/>
  <c r="S202" i="3"/>
  <c r="Y201" i="3"/>
  <c r="AA201" i="3"/>
  <c r="W201" i="3"/>
  <c r="V201" i="3"/>
  <c r="T201" i="3"/>
  <c r="S201" i="3"/>
  <c r="AE200" i="3"/>
  <c r="AG200" i="3"/>
  <c r="Y200" i="3"/>
  <c r="AA200" i="3"/>
  <c r="W200" i="3"/>
  <c r="V200" i="3"/>
  <c r="T200" i="3"/>
  <c r="S200" i="3"/>
  <c r="AE199" i="3"/>
  <c r="Y199" i="3"/>
  <c r="W199" i="3"/>
  <c r="V199" i="3"/>
  <c r="T199" i="3"/>
  <c r="S199" i="3"/>
  <c r="AE198" i="3"/>
  <c r="AG198" i="3"/>
  <c r="Y198" i="3"/>
  <c r="AA198" i="3"/>
  <c r="W198" i="3"/>
  <c r="V198" i="3"/>
  <c r="T198" i="3"/>
  <c r="S198" i="3"/>
  <c r="AM197" i="3"/>
  <c r="AL197" i="3"/>
  <c r="AF197" i="3"/>
  <c r="AF196" i="3"/>
  <c r="AC197" i="3"/>
  <c r="Z197" i="3"/>
  <c r="T197" i="3"/>
  <c r="S197" i="3"/>
  <c r="S196" i="3"/>
  <c r="S195" i="3"/>
  <c r="AE191" i="3"/>
  <c r="AG191" i="3"/>
  <c r="V191" i="3"/>
  <c r="AE190" i="3"/>
  <c r="AG190" i="3"/>
  <c r="W190" i="3"/>
  <c r="V190" i="3"/>
  <c r="T190" i="3"/>
  <c r="S190" i="3"/>
  <c r="AE188" i="3"/>
  <c r="AG188" i="3"/>
  <c r="W188" i="3"/>
  <c r="V188" i="3"/>
  <c r="T188" i="3"/>
  <c r="AE187" i="3"/>
  <c r="AG187" i="3"/>
  <c r="W187" i="3"/>
  <c r="V187" i="3"/>
  <c r="T187" i="3"/>
  <c r="S187" i="3"/>
  <c r="AM186" i="3"/>
  <c r="AM184" i="3"/>
  <c r="AL186" i="3"/>
  <c r="AL184" i="3"/>
  <c r="AF186" i="3"/>
  <c r="AF184" i="3"/>
  <c r="AC186" i="3"/>
  <c r="AC184" i="3"/>
  <c r="Z186" i="3"/>
  <c r="T186" i="3"/>
  <c r="S186" i="3"/>
  <c r="AE185" i="3"/>
  <c r="W185" i="3"/>
  <c r="V185" i="3"/>
  <c r="T185" i="3"/>
  <c r="S185" i="3"/>
  <c r="Z184" i="3"/>
  <c r="S184" i="3"/>
  <c r="S183" i="3"/>
  <c r="AE182" i="3"/>
  <c r="AG182" i="3"/>
  <c r="Y182" i="3"/>
  <c r="AA182" i="3"/>
  <c r="V182" i="3"/>
  <c r="T182" i="3"/>
  <c r="S182" i="3"/>
  <c r="AE181" i="3"/>
  <c r="AG181" i="3"/>
  <c r="Y181" i="3"/>
  <c r="W181" i="3"/>
  <c r="V181" i="3"/>
  <c r="S181" i="3"/>
  <c r="AE180" i="3"/>
  <c r="AG180" i="3"/>
  <c r="Y180" i="3"/>
  <c r="AA180" i="3"/>
  <c r="W180" i="3"/>
  <c r="V180" i="3"/>
  <c r="S180" i="3"/>
  <c r="AE179" i="3"/>
  <c r="AG179" i="3"/>
  <c r="Y179" i="3"/>
  <c r="AA179" i="3"/>
  <c r="W179" i="3"/>
  <c r="V179" i="3"/>
  <c r="T179" i="3"/>
  <c r="S179" i="3"/>
  <c r="AE178" i="3"/>
  <c r="Y178" i="3"/>
  <c r="AA178" i="3"/>
  <c r="W178" i="3"/>
  <c r="V178" i="3"/>
  <c r="T178" i="3"/>
  <c r="S178" i="3"/>
  <c r="AE177" i="3"/>
  <c r="AG177" i="3"/>
  <c r="Y177" i="3"/>
  <c r="AA177" i="3"/>
  <c r="W177" i="3"/>
  <c r="V177" i="3"/>
  <c r="T177" i="3"/>
  <c r="S177" i="3"/>
  <c r="AE176" i="3"/>
  <c r="AG176" i="3"/>
  <c r="BP23" i="3"/>
  <c r="Y176" i="3"/>
  <c r="AA176" i="3"/>
  <c r="BO23" i="3"/>
  <c r="W176" i="3"/>
  <c r="V176" i="3"/>
  <c r="T176" i="3"/>
  <c r="S176" i="3"/>
  <c r="AM175" i="3"/>
  <c r="AL175" i="3"/>
  <c r="AF175" i="3"/>
  <c r="AC175" i="3"/>
  <c r="Z175" i="3"/>
  <c r="S175" i="3"/>
  <c r="S174" i="3"/>
  <c r="AE173" i="3"/>
  <c r="Y173" i="3"/>
  <c r="W173" i="3"/>
  <c r="T173" i="3"/>
  <c r="S173" i="3"/>
  <c r="AE172" i="3"/>
  <c r="AG172" i="3"/>
  <c r="Y172" i="3"/>
  <c r="AA172" i="3"/>
  <c r="W172" i="3"/>
  <c r="V172" i="3"/>
  <c r="T172" i="3"/>
  <c r="S172" i="3"/>
  <c r="AM171" i="3"/>
  <c r="AL171" i="3"/>
  <c r="AF171" i="3"/>
  <c r="AC171" i="3"/>
  <c r="Z171" i="3"/>
  <c r="V171" i="3"/>
  <c r="S171" i="3"/>
  <c r="S170" i="3"/>
  <c r="S169" i="3"/>
  <c r="S168" i="3"/>
  <c r="V167" i="3"/>
  <c r="T167" i="3"/>
  <c r="S167" i="3"/>
  <c r="AE166" i="3"/>
  <c r="AG166" i="3"/>
  <c r="AB166" i="3"/>
  <c r="AD166" i="3"/>
  <c r="Y166" i="3"/>
  <c r="AA166" i="3"/>
  <c r="W166" i="3"/>
  <c r="T166" i="3"/>
  <c r="S166" i="3"/>
  <c r="T165" i="3"/>
  <c r="S165" i="3"/>
  <c r="T164" i="3"/>
  <c r="S164" i="3"/>
  <c r="T163" i="3"/>
  <c r="S163" i="3"/>
  <c r="T162" i="3"/>
  <c r="S162" i="3"/>
  <c r="T161" i="3"/>
  <c r="S161" i="3"/>
  <c r="T160" i="3"/>
  <c r="S160" i="3"/>
  <c r="T159" i="3"/>
  <c r="S159" i="3"/>
  <c r="T158" i="3"/>
  <c r="S158" i="3"/>
  <c r="AM157" i="3"/>
  <c r="AM155" i="3"/>
  <c r="AL157" i="3"/>
  <c r="AL155" i="3"/>
  <c r="AF157" i="3"/>
  <c r="BQ18" i="3"/>
  <c r="AC157" i="3"/>
  <c r="AC155" i="3"/>
  <c r="Z157" i="3"/>
  <c r="Z155" i="3"/>
  <c r="T157" i="3"/>
  <c r="S157" i="3"/>
  <c r="T156" i="3"/>
  <c r="S156" i="3"/>
  <c r="AF155" i="3"/>
  <c r="S155" i="3"/>
  <c r="S154" i="3"/>
  <c r="Y153" i="3"/>
  <c r="AA153" i="3"/>
  <c r="V153" i="3"/>
  <c r="T153" i="3"/>
  <c r="S153" i="3"/>
  <c r="Y152" i="3"/>
  <c r="AA152" i="3"/>
  <c r="W152" i="3"/>
  <c r="V152" i="3"/>
  <c r="T152" i="3"/>
  <c r="S152" i="3"/>
  <c r="Y151" i="3"/>
  <c r="W151" i="3"/>
  <c r="V151" i="3"/>
  <c r="T151" i="3"/>
  <c r="S151" i="3"/>
  <c r="Y150" i="3"/>
  <c r="AA150" i="3"/>
  <c r="W150" i="3"/>
  <c r="V150" i="3"/>
  <c r="T150" i="3"/>
  <c r="S150" i="3"/>
  <c r="AM149" i="3"/>
  <c r="AM147" i="3"/>
  <c r="AL149" i="3"/>
  <c r="AL147" i="3"/>
  <c r="AF149" i="3"/>
  <c r="BQ16" i="3"/>
  <c r="AC149" i="3"/>
  <c r="AC147" i="3"/>
  <c r="Z149" i="3"/>
  <c r="Z147" i="3"/>
  <c r="T149" i="3"/>
  <c r="S149" i="3"/>
  <c r="Y148" i="3"/>
  <c r="AA148" i="3"/>
  <c r="W148" i="3"/>
  <c r="V148" i="3"/>
  <c r="T148" i="3"/>
  <c r="S148" i="3"/>
  <c r="S147" i="3"/>
  <c r="S146" i="3"/>
  <c r="S145" i="3"/>
  <c r="S144" i="3"/>
  <c r="Y143" i="3"/>
  <c r="W143" i="3"/>
  <c r="V143" i="3"/>
  <c r="T143" i="3"/>
  <c r="S143" i="3"/>
  <c r="Y142" i="3"/>
  <c r="AA142" i="3"/>
  <c r="W142" i="3"/>
  <c r="V142" i="3"/>
  <c r="T142" i="3"/>
  <c r="S142" i="3"/>
  <c r="AM141" i="3"/>
  <c r="AL141" i="3"/>
  <c r="AF141" i="3"/>
  <c r="BQ20" i="3"/>
  <c r="AC141" i="3"/>
  <c r="Z141" i="3"/>
  <c r="S141" i="3"/>
  <c r="S140" i="3"/>
  <c r="Y139" i="3"/>
  <c r="AA139" i="3"/>
  <c r="V139" i="3"/>
  <c r="T139" i="3"/>
  <c r="S139" i="3"/>
  <c r="Y138" i="3"/>
  <c r="AA138" i="3"/>
  <c r="W138" i="3"/>
  <c r="V138" i="3"/>
  <c r="T138" i="3"/>
  <c r="S138" i="3"/>
  <c r="Y137" i="3"/>
  <c r="AA137" i="3"/>
  <c r="W137" i="3"/>
  <c r="V137" i="3"/>
  <c r="T137" i="3"/>
  <c r="S137" i="3"/>
  <c r="Y136" i="3"/>
  <c r="AA136" i="3"/>
  <c r="W136" i="3"/>
  <c r="V136" i="3"/>
  <c r="T136" i="3"/>
  <c r="S136" i="3"/>
  <c r="Y135" i="3"/>
  <c r="AA135" i="3"/>
  <c r="W135" i="3"/>
  <c r="V135" i="3"/>
  <c r="T135" i="3"/>
  <c r="S135" i="3"/>
  <c r="Y134" i="3"/>
  <c r="AA134" i="3"/>
  <c r="W134" i="3"/>
  <c r="V134" i="3"/>
  <c r="T134" i="3"/>
  <c r="S134" i="3"/>
  <c r="Y133" i="3"/>
  <c r="W133" i="3"/>
  <c r="V133" i="3"/>
  <c r="T133" i="3"/>
  <c r="S133" i="3"/>
  <c r="Y132" i="3"/>
  <c r="AA132" i="3"/>
  <c r="W132" i="3"/>
  <c r="V132" i="3"/>
  <c r="T132" i="3"/>
  <c r="S132" i="3"/>
  <c r="W131" i="3"/>
  <c r="V131" i="3"/>
  <c r="T131" i="3"/>
  <c r="S131" i="3"/>
  <c r="AL130" i="3"/>
  <c r="AL123" i="3"/>
  <c r="Y130" i="3"/>
  <c r="AA130" i="3"/>
  <c r="W130" i="3"/>
  <c r="V130" i="3"/>
  <c r="T130" i="3"/>
  <c r="S130" i="3"/>
  <c r="Y129" i="3"/>
  <c r="AA129" i="3"/>
  <c r="W129" i="3"/>
  <c r="V129" i="3"/>
  <c r="T129" i="3"/>
  <c r="S129" i="3"/>
  <c r="Y128" i="3"/>
  <c r="AA128" i="3"/>
  <c r="W128" i="3"/>
  <c r="V128" i="3"/>
  <c r="T128" i="3"/>
  <c r="S128" i="3"/>
  <c r="Y127" i="3"/>
  <c r="AA127" i="3"/>
  <c r="W127" i="3"/>
  <c r="V127" i="3"/>
  <c r="T127" i="3"/>
  <c r="S127" i="3"/>
  <c r="BP19" i="3"/>
  <c r="Y126" i="3"/>
  <c r="AA126" i="3"/>
  <c r="BO19" i="3"/>
  <c r="W126" i="3"/>
  <c r="V126" i="3"/>
  <c r="T126" i="3"/>
  <c r="S126" i="3"/>
  <c r="Y125" i="3"/>
  <c r="AA125" i="3"/>
  <c r="W125" i="3"/>
  <c r="V125" i="3"/>
  <c r="T125" i="3"/>
  <c r="S125" i="3"/>
  <c r="Y124" i="3"/>
  <c r="AA124" i="3"/>
  <c r="W124" i="3"/>
  <c r="V124" i="3"/>
  <c r="T124" i="3"/>
  <c r="S124" i="3"/>
  <c r="G124" i="3"/>
  <c r="I124" i="3"/>
  <c r="E124" i="3"/>
  <c r="D124" i="3"/>
  <c r="C124" i="3"/>
  <c r="A124" i="3"/>
  <c r="AM123" i="3"/>
  <c r="AF123" i="3"/>
  <c r="AC123" i="3"/>
  <c r="AC112" i="3"/>
  <c r="Z123" i="3"/>
  <c r="S123" i="3"/>
  <c r="G123" i="3"/>
  <c r="I123" i="3"/>
  <c r="E123" i="3"/>
  <c r="D123" i="3"/>
  <c r="C123" i="3"/>
  <c r="B123" i="3"/>
  <c r="A123" i="3"/>
  <c r="S122" i="3"/>
  <c r="G122" i="3"/>
  <c r="I122" i="3"/>
  <c r="E122" i="3"/>
  <c r="D122" i="3"/>
  <c r="C122" i="3"/>
  <c r="B122" i="3"/>
  <c r="A122" i="3"/>
  <c r="Y121" i="3"/>
  <c r="AA121" i="3"/>
  <c r="V121" i="3"/>
  <c r="T121" i="3"/>
  <c r="S121" i="3"/>
  <c r="G121" i="3"/>
  <c r="I121" i="3"/>
  <c r="E121" i="3"/>
  <c r="D121" i="3"/>
  <c r="C121" i="3"/>
  <c r="B121" i="3"/>
  <c r="A121" i="3"/>
  <c r="Y120" i="3"/>
  <c r="AA120" i="3"/>
  <c r="W120" i="3"/>
  <c r="V120" i="3"/>
  <c r="T120" i="3"/>
  <c r="S120" i="3"/>
  <c r="G120" i="3"/>
  <c r="I120" i="3"/>
  <c r="E120" i="3"/>
  <c r="D120" i="3"/>
  <c r="C120" i="3"/>
  <c r="B120" i="3"/>
  <c r="A120" i="3"/>
  <c r="Y119" i="3"/>
  <c r="AA119" i="3"/>
  <c r="W119" i="3"/>
  <c r="V119" i="3"/>
  <c r="T119" i="3"/>
  <c r="S119" i="3"/>
  <c r="G119" i="3"/>
  <c r="I119" i="3"/>
  <c r="E119" i="3"/>
  <c r="D119" i="3"/>
  <c r="C119" i="3"/>
  <c r="B119" i="3"/>
  <c r="A119" i="3"/>
  <c r="Y118" i="3"/>
  <c r="AA118" i="3"/>
  <c r="W118" i="3"/>
  <c r="V118" i="3"/>
  <c r="T118" i="3"/>
  <c r="S118" i="3"/>
  <c r="G118" i="3"/>
  <c r="I118" i="3"/>
  <c r="E118" i="3"/>
  <c r="D118" i="3"/>
  <c r="C118" i="3"/>
  <c r="B118" i="3"/>
  <c r="A118" i="3"/>
  <c r="Y117" i="3"/>
  <c r="AA117" i="3"/>
  <c r="W117" i="3"/>
  <c r="V117" i="3"/>
  <c r="T117" i="3"/>
  <c r="S117" i="3"/>
  <c r="G117" i="3"/>
  <c r="I117" i="3"/>
  <c r="E117" i="3"/>
  <c r="D117" i="3"/>
  <c r="C117" i="3"/>
  <c r="B117" i="3"/>
  <c r="A117" i="3"/>
  <c r="Y116" i="3"/>
  <c r="W116" i="3"/>
  <c r="V116" i="3"/>
  <c r="T116" i="3"/>
  <c r="S116" i="3"/>
  <c r="G116" i="3"/>
  <c r="E116" i="3"/>
  <c r="D116" i="3"/>
  <c r="C116" i="3"/>
  <c r="B116" i="3"/>
  <c r="A116" i="3"/>
  <c r="Y115" i="3"/>
  <c r="AA115" i="3"/>
  <c r="W115" i="3"/>
  <c r="V115" i="3"/>
  <c r="T115" i="3"/>
  <c r="S115" i="3"/>
  <c r="G115" i="3"/>
  <c r="I115" i="3"/>
  <c r="E115" i="3"/>
  <c r="D115" i="3"/>
  <c r="C115" i="3"/>
  <c r="B115" i="3"/>
  <c r="A115" i="3"/>
  <c r="AM114" i="3"/>
  <c r="AL114" i="3"/>
  <c r="AF114" i="3"/>
  <c r="AC114" i="3"/>
  <c r="Z114" i="3"/>
  <c r="S114" i="3"/>
  <c r="B114" i="3"/>
  <c r="A114" i="3"/>
  <c r="S113" i="3"/>
  <c r="Q113" i="3"/>
  <c r="P113" i="3"/>
  <c r="K113" i="3"/>
  <c r="H113" i="3"/>
  <c r="B113" i="3"/>
  <c r="A113" i="3"/>
  <c r="S112" i="3"/>
  <c r="B112" i="3"/>
  <c r="A112" i="3"/>
  <c r="S111" i="3"/>
  <c r="G111" i="3"/>
  <c r="I111" i="3"/>
  <c r="D111" i="3"/>
  <c r="C111" i="3"/>
  <c r="B111" i="3"/>
  <c r="A111" i="3"/>
  <c r="S110" i="3"/>
  <c r="G110" i="3"/>
  <c r="I110" i="3"/>
  <c r="C110" i="3"/>
  <c r="B110" i="3"/>
  <c r="A110" i="3"/>
  <c r="S109" i="3"/>
  <c r="I109" i="3"/>
  <c r="C109" i="3"/>
  <c r="B109" i="3"/>
  <c r="A109" i="3"/>
  <c r="AE108" i="3"/>
  <c r="AG108" i="3"/>
  <c r="Y108" i="3"/>
  <c r="AA108" i="3"/>
  <c r="I108" i="3"/>
  <c r="C108" i="3"/>
  <c r="AE107" i="3"/>
  <c r="AG107" i="3"/>
  <c r="AB107" i="3"/>
  <c r="AD107" i="3"/>
  <c r="Y107" i="3"/>
  <c r="AA107" i="3"/>
  <c r="T107" i="3"/>
  <c r="S107" i="3"/>
  <c r="I107" i="3"/>
  <c r="C107" i="3"/>
  <c r="AE106" i="3"/>
  <c r="AB106" i="3"/>
  <c r="Y106" i="3"/>
  <c r="AA106" i="3"/>
  <c r="T106" i="3"/>
  <c r="S106" i="3"/>
  <c r="G106" i="3"/>
  <c r="I106" i="3"/>
  <c r="C106" i="3"/>
  <c r="A106" i="3"/>
  <c r="AM105" i="3"/>
  <c r="AM104" i="3"/>
  <c r="AL105" i="3"/>
  <c r="AL104" i="3"/>
  <c r="AF105" i="3"/>
  <c r="AC105" i="3"/>
  <c r="AC104" i="3"/>
  <c r="Z105" i="3"/>
  <c r="Z104" i="3"/>
  <c r="T105" i="3"/>
  <c r="S105" i="3"/>
  <c r="G105" i="3"/>
  <c r="C105" i="3"/>
  <c r="B105" i="3"/>
  <c r="A105" i="3"/>
  <c r="AF104" i="3"/>
  <c r="S104" i="3"/>
  <c r="Q104" i="3"/>
  <c r="P104" i="3"/>
  <c r="K104" i="3"/>
  <c r="H104" i="3"/>
  <c r="B104" i="3"/>
  <c r="A104" i="3"/>
  <c r="S103" i="3"/>
  <c r="B103" i="3"/>
  <c r="A103" i="3"/>
  <c r="AE102" i="3"/>
  <c r="AG102" i="3"/>
  <c r="Y102" i="3"/>
  <c r="AA102" i="3"/>
  <c r="T102" i="3"/>
  <c r="S102" i="3"/>
  <c r="G102" i="3"/>
  <c r="I102" i="3"/>
  <c r="E102" i="3"/>
  <c r="D102" i="3"/>
  <c r="C102" i="3"/>
  <c r="B102" i="3"/>
  <c r="A102" i="3"/>
  <c r="AE101" i="3"/>
  <c r="AG101" i="3"/>
  <c r="Y101" i="3"/>
  <c r="AA101" i="3"/>
  <c r="T101" i="3"/>
  <c r="S101" i="3"/>
  <c r="G101" i="3"/>
  <c r="I101" i="3"/>
  <c r="C101" i="3"/>
  <c r="B101" i="3"/>
  <c r="A101" i="3"/>
  <c r="AE100" i="3"/>
  <c r="AG100" i="3"/>
  <c r="Y100" i="3"/>
  <c r="T100" i="3"/>
  <c r="S100" i="3"/>
  <c r="G100" i="3"/>
  <c r="I100" i="3"/>
  <c r="C100" i="3"/>
  <c r="B100" i="3"/>
  <c r="A100" i="3"/>
  <c r="AE99" i="3"/>
  <c r="AG99" i="3"/>
  <c r="Y99" i="3"/>
  <c r="AA99" i="3"/>
  <c r="T99" i="3"/>
  <c r="S99" i="3"/>
  <c r="G99" i="3"/>
  <c r="I99" i="3"/>
  <c r="C99" i="3"/>
  <c r="B99" i="3"/>
  <c r="A99" i="3"/>
  <c r="AE98" i="3"/>
  <c r="AG98" i="3"/>
  <c r="Y98" i="3"/>
  <c r="AA98" i="3"/>
  <c r="T98" i="3"/>
  <c r="S98" i="3"/>
  <c r="G98" i="3"/>
  <c r="I98" i="3"/>
  <c r="C98" i="3"/>
  <c r="A98" i="3"/>
  <c r="AE97" i="3"/>
  <c r="Y97" i="3"/>
  <c r="AA97" i="3"/>
  <c r="T97" i="3"/>
  <c r="S97" i="3"/>
  <c r="G97" i="3"/>
  <c r="I97" i="3"/>
  <c r="C97" i="3"/>
  <c r="B97" i="3"/>
  <c r="A97" i="3"/>
  <c r="AM96" i="3"/>
  <c r="AL96" i="3"/>
  <c r="AF96" i="3"/>
  <c r="AC96" i="3"/>
  <c r="Z96" i="3"/>
  <c r="T96" i="3"/>
  <c r="S96" i="3"/>
  <c r="G96" i="3"/>
  <c r="C96" i="3"/>
  <c r="B96" i="3"/>
  <c r="A96" i="3"/>
  <c r="AE95" i="3"/>
  <c r="AG95" i="3"/>
  <c r="Y95" i="3"/>
  <c r="AA95" i="3"/>
  <c r="T95" i="3"/>
  <c r="S95" i="3"/>
  <c r="G95" i="3"/>
  <c r="I95" i="3"/>
  <c r="C95" i="3"/>
  <c r="B95" i="3"/>
  <c r="A95" i="3"/>
  <c r="AE94" i="3"/>
  <c r="AG94" i="3"/>
  <c r="Y94" i="3"/>
  <c r="AA94" i="3"/>
  <c r="T94" i="3"/>
  <c r="S94" i="3"/>
  <c r="Q94" i="3"/>
  <c r="P94" i="3"/>
  <c r="K94" i="3"/>
  <c r="H94" i="3"/>
  <c r="B94" i="3"/>
  <c r="A94" i="3"/>
  <c r="AE93" i="3"/>
  <c r="AG93" i="3"/>
  <c r="Y93" i="3"/>
  <c r="AA93" i="3"/>
  <c r="T93" i="3"/>
  <c r="S93" i="3"/>
  <c r="B93" i="3"/>
  <c r="A93" i="3"/>
  <c r="AE92" i="3"/>
  <c r="AG92" i="3"/>
  <c r="Y92" i="3"/>
  <c r="AA92" i="3"/>
  <c r="T92" i="3"/>
  <c r="S92" i="3"/>
  <c r="E92" i="3"/>
  <c r="D92" i="3"/>
  <c r="C92" i="3"/>
  <c r="B92" i="3"/>
  <c r="A92" i="3"/>
  <c r="AM91" i="3"/>
  <c r="AL91" i="3"/>
  <c r="AF91" i="3"/>
  <c r="AC91" i="3"/>
  <c r="Z91" i="3"/>
  <c r="T91" i="3"/>
  <c r="S91" i="3"/>
  <c r="C91" i="3"/>
  <c r="B91" i="3"/>
  <c r="A91" i="3"/>
  <c r="S90" i="3"/>
  <c r="I90" i="3"/>
  <c r="AW13" i="3"/>
  <c r="C90" i="3"/>
  <c r="B90" i="3"/>
  <c r="S89" i="3"/>
  <c r="AX12" i="3"/>
  <c r="C89" i="3"/>
  <c r="B89" i="3"/>
  <c r="A89" i="3"/>
  <c r="AL83" i="3"/>
  <c r="AE88" i="3"/>
  <c r="AG88" i="3"/>
  <c r="Y88" i="3"/>
  <c r="AA88" i="3"/>
  <c r="V88" i="3"/>
  <c r="T88" i="3"/>
  <c r="S88" i="3"/>
  <c r="AS11" i="3"/>
  <c r="C88" i="3"/>
  <c r="B88" i="3"/>
  <c r="A88" i="3"/>
  <c r="AE87" i="3"/>
  <c r="AG87" i="3"/>
  <c r="Y87" i="3"/>
  <c r="AA87" i="3"/>
  <c r="W87" i="3"/>
  <c r="V87" i="3"/>
  <c r="T87" i="3"/>
  <c r="S87" i="3"/>
  <c r="AS10" i="3"/>
  <c r="C87" i="3"/>
  <c r="B87" i="3"/>
  <c r="A87" i="3"/>
  <c r="AE86" i="3"/>
  <c r="AG86" i="3"/>
  <c r="Y86" i="3"/>
  <c r="AA86" i="3"/>
  <c r="W86" i="3"/>
  <c r="V86" i="3"/>
  <c r="T86" i="3"/>
  <c r="S86" i="3"/>
  <c r="C86" i="3"/>
  <c r="A86" i="3"/>
  <c r="AE85" i="3"/>
  <c r="AG85" i="3"/>
  <c r="Y85" i="3"/>
  <c r="AA85" i="3"/>
  <c r="W85" i="3"/>
  <c r="V85" i="3"/>
  <c r="T85" i="3"/>
  <c r="S85" i="3"/>
  <c r="Q85" i="3"/>
  <c r="P85" i="3"/>
  <c r="K85" i="3"/>
  <c r="H85" i="3"/>
  <c r="B85" i="3"/>
  <c r="A85" i="3"/>
  <c r="AE84" i="3"/>
  <c r="AG84" i="3"/>
  <c r="Y84" i="3"/>
  <c r="W84" i="3"/>
  <c r="V84" i="3"/>
  <c r="T84" i="3"/>
  <c r="S84" i="3"/>
  <c r="AM83" i="3"/>
  <c r="AF83" i="3"/>
  <c r="AC83" i="3"/>
  <c r="Z83" i="3"/>
  <c r="S83" i="3"/>
  <c r="G83" i="3"/>
  <c r="I83" i="3"/>
  <c r="E83" i="3"/>
  <c r="D83" i="3"/>
  <c r="C83" i="3"/>
  <c r="B83" i="3"/>
  <c r="A83" i="3"/>
  <c r="S82" i="3"/>
  <c r="G82" i="3"/>
  <c r="C82" i="3"/>
  <c r="B82" i="3"/>
  <c r="A82" i="3"/>
  <c r="AE81" i="3"/>
  <c r="AG81" i="3"/>
  <c r="Y81" i="3"/>
  <c r="AA81" i="3"/>
  <c r="V81" i="3"/>
  <c r="T81" i="3"/>
  <c r="S81" i="3"/>
  <c r="Q81" i="3"/>
  <c r="P81" i="3"/>
  <c r="K81" i="3"/>
  <c r="H81" i="3"/>
  <c r="C81" i="3"/>
  <c r="B81" i="3"/>
  <c r="A81" i="3"/>
  <c r="AE80" i="3"/>
  <c r="AG80" i="3"/>
  <c r="Y80" i="3"/>
  <c r="AA80" i="3"/>
  <c r="W80" i="3"/>
  <c r="V80" i="3"/>
  <c r="S80" i="3"/>
  <c r="G80" i="3"/>
  <c r="I80" i="3"/>
  <c r="E80" i="3"/>
  <c r="D80" i="3"/>
  <c r="C80" i="3"/>
  <c r="B80" i="3"/>
  <c r="A80" i="3"/>
  <c r="AE79" i="3"/>
  <c r="AG79" i="3"/>
  <c r="Y79" i="3"/>
  <c r="AA79" i="3"/>
  <c r="W79" i="3"/>
  <c r="V79" i="3"/>
  <c r="S79" i="3"/>
  <c r="G79" i="3"/>
  <c r="I79" i="3"/>
  <c r="C79" i="3"/>
  <c r="B79" i="3"/>
  <c r="A79" i="3"/>
  <c r="AE78" i="3"/>
  <c r="AG78" i="3"/>
  <c r="Y78" i="3"/>
  <c r="AA78" i="3"/>
  <c r="W78" i="3"/>
  <c r="V78" i="3"/>
  <c r="S78" i="3"/>
  <c r="Q78" i="3"/>
  <c r="P78" i="3"/>
  <c r="K78" i="3"/>
  <c r="H78" i="3"/>
  <c r="B78" i="3"/>
  <c r="A78" i="3"/>
  <c r="AE77" i="3"/>
  <c r="AG77" i="3"/>
  <c r="Y77" i="3"/>
  <c r="AA77" i="3"/>
  <c r="W77" i="3"/>
  <c r="V77" i="3"/>
  <c r="T77" i="3"/>
  <c r="S77" i="3"/>
  <c r="G77" i="3"/>
  <c r="I77" i="3"/>
  <c r="E77" i="3"/>
  <c r="D77" i="3"/>
  <c r="C77" i="3"/>
  <c r="B77" i="3"/>
  <c r="A77" i="3"/>
  <c r="AE76" i="3"/>
  <c r="AG76" i="3"/>
  <c r="Y76" i="3"/>
  <c r="AA76" i="3"/>
  <c r="W76" i="3"/>
  <c r="V76" i="3"/>
  <c r="T76" i="3"/>
  <c r="S76" i="3"/>
  <c r="G76" i="3"/>
  <c r="C76" i="3"/>
  <c r="B76" i="3"/>
  <c r="A76" i="3"/>
  <c r="AE75" i="3"/>
  <c r="AG75" i="3"/>
  <c r="Y75" i="3"/>
  <c r="AA75" i="3"/>
  <c r="W75" i="3"/>
  <c r="V75" i="3"/>
  <c r="T75" i="3"/>
  <c r="S75" i="3"/>
  <c r="Q75" i="3"/>
  <c r="P75" i="3"/>
  <c r="K75" i="3"/>
  <c r="H75" i="3"/>
  <c r="B75" i="3"/>
  <c r="A75" i="3"/>
  <c r="AE74" i="3"/>
  <c r="AG74" i="3"/>
  <c r="Y74" i="3"/>
  <c r="AA74" i="3"/>
  <c r="W74" i="3"/>
  <c r="V74" i="3"/>
  <c r="T74" i="3"/>
  <c r="S74" i="3"/>
  <c r="G74" i="3"/>
  <c r="E74" i="3"/>
  <c r="D74" i="3"/>
  <c r="C74" i="3"/>
  <c r="B74" i="3"/>
  <c r="A74" i="3"/>
  <c r="AE73" i="3"/>
  <c r="AG73" i="3"/>
  <c r="Y73" i="3"/>
  <c r="AA73" i="3"/>
  <c r="W73" i="3"/>
  <c r="V73" i="3"/>
  <c r="T73" i="3"/>
  <c r="S73" i="3"/>
  <c r="G73" i="3"/>
  <c r="I73" i="3"/>
  <c r="C73" i="3"/>
  <c r="B73" i="3"/>
  <c r="A73" i="3"/>
  <c r="AE72" i="3"/>
  <c r="Y72" i="3"/>
  <c r="AA72" i="3"/>
  <c r="W72" i="3"/>
  <c r="V72" i="3"/>
  <c r="T72" i="3"/>
  <c r="S72" i="3"/>
  <c r="Q72" i="3"/>
  <c r="P72" i="3"/>
  <c r="K72" i="3"/>
  <c r="H72" i="3"/>
  <c r="B72" i="3"/>
  <c r="A72" i="3"/>
  <c r="AE71" i="3"/>
  <c r="AG71" i="3"/>
  <c r="Y71" i="3"/>
  <c r="AA71" i="3"/>
  <c r="W71" i="3"/>
  <c r="V71" i="3"/>
  <c r="T71" i="3"/>
  <c r="S71" i="3"/>
  <c r="G71" i="3"/>
  <c r="I71" i="3"/>
  <c r="E71" i="3"/>
  <c r="D71" i="3"/>
  <c r="C71" i="3"/>
  <c r="B71" i="3"/>
  <c r="A71" i="3"/>
  <c r="AE70" i="3"/>
  <c r="AG70" i="3"/>
  <c r="Y70" i="3"/>
  <c r="AA70" i="3"/>
  <c r="W70" i="3"/>
  <c r="V70" i="3"/>
  <c r="T70" i="3"/>
  <c r="S70" i="3"/>
  <c r="G70" i="3"/>
  <c r="I70" i="3"/>
  <c r="C70" i="3"/>
  <c r="B70" i="3"/>
  <c r="A70" i="3"/>
  <c r="AM69" i="3"/>
  <c r="AM65" i="3"/>
  <c r="AL69" i="3"/>
  <c r="AL65" i="3"/>
  <c r="AF69" i="3"/>
  <c r="AF65" i="3"/>
  <c r="AC69" i="3"/>
  <c r="AC65" i="3"/>
  <c r="Z69" i="3"/>
  <c r="Z65" i="3"/>
  <c r="T69" i="3"/>
  <c r="S69" i="3"/>
  <c r="Q69" i="3"/>
  <c r="P69" i="3"/>
  <c r="K69" i="3"/>
  <c r="H69" i="3"/>
  <c r="B69" i="3"/>
  <c r="A69" i="3"/>
  <c r="AE68" i="3"/>
  <c r="AG68" i="3"/>
  <c r="Y68" i="3"/>
  <c r="AA68" i="3"/>
  <c r="W68" i="3"/>
  <c r="V68" i="3"/>
  <c r="T68" i="3"/>
  <c r="S68" i="3"/>
  <c r="G68" i="3"/>
  <c r="I68" i="3"/>
  <c r="E68" i="3"/>
  <c r="D68" i="3"/>
  <c r="C68" i="3"/>
  <c r="B68" i="3"/>
  <c r="A68" i="3"/>
  <c r="AE67" i="3"/>
  <c r="AG67" i="3"/>
  <c r="Y67" i="3"/>
  <c r="AA67" i="3"/>
  <c r="W67" i="3"/>
  <c r="V67" i="3"/>
  <c r="T67" i="3"/>
  <c r="S67" i="3"/>
  <c r="G67" i="3"/>
  <c r="C67" i="3"/>
  <c r="B67" i="3"/>
  <c r="A67" i="3"/>
  <c r="AE66" i="3"/>
  <c r="Y66" i="3"/>
  <c r="AA66" i="3"/>
  <c r="W66" i="3"/>
  <c r="V66" i="3"/>
  <c r="T66" i="3"/>
  <c r="S66" i="3"/>
  <c r="Q66" i="3"/>
  <c r="P66" i="3"/>
  <c r="K66" i="3"/>
  <c r="H66" i="3"/>
  <c r="B66" i="3"/>
  <c r="A66" i="3"/>
  <c r="S65" i="3"/>
  <c r="G65" i="3"/>
  <c r="I65" i="3"/>
  <c r="E65" i="3"/>
  <c r="D65" i="3"/>
  <c r="C65" i="3"/>
  <c r="B65" i="3"/>
  <c r="A65" i="3"/>
  <c r="S64" i="3"/>
  <c r="G64" i="3"/>
  <c r="I64" i="3"/>
  <c r="BD14" i="3"/>
  <c r="E63" i="3"/>
  <c r="C64" i="3"/>
  <c r="B64" i="3"/>
  <c r="A64" i="3"/>
  <c r="S63" i="3"/>
  <c r="Q63" i="3"/>
  <c r="P63" i="3"/>
  <c r="K63" i="3"/>
  <c r="H63" i="3"/>
  <c r="B63" i="3"/>
  <c r="A63" i="3"/>
  <c r="S62" i="3"/>
  <c r="G62" i="3"/>
  <c r="I62" i="3"/>
  <c r="E62" i="3"/>
  <c r="D62" i="3"/>
  <c r="D60" i="3"/>
  <c r="C62" i="3"/>
  <c r="B62" i="3"/>
  <c r="A62" i="3"/>
  <c r="AE61" i="3"/>
  <c r="AG61" i="3"/>
  <c r="Y61" i="3"/>
  <c r="AA61" i="3"/>
  <c r="T61" i="3"/>
  <c r="S61" i="3"/>
  <c r="G61" i="3"/>
  <c r="I61" i="3"/>
  <c r="C61" i="3"/>
  <c r="B61" i="3"/>
  <c r="A61" i="3"/>
  <c r="AE60" i="3"/>
  <c r="AG60" i="3"/>
  <c r="Y60" i="3"/>
  <c r="AA60" i="3"/>
  <c r="T60" i="3"/>
  <c r="S60" i="3"/>
  <c r="Q60" i="3"/>
  <c r="P60" i="3"/>
  <c r="K60" i="3"/>
  <c r="H60" i="3"/>
  <c r="B60" i="3"/>
  <c r="A60" i="3"/>
  <c r="AE59" i="3"/>
  <c r="Y59" i="3"/>
  <c r="T59" i="3"/>
  <c r="S59" i="3"/>
  <c r="G59" i="3"/>
  <c r="I59" i="3"/>
  <c r="E59" i="3"/>
  <c r="D59" i="3"/>
  <c r="C59" i="3"/>
  <c r="B59" i="3"/>
  <c r="A59" i="3"/>
  <c r="AM58" i="3"/>
  <c r="AM57" i="3"/>
  <c r="AL58" i="3"/>
  <c r="AL57" i="3"/>
  <c r="AF58" i="3"/>
  <c r="AC58" i="3"/>
  <c r="AC57" i="3"/>
  <c r="Z58" i="3"/>
  <c r="Z57" i="3"/>
  <c r="T58" i="3"/>
  <c r="S58" i="3"/>
  <c r="G58" i="3"/>
  <c r="I58" i="3"/>
  <c r="C58" i="3"/>
  <c r="B58" i="3"/>
  <c r="A58" i="3"/>
  <c r="AF57" i="3"/>
  <c r="S57" i="3"/>
  <c r="Q57" i="3"/>
  <c r="P57" i="3"/>
  <c r="K57" i="3"/>
  <c r="H57" i="3"/>
  <c r="B57" i="3"/>
  <c r="A57" i="3"/>
  <c r="S56" i="3"/>
  <c r="G56" i="3"/>
  <c r="I56" i="3"/>
  <c r="E56" i="3"/>
  <c r="D56" i="3"/>
  <c r="C56" i="3"/>
  <c r="B56" i="3"/>
  <c r="A56" i="3"/>
  <c r="AE55" i="3"/>
  <c r="AG55" i="3"/>
  <c r="Y55" i="3"/>
  <c r="AA55" i="3"/>
  <c r="T55" i="3"/>
  <c r="S55" i="3"/>
  <c r="G55" i="3"/>
  <c r="I55" i="3"/>
  <c r="C55" i="3"/>
  <c r="B55" i="3"/>
  <c r="A55" i="3"/>
  <c r="AE54" i="3"/>
  <c r="AG54" i="3"/>
  <c r="Y54" i="3"/>
  <c r="AA54" i="3"/>
  <c r="T54" i="3"/>
  <c r="S54" i="3"/>
  <c r="Q54" i="3"/>
  <c r="P54" i="3"/>
  <c r="K54" i="3"/>
  <c r="H54" i="3"/>
  <c r="B54" i="3"/>
  <c r="A54" i="3"/>
  <c r="AE53" i="3"/>
  <c r="AG53" i="3"/>
  <c r="Y53" i="3"/>
  <c r="AA53" i="3"/>
  <c r="X53" i="3"/>
  <c r="T53" i="3"/>
  <c r="S53" i="3"/>
  <c r="G53" i="3"/>
  <c r="I53" i="3"/>
  <c r="E53" i="3"/>
  <c r="D53" i="3"/>
  <c r="C53" i="3"/>
  <c r="B53" i="3"/>
  <c r="A53" i="3"/>
  <c r="AE52" i="3"/>
  <c r="AG52" i="3"/>
  <c r="Y52" i="3"/>
  <c r="AA52" i="3"/>
  <c r="T52" i="3"/>
  <c r="S52" i="3"/>
  <c r="G52" i="3"/>
  <c r="I52" i="3"/>
  <c r="D51" i="3"/>
  <c r="C52" i="3"/>
  <c r="B52" i="3"/>
  <c r="A52" i="3"/>
  <c r="AE51" i="3"/>
  <c r="AG51" i="3"/>
  <c r="Y51" i="3"/>
  <c r="AA51" i="3"/>
  <c r="T51" i="3"/>
  <c r="S51" i="3"/>
  <c r="Q51" i="3"/>
  <c r="P51" i="3"/>
  <c r="K51" i="3"/>
  <c r="H51" i="3"/>
  <c r="B51" i="3"/>
  <c r="A51" i="3"/>
  <c r="AE50" i="3"/>
  <c r="AG50" i="3"/>
  <c r="Y50" i="3"/>
  <c r="AA50" i="3"/>
  <c r="T50" i="3"/>
  <c r="S50" i="3"/>
  <c r="G50" i="3"/>
  <c r="I50" i="3"/>
  <c r="E50" i="3"/>
  <c r="D50" i="3"/>
  <c r="C50" i="3"/>
  <c r="B50" i="3"/>
  <c r="A50" i="3"/>
  <c r="AM49" i="3"/>
  <c r="AL49" i="3"/>
  <c r="AF49" i="3"/>
  <c r="AC49" i="3"/>
  <c r="Z49" i="3"/>
  <c r="T49" i="3"/>
  <c r="S49" i="3"/>
  <c r="J48" i="3"/>
  <c r="G49" i="3"/>
  <c r="I49" i="3"/>
  <c r="C49" i="3"/>
  <c r="C48" i="3"/>
  <c r="B49" i="3"/>
  <c r="A49" i="3"/>
  <c r="AE48" i="3"/>
  <c r="AG48" i="3"/>
  <c r="Y48" i="3"/>
  <c r="AA48" i="3"/>
  <c r="T48" i="3"/>
  <c r="S48" i="3"/>
  <c r="Q48" i="3"/>
  <c r="P48" i="3"/>
  <c r="K48" i="3"/>
  <c r="H48" i="3"/>
  <c r="B48" i="3"/>
  <c r="A48" i="3"/>
  <c r="AE47" i="3"/>
  <c r="AG47" i="3"/>
  <c r="Y47" i="3"/>
  <c r="AA47" i="3"/>
  <c r="T47" i="3"/>
  <c r="S47" i="3"/>
  <c r="G47" i="3"/>
  <c r="I47" i="3"/>
  <c r="E47" i="3"/>
  <c r="D47" i="3"/>
  <c r="C47" i="3"/>
  <c r="B47" i="3"/>
  <c r="A47" i="3"/>
  <c r="AE46" i="3"/>
  <c r="AG46" i="3"/>
  <c r="Y46" i="3"/>
  <c r="AA46" i="3"/>
  <c r="T46" i="3"/>
  <c r="S46" i="3"/>
  <c r="G46" i="3"/>
  <c r="I46" i="3"/>
  <c r="C46" i="3"/>
  <c r="B46" i="3"/>
  <c r="A46" i="3"/>
  <c r="AE45" i="3"/>
  <c r="AG45" i="3"/>
  <c r="Y45" i="3"/>
  <c r="AA45" i="3"/>
  <c r="T45" i="3"/>
  <c r="S45" i="3"/>
  <c r="Q45" i="3"/>
  <c r="P45" i="3"/>
  <c r="K45" i="3"/>
  <c r="H45" i="3"/>
  <c r="B45" i="3"/>
  <c r="A45" i="3"/>
  <c r="AM44" i="3"/>
  <c r="AL44" i="3"/>
  <c r="AF44" i="3"/>
  <c r="AC44" i="3"/>
  <c r="Z44" i="3"/>
  <c r="T44" i="3"/>
  <c r="S44" i="3"/>
  <c r="G44" i="3"/>
  <c r="I44" i="3"/>
  <c r="E44" i="3"/>
  <c r="D44" i="3"/>
  <c r="C44" i="3"/>
  <c r="B44" i="3"/>
  <c r="AL43" i="3"/>
  <c r="AF43" i="3"/>
  <c r="S43" i="3"/>
  <c r="G43" i="3"/>
  <c r="E42" i="3"/>
  <c r="C43" i="3"/>
  <c r="B43" i="3"/>
  <c r="S42" i="3"/>
  <c r="Q42" i="3"/>
  <c r="P42" i="3"/>
  <c r="K42" i="3"/>
  <c r="H42" i="3"/>
  <c r="B42" i="3"/>
  <c r="AE41" i="3"/>
  <c r="AG41" i="3"/>
  <c r="Y41" i="3"/>
  <c r="AA41" i="3"/>
  <c r="V41" i="3"/>
  <c r="T41" i="3"/>
  <c r="S41" i="3"/>
  <c r="G41" i="3"/>
  <c r="I41" i="3"/>
  <c r="C41" i="3"/>
  <c r="B41" i="3"/>
  <c r="A41" i="3"/>
  <c r="AE40" i="3"/>
  <c r="AG40" i="3"/>
  <c r="Y40" i="3"/>
  <c r="AA40" i="3"/>
  <c r="W40" i="3"/>
  <c r="V40" i="3"/>
  <c r="T40" i="3"/>
  <c r="S40" i="3"/>
  <c r="G40" i="3"/>
  <c r="I40" i="3"/>
  <c r="C40" i="3"/>
  <c r="B40" i="3"/>
  <c r="A40" i="3"/>
  <c r="AE39" i="3"/>
  <c r="AG39" i="3"/>
  <c r="Y39" i="3"/>
  <c r="AA39" i="3"/>
  <c r="W39" i="3"/>
  <c r="V39" i="3"/>
  <c r="T39" i="3"/>
  <c r="S39" i="3"/>
  <c r="G39" i="3"/>
  <c r="I39" i="3"/>
  <c r="C39" i="3"/>
  <c r="B39" i="3"/>
  <c r="A39" i="3"/>
  <c r="AE38" i="3"/>
  <c r="AG38" i="3"/>
  <c r="Y38" i="3"/>
  <c r="AA38" i="3"/>
  <c r="W38" i="3"/>
  <c r="V38" i="3"/>
  <c r="T38" i="3"/>
  <c r="S38" i="3"/>
  <c r="G38" i="3"/>
  <c r="I38" i="3"/>
  <c r="C38" i="3"/>
  <c r="B38" i="3"/>
  <c r="A38" i="3"/>
  <c r="AE37" i="3"/>
  <c r="AG37" i="3"/>
  <c r="Y37" i="3"/>
  <c r="AA37" i="3"/>
  <c r="W37" i="3"/>
  <c r="V37" i="3"/>
  <c r="T37" i="3"/>
  <c r="S37" i="3"/>
  <c r="G37" i="3"/>
  <c r="E37" i="3"/>
  <c r="D37" i="3"/>
  <c r="C37" i="3"/>
  <c r="B37" i="3"/>
  <c r="A37" i="3"/>
  <c r="AE36" i="3"/>
  <c r="AG36" i="3"/>
  <c r="Y36" i="3"/>
  <c r="AA36" i="3"/>
  <c r="W36" i="3"/>
  <c r="V36" i="3"/>
  <c r="U35" i="3"/>
  <c r="T36" i="3"/>
  <c r="S36" i="3"/>
  <c r="G36" i="3"/>
  <c r="I36" i="3"/>
  <c r="D35" i="3"/>
  <c r="C36" i="3"/>
  <c r="B36" i="3"/>
  <c r="A36" i="3"/>
  <c r="AM35" i="3"/>
  <c r="AL35" i="3"/>
  <c r="AF35" i="3"/>
  <c r="BQ14" i="3"/>
  <c r="AC35" i="3"/>
  <c r="Z35" i="3"/>
  <c r="S35" i="3"/>
  <c r="Q35" i="3"/>
  <c r="P35" i="3"/>
  <c r="K35" i="3"/>
  <c r="H35" i="3"/>
  <c r="B35" i="3"/>
  <c r="A35" i="3"/>
  <c r="S34" i="3"/>
  <c r="G34" i="3"/>
  <c r="I34" i="3"/>
  <c r="E34" i="3"/>
  <c r="D34" i="3"/>
  <c r="C34" i="3"/>
  <c r="B34" i="3"/>
  <c r="A34" i="3"/>
  <c r="AE33" i="3"/>
  <c r="AG33" i="3"/>
  <c r="Y33" i="3"/>
  <c r="AA33" i="3"/>
  <c r="V262" i="3"/>
  <c r="T33" i="3"/>
  <c r="S33" i="3"/>
  <c r="G33" i="3"/>
  <c r="I33" i="3"/>
  <c r="C33" i="3"/>
  <c r="B33" i="3"/>
  <c r="A33" i="3"/>
  <c r="AE32" i="3"/>
  <c r="AG32" i="3"/>
  <c r="Y32" i="3"/>
  <c r="AA32" i="3"/>
  <c r="S32" i="3"/>
  <c r="Q32" i="3"/>
  <c r="P32" i="3"/>
  <c r="K32" i="3"/>
  <c r="H32" i="3"/>
  <c r="E32" i="3"/>
  <c r="B32" i="3"/>
  <c r="A32" i="3"/>
  <c r="AE31" i="3"/>
  <c r="AG31" i="3"/>
  <c r="Y31" i="3"/>
  <c r="AA31" i="3"/>
  <c r="T31" i="3"/>
  <c r="S31" i="3"/>
  <c r="G31" i="3"/>
  <c r="I31" i="3"/>
  <c r="E31" i="3"/>
  <c r="D31" i="3"/>
  <c r="C31" i="3"/>
  <c r="B31" i="3"/>
  <c r="A31" i="3"/>
  <c r="AE30" i="3"/>
  <c r="AG30" i="3"/>
  <c r="Y30" i="3"/>
  <c r="AA30" i="3"/>
  <c r="T30" i="3"/>
  <c r="S30" i="3"/>
  <c r="G30" i="3"/>
  <c r="I30" i="3"/>
  <c r="C30" i="3"/>
  <c r="B30" i="3"/>
  <c r="A30" i="3"/>
  <c r="AE29" i="3"/>
  <c r="AG29" i="3"/>
  <c r="Y29" i="3"/>
  <c r="AA29" i="3"/>
  <c r="T29" i="3"/>
  <c r="S29" i="3"/>
  <c r="Q29" i="3"/>
  <c r="P29" i="3"/>
  <c r="K29" i="3"/>
  <c r="H29" i="3"/>
  <c r="B29" i="3"/>
  <c r="A29" i="3"/>
  <c r="AE28" i="3"/>
  <c r="AG28" i="3"/>
  <c r="Y28" i="3"/>
  <c r="AA28" i="3"/>
  <c r="T28" i="3"/>
  <c r="S28" i="3"/>
  <c r="B28" i="3"/>
  <c r="A28" i="3"/>
  <c r="AE27" i="3"/>
  <c r="AG27" i="3"/>
  <c r="Y27" i="3"/>
  <c r="AA27" i="3"/>
  <c r="T27" i="3"/>
  <c r="S27" i="3"/>
  <c r="G27" i="3"/>
  <c r="I27" i="3"/>
  <c r="E27" i="3"/>
  <c r="D27" i="3"/>
  <c r="C27" i="3"/>
  <c r="B27" i="3"/>
  <c r="A27" i="3"/>
  <c r="AT26" i="3"/>
  <c r="AE26" i="3"/>
  <c r="AG26" i="3"/>
  <c r="Y26" i="3"/>
  <c r="AA26" i="3"/>
  <c r="T26" i="3"/>
  <c r="S26" i="3"/>
  <c r="G26" i="3"/>
  <c r="I26" i="3"/>
  <c r="BD11" i="3"/>
  <c r="C26" i="3"/>
  <c r="B26" i="3"/>
  <c r="A26" i="3"/>
  <c r="AE25" i="3"/>
  <c r="AG25" i="3"/>
  <c r="Y25" i="3"/>
  <c r="AA25" i="3"/>
  <c r="T25" i="3"/>
  <c r="S25" i="3"/>
  <c r="Q25" i="3"/>
  <c r="P25" i="3"/>
  <c r="K25" i="3"/>
  <c r="H25" i="3"/>
  <c r="B25" i="3"/>
  <c r="A25" i="3"/>
  <c r="AE24" i="3"/>
  <c r="AG24" i="3"/>
  <c r="Y24" i="3"/>
  <c r="AA24" i="3"/>
  <c r="T24" i="3"/>
  <c r="S24" i="3"/>
  <c r="G24" i="3"/>
  <c r="I24" i="3"/>
  <c r="E24" i="3"/>
  <c r="D24" i="3"/>
  <c r="C24" i="3"/>
  <c r="B24" i="3"/>
  <c r="A24" i="3"/>
  <c r="AE23" i="3"/>
  <c r="AG23" i="3"/>
  <c r="Y23" i="3"/>
  <c r="AA23" i="3"/>
  <c r="T23" i="3"/>
  <c r="S23" i="3"/>
  <c r="G23" i="3"/>
  <c r="I23" i="3"/>
  <c r="C23" i="3"/>
  <c r="B23" i="3"/>
  <c r="A23" i="3"/>
  <c r="AE22" i="3"/>
  <c r="AG22" i="3"/>
  <c r="Y22" i="3"/>
  <c r="AA22" i="3"/>
  <c r="T22" i="3"/>
  <c r="S22" i="3"/>
  <c r="Q22" i="3"/>
  <c r="P22" i="3"/>
  <c r="K22" i="3"/>
  <c r="H22" i="3"/>
  <c r="B22" i="3"/>
  <c r="A22" i="3"/>
  <c r="AE21" i="3"/>
  <c r="Y21" i="3"/>
  <c r="AA21" i="3"/>
  <c r="T21" i="3"/>
  <c r="S21" i="3"/>
  <c r="B21" i="3"/>
  <c r="A21" i="3"/>
  <c r="AM20" i="3"/>
  <c r="AM16" i="3"/>
  <c r="AL20" i="3"/>
  <c r="AL16" i="3"/>
  <c r="AL14" i="3"/>
  <c r="AF20" i="3"/>
  <c r="AF16" i="3"/>
  <c r="AC20" i="3"/>
  <c r="AC16" i="3"/>
  <c r="Z20" i="3"/>
  <c r="Z16" i="3"/>
  <c r="T20" i="3"/>
  <c r="S20" i="3"/>
  <c r="B20" i="3"/>
  <c r="A20" i="3"/>
  <c r="AE19" i="3"/>
  <c r="AG19" i="3"/>
  <c r="Y19" i="3"/>
  <c r="AA19" i="3"/>
  <c r="T19" i="3"/>
  <c r="S19" i="3"/>
  <c r="B19" i="3"/>
  <c r="A19" i="3"/>
  <c r="AE18" i="3"/>
  <c r="AG18" i="3"/>
  <c r="Y18" i="3"/>
  <c r="AA18" i="3"/>
  <c r="BO11" i="3"/>
  <c r="T18" i="3"/>
  <c r="S18" i="3"/>
  <c r="B18" i="3"/>
  <c r="A18" i="3"/>
  <c r="AE17" i="3"/>
  <c r="Y17" i="3"/>
  <c r="AA17" i="3"/>
  <c r="BO10" i="3"/>
  <c r="T17" i="3"/>
  <c r="S17" i="3"/>
  <c r="B17" i="3"/>
  <c r="A17" i="3"/>
  <c r="S16" i="3"/>
  <c r="B16" i="3"/>
  <c r="A16" i="3"/>
  <c r="BK15" i="3"/>
  <c r="S15" i="3"/>
  <c r="G15" i="3"/>
  <c r="I15" i="3"/>
  <c r="E15" i="3"/>
  <c r="D15" i="3"/>
  <c r="C15" i="3"/>
  <c r="B15" i="3"/>
  <c r="A15" i="3"/>
  <c r="S14" i="3"/>
  <c r="G14" i="3"/>
  <c r="I14" i="3"/>
  <c r="E14" i="3"/>
  <c r="D14" i="3"/>
  <c r="C14" i="3"/>
  <c r="B14" i="3"/>
  <c r="A14" i="3"/>
  <c r="AX13" i="3"/>
  <c r="AS13" i="3"/>
  <c r="G13" i="3"/>
  <c r="I13" i="3"/>
  <c r="E13" i="3"/>
  <c r="D13" i="3"/>
  <c r="C13" i="3"/>
  <c r="B13" i="3"/>
  <c r="A13" i="3"/>
  <c r="AS12" i="3"/>
  <c r="S12" i="3"/>
  <c r="G12" i="3"/>
  <c r="I12" i="3"/>
  <c r="E12" i="3"/>
  <c r="D12" i="3"/>
  <c r="B12" i="3"/>
  <c r="A12" i="3"/>
  <c r="AX11" i="3"/>
  <c r="AT11" i="3"/>
  <c r="S10" i="3"/>
  <c r="Q10" i="3"/>
  <c r="P10" i="3"/>
  <c r="K10" i="3"/>
  <c r="BE7" i="3"/>
  <c r="H10" i="3"/>
  <c r="B10" i="3"/>
  <c r="A10" i="3"/>
  <c r="S8" i="3"/>
  <c r="B8" i="3"/>
  <c r="A8" i="3"/>
  <c r="AR6" i="3"/>
  <c r="BG3" i="3"/>
  <c r="BB3" i="3"/>
  <c r="AH3" i="3"/>
  <c r="Y3" i="3"/>
  <c r="V3" i="3"/>
  <c r="N3" i="3"/>
  <c r="BE3" i="3"/>
  <c r="BK3" i="3"/>
  <c r="BQ3" i="3"/>
  <c r="BN5" i="3"/>
  <c r="F3" i="3"/>
  <c r="D3" i="3"/>
  <c r="BE2" i="3"/>
  <c r="BK2" i="3"/>
  <c r="BQ2" i="3"/>
  <c r="Y2" i="3"/>
  <c r="V2" i="3"/>
  <c r="F2" i="3"/>
  <c r="D2" i="3"/>
  <c r="B2" i="3"/>
  <c r="BO26" i="3"/>
  <c r="BQ12" i="3"/>
  <c r="BQ9" i="3"/>
  <c r="AW7" i="3"/>
  <c r="D72" i="3"/>
  <c r="X74" i="3"/>
  <c r="J75" i="3"/>
  <c r="X76" i="3"/>
  <c r="AB141" i="3"/>
  <c r="V141" i="3"/>
  <c r="BP26" i="3"/>
  <c r="BP10" i="3"/>
  <c r="BP11" i="3"/>
  <c r="AC90" i="3"/>
  <c r="AC63" i="3"/>
  <c r="BQ15" i="3"/>
  <c r="BK10" i="3"/>
  <c r="AM145" i="3"/>
  <c r="E29" i="3"/>
  <c r="D32" i="3"/>
  <c r="I54" i="3"/>
  <c r="AL145" i="3"/>
  <c r="AC145" i="3"/>
  <c r="AC110" i="3"/>
  <c r="AL196" i="3"/>
  <c r="AL195" i="3"/>
  <c r="AE205" i="3"/>
  <c r="X27" i="3"/>
  <c r="G60" i="3"/>
  <c r="J72" i="3"/>
  <c r="X86" i="3"/>
  <c r="X119" i="3"/>
  <c r="AI119" i="3"/>
  <c r="Z112" i="3"/>
  <c r="X125" i="3"/>
  <c r="AI125" i="3"/>
  <c r="BK13" i="3"/>
  <c r="G25" i="3"/>
  <c r="E25" i="3"/>
  <c r="AW8" i="3"/>
  <c r="Q28" i="3"/>
  <c r="Q21" i="3"/>
  <c r="Q19" i="3"/>
  <c r="Q17" i="3"/>
  <c r="Q8" i="3"/>
  <c r="AC43" i="3"/>
  <c r="AB58" i="3"/>
  <c r="W171" i="3"/>
  <c r="AC196" i="3"/>
  <c r="AC195" i="3"/>
  <c r="AC193" i="3"/>
  <c r="V211" i="3"/>
  <c r="V210" i="3"/>
  <c r="V209" i="3"/>
  <c r="G72" i="3"/>
  <c r="F95" i="3"/>
  <c r="N95" i="3"/>
  <c r="Z169" i="3"/>
  <c r="X180" i="3"/>
  <c r="AJ180" i="3"/>
  <c r="AD205" i="3"/>
  <c r="AC232" i="3"/>
  <c r="X100" i="3"/>
  <c r="AI100" i="3"/>
  <c r="C32" i="3"/>
  <c r="AX10" i="3"/>
  <c r="J51" i="3"/>
  <c r="X54" i="3"/>
  <c r="I57" i="3"/>
  <c r="X73" i="3"/>
  <c r="AJ73" i="3"/>
  <c r="F109" i="3"/>
  <c r="F123" i="3"/>
  <c r="X142" i="3"/>
  <c r="AH142" i="3"/>
  <c r="W91" i="3"/>
  <c r="AL90" i="3"/>
  <c r="W105" i="3"/>
  <c r="W104" i="3"/>
  <c r="AC220" i="3"/>
  <c r="X132" i="3"/>
  <c r="AI132" i="3"/>
  <c r="X172" i="3"/>
  <c r="X108" i="3"/>
  <c r="X136" i="3"/>
  <c r="AI136" i="3"/>
  <c r="X151" i="3"/>
  <c r="X67" i="3"/>
  <c r="AH67" i="3"/>
  <c r="J69" i="3"/>
  <c r="AG262" i="3"/>
  <c r="AR22" i="3"/>
  <c r="AW22" i="3"/>
  <c r="J10" i="3"/>
  <c r="J22" i="3"/>
  <c r="X28" i="3"/>
  <c r="AI28" i="3"/>
  <c r="F30" i="3"/>
  <c r="L29" i="3"/>
  <c r="F38" i="3"/>
  <c r="Z43" i="3"/>
  <c r="AM43" i="3"/>
  <c r="AM14" i="3"/>
  <c r="J57" i="3"/>
  <c r="L57" i="3"/>
  <c r="E60" i="3"/>
  <c r="F73" i="3"/>
  <c r="M73" i="3"/>
  <c r="X29" i="3"/>
  <c r="AI29" i="3"/>
  <c r="W49" i="3"/>
  <c r="AG49" i="3"/>
  <c r="J54" i="3"/>
  <c r="L54" i="3"/>
  <c r="AB57" i="3"/>
  <c r="D69" i="3"/>
  <c r="C75" i="3"/>
  <c r="J113" i="3"/>
  <c r="W149" i="3"/>
  <c r="AL220" i="3"/>
  <c r="Y262" i="3"/>
  <c r="D54" i="3"/>
  <c r="V69" i="3"/>
  <c r="V65" i="3"/>
  <c r="E78" i="3"/>
  <c r="F115" i="3"/>
  <c r="BD20" i="3"/>
  <c r="Z145" i="3"/>
  <c r="Z110" i="3"/>
  <c r="AF195" i="3"/>
  <c r="AF193" i="3"/>
  <c r="D22" i="3"/>
  <c r="G128" i="3"/>
  <c r="D128" i="3"/>
  <c r="J128" i="3"/>
  <c r="F27" i="3"/>
  <c r="H28" i="3"/>
  <c r="H21" i="3"/>
  <c r="H19" i="3"/>
  <c r="H17" i="3"/>
  <c r="D29" i="3"/>
  <c r="D28" i="3"/>
  <c r="W262" i="3"/>
  <c r="E35" i="3"/>
  <c r="D45" i="3"/>
  <c r="E51" i="3"/>
  <c r="C60" i="3"/>
  <c r="J60" i="3"/>
  <c r="E69" i="3"/>
  <c r="G81" i="3"/>
  <c r="E81" i="3"/>
  <c r="X84" i="3"/>
  <c r="F89" i="3"/>
  <c r="AQ12" i="3"/>
  <c r="AZ12" i="3"/>
  <c r="X97" i="3"/>
  <c r="AI97" i="3"/>
  <c r="AB105" i="3"/>
  <c r="F111" i="3"/>
  <c r="AM112" i="3"/>
  <c r="AM110" i="3"/>
  <c r="F117" i="3"/>
  <c r="N117" i="3"/>
  <c r="AL169" i="3"/>
  <c r="V175" i="3"/>
  <c r="W186" i="3"/>
  <c r="W184" i="3"/>
  <c r="AF220" i="3"/>
  <c r="BQ30" i="3"/>
  <c r="AD222" i="3"/>
  <c r="AM220" i="3"/>
  <c r="V227" i="3"/>
  <c r="X230" i="3"/>
  <c r="AH230" i="3"/>
  <c r="AA262" i="3"/>
  <c r="E94" i="3"/>
  <c r="C128" i="3"/>
  <c r="AF147" i="3"/>
  <c r="AF145" i="3"/>
  <c r="BK12" i="3"/>
  <c r="X239" i="3"/>
  <c r="AH239" i="3"/>
  <c r="Z232" i="3"/>
  <c r="X256" i="3"/>
  <c r="AH256" i="3"/>
  <c r="AB262" i="3"/>
  <c r="E128" i="3"/>
  <c r="Z90" i="3"/>
  <c r="AM90" i="3"/>
  <c r="AF112" i="3"/>
  <c r="W123" i="3"/>
  <c r="AM169" i="3"/>
  <c r="X202" i="3"/>
  <c r="AJ202" i="3"/>
  <c r="X212" i="3"/>
  <c r="AI212" i="3"/>
  <c r="AE262" i="3"/>
  <c r="F88" i="3"/>
  <c r="AQ11" i="3"/>
  <c r="AZ11" i="3"/>
  <c r="U262" i="3"/>
  <c r="I51" i="3"/>
  <c r="G10" i="3"/>
  <c r="AF14" i="3"/>
  <c r="AX8" i="3"/>
  <c r="J29" i="3"/>
  <c r="I32" i="3"/>
  <c r="F40" i="3"/>
  <c r="M40" i="3"/>
  <c r="J45" i="3"/>
  <c r="E45" i="3"/>
  <c r="G48" i="3"/>
  <c r="D48" i="3"/>
  <c r="AB49" i="3"/>
  <c r="G51" i="3"/>
  <c r="V49" i="3"/>
  <c r="F52" i="3"/>
  <c r="M52" i="3"/>
  <c r="F53" i="3"/>
  <c r="M53" i="3"/>
  <c r="G57" i="3"/>
  <c r="E57" i="3"/>
  <c r="F62" i="3"/>
  <c r="N62" i="3"/>
  <c r="Y96" i="3"/>
  <c r="AL193" i="3"/>
  <c r="X238" i="3"/>
  <c r="BN29" i="3"/>
  <c r="AC14" i="3"/>
  <c r="F13" i="3"/>
  <c r="M13" i="3"/>
  <c r="F26" i="3"/>
  <c r="BC11" i="3"/>
  <c r="AH28" i="3"/>
  <c r="E28" i="3"/>
  <c r="K28" i="3"/>
  <c r="K21" i="3"/>
  <c r="K19" i="3"/>
  <c r="D63" i="3"/>
  <c r="AL63" i="3"/>
  <c r="AL12" i="3"/>
  <c r="M117" i="3"/>
  <c r="M123" i="3"/>
  <c r="AL112" i="3"/>
  <c r="Y205" i="3"/>
  <c r="AE222" i="3"/>
  <c r="AM232" i="3"/>
  <c r="X236" i="3"/>
  <c r="AJ236" i="3"/>
  <c r="I76" i="3"/>
  <c r="I75" i="3"/>
  <c r="G75" i="3"/>
  <c r="C1" i="3"/>
  <c r="Z14" i="3"/>
  <c r="AB20" i="3"/>
  <c r="AB16" i="3"/>
  <c r="E22" i="3"/>
  <c r="F31" i="3"/>
  <c r="N31" i="3"/>
  <c r="P28" i="3"/>
  <c r="P21" i="3"/>
  <c r="P19" i="3"/>
  <c r="P17" i="3"/>
  <c r="G42" i="3"/>
  <c r="AE44" i="3"/>
  <c r="V44" i="3"/>
  <c r="F47" i="3"/>
  <c r="N47" i="3"/>
  <c r="I48" i="3"/>
  <c r="AE49" i="3"/>
  <c r="F50" i="3"/>
  <c r="M50" i="3"/>
  <c r="E54" i="3"/>
  <c r="V58" i="3"/>
  <c r="V57" i="3"/>
  <c r="AE58" i="3"/>
  <c r="AE57" i="3"/>
  <c r="J66" i="3"/>
  <c r="I67" i="3"/>
  <c r="I66" i="3"/>
  <c r="G66" i="3"/>
  <c r="I74" i="3"/>
  <c r="I72" i="3"/>
  <c r="X79" i="3"/>
  <c r="AH79" i="3"/>
  <c r="I82" i="3"/>
  <c r="I81" i="3"/>
  <c r="AG83" i="3"/>
  <c r="AE91" i="3"/>
  <c r="X95" i="3"/>
  <c r="AH95" i="3"/>
  <c r="F97" i="3"/>
  <c r="M97" i="3"/>
  <c r="V105" i="3"/>
  <c r="V104" i="3"/>
  <c r="X115" i="3"/>
  <c r="AH115" i="3"/>
  <c r="AD171" i="3"/>
  <c r="W175" i="3"/>
  <c r="X198" i="3"/>
  <c r="BN26" i="3"/>
  <c r="AA211" i="3"/>
  <c r="AA210" i="3"/>
  <c r="AA209" i="3"/>
  <c r="BO27" i="3"/>
  <c r="X129" i="3"/>
  <c r="AI129" i="3"/>
  <c r="X160" i="3"/>
  <c r="AJ160" i="3"/>
  <c r="X22" i="3"/>
  <c r="AH22" i="3"/>
  <c r="X106" i="3"/>
  <c r="U210" i="3"/>
  <c r="U209" i="3"/>
  <c r="F58" i="3"/>
  <c r="M58" i="3"/>
  <c r="L66" i="3"/>
  <c r="L75" i="3"/>
  <c r="D81" i="3"/>
  <c r="X87" i="3"/>
  <c r="AJ87" i="3"/>
  <c r="F91" i="3"/>
  <c r="N91" i="3"/>
  <c r="V91" i="3"/>
  <c r="V96" i="3"/>
  <c r="F100" i="3"/>
  <c r="N100" i="3"/>
  <c r="D113" i="3"/>
  <c r="F119" i="3"/>
  <c r="N119" i="3"/>
  <c r="W141" i="3"/>
  <c r="AC169" i="3"/>
  <c r="AD197" i="3"/>
  <c r="Z196" i="3"/>
  <c r="Z195" i="3"/>
  <c r="Z193" i="3"/>
  <c r="Z220" i="3"/>
  <c r="X248" i="3"/>
  <c r="AI248" i="3"/>
  <c r="X249" i="3"/>
  <c r="AJ249" i="3"/>
  <c r="X23" i="3"/>
  <c r="AJ23" i="3"/>
  <c r="X127" i="3"/>
  <c r="AH127" i="3"/>
  <c r="X166" i="3"/>
  <c r="AI166" i="3"/>
  <c r="X187" i="3"/>
  <c r="D57" i="3"/>
  <c r="F59" i="3"/>
  <c r="M59" i="3"/>
  <c r="D66" i="3"/>
  <c r="Z63" i="3"/>
  <c r="AM63" i="3"/>
  <c r="F74" i="3"/>
  <c r="W69" i="3"/>
  <c r="W65" i="3"/>
  <c r="X80" i="3"/>
  <c r="AI80" i="3"/>
  <c r="Y83" i="3"/>
  <c r="W83" i="3"/>
  <c r="AF90" i="3"/>
  <c r="AF63" i="3"/>
  <c r="W114" i="3"/>
  <c r="W112" i="3"/>
  <c r="F121" i="3"/>
  <c r="M121" i="3"/>
  <c r="AB171" i="3"/>
  <c r="AM196" i="3"/>
  <c r="AM195" i="3"/>
  <c r="AM193" i="3"/>
  <c r="W222" i="3"/>
  <c r="U235" i="3"/>
  <c r="U234" i="3"/>
  <c r="Y235" i="3"/>
  <c r="Y234" i="3"/>
  <c r="X252" i="3"/>
  <c r="AH252" i="3"/>
  <c r="X78" i="3"/>
  <c r="AH78" i="3"/>
  <c r="X163" i="3"/>
  <c r="L81" i="3"/>
  <c r="L45" i="3"/>
  <c r="N27" i="3"/>
  <c r="BD15" i="3"/>
  <c r="X215" i="3"/>
  <c r="AI215" i="3"/>
  <c r="AR13" i="3"/>
  <c r="L35" i="3"/>
  <c r="AX9" i="3"/>
  <c r="AH27" i="3"/>
  <c r="AH29" i="3"/>
  <c r="F14" i="3"/>
  <c r="M14" i="3"/>
  <c r="W20" i="3"/>
  <c r="W16" i="3"/>
  <c r="F24" i="3"/>
  <c r="M24" i="3"/>
  <c r="X25" i="3"/>
  <c r="AI25" i="3"/>
  <c r="I25" i="3"/>
  <c r="AR8" i="3"/>
  <c r="X26" i="3"/>
  <c r="AH26" i="3"/>
  <c r="X33" i="3"/>
  <c r="F44" i="3"/>
  <c r="N44" i="3"/>
  <c r="F46" i="3"/>
  <c r="F45" i="3"/>
  <c r="X46" i="3"/>
  <c r="AJ46" i="3"/>
  <c r="E48" i="3"/>
  <c r="X48" i="3"/>
  <c r="AH48" i="3"/>
  <c r="F49" i="3"/>
  <c r="M49" i="3"/>
  <c r="C51" i="3"/>
  <c r="C72" i="3"/>
  <c r="X32" i="3"/>
  <c r="AH32" i="3"/>
  <c r="F33" i="3"/>
  <c r="N33" i="3"/>
  <c r="L32" i="3"/>
  <c r="F34" i="3"/>
  <c r="N34" i="3"/>
  <c r="AG35" i="3"/>
  <c r="X45" i="3"/>
  <c r="AJ45" i="3"/>
  <c r="W44" i="3"/>
  <c r="W43" i="3"/>
  <c r="X50" i="3"/>
  <c r="AJ50" i="3"/>
  <c r="AA49" i="3"/>
  <c r="C57" i="3"/>
  <c r="D75" i="3"/>
  <c r="AA20" i="3"/>
  <c r="AA16" i="3"/>
  <c r="L25" i="3"/>
  <c r="AS8" i="3"/>
  <c r="C10" i="3"/>
  <c r="X21" i="3"/>
  <c r="AH21" i="3"/>
  <c r="AD20" i="3"/>
  <c r="AD16" i="3"/>
  <c r="F23" i="3"/>
  <c r="M23" i="3"/>
  <c r="D25" i="3"/>
  <c r="X30" i="3"/>
  <c r="AI30" i="3"/>
  <c r="X31" i="3"/>
  <c r="AI31" i="3"/>
  <c r="G32" i="3"/>
  <c r="X36" i="3"/>
  <c r="AJ36" i="3"/>
  <c r="X40" i="3"/>
  <c r="AH40" i="3"/>
  <c r="I43" i="3"/>
  <c r="AB44" i="3"/>
  <c r="C54" i="3"/>
  <c r="F55" i="3"/>
  <c r="N55" i="3"/>
  <c r="AA59" i="3"/>
  <c r="AA58" i="3"/>
  <c r="AA57" i="3"/>
  <c r="Y58" i="3"/>
  <c r="Y57" i="3"/>
  <c r="AG72" i="3"/>
  <c r="AG69" i="3"/>
  <c r="AE69" i="3"/>
  <c r="AE65" i="3"/>
  <c r="AH74" i="3"/>
  <c r="E10" i="3"/>
  <c r="F15" i="3"/>
  <c r="N15" i="3"/>
  <c r="X19" i="3"/>
  <c r="AH19" i="3"/>
  <c r="Y20" i="3"/>
  <c r="Y16" i="3"/>
  <c r="V20" i="3"/>
  <c r="V16" i="3"/>
  <c r="AE20" i="3"/>
  <c r="AE16" i="3"/>
  <c r="X24" i="3"/>
  <c r="AI24" i="3"/>
  <c r="C25" i="3"/>
  <c r="AD35" i="3"/>
  <c r="G35" i="3"/>
  <c r="X38" i="3"/>
  <c r="AI38" i="3"/>
  <c r="F39" i="3"/>
  <c r="M39" i="3"/>
  <c r="X39" i="3"/>
  <c r="AI39" i="3"/>
  <c r="D42" i="3"/>
  <c r="AD44" i="3"/>
  <c r="I45" i="3"/>
  <c r="AA44" i="3"/>
  <c r="L63" i="3"/>
  <c r="J63" i="3"/>
  <c r="X52" i="3"/>
  <c r="AI52" i="3"/>
  <c r="AD58" i="3"/>
  <c r="AD57" i="3"/>
  <c r="W58" i="3"/>
  <c r="W57" i="3"/>
  <c r="F67" i="3"/>
  <c r="N67" i="3"/>
  <c r="F68" i="3"/>
  <c r="N68" i="3"/>
  <c r="X68" i="3"/>
  <c r="AJ68" i="3"/>
  <c r="F70" i="3"/>
  <c r="M70" i="3"/>
  <c r="X70" i="3"/>
  <c r="AI70" i="3"/>
  <c r="F71" i="3"/>
  <c r="M71" i="3"/>
  <c r="X71" i="3"/>
  <c r="AI71" i="3"/>
  <c r="F76" i="3"/>
  <c r="F77" i="3"/>
  <c r="X77" i="3"/>
  <c r="AJ77" i="3"/>
  <c r="J78" i="3"/>
  <c r="L78" i="3"/>
  <c r="J81" i="3"/>
  <c r="AB83" i="3"/>
  <c r="U83" i="3"/>
  <c r="AA84" i="3"/>
  <c r="AA83" i="3"/>
  <c r="F86" i="3"/>
  <c r="N86" i="3"/>
  <c r="D85" i="3"/>
  <c r="Y91" i="3"/>
  <c r="X92" i="3"/>
  <c r="AI92" i="3"/>
  <c r="AD91" i="3"/>
  <c r="X94" i="3"/>
  <c r="AI94" i="3"/>
  <c r="AB96" i="3"/>
  <c r="F98" i="3"/>
  <c r="AA100" i="3"/>
  <c r="AA96" i="3"/>
  <c r="F101" i="3"/>
  <c r="N101" i="3"/>
  <c r="X101" i="3"/>
  <c r="AH101" i="3"/>
  <c r="F106" i="3"/>
  <c r="N106" i="3"/>
  <c r="AD106" i="3"/>
  <c r="AD105" i="3"/>
  <c r="X107" i="3"/>
  <c r="AH107" i="3"/>
  <c r="E113" i="3"/>
  <c r="L113" i="3"/>
  <c r="AS15" i="3"/>
  <c r="AX15" i="3"/>
  <c r="AD114" i="3"/>
  <c r="AB114" i="3"/>
  <c r="X121" i="3"/>
  <c r="AH121" i="3"/>
  <c r="F82" i="3"/>
  <c r="N82" i="3"/>
  <c r="F83" i="3"/>
  <c r="M83" i="3"/>
  <c r="X85" i="3"/>
  <c r="AH85" i="3"/>
  <c r="AD83" i="3"/>
  <c r="F92" i="3"/>
  <c r="AG91" i="3"/>
  <c r="D94" i="3"/>
  <c r="G94" i="3"/>
  <c r="W96" i="3"/>
  <c r="W90" i="3"/>
  <c r="F102" i="3"/>
  <c r="M102" i="3"/>
  <c r="V114" i="3"/>
  <c r="AG123" i="3"/>
  <c r="L42" i="3"/>
  <c r="X47" i="3"/>
  <c r="AH47" i="3"/>
  <c r="AD49" i="3"/>
  <c r="X51" i="3"/>
  <c r="AI51" i="3"/>
  <c r="X55" i="3"/>
  <c r="AI55" i="3"/>
  <c r="X59" i="3"/>
  <c r="X60" i="3"/>
  <c r="AJ60" i="3"/>
  <c r="F61" i="3"/>
  <c r="M61" i="3"/>
  <c r="X61" i="3"/>
  <c r="AJ61" i="3"/>
  <c r="I60" i="3"/>
  <c r="I63" i="3"/>
  <c r="F65" i="3"/>
  <c r="M65" i="3"/>
  <c r="C66" i="3"/>
  <c r="E66" i="3"/>
  <c r="AB69" i="3"/>
  <c r="AB65" i="3"/>
  <c r="X72" i="3"/>
  <c r="E75" i="3"/>
  <c r="F79" i="3"/>
  <c r="N79" i="3"/>
  <c r="F80" i="3"/>
  <c r="M80" i="3"/>
  <c r="X81" i="3"/>
  <c r="AI81" i="3"/>
  <c r="X88" i="3"/>
  <c r="AI88" i="3"/>
  <c r="J94" i="3"/>
  <c r="F96" i="3"/>
  <c r="N96" i="3"/>
  <c r="AD96" i="3"/>
  <c r="X102" i="3"/>
  <c r="AI102" i="3"/>
  <c r="AA105" i="3"/>
  <c r="AA104" i="3"/>
  <c r="F122" i="3"/>
  <c r="F56" i="3"/>
  <c r="M56" i="3"/>
  <c r="F64" i="3"/>
  <c r="BC14" i="3"/>
  <c r="X66" i="3"/>
  <c r="AI66" i="3"/>
  <c r="L69" i="3"/>
  <c r="I69" i="3"/>
  <c r="E72" i="3"/>
  <c r="X75" i="3"/>
  <c r="AJ75" i="3"/>
  <c r="AA91" i="3"/>
  <c r="L104" i="3"/>
  <c r="D104" i="3"/>
  <c r="AD149" i="3"/>
  <c r="AD147" i="3"/>
  <c r="AG157" i="3"/>
  <c r="AD175" i="3"/>
  <c r="V243" i="3"/>
  <c r="X117" i="3"/>
  <c r="AI117" i="3"/>
  <c r="F120" i="3"/>
  <c r="N120" i="3"/>
  <c r="X120" i="3"/>
  <c r="AI120" i="3"/>
  <c r="X124" i="3"/>
  <c r="X130" i="3"/>
  <c r="AH130" i="3"/>
  <c r="X137" i="3"/>
  <c r="AJ137" i="3"/>
  <c r="AD141" i="3"/>
  <c r="BP20" i="3"/>
  <c r="AG185" i="3"/>
  <c r="AB197" i="3"/>
  <c r="AB196" i="3"/>
  <c r="AB195" i="3"/>
  <c r="X204" i="3"/>
  <c r="AH204" i="3"/>
  <c r="X207" i="3"/>
  <c r="AH207" i="3"/>
  <c r="X214" i="3"/>
  <c r="AH214" i="3"/>
  <c r="X216" i="3"/>
  <c r="AJ216" i="3"/>
  <c r="X223" i="3"/>
  <c r="AI223" i="3"/>
  <c r="U222" i="3"/>
  <c r="U227" i="3"/>
  <c r="AA238" i="3"/>
  <c r="AH238" i="3"/>
  <c r="X240" i="3"/>
  <c r="AI240" i="3"/>
  <c r="X253" i="3"/>
  <c r="AI253" i="3"/>
  <c r="X255" i="3"/>
  <c r="X161" i="3"/>
  <c r="AJ161" i="3"/>
  <c r="X164" i="3"/>
  <c r="AJ164" i="3"/>
  <c r="X165" i="3"/>
  <c r="AI165" i="3"/>
  <c r="AB175" i="3"/>
  <c r="X182" i="3"/>
  <c r="AH182" i="3"/>
  <c r="U186" i="3"/>
  <c r="U184" i="3"/>
  <c r="AD211" i="3"/>
  <c r="AD210" i="3"/>
  <c r="AD209" i="3"/>
  <c r="BP27" i="3"/>
  <c r="AE243" i="3"/>
  <c r="X244" i="3"/>
  <c r="AI244" i="3"/>
  <c r="X245" i="3"/>
  <c r="AJ245" i="3"/>
  <c r="X254" i="3"/>
  <c r="AI254" i="3"/>
  <c r="X134" i="3"/>
  <c r="AH134" i="3"/>
  <c r="AB149" i="3"/>
  <c r="AB147" i="3"/>
  <c r="X152" i="3"/>
  <c r="AI152" i="3"/>
  <c r="X156" i="3"/>
  <c r="AI156" i="3"/>
  <c r="X167" i="3"/>
  <c r="AI167" i="3"/>
  <c r="X177" i="3"/>
  <c r="AH177" i="3"/>
  <c r="AH180" i="3"/>
  <c r="AE186" i="3"/>
  <c r="AE184" i="3"/>
  <c r="AG186" i="3"/>
  <c r="V186" i="3"/>
  <c r="V184" i="3"/>
  <c r="V169" i="3"/>
  <c r="W197" i="3"/>
  <c r="W196" i="3"/>
  <c r="W195" i="3"/>
  <c r="X203" i="3"/>
  <c r="AJ203" i="3"/>
  <c r="X213" i="3"/>
  <c r="W211" i="3"/>
  <c r="W210" i="3"/>
  <c r="W209" i="3"/>
  <c r="X217" i="3"/>
  <c r="AH217" i="3"/>
  <c r="AB222" i="3"/>
  <c r="AA227" i="3"/>
  <c r="X241" i="3"/>
  <c r="AI241" i="3"/>
  <c r="X246" i="3"/>
  <c r="AI246" i="3"/>
  <c r="F108" i="3"/>
  <c r="M108" i="3"/>
  <c r="I10" i="3"/>
  <c r="AR16" i="3"/>
  <c r="AW16" i="3"/>
  <c r="AT21" i="3"/>
  <c r="AT6" i="3"/>
  <c r="AS21" i="3"/>
  <c r="AS6" i="3"/>
  <c r="AG17" i="3"/>
  <c r="AR21" i="3"/>
  <c r="M30" i="3"/>
  <c r="P8" i="3"/>
  <c r="X17" i="3"/>
  <c r="BN10" i="3"/>
  <c r="BH5" i="3"/>
  <c r="AW4" i="3"/>
  <c r="BC5" i="3"/>
  <c r="AJ3" i="3"/>
  <c r="F12" i="3"/>
  <c r="D10" i="3"/>
  <c r="L10" i="3"/>
  <c r="X18" i="3"/>
  <c r="BN11" i="3"/>
  <c r="AW19" i="3"/>
  <c r="AG21" i="3"/>
  <c r="AG20" i="3"/>
  <c r="I22" i="3"/>
  <c r="BD12" i="3"/>
  <c r="F25" i="3"/>
  <c r="AQ8" i="3"/>
  <c r="AY8" i="3"/>
  <c r="N26" i="3"/>
  <c r="M38" i="3"/>
  <c r="N38" i="3"/>
  <c r="N23" i="3"/>
  <c r="AX7" i="3"/>
  <c r="L22" i="3"/>
  <c r="I29" i="3"/>
  <c r="BD13" i="3"/>
  <c r="AI27" i="3"/>
  <c r="AA35" i="3"/>
  <c r="BO14" i="3"/>
  <c r="N80" i="3"/>
  <c r="AH87" i="3"/>
  <c r="C22" i="3"/>
  <c r="G22" i="3"/>
  <c r="M27" i="3"/>
  <c r="AJ27" i="3"/>
  <c r="AJ28" i="3"/>
  <c r="C29" i="3"/>
  <c r="G29" i="3"/>
  <c r="AJ29" i="3"/>
  <c r="J35" i="3"/>
  <c r="V35" i="3"/>
  <c r="AB35" i="3"/>
  <c r="F37" i="3"/>
  <c r="I37" i="3"/>
  <c r="W35" i="3"/>
  <c r="F41" i="3"/>
  <c r="N50" i="3"/>
  <c r="AI50" i="3"/>
  <c r="AJ53" i="3"/>
  <c r="AI53" i="3"/>
  <c r="AH53" i="3"/>
  <c r="M64" i="3"/>
  <c r="AD69" i="3"/>
  <c r="AD65" i="3"/>
  <c r="AA69" i="3"/>
  <c r="AA65" i="3"/>
  <c r="L94" i="3"/>
  <c r="F36" i="3"/>
  <c r="J42" i="3"/>
  <c r="N71" i="3"/>
  <c r="N77" i="3"/>
  <c r="M77" i="3"/>
  <c r="AI86" i="3"/>
  <c r="AH86" i="3"/>
  <c r="AJ86" i="3"/>
  <c r="Q128" i="3"/>
  <c r="P128" i="3"/>
  <c r="J25" i="3"/>
  <c r="J32" i="3"/>
  <c r="C35" i="3"/>
  <c r="Y35" i="3"/>
  <c r="AE35" i="3"/>
  <c r="X37" i="3"/>
  <c r="X41" i="3"/>
  <c r="F43" i="3"/>
  <c r="AG44" i="3"/>
  <c r="L51" i="3"/>
  <c r="AH54" i="3"/>
  <c r="AJ54" i="3"/>
  <c r="AI54" i="3"/>
  <c r="F57" i="3"/>
  <c r="N58" i="3"/>
  <c r="AI67" i="3"/>
  <c r="F72" i="3"/>
  <c r="N74" i="3"/>
  <c r="AJ76" i="3"/>
  <c r="AI76" i="3"/>
  <c r="AH76" i="3"/>
  <c r="AI79" i="3"/>
  <c r="AI84" i="3"/>
  <c r="L85" i="3"/>
  <c r="N92" i="3"/>
  <c r="AG59" i="3"/>
  <c r="AG58" i="3"/>
  <c r="AG57" i="3"/>
  <c r="L60" i="3"/>
  <c r="M62" i="3"/>
  <c r="AI74" i="3"/>
  <c r="AI78" i="3"/>
  <c r="AI95" i="3"/>
  <c r="AI101" i="3"/>
  <c r="AB104" i="3"/>
  <c r="BP31" i="3"/>
  <c r="G113" i="3"/>
  <c r="I116" i="3"/>
  <c r="AE114" i="3"/>
  <c r="AG114" i="3"/>
  <c r="BP17" i="3"/>
  <c r="AB123" i="3"/>
  <c r="AI130" i="3"/>
  <c r="AJ131" i="3"/>
  <c r="AI131" i="3"/>
  <c r="AH131" i="3"/>
  <c r="X133" i="3"/>
  <c r="U123" i="3"/>
  <c r="AJ142" i="3"/>
  <c r="AE141" i="3"/>
  <c r="AG141" i="3"/>
  <c r="AJ156" i="3"/>
  <c r="C42" i="3"/>
  <c r="M44" i="3"/>
  <c r="Y44" i="3"/>
  <c r="C45" i="3"/>
  <c r="G45" i="3"/>
  <c r="Y49" i="3"/>
  <c r="G54" i="3"/>
  <c r="C63" i="3"/>
  <c r="G63" i="3"/>
  <c r="AG66" i="3"/>
  <c r="C69" i="3"/>
  <c r="G69" i="3"/>
  <c r="Y69" i="3"/>
  <c r="Y65" i="3"/>
  <c r="L72" i="3"/>
  <c r="AJ74" i="3"/>
  <c r="C78" i="3"/>
  <c r="G78" i="3"/>
  <c r="I78" i="3"/>
  <c r="M82" i="3"/>
  <c r="J85" i="3"/>
  <c r="AB91" i="3"/>
  <c r="M95" i="3"/>
  <c r="I96" i="3"/>
  <c r="F99" i="3"/>
  <c r="X99" i="3"/>
  <c r="AJ100" i="3"/>
  <c r="M101" i="3"/>
  <c r="AH106" i="3"/>
  <c r="E104" i="3"/>
  <c r="N109" i="3"/>
  <c r="M109" i="3"/>
  <c r="F110" i="3"/>
  <c r="N111" i="3"/>
  <c r="M111" i="3"/>
  <c r="M115" i="3"/>
  <c r="F116" i="3"/>
  <c r="C113" i="3"/>
  <c r="AA116" i="3"/>
  <c r="AA114" i="3"/>
  <c r="Y114" i="3"/>
  <c r="F118" i="3"/>
  <c r="X118" i="3"/>
  <c r="AH119" i="3"/>
  <c r="AJ119" i="3"/>
  <c r="AE123" i="3"/>
  <c r="AH125" i="3"/>
  <c r="AJ125" i="3"/>
  <c r="X128" i="3"/>
  <c r="X135" i="3"/>
  <c r="AA143" i="3"/>
  <c r="AA141" i="3"/>
  <c r="BO20" i="3"/>
  <c r="Y141" i="3"/>
  <c r="X150" i="3"/>
  <c r="V149" i="3"/>
  <c r="V147" i="3"/>
  <c r="X153" i="3"/>
  <c r="W157" i="3"/>
  <c r="AA157" i="3"/>
  <c r="Y158" i="4"/>
  <c r="AA158" i="4"/>
  <c r="AD157" i="3"/>
  <c r="AB158" i="4"/>
  <c r="AD158" i="4"/>
  <c r="AB157" i="3"/>
  <c r="AB155" i="3"/>
  <c r="AF169" i="3"/>
  <c r="AE171" i="3"/>
  <c r="AG173" i="3"/>
  <c r="AG171" i="3"/>
  <c r="AJ198" i="3"/>
  <c r="D78" i="3"/>
  <c r="V83" i="3"/>
  <c r="C85" i="3"/>
  <c r="F87" i="3"/>
  <c r="X93" i="3"/>
  <c r="C94" i="3"/>
  <c r="AE96" i="3"/>
  <c r="AG97" i="3"/>
  <c r="AG96" i="3"/>
  <c r="AG90" i="3"/>
  <c r="I105" i="3"/>
  <c r="G104" i="3"/>
  <c r="Y105" i="3"/>
  <c r="Y104" i="3"/>
  <c r="X116" i="3"/>
  <c r="U114" i="3"/>
  <c r="X126" i="3"/>
  <c r="BN19" i="3"/>
  <c r="AH132" i="3"/>
  <c r="AJ132" i="3"/>
  <c r="AJ134" i="3"/>
  <c r="AI134" i="3"/>
  <c r="X139" i="3"/>
  <c r="X143" i="3"/>
  <c r="U141" i="3"/>
  <c r="AI151" i="3"/>
  <c r="AG149" i="3"/>
  <c r="AG147" i="3"/>
  <c r="AE149" i="3"/>
  <c r="AE147" i="3"/>
  <c r="Y157" i="3"/>
  <c r="Y155" i="3"/>
  <c r="AJ167" i="3"/>
  <c r="AH172" i="3"/>
  <c r="AE83" i="3"/>
  <c r="X98" i="3"/>
  <c r="J104" i="3"/>
  <c r="F105" i="3"/>
  <c r="C104" i="3"/>
  <c r="AE105" i="3"/>
  <c r="AE104" i="3"/>
  <c r="AG106" i="3"/>
  <c r="F107" i="3"/>
  <c r="N108" i="3"/>
  <c r="AJ108" i="3"/>
  <c r="AH108" i="3"/>
  <c r="I113" i="3"/>
  <c r="AR15" i="3"/>
  <c r="AW15" i="3"/>
  <c r="AJ115" i="3"/>
  <c r="M119" i="3"/>
  <c r="N122" i="3"/>
  <c r="M122" i="3"/>
  <c r="N123" i="3"/>
  <c r="AH124" i="3"/>
  <c r="AI127" i="3"/>
  <c r="AJ129" i="3"/>
  <c r="Y123" i="3"/>
  <c r="AA133" i="3"/>
  <c r="BO17" i="3"/>
  <c r="V123" i="3"/>
  <c r="V112" i="3"/>
  <c r="AH136" i="3"/>
  <c r="AJ136" i="3"/>
  <c r="X138" i="3"/>
  <c r="W147" i="3"/>
  <c r="F124" i="3"/>
  <c r="AA151" i="3"/>
  <c r="AA149" i="3"/>
  <c r="Y149" i="3"/>
  <c r="Y147" i="3"/>
  <c r="AE157" i="3"/>
  <c r="AE155" i="3"/>
  <c r="AA173" i="3"/>
  <c r="AA171" i="3"/>
  <c r="Y171" i="3"/>
  <c r="AA181" i="3"/>
  <c r="AA175" i="3"/>
  <c r="Y175" i="3"/>
  <c r="AE211" i="3"/>
  <c r="AE210" i="3"/>
  <c r="AE209" i="3"/>
  <c r="AG212" i="3"/>
  <c r="AG211" i="3"/>
  <c r="AG210" i="3"/>
  <c r="AG209" i="3"/>
  <c r="AS29" i="3"/>
  <c r="AX29" i="3"/>
  <c r="X148" i="3"/>
  <c r="X158" i="3"/>
  <c r="X159" i="3"/>
  <c r="X173" i="3"/>
  <c r="U171" i="3"/>
  <c r="X176" i="3"/>
  <c r="BN23" i="3"/>
  <c r="AG178" i="3"/>
  <c r="AG175" i="3"/>
  <c r="AE175" i="3"/>
  <c r="X181" i="3"/>
  <c r="U175" i="3"/>
  <c r="AB186" i="3"/>
  <c r="AB184" i="3"/>
  <c r="AB169" i="3"/>
  <c r="AD235" i="3"/>
  <c r="AD234" i="3"/>
  <c r="AB235" i="3"/>
  <c r="AB234" i="3"/>
  <c r="V157" i="3"/>
  <c r="X162" i="3"/>
  <c r="AI177" i="3"/>
  <c r="X199" i="3"/>
  <c r="AI180" i="3"/>
  <c r="AG184" i="3"/>
  <c r="V197" i="3"/>
  <c r="X201" i="3"/>
  <c r="AJ207" i="3"/>
  <c r="X178" i="3"/>
  <c r="X179" i="3"/>
  <c r="X188" i="3"/>
  <c r="AE197" i="3"/>
  <c r="AE196" i="3"/>
  <c r="AE195" i="3"/>
  <c r="AG199" i="3"/>
  <c r="AG197" i="3"/>
  <c r="AG196" i="3"/>
  <c r="AG195" i="3"/>
  <c r="X200" i="3"/>
  <c r="AH202" i="3"/>
  <c r="AJ255" i="3"/>
  <c r="AI255" i="3"/>
  <c r="AH255" i="3"/>
  <c r="X185" i="3"/>
  <c r="AA186" i="3"/>
  <c r="AA184" i="3"/>
  <c r="Y186" i="3"/>
  <c r="Y184" i="3"/>
  <c r="X190" i="3"/>
  <c r="X191" i="3"/>
  <c r="AA199" i="3"/>
  <c r="AA197" i="3"/>
  <c r="AA196" i="3"/>
  <c r="BO28" i="3"/>
  <c r="Y197" i="3"/>
  <c r="Y196" i="3"/>
  <c r="Y195" i="3"/>
  <c r="AI203" i="3"/>
  <c r="V205" i="3"/>
  <c r="X206" i="3"/>
  <c r="AJ239" i="3"/>
  <c r="AI239" i="3"/>
  <c r="AJ213" i="3"/>
  <c r="AI213" i="3"/>
  <c r="AH213" i="3"/>
  <c r="X218" i="3"/>
  <c r="V235" i="3"/>
  <c r="V234" i="3"/>
  <c r="V232" i="3"/>
  <c r="AD243" i="3"/>
  <c r="AH254" i="3"/>
  <c r="AJ254" i="3"/>
  <c r="AB211" i="3"/>
  <c r="AB210" i="3"/>
  <c r="AB209" i="3"/>
  <c r="Y227" i="3"/>
  <c r="W227" i="3"/>
  <c r="AG228" i="3"/>
  <c r="AG227" i="3"/>
  <c r="AE227" i="3"/>
  <c r="X229" i="3"/>
  <c r="AH236" i="3"/>
  <c r="AI236" i="3"/>
  <c r="AG235" i="3"/>
  <c r="AG234" i="3"/>
  <c r="AI245" i="3"/>
  <c r="AJ252" i="3"/>
  <c r="AI252" i="3"/>
  <c r="Y211" i="3"/>
  <c r="Y210" i="3"/>
  <c r="Y209" i="3"/>
  <c r="AJ214" i="3"/>
  <c r="AI214" i="3"/>
  <c r="V222" i="3"/>
  <c r="V220" i="3"/>
  <c r="X225" i="3"/>
  <c r="AJ238" i="3"/>
  <c r="AI238" i="3"/>
  <c r="AH253" i="3"/>
  <c r="AJ253" i="3"/>
  <c r="AG222" i="3"/>
  <c r="X224" i="3"/>
  <c r="AE235" i="3"/>
  <c r="AE234" i="3"/>
  <c r="AE232" i="3"/>
  <c r="W235" i="3"/>
  <c r="W234" i="3"/>
  <c r="W243" i="3"/>
  <c r="AB243" i="3"/>
  <c r="AG243" i="3"/>
  <c r="U220" i="3"/>
  <c r="AA224" i="3"/>
  <c r="AA222" i="3"/>
  <c r="AA220" i="3"/>
  <c r="BO30" i="3"/>
  <c r="Y222" i="3"/>
  <c r="X228" i="3"/>
  <c r="AA235" i="3"/>
  <c r="AA234" i="3"/>
  <c r="U243" i="3"/>
  <c r="U232" i="3"/>
  <c r="AA245" i="3"/>
  <c r="AA243" i="3"/>
  <c r="Y243" i="3"/>
  <c r="Y232" i="3"/>
  <c r="AH246" i="3"/>
  <c r="X247" i="3"/>
  <c r="AI256" i="3"/>
  <c r="AD227" i="3"/>
  <c r="AD220" i="3"/>
  <c r="BP30" i="3"/>
  <c r="AB227" i="3"/>
  <c r="AB220" i="3"/>
  <c r="X237" i="3"/>
  <c r="AI249" i="3"/>
  <c r="X250" i="3"/>
  <c r="X251" i="3"/>
  <c r="AJ117" i="3"/>
  <c r="AI106" i="3"/>
  <c r="AH100" i="3"/>
  <c r="N83" i="3"/>
  <c r="W220" i="3"/>
  <c r="BQ24" i="3"/>
  <c r="BQ22" i="3"/>
  <c r="BK11" i="3"/>
  <c r="N102" i="3"/>
  <c r="M46" i="3"/>
  <c r="M96" i="3"/>
  <c r="AJ130" i="3"/>
  <c r="M68" i="3"/>
  <c r="BC13" i="3"/>
  <c r="N52" i="3"/>
  <c r="AI22" i="3"/>
  <c r="M34" i="3"/>
  <c r="AL110" i="3"/>
  <c r="AF110" i="3"/>
  <c r="AH241" i="3"/>
  <c r="F48" i="3"/>
  <c r="AI47" i="3"/>
  <c r="N25" i="3"/>
  <c r="BP12" i="3"/>
  <c r="BP9" i="3"/>
  <c r="BO12" i="3"/>
  <c r="BO9" i="3"/>
  <c r="AJ165" i="3"/>
  <c r="N115" i="3"/>
  <c r="AH71" i="3"/>
  <c r="N46" i="3"/>
  <c r="AH88" i="3"/>
  <c r="N56" i="3"/>
  <c r="AI59" i="3"/>
  <c r="AH23" i="3"/>
  <c r="N39" i="3"/>
  <c r="AJ256" i="3"/>
  <c r="AJ248" i="3"/>
  <c r="AJ244" i="3"/>
  <c r="AJ241" i="3"/>
  <c r="AI230" i="3"/>
  <c r="AJ101" i="3"/>
  <c r="AE90" i="3"/>
  <c r="AH160" i="3"/>
  <c r="AB112" i="3"/>
  <c r="M55" i="3"/>
  <c r="M47" i="3"/>
  <c r="AI77" i="3"/>
  <c r="F66" i="3"/>
  <c r="N53" i="3"/>
  <c r="AJ81" i="3"/>
  <c r="AJ31" i="3"/>
  <c r="N40" i="3"/>
  <c r="AI32" i="3"/>
  <c r="N24" i="3"/>
  <c r="AH249" i="3"/>
  <c r="BP16" i="3"/>
  <c r="F75" i="3"/>
  <c r="M74" i="3"/>
  <c r="BP14" i="3"/>
  <c r="BO25" i="3"/>
  <c r="AG155" i="3"/>
  <c r="AE158" i="4"/>
  <c r="AG158" i="4"/>
  <c r="BP18" i="3"/>
  <c r="M81" i="3"/>
  <c r="W155" i="3"/>
  <c r="W158" i="4"/>
  <c r="M76" i="3"/>
  <c r="F69" i="3"/>
  <c r="M67" i="3"/>
  <c r="AH75" i="3"/>
  <c r="N64" i="3"/>
  <c r="AJ22" i="3"/>
  <c r="AI87" i="3"/>
  <c r="AI60" i="3"/>
  <c r="BC12" i="3"/>
  <c r="F32" i="3"/>
  <c r="AB145" i="3"/>
  <c r="AA90" i="3"/>
  <c r="AR24" i="3"/>
  <c r="AW24" i="3"/>
  <c r="V90" i="3"/>
  <c r="AZ8" i="3"/>
  <c r="BQ13" i="3"/>
  <c r="BQ8" i="3"/>
  <c r="BO31" i="3"/>
  <c r="BP15" i="3"/>
  <c r="BN17" i="3"/>
  <c r="AD43" i="3"/>
  <c r="AJ33" i="3"/>
  <c r="BN31" i="3"/>
  <c r="AJ187" i="3"/>
  <c r="X186" i="3"/>
  <c r="X184" i="3"/>
  <c r="AC12" i="3"/>
  <c r="F29" i="3"/>
  <c r="AJ172" i="3"/>
  <c r="X171" i="3"/>
  <c r="BO18" i="3"/>
  <c r="V155" i="3"/>
  <c r="V158" i="4"/>
  <c r="BO16" i="3"/>
  <c r="BO15" i="3"/>
  <c r="AJ246" i="3"/>
  <c r="AJ166" i="3"/>
  <c r="AI142" i="3"/>
  <c r="F81" i="3"/>
  <c r="N81" i="3"/>
  <c r="AG43" i="3"/>
  <c r="F60" i="3"/>
  <c r="X235" i="3"/>
  <c r="BH13" i="3"/>
  <c r="AH244" i="3"/>
  <c r="AH240" i="3"/>
  <c r="AH216" i="3"/>
  <c r="AH212" i="3"/>
  <c r="AH166" i="3"/>
  <c r="M100" i="3"/>
  <c r="AI172" i="3"/>
  <c r="AH117" i="3"/>
  <c r="M120" i="3"/>
  <c r="F94" i="3"/>
  <c r="AB90" i="3"/>
  <c r="AB63" i="3"/>
  <c r="AJ78" i="3"/>
  <c r="AJ66" i="3"/>
  <c r="AJ127" i="3"/>
  <c r="AI121" i="3"/>
  <c r="AH102" i="3"/>
  <c r="AH97" i="3"/>
  <c r="M54" i="3"/>
  <c r="AH84" i="3"/>
  <c r="AH83" i="3"/>
  <c r="AI73" i="3"/>
  <c r="N59" i="3"/>
  <c r="AJ92" i="3"/>
  <c r="N76" i="3"/>
  <c r="N75" i="3"/>
  <c r="N70" i="3"/>
  <c r="N69" i="3"/>
  <c r="AI45" i="3"/>
  <c r="N54" i="3"/>
  <c r="F51" i="3"/>
  <c r="M79" i="3"/>
  <c r="AJ51" i="3"/>
  <c r="F22" i="3"/>
  <c r="N97" i="3"/>
  <c r="E21" i="3"/>
  <c r="X58" i="3"/>
  <c r="X57" i="3"/>
  <c r="V43" i="3"/>
  <c r="V14" i="3"/>
  <c r="X83" i="3"/>
  <c r="W63" i="3"/>
  <c r="BK14" i="3"/>
  <c r="AJ240" i="3"/>
  <c r="AJ230" i="3"/>
  <c r="V63" i="3"/>
  <c r="AH198" i="3"/>
  <c r="N121" i="3"/>
  <c r="AH73" i="3"/>
  <c r="AJ67" i="3"/>
  <c r="AH92" i="3"/>
  <c r="N30" i="3"/>
  <c r="M15" i="3"/>
  <c r="W169" i="3"/>
  <c r="AH248" i="3"/>
  <c r="AE220" i="3"/>
  <c r="AB193" i="3"/>
  <c r="X141" i="3"/>
  <c r="BN20" i="3"/>
  <c r="M106" i="3"/>
  <c r="AI198" i="3"/>
  <c r="AI137" i="3"/>
  <c r="AJ121" i="3"/>
  <c r="AJ102" i="3"/>
  <c r="AI68" i="3"/>
  <c r="F63" i="3"/>
  <c r="G28" i="3"/>
  <c r="AH60" i="3"/>
  <c r="AH51" i="3"/>
  <c r="M33" i="3"/>
  <c r="M32" i="3"/>
  <c r="AJ72" i="3"/>
  <c r="AD196" i="3"/>
  <c r="AH203" i="3"/>
  <c r="AI207" i="3"/>
  <c r="AI160" i="3"/>
  <c r="AJ124" i="3"/>
  <c r="X105" i="3"/>
  <c r="X104" i="3"/>
  <c r="AI107" i="3"/>
  <c r="N89" i="3"/>
  <c r="AI48" i="3"/>
  <c r="AJ88" i="3"/>
  <c r="AH31" i="3"/>
  <c r="AI23" i="3"/>
  <c r="AJ25" i="3"/>
  <c r="AH33" i="3"/>
  <c r="AH215" i="3"/>
  <c r="AH129" i="3"/>
  <c r="AJ152" i="3"/>
  <c r="AH156" i="3"/>
  <c r="AJ107" i="3"/>
  <c r="AJ84" i="3"/>
  <c r="AJ79" i="3"/>
  <c r="N88" i="3"/>
  <c r="AJ52" i="3"/>
  <c r="AJ48" i="3"/>
  <c r="AH80" i="3"/>
  <c r="AH50" i="3"/>
  <c r="AJ40" i="3"/>
  <c r="AH25" i="3"/>
  <c r="AI202" i="3"/>
  <c r="AH223" i="3"/>
  <c r="AJ204" i="3"/>
  <c r="AJ223" i="3"/>
  <c r="AI204" i="3"/>
  <c r="AH152" i="3"/>
  <c r="AJ95" i="3"/>
  <c r="AI182" i="3"/>
  <c r="AH77" i="3"/>
  <c r="AH46" i="3"/>
  <c r="AJ80" i="3"/>
  <c r="AH66" i="3"/>
  <c r="AH61" i="3"/>
  <c r="AH36" i="3"/>
  <c r="AV12" i="3"/>
  <c r="AJ32" i="3"/>
  <c r="AV11" i="3"/>
  <c r="AJ38" i="3"/>
  <c r="AH187" i="3"/>
  <c r="K17" i="3"/>
  <c r="K8" i="3"/>
  <c r="K126" i="3"/>
  <c r="K130" i="3"/>
  <c r="BJ15" i="3"/>
  <c r="M26" i="3"/>
  <c r="M25" i="3"/>
  <c r="AI33" i="3"/>
  <c r="N14" i="3"/>
  <c r="Y90" i="3"/>
  <c r="AA43" i="3"/>
  <c r="BO13" i="3"/>
  <c r="BO8" i="3"/>
  <c r="AB43" i="3"/>
  <c r="AB14" i="3"/>
  <c r="BK9" i="3"/>
  <c r="BI15" i="3"/>
  <c r="AI124" i="3"/>
  <c r="AE145" i="3"/>
  <c r="D21" i="3"/>
  <c r="D19" i="3"/>
  <c r="D17" i="3"/>
  <c r="AA63" i="3"/>
  <c r="J28" i="3"/>
  <c r="J21" i="3"/>
  <c r="J19" i="3"/>
  <c r="J17" i="3"/>
  <c r="J8" i="3"/>
  <c r="J126" i="3"/>
  <c r="J130" i="3"/>
  <c r="AI115" i="3"/>
  <c r="L28" i="3"/>
  <c r="AS9" i="3"/>
  <c r="AL10" i="3"/>
  <c r="AL8" i="3"/>
  <c r="AF12" i="3"/>
  <c r="L128" i="3"/>
  <c r="BI14" i="3"/>
  <c r="Y145" i="3"/>
  <c r="X96" i="3"/>
  <c r="F128" i="3"/>
  <c r="AS24" i="3"/>
  <c r="AX24" i="3"/>
  <c r="AD262" i="3"/>
  <c r="X262" i="3"/>
  <c r="AI216" i="3"/>
  <c r="AH165" i="3"/>
  <c r="AH137" i="3"/>
  <c r="AJ182" i="3"/>
  <c r="AJ94" i="3"/>
  <c r="AH45" i="3"/>
  <c r="AI85" i="3"/>
  <c r="AI83" i="3"/>
  <c r="AH72" i="3"/>
  <c r="AJ30" i="3"/>
  <c r="AJ70" i="3"/>
  <c r="AH81" i="3"/>
  <c r="AI72" i="3"/>
  <c r="AI21" i="3"/>
  <c r="AH38" i="3"/>
  <c r="AH70" i="3"/>
  <c r="X211" i="3"/>
  <c r="X210" i="3"/>
  <c r="X209" i="3"/>
  <c r="BN27" i="3"/>
  <c r="X157" i="3"/>
  <c r="X155" i="3"/>
  <c r="AA232" i="3"/>
  <c r="BO29" i="3"/>
  <c r="AJ212" i="3"/>
  <c r="AJ151" i="3"/>
  <c r="AH68" i="3"/>
  <c r="AI46" i="3"/>
  <c r="AI44" i="3"/>
  <c r="X44" i="3"/>
  <c r="AI40" i="3"/>
  <c r="AH30" i="3"/>
  <c r="N13" i="3"/>
  <c r="AE43" i="3"/>
  <c r="AE14" i="3"/>
  <c r="AI26" i="3"/>
  <c r="M31" i="3"/>
  <c r="M29" i="3"/>
  <c r="AC10" i="3"/>
  <c r="AC8" i="3"/>
  <c r="AC260" i="3"/>
  <c r="AC264" i="3"/>
  <c r="AE193" i="3"/>
  <c r="AD104" i="3"/>
  <c r="AJ71" i="3"/>
  <c r="X69" i="3"/>
  <c r="X65" i="3"/>
  <c r="M48" i="3"/>
  <c r="AI75" i="3"/>
  <c r="AI69" i="3"/>
  <c r="F54" i="3"/>
  <c r="N65" i="3"/>
  <c r="AJ47" i="3"/>
  <c r="AJ44" i="3"/>
  <c r="M22" i="3"/>
  <c r="AI19" i="3"/>
  <c r="AJ24" i="3"/>
  <c r="AD195" i="3"/>
  <c r="AR28" i="3"/>
  <c r="AW28" i="3"/>
  <c r="Z12" i="3"/>
  <c r="Z10" i="3"/>
  <c r="Z8" i="3"/>
  <c r="Z260" i="3"/>
  <c r="Z264" i="3"/>
  <c r="AM12" i="3"/>
  <c r="AM10" i="3"/>
  <c r="AM8" i="3"/>
  <c r="M63" i="3"/>
  <c r="N22" i="3"/>
  <c r="H8" i="3"/>
  <c r="H126" i="3"/>
  <c r="H130" i="3"/>
  <c r="AI217" i="3"/>
  <c r="AJ217" i="3"/>
  <c r="AJ215" i="3"/>
  <c r="X197" i="3"/>
  <c r="AJ177" i="3"/>
  <c r="AH164" i="3"/>
  <c r="AI164" i="3"/>
  <c r="AH167" i="3"/>
  <c r="AI161" i="3"/>
  <c r="AH161" i="3"/>
  <c r="X123" i="3"/>
  <c r="AJ120" i="3"/>
  <c r="AH120" i="3"/>
  <c r="AH105" i="3"/>
  <c r="AH104" i="3"/>
  <c r="AI105" i="3"/>
  <c r="AH94" i="3"/>
  <c r="AJ85" i="3"/>
  <c r="AH59" i="3"/>
  <c r="AH58" i="3"/>
  <c r="AI61" i="3"/>
  <c r="AJ55" i="3"/>
  <c r="AH52" i="3"/>
  <c r="AH49" i="3"/>
  <c r="X49" i="3"/>
  <c r="AH55" i="3"/>
  <c r="AI36" i="3"/>
  <c r="AJ39" i="3"/>
  <c r="AJ26" i="3"/>
  <c r="AJ19" i="3"/>
  <c r="AH24" i="3"/>
  <c r="AG145" i="3"/>
  <c r="U112" i="3"/>
  <c r="V145" i="3"/>
  <c r="V110" i="3"/>
  <c r="F113" i="3"/>
  <c r="AQ15" i="3"/>
  <c r="AV15" i="3"/>
  <c r="M72" i="3"/>
  <c r="W14" i="3"/>
  <c r="W12" i="3"/>
  <c r="AH39" i="3"/>
  <c r="I42" i="3"/>
  <c r="BD16" i="3"/>
  <c r="AW10" i="3"/>
  <c r="Y220" i="3"/>
  <c r="W232" i="3"/>
  <c r="AI108" i="3"/>
  <c r="M57" i="3"/>
  <c r="M69" i="3"/>
  <c r="N51" i="3"/>
  <c r="BD7" i="3"/>
  <c r="AD90" i="3"/>
  <c r="X20" i="3"/>
  <c r="X16" i="3"/>
  <c r="BN12" i="3"/>
  <c r="BN9" i="3"/>
  <c r="AG169" i="3"/>
  <c r="AS27" i="3"/>
  <c r="AX27" i="3"/>
  <c r="BH15" i="3"/>
  <c r="W193" i="3"/>
  <c r="AR29" i="3"/>
  <c r="AW29" i="3"/>
  <c r="M98" i="3"/>
  <c r="N98" i="3"/>
  <c r="AB232" i="3"/>
  <c r="AE63" i="3"/>
  <c r="AE112" i="3"/>
  <c r="BC15" i="3"/>
  <c r="AA147" i="3"/>
  <c r="AD155" i="3"/>
  <c r="AD145" i="3"/>
  <c r="AG193" i="3"/>
  <c r="AS28" i="3"/>
  <c r="AX28" i="3"/>
  <c r="AJ191" i="3"/>
  <c r="AI191" i="3"/>
  <c r="AH191" i="3"/>
  <c r="AI250" i="3"/>
  <c r="AH250" i="3"/>
  <c r="AJ250" i="3"/>
  <c r="AI228" i="3"/>
  <c r="X227" i="3"/>
  <c r="AJ228" i="3"/>
  <c r="AH228" i="3"/>
  <c r="AG220" i="3"/>
  <c r="AH225" i="3"/>
  <c r="AJ225" i="3"/>
  <c r="AI225" i="3"/>
  <c r="AH245" i="3"/>
  <c r="AJ185" i="3"/>
  <c r="AI185" i="3"/>
  <c r="AH185" i="3"/>
  <c r="AI178" i="3"/>
  <c r="AH178" i="3"/>
  <c r="AJ178" i="3"/>
  <c r="AJ201" i="3"/>
  <c r="AI201" i="3"/>
  <c r="AH201" i="3"/>
  <c r="AI162" i="3"/>
  <c r="AH162" i="3"/>
  <c r="AJ162" i="3"/>
  <c r="AH181" i="3"/>
  <c r="AJ181" i="3"/>
  <c r="AI181" i="3"/>
  <c r="U169" i="3"/>
  <c r="AI158" i="3"/>
  <c r="AH158" i="3"/>
  <c r="AJ158" i="3"/>
  <c r="N124" i="3"/>
  <c r="M124" i="3"/>
  <c r="BC20" i="3"/>
  <c r="AH151" i="3"/>
  <c r="AB110" i="3"/>
  <c r="AJ135" i="3"/>
  <c r="AI135" i="3"/>
  <c r="AH135" i="3"/>
  <c r="AJ99" i="3"/>
  <c r="AI99" i="3"/>
  <c r="AH99" i="3"/>
  <c r="AI133" i="3"/>
  <c r="AH133" i="3"/>
  <c r="AJ133" i="3"/>
  <c r="L48" i="3"/>
  <c r="AX14" i="3"/>
  <c r="N73" i="3"/>
  <c r="N72" i="3"/>
  <c r="N57" i="3"/>
  <c r="AI37" i="3"/>
  <c r="AH37" i="3"/>
  <c r="AJ37" i="3"/>
  <c r="N49" i="3"/>
  <c r="N48" i="3"/>
  <c r="M45" i="3"/>
  <c r="AI49" i="3"/>
  <c r="I35" i="3"/>
  <c r="I28" i="3"/>
  <c r="AR9" i="3"/>
  <c r="AW9" i="3"/>
  <c r="G21" i="3"/>
  <c r="AI58" i="3"/>
  <c r="X35" i="3"/>
  <c r="BN14" i="3"/>
  <c r="AV8" i="3"/>
  <c r="AU8" i="3"/>
  <c r="AJ18" i="3"/>
  <c r="AH18" i="3"/>
  <c r="AI18" i="3"/>
  <c r="D8" i="3"/>
  <c r="D126" i="3"/>
  <c r="D130" i="3"/>
  <c r="AI17" i="3"/>
  <c r="AH17" i="3"/>
  <c r="AQ22" i="3"/>
  <c r="AJ17" i="3"/>
  <c r="P126" i="3"/>
  <c r="P130" i="3"/>
  <c r="N29" i="3"/>
  <c r="AD14" i="3"/>
  <c r="AR23" i="3"/>
  <c r="AJ247" i="3"/>
  <c r="AI247" i="3"/>
  <c r="AH247" i="3"/>
  <c r="X243" i="3"/>
  <c r="V196" i="3"/>
  <c r="V195" i="3"/>
  <c r="V193" i="3"/>
  <c r="AI173" i="3"/>
  <c r="AH173" i="3"/>
  <c r="AH171" i="3"/>
  <c r="AJ173" i="3"/>
  <c r="AJ171" i="3"/>
  <c r="AI148" i="3"/>
  <c r="AJ148" i="3"/>
  <c r="AH148" i="3"/>
  <c r="Y169" i="3"/>
  <c r="AJ138" i="3"/>
  <c r="AI138" i="3"/>
  <c r="AH138" i="3"/>
  <c r="AA123" i="3"/>
  <c r="AA112" i="3"/>
  <c r="M107" i="3"/>
  <c r="N107" i="3"/>
  <c r="N105" i="3"/>
  <c r="M105" i="3"/>
  <c r="F104" i="3"/>
  <c r="BC19" i="3"/>
  <c r="AI143" i="3"/>
  <c r="AH143" i="3"/>
  <c r="AH141" i="3"/>
  <c r="AJ143" i="3"/>
  <c r="AJ141" i="3"/>
  <c r="AJ126" i="3"/>
  <c r="AI126" i="3"/>
  <c r="AH126" i="3"/>
  <c r="I104" i="3"/>
  <c r="BD19" i="3"/>
  <c r="AE169" i="3"/>
  <c r="AJ128" i="3"/>
  <c r="AI128" i="3"/>
  <c r="AH128" i="3"/>
  <c r="AJ118" i="3"/>
  <c r="AI118" i="3"/>
  <c r="AH118" i="3"/>
  <c r="N110" i="3"/>
  <c r="M110" i="3"/>
  <c r="N99" i="3"/>
  <c r="N94" i="3"/>
  <c r="M99" i="3"/>
  <c r="Y63" i="3"/>
  <c r="Y43" i="3"/>
  <c r="Y14" i="3"/>
  <c r="Q126" i="3"/>
  <c r="Q130" i="3"/>
  <c r="M75" i="3"/>
  <c r="M66" i="3"/>
  <c r="N45" i="3"/>
  <c r="AG65" i="3"/>
  <c r="AJ49" i="3"/>
  <c r="M37" i="3"/>
  <c r="N37" i="3"/>
  <c r="M60" i="3"/>
  <c r="AJ59" i="3"/>
  <c r="AJ58" i="3"/>
  <c r="AJ57" i="3"/>
  <c r="AQ7" i="3"/>
  <c r="AJ21" i="3"/>
  <c r="N32" i="3"/>
  <c r="AR7" i="3"/>
  <c r="M12" i="3"/>
  <c r="F10" i="3"/>
  <c r="N12" i="3"/>
  <c r="AH188" i="3"/>
  <c r="AI188" i="3"/>
  <c r="AJ188" i="3"/>
  <c r="AA195" i="3"/>
  <c r="AA193" i="3"/>
  <c r="BI12" i="3"/>
  <c r="AI199" i="3"/>
  <c r="AH199" i="3"/>
  <c r="AJ199" i="3"/>
  <c r="AD186" i="3"/>
  <c r="AD184" i="3"/>
  <c r="AD169" i="3"/>
  <c r="BP24" i="3"/>
  <c r="BP22" i="3"/>
  <c r="AI187" i="3"/>
  <c r="AA169" i="3"/>
  <c r="BO24" i="3"/>
  <c r="BO22" i="3"/>
  <c r="W145" i="3"/>
  <c r="W110" i="3"/>
  <c r="AG105" i="3"/>
  <c r="AG104" i="3"/>
  <c r="AS25" i="3"/>
  <c r="AX25" i="3"/>
  <c r="AJ106" i="3"/>
  <c r="AJ105" i="3"/>
  <c r="AJ104" i="3"/>
  <c r="AJ98" i="3"/>
  <c r="AI98" i="3"/>
  <c r="AH98" i="3"/>
  <c r="AI116" i="3"/>
  <c r="AH116" i="3"/>
  <c r="AJ116" i="3"/>
  <c r="X114" i="3"/>
  <c r="AJ93" i="3"/>
  <c r="AJ91" i="3"/>
  <c r="AI93" i="3"/>
  <c r="AI91" i="3"/>
  <c r="AH93" i="3"/>
  <c r="N118" i="3"/>
  <c r="M118" i="3"/>
  <c r="N116" i="3"/>
  <c r="M116" i="3"/>
  <c r="F78" i="3"/>
  <c r="AD123" i="3"/>
  <c r="AD112" i="3"/>
  <c r="BJ10" i="3"/>
  <c r="AE110" i="3"/>
  <c r="M43" i="3"/>
  <c r="M42" i="3"/>
  <c r="F42" i="3"/>
  <c r="AQ10" i="3"/>
  <c r="BC16" i="3"/>
  <c r="N43" i="3"/>
  <c r="N42" i="3"/>
  <c r="M51" i="3"/>
  <c r="M41" i="3"/>
  <c r="N41" i="3"/>
  <c r="N61" i="3"/>
  <c r="N60" i="3"/>
  <c r="AF10" i="3"/>
  <c r="AF8" i="3"/>
  <c r="AF260" i="3"/>
  <c r="AF264" i="3"/>
  <c r="BC21" i="3"/>
  <c r="AA14" i="3"/>
  <c r="AA12" i="3"/>
  <c r="AS22" i="3"/>
  <c r="AG16" i="3"/>
  <c r="AJ251" i="3"/>
  <c r="AI251" i="3"/>
  <c r="AH251" i="3"/>
  <c r="AI237" i="3"/>
  <c r="AI235" i="3"/>
  <c r="AI234" i="3"/>
  <c r="AH237" i="3"/>
  <c r="AH235" i="3"/>
  <c r="AH234" i="3"/>
  <c r="AJ237" i="3"/>
  <c r="AJ235" i="3"/>
  <c r="AJ234" i="3"/>
  <c r="BJ14" i="3"/>
  <c r="AH206" i="3"/>
  <c r="AH205" i="3"/>
  <c r="AJ206" i="3"/>
  <c r="AJ205" i="3"/>
  <c r="AI206" i="3"/>
  <c r="AI205" i="3"/>
  <c r="X205" i="3"/>
  <c r="X196" i="3"/>
  <c r="BN28" i="3"/>
  <c r="AI224" i="3"/>
  <c r="AH224" i="3"/>
  <c r="AJ224" i="3"/>
  <c r="AG232" i="3"/>
  <c r="AJ229" i="3"/>
  <c r="AI229" i="3"/>
  <c r="AH229" i="3"/>
  <c r="AI218" i="3"/>
  <c r="AJ218" i="3"/>
  <c r="AH218" i="3"/>
  <c r="Y193" i="3"/>
  <c r="AI190" i="3"/>
  <c r="AH190" i="3"/>
  <c r="AJ190" i="3"/>
  <c r="X222" i="3"/>
  <c r="AJ200" i="3"/>
  <c r="AI200" i="3"/>
  <c r="AH200" i="3"/>
  <c r="AJ179" i="3"/>
  <c r="AI179" i="3"/>
  <c r="AH179" i="3"/>
  <c r="AJ163" i="3"/>
  <c r="AI163" i="3"/>
  <c r="AH163" i="3"/>
  <c r="AD232" i="3"/>
  <c r="BP29" i="3"/>
  <c r="AJ176" i="3"/>
  <c r="AI176" i="3"/>
  <c r="AH176" i="3"/>
  <c r="X175" i="3"/>
  <c r="AJ159" i="3"/>
  <c r="AI159" i="3"/>
  <c r="AH159" i="3"/>
  <c r="AI141" i="3"/>
  <c r="AJ97" i="3"/>
  <c r="AJ139" i="3"/>
  <c r="AI139" i="3"/>
  <c r="AH139" i="3"/>
  <c r="N87" i="3"/>
  <c r="AA155" i="3"/>
  <c r="AI153" i="3"/>
  <c r="AJ153" i="3"/>
  <c r="AH153" i="3"/>
  <c r="AJ150" i="3"/>
  <c r="AI150" i="3"/>
  <c r="AI149" i="3"/>
  <c r="AH150" i="3"/>
  <c r="X149" i="3"/>
  <c r="BN16" i="3"/>
  <c r="Y112" i="3"/>
  <c r="AG112" i="3"/>
  <c r="AI104" i="3"/>
  <c r="I94" i="3"/>
  <c r="BD18" i="3"/>
  <c r="AJ41" i="3"/>
  <c r="AJ35" i="3"/>
  <c r="AI41" i="3"/>
  <c r="AH41" i="3"/>
  <c r="BC18" i="3"/>
  <c r="X91" i="3"/>
  <c r="X90" i="3"/>
  <c r="X63" i="3"/>
  <c r="N66" i="3"/>
  <c r="M36" i="3"/>
  <c r="M35" i="3"/>
  <c r="F35" i="3"/>
  <c r="F28" i="3"/>
  <c r="AQ9" i="3"/>
  <c r="N36" i="3"/>
  <c r="N63" i="3"/>
  <c r="C28" i="3"/>
  <c r="C21" i="3"/>
  <c r="C19" i="3"/>
  <c r="C17" i="3"/>
  <c r="AS7" i="3"/>
  <c r="BD21" i="3"/>
  <c r="AS16" i="3"/>
  <c r="AX16" i="3"/>
  <c r="BK8" i="3"/>
  <c r="BQ7" i="3"/>
  <c r="BQ32" i="3"/>
  <c r="AI20" i="3"/>
  <c r="BN25" i="3"/>
  <c r="BO7" i="3"/>
  <c r="BO32" i="3"/>
  <c r="N113" i="3"/>
  <c r="AI243" i="3"/>
  <c r="AE12" i="3"/>
  <c r="V12" i="3"/>
  <c r="AZ15" i="3"/>
  <c r="AD193" i="3"/>
  <c r="AH44" i="3"/>
  <c r="AH69" i="3"/>
  <c r="BP28" i="3"/>
  <c r="BP25" i="3"/>
  <c r="BJ12" i="3"/>
  <c r="X169" i="3"/>
  <c r="BN24" i="3"/>
  <c r="BN22" i="3"/>
  <c r="BP13" i="3"/>
  <c r="BP8" i="3"/>
  <c r="BP7" i="3"/>
  <c r="AM259" i="3"/>
  <c r="AI211" i="3"/>
  <c r="AI210" i="3"/>
  <c r="AI209" i="3"/>
  <c r="AH211" i="3"/>
  <c r="M128" i="3"/>
  <c r="AH243" i="3"/>
  <c r="AI65" i="3"/>
  <c r="BN18" i="3"/>
  <c r="BN15" i="3"/>
  <c r="BH10" i="3"/>
  <c r="X158" i="4"/>
  <c r="V157" i="4"/>
  <c r="V155" i="4"/>
  <c r="AC258" i="3"/>
  <c r="W10" i="3"/>
  <c r="AR25" i="3"/>
  <c r="AW25" i="3"/>
  <c r="AJ83" i="3"/>
  <c r="AJ211" i="3"/>
  <c r="AI171" i="3"/>
  <c r="L21" i="3"/>
  <c r="L19" i="3"/>
  <c r="AS14" i="3"/>
  <c r="AS17" i="3"/>
  <c r="AH20" i="3"/>
  <c r="AH16" i="3"/>
  <c r="BJ9" i="3"/>
  <c r="AH210" i="3"/>
  <c r="AH209" i="3"/>
  <c r="AJ20" i="3"/>
  <c r="AJ16" i="3"/>
  <c r="N128" i="3"/>
  <c r="X234" i="3"/>
  <c r="AJ69" i="3"/>
  <c r="AJ65" i="3"/>
  <c r="X43" i="3"/>
  <c r="BN13" i="3"/>
  <c r="BN8" i="3"/>
  <c r="AH57" i="3"/>
  <c r="AG110" i="3"/>
  <c r="AS26" i="3"/>
  <c r="AX26" i="3"/>
  <c r="AH35" i="3"/>
  <c r="Y110" i="3"/>
  <c r="AJ149" i="3"/>
  <c r="AJ147" i="3"/>
  <c r="X220" i="3"/>
  <c r="AD110" i="3"/>
  <c r="AR26" i="3"/>
  <c r="AW26" i="3"/>
  <c r="N10" i="3"/>
  <c r="AI262" i="3"/>
  <c r="BI13" i="3"/>
  <c r="BK7" i="3"/>
  <c r="BK16" i="3"/>
  <c r="BJ13" i="3"/>
  <c r="AJ262" i="3"/>
  <c r="BI9" i="3"/>
  <c r="AB12" i="3"/>
  <c r="AB10" i="3"/>
  <c r="AB8" i="3"/>
  <c r="AB260" i="3"/>
  <c r="AB264" i="3"/>
  <c r="AH262" i="3"/>
  <c r="AH65" i="3"/>
  <c r="AH96" i="3"/>
  <c r="AJ114" i="3"/>
  <c r="AI222" i="3"/>
  <c r="M28" i="3"/>
  <c r="Z258" i="3"/>
  <c r="AI43" i="3"/>
  <c r="N35" i="3"/>
  <c r="AI175" i="3"/>
  <c r="AH91" i="3"/>
  <c r="AH90" i="3"/>
  <c r="AI114" i="3"/>
  <c r="AI57" i="3"/>
  <c r="AQ29" i="3"/>
  <c r="AZ29" i="3"/>
  <c r="M94" i="3"/>
  <c r="X112" i="3"/>
  <c r="AH157" i="3"/>
  <c r="AH155" i="3"/>
  <c r="AJ222" i="3"/>
  <c r="AH222" i="3"/>
  <c r="AJ197" i="3"/>
  <c r="AJ196" i="3"/>
  <c r="AJ195" i="3"/>
  <c r="AJ157" i="3"/>
  <c r="AJ155" i="3"/>
  <c r="AH149" i="3"/>
  <c r="AH147" i="3"/>
  <c r="X147" i="3"/>
  <c r="X145" i="3"/>
  <c r="AJ96" i="3"/>
  <c r="AJ90" i="3"/>
  <c r="AH43" i="3"/>
  <c r="AI35" i="3"/>
  <c r="AI16" i="3"/>
  <c r="AQ23" i="3"/>
  <c r="AD63" i="3"/>
  <c r="AD12" i="3"/>
  <c r="M113" i="3"/>
  <c r="AI96" i="3"/>
  <c r="AI90" i="3"/>
  <c r="AI63" i="3"/>
  <c r="AY15" i="3"/>
  <c r="AJ123" i="3"/>
  <c r="AJ243" i="3"/>
  <c r="AJ232" i="3"/>
  <c r="AH123" i="3"/>
  <c r="AU15" i="3"/>
  <c r="AH232" i="3"/>
  <c r="AH114" i="3"/>
  <c r="Y12" i="3"/>
  <c r="AX17" i="3"/>
  <c r="AI157" i="3"/>
  <c r="AI155" i="3"/>
  <c r="AI232" i="3"/>
  <c r="AH197" i="3"/>
  <c r="AH196" i="3"/>
  <c r="AH195" i="3"/>
  <c r="AI147" i="3"/>
  <c r="AI197" i="3"/>
  <c r="AI196" i="3"/>
  <c r="AI195" i="3"/>
  <c r="AI123" i="3"/>
  <c r="AS30" i="3"/>
  <c r="AX30" i="3"/>
  <c r="AI227" i="3"/>
  <c r="C8" i="3"/>
  <c r="X195" i="3"/>
  <c r="BH12" i="3"/>
  <c r="W8" i="3"/>
  <c r="W260" i="3"/>
  <c r="W264" i="3"/>
  <c r="AR30" i="3"/>
  <c r="AW30" i="3"/>
  <c r="AS23" i="3"/>
  <c r="AG14" i="3"/>
  <c r="BI8" i="3"/>
  <c r="AE10" i="3"/>
  <c r="AE8" i="3"/>
  <c r="AE260" i="3"/>
  <c r="AE264" i="3"/>
  <c r="N104" i="3"/>
  <c r="AV22" i="3"/>
  <c r="AY22" i="3"/>
  <c r="AU22" i="3"/>
  <c r="AW17" i="3"/>
  <c r="AJ227" i="3"/>
  <c r="X232" i="3"/>
  <c r="AA145" i="3"/>
  <c r="AA110" i="3"/>
  <c r="AA10" i="3"/>
  <c r="AA8" i="3"/>
  <c r="AA260" i="3"/>
  <c r="AA264" i="3"/>
  <c r="AJ175" i="3"/>
  <c r="AR27" i="3"/>
  <c r="AW27" i="3"/>
  <c r="BJ11" i="3"/>
  <c r="AX22" i="3"/>
  <c r="AZ22" i="3"/>
  <c r="AV10" i="3"/>
  <c r="AY10" i="3"/>
  <c r="AZ10" i="3"/>
  <c r="M78" i="3"/>
  <c r="N78" i="3"/>
  <c r="AH186" i="3"/>
  <c r="AH184" i="3"/>
  <c r="I21" i="3"/>
  <c r="AU7" i="3"/>
  <c r="AV7" i="3"/>
  <c r="AY7" i="3"/>
  <c r="AG63" i="3"/>
  <c r="N28" i="3"/>
  <c r="AJ43" i="3"/>
  <c r="BI10" i="3"/>
  <c r="V10" i="3"/>
  <c r="AV9" i="3"/>
  <c r="AU9" i="3"/>
  <c r="AZ9" i="3"/>
  <c r="AJ186" i="3"/>
  <c r="AJ184" i="3"/>
  <c r="AQ16" i="3"/>
  <c r="AZ16" i="3"/>
  <c r="BC7" i="3"/>
  <c r="F21" i="3"/>
  <c r="AJ210" i="3"/>
  <c r="AJ209" i="3"/>
  <c r="AQ24" i="3"/>
  <c r="BH9" i="3"/>
  <c r="AY9" i="3"/>
  <c r="AH175" i="3"/>
  <c r="AI186" i="3"/>
  <c r="AI184" i="3"/>
  <c r="M10" i="3"/>
  <c r="M104" i="3"/>
  <c r="AZ7" i="3"/>
  <c r="AH227" i="3"/>
  <c r="AI169" i="3"/>
  <c r="M21" i="3"/>
  <c r="AD10" i="3"/>
  <c r="AD8" i="3"/>
  <c r="AD260" i="3"/>
  <c r="AD264" i="3"/>
  <c r="BP32" i="3"/>
  <c r="AH193" i="3"/>
  <c r="AH14" i="3"/>
  <c r="AQ30" i="3"/>
  <c r="AU30" i="3"/>
  <c r="AJ63" i="3"/>
  <c r="BN30" i="3"/>
  <c r="BH14" i="3"/>
  <c r="AJ158" i="4"/>
  <c r="AI158" i="4"/>
  <c r="AH158" i="4"/>
  <c r="BN7" i="3"/>
  <c r="BN32" i="3"/>
  <c r="L17" i="3"/>
  <c r="L8" i="3"/>
  <c r="AJ14" i="3"/>
  <c r="BJ8" i="3"/>
  <c r="BJ7" i="3"/>
  <c r="BJ16" i="3"/>
  <c r="AB258" i="3"/>
  <c r="AJ220" i="3"/>
  <c r="X14" i="3"/>
  <c r="X12" i="3"/>
  <c r="AJ112" i="3"/>
  <c r="AQ25" i="3"/>
  <c r="AZ25" i="3"/>
  <c r="AV29" i="3"/>
  <c r="AI193" i="3"/>
  <c r="AI112" i="3"/>
  <c r="AH63" i="3"/>
  <c r="AH12" i="3"/>
  <c r="BI11" i="3"/>
  <c r="BI7" i="3"/>
  <c r="BI16" i="3"/>
  <c r="AU29" i="3"/>
  <c r="Y10" i="3"/>
  <c r="Y8" i="3"/>
  <c r="Y260" i="3"/>
  <c r="Y264" i="3"/>
  <c r="AH220" i="3"/>
  <c r="AI220" i="3"/>
  <c r="AQ27" i="3"/>
  <c r="AY27" i="3"/>
  <c r="AV23" i="3"/>
  <c r="AI14" i="3"/>
  <c r="X110" i="3"/>
  <c r="AQ26" i="3"/>
  <c r="AY26" i="3"/>
  <c r="AH145" i="3"/>
  <c r="AJ145" i="3"/>
  <c r="AJ110" i="3"/>
  <c r="AI145" i="3"/>
  <c r="AJ193" i="3"/>
  <c r="AH169" i="3"/>
  <c r="BH11" i="3"/>
  <c r="AI12" i="3"/>
  <c r="AH112" i="3"/>
  <c r="AJ12" i="3"/>
  <c r="AU23" i="3"/>
  <c r="AW23" i="3"/>
  <c r="AZ30" i="3"/>
  <c r="AY30" i="3"/>
  <c r="AJ169" i="3"/>
  <c r="X193" i="3"/>
  <c r="AQ28" i="3"/>
  <c r="AG12" i="3"/>
  <c r="AG10" i="3"/>
  <c r="C126" i="3"/>
  <c r="C130" i="3"/>
  <c r="AZ24" i="3"/>
  <c r="AV24" i="3"/>
  <c r="AY24" i="3"/>
  <c r="AU24" i="3"/>
  <c r="AV16" i="3"/>
  <c r="AU16" i="3"/>
  <c r="AY16" i="3"/>
  <c r="V8" i="3"/>
  <c r="V260" i="3"/>
  <c r="V264" i="3"/>
  <c r="V258" i="3"/>
  <c r="BH8" i="3"/>
  <c r="Y1" i="3"/>
  <c r="AX23" i="3"/>
  <c r="AZ23" i="3"/>
  <c r="AY25" i="3"/>
  <c r="N21" i="3"/>
  <c r="AY23" i="3"/>
  <c r="AU25" i="3"/>
  <c r="AZ27" i="3"/>
  <c r="AZ26" i="3"/>
  <c r="AV26" i="3"/>
  <c r="AV30" i="3"/>
  <c r="AI110" i="3"/>
  <c r="AD258" i="3"/>
  <c r="BP33" i="3"/>
  <c r="AV25" i="3"/>
  <c r="X10" i="3"/>
  <c r="X8" i="3"/>
  <c r="X260" i="3"/>
  <c r="X264" i="3"/>
  <c r="AU26" i="3"/>
  <c r="AU27" i="3"/>
  <c r="AV27" i="3"/>
  <c r="AH110" i="3"/>
  <c r="AH10" i="3"/>
  <c r="BH7" i="3"/>
  <c r="BH16" i="3"/>
  <c r="BH17" i="3"/>
  <c r="AJ10" i="3"/>
  <c r="AJ258" i="3"/>
  <c r="AI10" i="3"/>
  <c r="AI258" i="3"/>
  <c r="L126" i="3"/>
  <c r="L130" i="3"/>
  <c r="AG258" i="3"/>
  <c r="AS31" i="3"/>
  <c r="AS32" i="3"/>
  <c r="AG8" i="3"/>
  <c r="AG260" i="3"/>
  <c r="AG264" i="3"/>
  <c r="AZ28" i="3"/>
  <c r="AV28" i="3"/>
  <c r="AY28" i="3"/>
  <c r="AU28" i="3"/>
  <c r="AI8" i="3"/>
  <c r="AI260" i="3"/>
  <c r="AI264" i="3"/>
  <c r="AR31" i="3"/>
  <c r="AR32" i="3"/>
  <c r="AV35" i="3"/>
  <c r="U1" i="3"/>
  <c r="AH258" i="3"/>
  <c r="AH8" i="3"/>
  <c r="AH260" i="3"/>
  <c r="AH264" i="3"/>
  <c r="AJ8" i="3"/>
  <c r="AJ260" i="3"/>
  <c r="AJ264" i="3"/>
  <c r="AC1" i="3"/>
  <c r="K111" i="2"/>
  <c r="H24" i="2"/>
  <c r="H27" i="2"/>
  <c r="H62" i="2"/>
  <c r="H65" i="2"/>
  <c r="K65" i="2"/>
  <c r="K62" i="2"/>
  <c r="K27" i="2"/>
  <c r="K24" i="2"/>
  <c r="H33" i="2"/>
  <c r="C34" i="2"/>
  <c r="C128" i="2"/>
  <c r="C33" i="2"/>
  <c r="AL17" i="2"/>
  <c r="H128" i="2"/>
  <c r="K128" i="2"/>
  <c r="C81" i="2"/>
  <c r="U186" i="2"/>
  <c r="V51" i="2"/>
  <c r="U197" i="3"/>
  <c r="U184" i="2"/>
  <c r="U157" i="2"/>
  <c r="U149" i="2"/>
  <c r="U123" i="2"/>
  <c r="U147" i="2"/>
  <c r="U149" i="3"/>
  <c r="U147" i="3"/>
  <c r="U155" i="2"/>
  <c r="U157" i="3"/>
  <c r="U155" i="3"/>
  <c r="U145" i="3"/>
  <c r="U110" i="3"/>
  <c r="U145" i="2"/>
  <c r="N3" i="13"/>
  <c r="AF242" i="12"/>
  <c r="AF234" i="12"/>
  <c r="BQ29" i="12"/>
  <c r="AF226" i="12"/>
  <c r="AF221" i="12"/>
  <c r="AF210" i="12"/>
  <c r="BQ27" i="12"/>
  <c r="AF204" i="12"/>
  <c r="AF196" i="12"/>
  <c r="BQ28" i="12"/>
  <c r="AF185" i="12"/>
  <c r="AF183" i="12"/>
  <c r="AF174" i="12"/>
  <c r="AF170" i="12"/>
  <c r="AF157" i="12"/>
  <c r="BQ18" i="12"/>
  <c r="AF149" i="12"/>
  <c r="BQ16" i="12"/>
  <c r="AF141" i="12"/>
  <c r="BQ20" i="12"/>
  <c r="AF123" i="12"/>
  <c r="AF114" i="12"/>
  <c r="AF105" i="12"/>
  <c r="AF104" i="12"/>
  <c r="AF96" i="12"/>
  <c r="AF91" i="12"/>
  <c r="AF83" i="12"/>
  <c r="AF69" i="12"/>
  <c r="AF65" i="12"/>
  <c r="AF58" i="12"/>
  <c r="AF57" i="12"/>
  <c r="AF49" i="12"/>
  <c r="AF44" i="12"/>
  <c r="AF35" i="12"/>
  <c r="AF20" i="12"/>
  <c r="AF16" i="12"/>
  <c r="AC242" i="12"/>
  <c r="AC234" i="12"/>
  <c r="AC233" i="12"/>
  <c r="AC226" i="12"/>
  <c r="AC221" i="12"/>
  <c r="AC210" i="12"/>
  <c r="AC209" i="12"/>
  <c r="AC208" i="12"/>
  <c r="AC204" i="12"/>
  <c r="AC196" i="12"/>
  <c r="AC185" i="12"/>
  <c r="AC183" i="12"/>
  <c r="AC174" i="12"/>
  <c r="AC170" i="12"/>
  <c r="AC157" i="12"/>
  <c r="AC155" i="12"/>
  <c r="AC149" i="12"/>
  <c r="AC147" i="12"/>
  <c r="AC141" i="12"/>
  <c r="AC123" i="12"/>
  <c r="AC114" i="12"/>
  <c r="AC105" i="12"/>
  <c r="AC104" i="12"/>
  <c r="AC96" i="12"/>
  <c r="AC91" i="12"/>
  <c r="AC83" i="12"/>
  <c r="AC69" i="12"/>
  <c r="AC65" i="12"/>
  <c r="AC58" i="12"/>
  <c r="AC57" i="12"/>
  <c r="AC49" i="12"/>
  <c r="AC44" i="12"/>
  <c r="AC35" i="12"/>
  <c r="AC20" i="12"/>
  <c r="AC16" i="12"/>
  <c r="N3" i="12"/>
  <c r="AF35" i="11"/>
  <c r="AC35" i="11"/>
  <c r="AF20" i="11"/>
  <c r="AF16" i="11"/>
  <c r="AC20" i="11"/>
  <c r="AC16" i="11"/>
  <c r="N3" i="11"/>
  <c r="AJ3" i="11"/>
  <c r="Z234" i="11"/>
  <c r="Z233" i="11"/>
  <c r="AC234" i="11"/>
  <c r="AC233" i="11"/>
  <c r="AF204" i="11"/>
  <c r="AF196" i="11"/>
  <c r="AC204" i="11"/>
  <c r="AC196" i="11"/>
  <c r="AF185" i="11"/>
  <c r="AF183" i="11"/>
  <c r="AC185" i="11"/>
  <c r="AC183" i="11"/>
  <c r="AF174" i="11"/>
  <c r="AC174" i="11"/>
  <c r="AF157" i="11"/>
  <c r="BQ18" i="11"/>
  <c r="AC157" i="11"/>
  <c r="AC155" i="11"/>
  <c r="Z149" i="11"/>
  <c r="AC149" i="11"/>
  <c r="AF204" i="10"/>
  <c r="AC204" i="10"/>
  <c r="AC195" i="10" s="1"/>
  <c r="AC194" i="10" s="1"/>
  <c r="AF157" i="10"/>
  <c r="BQ18" i="10" s="1"/>
  <c r="AC157" i="10"/>
  <c r="AC155" i="10" s="1"/>
  <c r="AF20" i="10"/>
  <c r="AF16" i="10" s="1"/>
  <c r="AC20" i="10"/>
  <c r="AC16" i="10" s="1"/>
  <c r="AF204" i="9"/>
  <c r="AC204" i="9"/>
  <c r="AF157" i="9"/>
  <c r="BQ18" i="9"/>
  <c r="AC157" i="9"/>
  <c r="AC155" i="9"/>
  <c r="AF149" i="9"/>
  <c r="BQ16" i="9"/>
  <c r="AC149" i="9"/>
  <c r="AF20" i="9"/>
  <c r="AC20" i="9"/>
  <c r="H81" i="9"/>
  <c r="N3" i="9"/>
  <c r="AJ3" i="9"/>
  <c r="Z204" i="8"/>
  <c r="AC204" i="8"/>
  <c r="N3" i="8"/>
  <c r="AJ3" i="8"/>
  <c r="N3" i="7"/>
  <c r="AJ3" i="7"/>
  <c r="N3" i="6"/>
  <c r="AJ3" i="6"/>
  <c r="N3" i="5"/>
  <c r="N3" i="4"/>
  <c r="BK3" i="4"/>
  <c r="BQ3" i="4"/>
  <c r="BN5" i="4"/>
  <c r="W207" i="2"/>
  <c r="AM235" i="2"/>
  <c r="AM242" i="11"/>
  <c r="AM233" i="11"/>
  <c r="AM231" i="11"/>
  <c r="AL242" i="11"/>
  <c r="AL233" i="11"/>
  <c r="AM226" i="11"/>
  <c r="AL226" i="11"/>
  <c r="AM221" i="11"/>
  <c r="AL221" i="11"/>
  <c r="BQ14" i="12"/>
  <c r="BQ15" i="12"/>
  <c r="BQ28" i="11"/>
  <c r="BQ12" i="12"/>
  <c r="BQ9" i="12"/>
  <c r="BQ25" i="12"/>
  <c r="AF155" i="9"/>
  <c r="AF155" i="12"/>
  <c r="AF233" i="12"/>
  <c r="AF155" i="10"/>
  <c r="AF209" i="12"/>
  <c r="AF208" i="12"/>
  <c r="AF231" i="12"/>
  <c r="AC231" i="12"/>
  <c r="AF147" i="12"/>
  <c r="AC219" i="12"/>
  <c r="AF219" i="12"/>
  <c r="BQ30" i="12"/>
  <c r="AC168" i="12"/>
  <c r="AF43" i="12"/>
  <c r="AC90" i="12"/>
  <c r="AC63" i="12"/>
  <c r="AC43" i="12"/>
  <c r="AC14" i="12"/>
  <c r="AC195" i="11"/>
  <c r="AC194" i="11"/>
  <c r="AC195" i="12"/>
  <c r="AC194" i="12"/>
  <c r="AC192" i="12"/>
  <c r="AF90" i="12"/>
  <c r="AF63" i="12"/>
  <c r="AF112" i="12"/>
  <c r="AC145" i="12"/>
  <c r="AF168" i="12"/>
  <c r="BQ24" i="12"/>
  <c r="BQ22" i="12"/>
  <c r="AL231" i="11"/>
  <c r="AF195" i="11"/>
  <c r="AC112" i="12"/>
  <c r="AF195" i="12"/>
  <c r="AL219" i="11"/>
  <c r="AM219" i="11"/>
  <c r="AC110" i="12"/>
  <c r="AF145" i="12"/>
  <c r="AF110" i="12"/>
  <c r="BQ13" i="12"/>
  <c r="BQ8" i="12"/>
  <c r="BQ7" i="12"/>
  <c r="BQ32" i="12"/>
  <c r="AF14" i="12"/>
  <c r="AF12" i="12"/>
  <c r="AF194" i="12"/>
  <c r="AF192" i="12"/>
  <c r="AF194" i="11"/>
  <c r="AC12" i="12"/>
  <c r="AC10" i="12"/>
  <c r="AC8" i="12"/>
  <c r="AC259" i="12"/>
  <c r="AC263" i="12"/>
  <c r="AF10" i="12"/>
  <c r="AF8" i="12"/>
  <c r="AF259" i="12"/>
  <c r="AF263" i="12"/>
  <c r="AL234" i="10"/>
  <c r="AL233" i="10" s="1"/>
  <c r="AM141" i="11"/>
  <c r="AL141" i="11"/>
  <c r="AM123" i="11"/>
  <c r="AL123" i="11"/>
  <c r="AM114" i="11"/>
  <c r="AL114" i="11"/>
  <c r="AM83" i="11"/>
  <c r="AL83" i="11"/>
  <c r="AM35" i="11"/>
  <c r="AM105" i="11"/>
  <c r="AL105" i="11"/>
  <c r="Q104" i="11"/>
  <c r="P104" i="11"/>
  <c r="AM204" i="11"/>
  <c r="AL204" i="11"/>
  <c r="AM174" i="11"/>
  <c r="AL174" i="11"/>
  <c r="AL147" i="11"/>
  <c r="AM157" i="11"/>
  <c r="AM155" i="11"/>
  <c r="AL112" i="11"/>
  <c r="AM112" i="11"/>
  <c r="AL35" i="10"/>
  <c r="AL204" i="10"/>
  <c r="AM242" i="10"/>
  <c r="AL242" i="10"/>
  <c r="AM234" i="10"/>
  <c r="AM233" i="10" s="1"/>
  <c r="AM231" i="10" s="1"/>
  <c r="AM226" i="10"/>
  <c r="AM219" i="10" s="1"/>
  <c r="AL226" i="10"/>
  <c r="AM221" i="10"/>
  <c r="AL221" i="10"/>
  <c r="AL219" i="10" s="1"/>
  <c r="AM210" i="10"/>
  <c r="AM209" i="10" s="1"/>
  <c r="AM208" i="10" s="1"/>
  <c r="AL210" i="10"/>
  <c r="AL209" i="10" s="1"/>
  <c r="AL208" i="10" s="1"/>
  <c r="AM204" i="10"/>
  <c r="AM196" i="10"/>
  <c r="AM185" i="10"/>
  <c r="AM183" i="10" s="1"/>
  <c r="AL185" i="10"/>
  <c r="AL183" i="10" s="1"/>
  <c r="AM174" i="10"/>
  <c r="AL174" i="10"/>
  <c r="AM170" i="10"/>
  <c r="AL170" i="10"/>
  <c r="AM157" i="10"/>
  <c r="AM155" i="10" s="1"/>
  <c r="AL157" i="10"/>
  <c r="AL155" i="10"/>
  <c r="AM149" i="10"/>
  <c r="AM147" i="10"/>
  <c r="AL149" i="10"/>
  <c r="AL147" i="10" s="1"/>
  <c r="AM141" i="10"/>
  <c r="AL141" i="10"/>
  <c r="AM123" i="10"/>
  <c r="AM112" i="10" s="1"/>
  <c r="AL123" i="10"/>
  <c r="AL112" i="10" s="1"/>
  <c r="AM114" i="10"/>
  <c r="AL114" i="10"/>
  <c r="AM105" i="10"/>
  <c r="AM104" i="10" s="1"/>
  <c r="AL105" i="10"/>
  <c r="AL104" i="10" s="1"/>
  <c r="AM96" i="10"/>
  <c r="AL96" i="10"/>
  <c r="AM91" i="10"/>
  <c r="AM90" i="10" s="1"/>
  <c r="AL91" i="10"/>
  <c r="AM83" i="10"/>
  <c r="AL83" i="10"/>
  <c r="AM69" i="10"/>
  <c r="AM65" i="10"/>
  <c r="AL69" i="10"/>
  <c r="AL65" i="10"/>
  <c r="AM58" i="10"/>
  <c r="AM57" i="10" s="1"/>
  <c r="AL58" i="10"/>
  <c r="AL57" i="10"/>
  <c r="AM49" i="10"/>
  <c r="AL49" i="10"/>
  <c r="AL43" i="10" s="1"/>
  <c r="AM44" i="10"/>
  <c r="AL44" i="10"/>
  <c r="AM35" i="10"/>
  <c r="AM20" i="10"/>
  <c r="AM16" i="10"/>
  <c r="AL20" i="10"/>
  <c r="AL16" i="10" s="1"/>
  <c r="AL258" i="9"/>
  <c r="AM242" i="9"/>
  <c r="AL242" i="9"/>
  <c r="AM234" i="9"/>
  <c r="AM233" i="9"/>
  <c r="AL234" i="9"/>
  <c r="AL233" i="9"/>
  <c r="AM226" i="9"/>
  <c r="AL226" i="9"/>
  <c r="AM221" i="9"/>
  <c r="AL221" i="9"/>
  <c r="AM210" i="9"/>
  <c r="AM209" i="9"/>
  <c r="AM208" i="9"/>
  <c r="AL210" i="9"/>
  <c r="AL209" i="9"/>
  <c r="AL208" i="9"/>
  <c r="AM204" i="9"/>
  <c r="AL204" i="9"/>
  <c r="AM196" i="9"/>
  <c r="AL196" i="9"/>
  <c r="AM185" i="9"/>
  <c r="AM183" i="9"/>
  <c r="AL185" i="9"/>
  <c r="AL183" i="9"/>
  <c r="AM174" i="9"/>
  <c r="AL174" i="9"/>
  <c r="AM170" i="9"/>
  <c r="AL170" i="9"/>
  <c r="AM157" i="9"/>
  <c r="AM155" i="9"/>
  <c r="AL157" i="9"/>
  <c r="AL155" i="9"/>
  <c r="AM149" i="9"/>
  <c r="AM147" i="9"/>
  <c r="AL149" i="9"/>
  <c r="AL147" i="9"/>
  <c r="AM141" i="9"/>
  <c r="AL141" i="9"/>
  <c r="AM123" i="9"/>
  <c r="AL123" i="9"/>
  <c r="AM114" i="9"/>
  <c r="AL114" i="9"/>
  <c r="AM105" i="9"/>
  <c r="AM104" i="9"/>
  <c r="AL105" i="9"/>
  <c r="AL104" i="9"/>
  <c r="AM96" i="9"/>
  <c r="AL96" i="9"/>
  <c r="AM91" i="9"/>
  <c r="AL91" i="9"/>
  <c r="AM83" i="9"/>
  <c r="AL83" i="9"/>
  <c r="AM69" i="9"/>
  <c r="AM65" i="9"/>
  <c r="AL69" i="9"/>
  <c r="AL65" i="9"/>
  <c r="AM58" i="9"/>
  <c r="AM57" i="9"/>
  <c r="AL58" i="9"/>
  <c r="AL57" i="9"/>
  <c r="AM49" i="9"/>
  <c r="AL49" i="9"/>
  <c r="AM44" i="9"/>
  <c r="AL44" i="9"/>
  <c r="AM35" i="9"/>
  <c r="AL35" i="9"/>
  <c r="AM20" i="9"/>
  <c r="AM16" i="9"/>
  <c r="AL20" i="9"/>
  <c r="AL16" i="9"/>
  <c r="AM43" i="9"/>
  <c r="AL90" i="9"/>
  <c r="AM219" i="9"/>
  <c r="AM195" i="9"/>
  <c r="AM194" i="9"/>
  <c r="AM192" i="9"/>
  <c r="AM90" i="9"/>
  <c r="AM63" i="9"/>
  <c r="AM112" i="9"/>
  <c r="AL219" i="9"/>
  <c r="AL168" i="9"/>
  <c r="AL195" i="9"/>
  <c r="AL194" i="9"/>
  <c r="AL192" i="9"/>
  <c r="AL112" i="9"/>
  <c r="AL145" i="9"/>
  <c r="AM231" i="9"/>
  <c r="AL43" i="9"/>
  <c r="AM145" i="9"/>
  <c r="AM110" i="9"/>
  <c r="AL14" i="9"/>
  <c r="AL231" i="9"/>
  <c r="AM14" i="9"/>
  <c r="AM168" i="9"/>
  <c r="AL196" i="10"/>
  <c r="AL195" i="10" s="1"/>
  <c r="AL194" i="10" s="1"/>
  <c r="AL63" i="9"/>
  <c r="AM12" i="9"/>
  <c r="AM10" i="9"/>
  <c r="AM8" i="9"/>
  <c r="AL12" i="9"/>
  <c r="AL110" i="9"/>
  <c r="AL10" i="9"/>
  <c r="AL8" i="9"/>
  <c r="AM258" i="9"/>
  <c r="U255" i="11"/>
  <c r="U254" i="11"/>
  <c r="U253" i="11"/>
  <c r="U252" i="11"/>
  <c r="U251" i="11"/>
  <c r="U250" i="11"/>
  <c r="U249" i="11"/>
  <c r="U248" i="11"/>
  <c r="U247" i="11"/>
  <c r="U246" i="11"/>
  <c r="U245" i="11"/>
  <c r="U244" i="11"/>
  <c r="U243" i="11"/>
  <c r="U240" i="11"/>
  <c r="U239" i="11"/>
  <c r="U238" i="11"/>
  <c r="U237" i="11"/>
  <c r="U236" i="11"/>
  <c r="U235" i="11"/>
  <c r="U229" i="11"/>
  <c r="U228" i="11"/>
  <c r="U227" i="11"/>
  <c r="U224" i="11"/>
  <c r="U223" i="11"/>
  <c r="U222" i="11"/>
  <c r="U217" i="11"/>
  <c r="U216" i="11"/>
  <c r="U215" i="11"/>
  <c r="U214" i="11"/>
  <c r="U213" i="11"/>
  <c r="U212" i="11"/>
  <c r="U211" i="11"/>
  <c r="U206" i="11"/>
  <c r="U205" i="11"/>
  <c r="U203" i="11"/>
  <c r="U202" i="11"/>
  <c r="U201" i="11"/>
  <c r="U200" i="11"/>
  <c r="U199" i="11"/>
  <c r="U198" i="11"/>
  <c r="U197" i="11"/>
  <c r="U190" i="11"/>
  <c r="U189" i="11"/>
  <c r="U187" i="11"/>
  <c r="U186" i="11"/>
  <c r="U184" i="11"/>
  <c r="U181" i="11"/>
  <c r="U180" i="11"/>
  <c r="U179" i="11"/>
  <c r="U178" i="11"/>
  <c r="U177" i="11"/>
  <c r="U176" i="11"/>
  <c r="U175" i="11"/>
  <c r="U172" i="11"/>
  <c r="U171" i="11"/>
  <c r="U165" i="11"/>
  <c r="U164" i="11"/>
  <c r="U163" i="11"/>
  <c r="U162" i="11"/>
  <c r="U161" i="11"/>
  <c r="U160" i="11"/>
  <c r="U159" i="11"/>
  <c r="U158" i="11"/>
  <c r="U156" i="11"/>
  <c r="U153" i="11"/>
  <c r="U152" i="11"/>
  <c r="U151" i="11"/>
  <c r="U150" i="11"/>
  <c r="U148" i="11"/>
  <c r="U143" i="11"/>
  <c r="U142" i="11"/>
  <c r="U139" i="11"/>
  <c r="U138" i="11"/>
  <c r="U137" i="11"/>
  <c r="U136" i="11"/>
  <c r="U135" i="11"/>
  <c r="U134" i="11"/>
  <c r="U133" i="11"/>
  <c r="U132" i="11"/>
  <c r="U131" i="11"/>
  <c r="U130" i="11"/>
  <c r="U129" i="11"/>
  <c r="U128" i="11"/>
  <c r="U127" i="11"/>
  <c r="U126" i="11"/>
  <c r="U125" i="11"/>
  <c r="U124" i="11"/>
  <c r="U121" i="11"/>
  <c r="U120" i="11"/>
  <c r="U119" i="11"/>
  <c r="U118" i="11"/>
  <c r="U117" i="11"/>
  <c r="U116" i="11"/>
  <c r="U115" i="11"/>
  <c r="U108" i="11"/>
  <c r="U107" i="11"/>
  <c r="U106" i="11"/>
  <c r="U102" i="11"/>
  <c r="U101" i="11"/>
  <c r="U100" i="11"/>
  <c r="U99" i="11"/>
  <c r="U98" i="11"/>
  <c r="U97" i="11"/>
  <c r="U95" i="11"/>
  <c r="U94" i="11"/>
  <c r="U93" i="11"/>
  <c r="U92" i="11"/>
  <c r="U88" i="11"/>
  <c r="U87" i="11"/>
  <c r="U86" i="11"/>
  <c r="U85" i="11"/>
  <c r="U84" i="11"/>
  <c r="U81" i="11"/>
  <c r="U80" i="11"/>
  <c r="U79" i="11"/>
  <c r="U78" i="11"/>
  <c r="U77" i="11"/>
  <c r="U76" i="11"/>
  <c r="U75" i="11"/>
  <c r="U74" i="11"/>
  <c r="U73" i="11"/>
  <c r="U72" i="11"/>
  <c r="U71" i="11"/>
  <c r="U70" i="11"/>
  <c r="U68" i="11"/>
  <c r="U67" i="11"/>
  <c r="U66" i="11"/>
  <c r="U61" i="11"/>
  <c r="U60" i="11"/>
  <c r="U59" i="11"/>
  <c r="U55" i="11"/>
  <c r="U54" i="11"/>
  <c r="U53" i="11"/>
  <c r="U52" i="11"/>
  <c r="U51" i="11"/>
  <c r="U50" i="11"/>
  <c r="U48" i="11"/>
  <c r="U47" i="11"/>
  <c r="U46" i="11"/>
  <c r="U45" i="11"/>
  <c r="U41" i="11"/>
  <c r="U40" i="11"/>
  <c r="U39" i="11"/>
  <c r="U38" i="11"/>
  <c r="U37" i="11"/>
  <c r="U36" i="11"/>
  <c r="U33" i="11"/>
  <c r="U32" i="11"/>
  <c r="U31" i="11"/>
  <c r="U30" i="11"/>
  <c r="U29" i="11"/>
  <c r="U28" i="11"/>
  <c r="U27" i="11"/>
  <c r="U26" i="11"/>
  <c r="U25" i="11"/>
  <c r="U24" i="11"/>
  <c r="U23" i="11"/>
  <c r="U22" i="11"/>
  <c r="U21" i="11"/>
  <c r="U19" i="11"/>
  <c r="U18" i="11"/>
  <c r="U17" i="11"/>
  <c r="U261" i="11"/>
  <c r="U242" i="11"/>
  <c r="U234" i="11"/>
  <c r="U114" i="11"/>
  <c r="U83" i="11"/>
  <c r="U123" i="11"/>
  <c r="U204" i="11"/>
  <c r="U58" i="11"/>
  <c r="U57" i="11"/>
  <c r="U35" i="11"/>
  <c r="U105" i="11"/>
  <c r="U104" i="11"/>
  <c r="U141" i="11"/>
  <c r="U20" i="11"/>
  <c r="U16" i="11"/>
  <c r="U185" i="11"/>
  <c r="U183" i="11"/>
  <c r="U196" i="11"/>
  <c r="U233" i="11"/>
  <c r="U91" i="11"/>
  <c r="U69" i="11"/>
  <c r="U65" i="11"/>
  <c r="U96" i="11"/>
  <c r="U157" i="11"/>
  <c r="U155" i="11"/>
  <c r="U221" i="11"/>
  <c r="U174" i="11"/>
  <c r="U44" i="11"/>
  <c r="U49" i="11"/>
  <c r="U149" i="11"/>
  <c r="U147" i="11"/>
  <c r="U170" i="11"/>
  <c r="U210" i="11"/>
  <c r="U209" i="11"/>
  <c r="U208" i="11"/>
  <c r="U226" i="11"/>
  <c r="AF105" i="11"/>
  <c r="AC105" i="11"/>
  <c r="AC104" i="11"/>
  <c r="Z105" i="11"/>
  <c r="Z104" i="11"/>
  <c r="U108" i="10"/>
  <c r="U107" i="10"/>
  <c r="U106" i="10"/>
  <c r="AF105" i="10"/>
  <c r="AF104" i="10" s="1"/>
  <c r="AC105" i="10"/>
  <c r="AC104" i="10"/>
  <c r="Z105" i="10"/>
  <c r="Z104" i="10" s="1"/>
  <c r="AF242" i="11"/>
  <c r="AC242" i="11"/>
  <c r="Z242" i="11"/>
  <c r="T238" i="11"/>
  <c r="S238" i="11"/>
  <c r="T235" i="11"/>
  <c r="AF234" i="11"/>
  <c r="BQ29" i="11"/>
  <c r="AF226" i="11"/>
  <c r="AC226" i="11"/>
  <c r="Z226" i="11"/>
  <c r="AF221" i="11"/>
  <c r="AC221" i="11"/>
  <c r="Z221" i="11"/>
  <c r="AF210" i="11"/>
  <c r="BQ27" i="11"/>
  <c r="BQ25" i="11"/>
  <c r="AC210" i="11"/>
  <c r="AC209" i="11"/>
  <c r="AC208" i="11"/>
  <c r="Z210" i="11"/>
  <c r="Z209" i="11"/>
  <c r="Z208" i="11"/>
  <c r="AM208" i="11"/>
  <c r="AL208" i="11"/>
  <c r="S206" i="11"/>
  <c r="Z204" i="11"/>
  <c r="Z196" i="11"/>
  <c r="Z185" i="11"/>
  <c r="Z183" i="11"/>
  <c r="Z174" i="11"/>
  <c r="AF170" i="11"/>
  <c r="AC170" i="11"/>
  <c r="Z170" i="11"/>
  <c r="Z157" i="11"/>
  <c r="Z155" i="11"/>
  <c r="AF149" i="11"/>
  <c r="BQ16" i="11"/>
  <c r="AC147" i="11"/>
  <c r="Z147" i="11"/>
  <c r="AM147" i="11"/>
  <c r="AM145" i="11"/>
  <c r="AM110" i="11"/>
  <c r="AF141" i="11"/>
  <c r="BQ20" i="11"/>
  <c r="AC141" i="11"/>
  <c r="Z141" i="11"/>
  <c r="C124" i="11"/>
  <c r="AF123" i="11"/>
  <c r="AC123" i="11"/>
  <c r="Z123" i="11"/>
  <c r="C123" i="11"/>
  <c r="C122" i="11"/>
  <c r="C121" i="11"/>
  <c r="C120" i="11"/>
  <c r="C119" i="11"/>
  <c r="C118" i="11"/>
  <c r="C117" i="11"/>
  <c r="C116" i="11"/>
  <c r="C115" i="11"/>
  <c r="AK114" i="11"/>
  <c r="AF114" i="11"/>
  <c r="AC114" i="11"/>
  <c r="Z114" i="11"/>
  <c r="Q113" i="11"/>
  <c r="P113" i="11"/>
  <c r="K113" i="11"/>
  <c r="H113" i="11"/>
  <c r="C111" i="11"/>
  <c r="C110" i="11"/>
  <c r="C109" i="11"/>
  <c r="C108" i="11"/>
  <c r="C107" i="11"/>
  <c r="C106" i="11"/>
  <c r="C105" i="11"/>
  <c r="O104" i="11"/>
  <c r="K104" i="11"/>
  <c r="H104" i="11"/>
  <c r="AT26" i="13"/>
  <c r="AW19" i="13"/>
  <c r="AT11" i="13"/>
  <c r="AR6" i="13"/>
  <c r="AR21" i="13" s="1"/>
  <c r="BH5" i="13"/>
  <c r="BC5" i="13"/>
  <c r="AW4" i="13"/>
  <c r="BG3" i="13"/>
  <c r="BE3" i="13"/>
  <c r="BK3" i="13" s="1"/>
  <c r="BQ3" i="13" s="1"/>
  <c r="BN5" i="13" s="1"/>
  <c r="BB3" i="13"/>
  <c r="BE2" i="13"/>
  <c r="BK2" i="13" s="1"/>
  <c r="BQ2" i="13" s="1"/>
  <c r="AT26" i="12"/>
  <c r="AW19" i="12"/>
  <c r="AT11" i="12"/>
  <c r="AR6" i="12"/>
  <c r="AT21" i="12"/>
  <c r="BH5" i="12"/>
  <c r="BC5" i="12"/>
  <c r="AW4" i="12"/>
  <c r="BG3" i="12"/>
  <c r="BE3" i="12"/>
  <c r="BK3" i="12"/>
  <c r="BQ3" i="12"/>
  <c r="BN5" i="12"/>
  <c r="BB3" i="12"/>
  <c r="BE2" i="12"/>
  <c r="BK2" i="12"/>
  <c r="BQ2" i="12"/>
  <c r="AT26" i="11"/>
  <c r="BE20" i="11"/>
  <c r="BE19" i="11"/>
  <c r="AW19" i="11"/>
  <c r="BE18" i="11"/>
  <c r="BE17" i="11"/>
  <c r="BE16" i="11"/>
  <c r="BE15" i="11"/>
  <c r="BE14" i="11"/>
  <c r="BE13" i="11"/>
  <c r="BE12" i="11"/>
  <c r="BE11" i="11"/>
  <c r="AT11" i="11"/>
  <c r="AR6" i="11"/>
  <c r="AT21" i="11"/>
  <c r="BH5" i="11"/>
  <c r="BC5" i="11"/>
  <c r="AW4" i="11"/>
  <c r="BG3" i="11"/>
  <c r="BE3" i="11"/>
  <c r="BK3" i="11"/>
  <c r="BQ3" i="11"/>
  <c r="BN5" i="11"/>
  <c r="BB3" i="11"/>
  <c r="BE2" i="11"/>
  <c r="BK2" i="11"/>
  <c r="BQ2" i="11"/>
  <c r="U139" i="10"/>
  <c r="U138" i="10"/>
  <c r="U137" i="10"/>
  <c r="U136" i="10"/>
  <c r="U135" i="10"/>
  <c r="U134" i="10"/>
  <c r="U133" i="10"/>
  <c r="U132" i="10"/>
  <c r="U131" i="10"/>
  <c r="U130" i="10"/>
  <c r="U129" i="10"/>
  <c r="U128" i="10"/>
  <c r="U127" i="10"/>
  <c r="U126" i="10"/>
  <c r="U125" i="10"/>
  <c r="U124" i="10"/>
  <c r="AF123" i="10"/>
  <c r="AC123" i="10"/>
  <c r="Z123" i="10"/>
  <c r="U121" i="10"/>
  <c r="U120" i="10"/>
  <c r="U119" i="10"/>
  <c r="U118" i="10"/>
  <c r="U117" i="10"/>
  <c r="U116" i="10"/>
  <c r="U115" i="10"/>
  <c r="AN114" i="10"/>
  <c r="AK114" i="10"/>
  <c r="AF114" i="10"/>
  <c r="AC114" i="10"/>
  <c r="Z114" i="10"/>
  <c r="AT26" i="10"/>
  <c r="AT11" i="10"/>
  <c r="AR6" i="10"/>
  <c r="BG3" i="10"/>
  <c r="BB3" i="10"/>
  <c r="BE2" i="10"/>
  <c r="BK2" i="10" s="1"/>
  <c r="BQ2" i="10" s="1"/>
  <c r="O104" i="10"/>
  <c r="K104" i="10"/>
  <c r="H104" i="10"/>
  <c r="C124" i="10"/>
  <c r="C123" i="10"/>
  <c r="C122" i="10"/>
  <c r="C121" i="10"/>
  <c r="C120" i="10"/>
  <c r="C119" i="10"/>
  <c r="C118" i="10"/>
  <c r="C117" i="10"/>
  <c r="C116" i="10"/>
  <c r="C115" i="10"/>
  <c r="Q113" i="10"/>
  <c r="P113" i="10"/>
  <c r="K113" i="10"/>
  <c r="H113" i="10"/>
  <c r="C106" i="10"/>
  <c r="BK15" i="9"/>
  <c r="AT26" i="9"/>
  <c r="AW19" i="9"/>
  <c r="AT11" i="9"/>
  <c r="AR6" i="9"/>
  <c r="AT21" i="9"/>
  <c r="BH5" i="9"/>
  <c r="BC5" i="9"/>
  <c r="AW4" i="9"/>
  <c r="BG3" i="9"/>
  <c r="BE3" i="9"/>
  <c r="BK3" i="9"/>
  <c r="BQ3" i="9"/>
  <c r="BN5" i="9"/>
  <c r="BB3" i="9"/>
  <c r="BE2" i="9"/>
  <c r="BK2" i="9"/>
  <c r="BQ2" i="9"/>
  <c r="BK15" i="8"/>
  <c r="AT26" i="8"/>
  <c r="AT11" i="8"/>
  <c r="AR6" i="8"/>
  <c r="AR21" i="8"/>
  <c r="BG3" i="8"/>
  <c r="BB3" i="8"/>
  <c r="BE2" i="8"/>
  <c r="BK2" i="8"/>
  <c r="BQ2" i="8"/>
  <c r="BQ15" i="11"/>
  <c r="AF233" i="11"/>
  <c r="AF209" i="11"/>
  <c r="AF208" i="11"/>
  <c r="U195" i="11"/>
  <c r="U194" i="11"/>
  <c r="U192" i="11"/>
  <c r="U112" i="11"/>
  <c r="Z112" i="11"/>
  <c r="AC192" i="11"/>
  <c r="U231" i="11"/>
  <c r="AC112" i="11"/>
  <c r="AF231" i="11"/>
  <c r="AL104" i="11"/>
  <c r="AL103" i="11"/>
  <c r="U90" i="11"/>
  <c r="U63" i="11"/>
  <c r="U123" i="10"/>
  <c r="Z145" i="11"/>
  <c r="AC231" i="11"/>
  <c r="AF168" i="11"/>
  <c r="BQ24" i="11"/>
  <c r="BQ22" i="11"/>
  <c r="AF147" i="11"/>
  <c r="AM104" i="11"/>
  <c r="AM103" i="11"/>
  <c r="AL183" i="11"/>
  <c r="U219" i="11"/>
  <c r="AF112" i="11"/>
  <c r="U145" i="11"/>
  <c r="AC219" i="11"/>
  <c r="BE10" i="11"/>
  <c r="BE9" i="11"/>
  <c r="BE8" i="11"/>
  <c r="Z195" i="11"/>
  <c r="Z194" i="11"/>
  <c r="Z192" i="11"/>
  <c r="AF219" i="11"/>
  <c r="BQ30" i="11"/>
  <c r="C113" i="10"/>
  <c r="C104" i="11"/>
  <c r="AC145" i="11"/>
  <c r="AC168" i="11"/>
  <c r="Z168" i="11"/>
  <c r="U105" i="10"/>
  <c r="U104" i="10" s="1"/>
  <c r="U43" i="11"/>
  <c r="U14" i="11"/>
  <c r="U168" i="11"/>
  <c r="C113" i="11"/>
  <c r="Z231" i="11"/>
  <c r="Z219" i="11"/>
  <c r="AS21" i="13"/>
  <c r="AR21" i="12"/>
  <c r="AS6" i="12"/>
  <c r="AS21" i="12"/>
  <c r="AT6" i="12"/>
  <c r="AS6" i="11"/>
  <c r="AS21" i="11"/>
  <c r="AR21" i="11"/>
  <c r="AT6" i="11"/>
  <c r="AT21" i="10"/>
  <c r="AT6" i="10"/>
  <c r="AR21" i="10"/>
  <c r="AS21" i="10"/>
  <c r="AS6" i="10"/>
  <c r="AS6" i="9"/>
  <c r="AS21" i="9"/>
  <c r="AR21" i="9"/>
  <c r="AT6" i="9"/>
  <c r="AT21" i="8"/>
  <c r="AT6" i="8"/>
  <c r="AS21" i="8"/>
  <c r="AS6" i="8"/>
  <c r="AL114" i="7"/>
  <c r="AC110" i="11"/>
  <c r="Z110" i="11"/>
  <c r="U110" i="11"/>
  <c r="U12" i="11"/>
  <c r="AF192" i="11"/>
  <c r="U255" i="10"/>
  <c r="U254" i="10"/>
  <c r="U253" i="10"/>
  <c r="U252" i="10"/>
  <c r="U251" i="10"/>
  <c r="U250" i="10"/>
  <c r="U249" i="10"/>
  <c r="U248" i="10"/>
  <c r="U247" i="10"/>
  <c r="U246" i="10"/>
  <c r="U245" i="10"/>
  <c r="U244" i="10"/>
  <c r="U243" i="10"/>
  <c r="U240" i="10"/>
  <c r="U239" i="10"/>
  <c r="U238" i="10"/>
  <c r="U237" i="10"/>
  <c r="U236" i="10"/>
  <c r="U235" i="10"/>
  <c r="U229" i="10"/>
  <c r="U228" i="10"/>
  <c r="U227" i="10"/>
  <c r="U224" i="10"/>
  <c r="U223" i="10"/>
  <c r="U222" i="10"/>
  <c r="U217" i="10"/>
  <c r="U216" i="10"/>
  <c r="U215" i="10"/>
  <c r="U214" i="10"/>
  <c r="U213" i="10"/>
  <c r="U212" i="10"/>
  <c r="U211" i="10"/>
  <c r="U206" i="10"/>
  <c r="U205" i="10"/>
  <c r="U204" i="10"/>
  <c r="U203" i="10"/>
  <c r="U202" i="10"/>
  <c r="U201" i="10"/>
  <c r="U200" i="10"/>
  <c r="U199" i="10"/>
  <c r="U198" i="10"/>
  <c r="U197" i="10"/>
  <c r="U190" i="10"/>
  <c r="U189" i="10"/>
  <c r="U187" i="10"/>
  <c r="U186" i="10"/>
  <c r="U184" i="10"/>
  <c r="U181" i="10"/>
  <c r="U180" i="10"/>
  <c r="U179" i="10"/>
  <c r="U178" i="10"/>
  <c r="U177" i="10"/>
  <c r="U176" i="10"/>
  <c r="U175" i="10"/>
  <c r="U172" i="10"/>
  <c r="U171" i="10"/>
  <c r="U165" i="10"/>
  <c r="U164" i="10"/>
  <c r="U163" i="10"/>
  <c r="U162" i="10"/>
  <c r="U161" i="10"/>
  <c r="U160" i="10"/>
  <c r="U159" i="10"/>
  <c r="U158" i="10"/>
  <c r="U156" i="10"/>
  <c r="U153" i="10"/>
  <c r="U152" i="10"/>
  <c r="U151" i="10"/>
  <c r="U150" i="10"/>
  <c r="U148" i="10"/>
  <c r="U143" i="10"/>
  <c r="U142" i="10"/>
  <c r="U102" i="10"/>
  <c r="U101" i="10"/>
  <c r="U100" i="10"/>
  <c r="U99" i="10"/>
  <c r="U98" i="10"/>
  <c r="U97" i="10"/>
  <c r="U95" i="10"/>
  <c r="U94" i="10"/>
  <c r="U93" i="10"/>
  <c r="U92" i="10"/>
  <c r="U88" i="10"/>
  <c r="U87" i="10"/>
  <c r="U86" i="10"/>
  <c r="U85" i="10"/>
  <c r="U84" i="10"/>
  <c r="U81" i="10"/>
  <c r="U80" i="10"/>
  <c r="U79" i="10"/>
  <c r="U78" i="10"/>
  <c r="U77" i="10"/>
  <c r="U76" i="10"/>
  <c r="U75" i="10"/>
  <c r="U74" i="10"/>
  <c r="U73" i="10"/>
  <c r="U72" i="10"/>
  <c r="U71" i="10"/>
  <c r="U70" i="10"/>
  <c r="U68" i="10"/>
  <c r="U67" i="10"/>
  <c r="U66" i="10"/>
  <c r="U61" i="10"/>
  <c r="U60" i="10"/>
  <c r="U59" i="10"/>
  <c r="U55" i="10"/>
  <c r="U54" i="10"/>
  <c r="U53" i="10"/>
  <c r="U52" i="10"/>
  <c r="U51" i="10"/>
  <c r="U50" i="10"/>
  <c r="U48" i="10"/>
  <c r="U47" i="10"/>
  <c r="U46" i="10"/>
  <c r="U45" i="10"/>
  <c r="U41" i="10"/>
  <c r="U40" i="10"/>
  <c r="U39" i="10"/>
  <c r="U38" i="10"/>
  <c r="U37" i="10"/>
  <c r="U36" i="10"/>
  <c r="U33" i="10"/>
  <c r="U32" i="10"/>
  <c r="U31" i="10"/>
  <c r="U30" i="10"/>
  <c r="U29" i="10"/>
  <c r="U28" i="10"/>
  <c r="U27" i="10"/>
  <c r="U26" i="10"/>
  <c r="U25" i="10"/>
  <c r="U24" i="10"/>
  <c r="U23" i="10"/>
  <c r="U22" i="10"/>
  <c r="U21" i="10"/>
  <c r="U19" i="10"/>
  <c r="U18" i="10"/>
  <c r="U17" i="10"/>
  <c r="B2" i="10"/>
  <c r="F2" i="10"/>
  <c r="D2" i="10"/>
  <c r="T2" i="10"/>
  <c r="Y2" i="10"/>
  <c r="V2" i="10"/>
  <c r="F3" i="10"/>
  <c r="D3" i="10"/>
  <c r="Y3" i="10"/>
  <c r="V3" i="10"/>
  <c r="AH3" i="10"/>
  <c r="H10" i="10"/>
  <c r="K10" i="10"/>
  <c r="P10" i="10"/>
  <c r="Q10" i="10"/>
  <c r="C12" i="10"/>
  <c r="C13" i="10"/>
  <c r="C14" i="10"/>
  <c r="C15" i="10"/>
  <c r="Z20" i="10"/>
  <c r="Z16" i="10"/>
  <c r="Z14" i="10" s="1"/>
  <c r="H22" i="10"/>
  <c r="K22" i="10"/>
  <c r="P22" i="10"/>
  <c r="Q22" i="10"/>
  <c r="B23" i="10"/>
  <c r="C23" i="10"/>
  <c r="C24" i="10"/>
  <c r="H25" i="10"/>
  <c r="K25" i="10"/>
  <c r="P25" i="10"/>
  <c r="Q25" i="10"/>
  <c r="B26" i="10"/>
  <c r="C26" i="10"/>
  <c r="C27" i="10"/>
  <c r="H29" i="10"/>
  <c r="K29" i="10"/>
  <c r="K28" i="10" s="1"/>
  <c r="P29" i="10"/>
  <c r="Q29" i="10"/>
  <c r="B30" i="10"/>
  <c r="C30" i="10"/>
  <c r="C31" i="10"/>
  <c r="H32" i="10"/>
  <c r="K32" i="10"/>
  <c r="P32" i="10"/>
  <c r="Q32" i="10"/>
  <c r="Q28" i="10" s="1"/>
  <c r="B33" i="10"/>
  <c r="C33" i="10"/>
  <c r="C34" i="10"/>
  <c r="H35" i="10"/>
  <c r="K35" i="10"/>
  <c r="P35" i="10"/>
  <c r="Q35" i="10"/>
  <c r="Z35" i="10"/>
  <c r="AC35" i="10"/>
  <c r="AF35" i="10"/>
  <c r="B36" i="10"/>
  <c r="C36" i="10"/>
  <c r="C37" i="10"/>
  <c r="C38" i="10"/>
  <c r="C39" i="10"/>
  <c r="C40" i="10"/>
  <c r="C41" i="10"/>
  <c r="H42" i="10"/>
  <c r="K42" i="10"/>
  <c r="P42" i="10"/>
  <c r="Q42" i="10"/>
  <c r="B43" i="10"/>
  <c r="C43" i="10"/>
  <c r="C44" i="10"/>
  <c r="Z44" i="10"/>
  <c r="AC44" i="10"/>
  <c r="AC43" i="10" s="1"/>
  <c r="AF44" i="10"/>
  <c r="H45" i="10"/>
  <c r="K45" i="10"/>
  <c r="P45" i="10"/>
  <c r="Q45" i="10"/>
  <c r="B46" i="10"/>
  <c r="C46" i="10"/>
  <c r="C47" i="10"/>
  <c r="H48" i="10"/>
  <c r="K48" i="10"/>
  <c r="P48" i="10"/>
  <c r="Q48" i="10"/>
  <c r="B49" i="10"/>
  <c r="C49" i="10"/>
  <c r="Z49" i="10"/>
  <c r="AC49" i="10"/>
  <c r="AF49" i="10"/>
  <c r="C50" i="10"/>
  <c r="H51" i="10"/>
  <c r="K51" i="10"/>
  <c r="P51" i="10"/>
  <c r="Q51" i="10"/>
  <c r="B52" i="10"/>
  <c r="C52" i="10"/>
  <c r="C53" i="10"/>
  <c r="H54" i="10"/>
  <c r="K54" i="10"/>
  <c r="P54" i="10"/>
  <c r="Q54" i="10"/>
  <c r="B55" i="10"/>
  <c r="C55" i="10"/>
  <c r="C56" i="10"/>
  <c r="H57" i="10"/>
  <c r="K57" i="10"/>
  <c r="P57" i="10"/>
  <c r="Q57" i="10"/>
  <c r="B58" i="10"/>
  <c r="C58" i="10"/>
  <c r="Z58" i="10"/>
  <c r="Z57" i="10"/>
  <c r="AC58" i="10"/>
  <c r="AC57" i="10" s="1"/>
  <c r="AF58" i="10"/>
  <c r="AF57" i="10"/>
  <c r="C59" i="10"/>
  <c r="H60" i="10"/>
  <c r="K60" i="10"/>
  <c r="P60" i="10"/>
  <c r="Q60" i="10"/>
  <c r="B61" i="10"/>
  <c r="C61" i="10"/>
  <c r="C62" i="10"/>
  <c r="H63" i="10"/>
  <c r="K63" i="10"/>
  <c r="P63" i="10"/>
  <c r="Q63" i="10"/>
  <c r="B64" i="10"/>
  <c r="C64" i="10"/>
  <c r="C65" i="10"/>
  <c r="H66" i="10"/>
  <c r="K66" i="10"/>
  <c r="P66" i="10"/>
  <c r="Q66" i="10"/>
  <c r="B67" i="10"/>
  <c r="C67" i="10"/>
  <c r="C68" i="10"/>
  <c r="H69" i="10"/>
  <c r="K69" i="10"/>
  <c r="P69" i="10"/>
  <c r="Q69" i="10"/>
  <c r="Z69" i="10"/>
  <c r="Z65" i="10"/>
  <c r="AC69" i="10"/>
  <c r="AC65" i="10"/>
  <c r="AF69" i="10"/>
  <c r="AF65" i="10" s="1"/>
  <c r="B70" i="10"/>
  <c r="C70" i="10"/>
  <c r="C71" i="10"/>
  <c r="H72" i="10"/>
  <c r="K72" i="10"/>
  <c r="P72" i="10"/>
  <c r="Q72" i="10"/>
  <c r="B73" i="10"/>
  <c r="C73" i="10"/>
  <c r="C74" i="10"/>
  <c r="H75" i="10"/>
  <c r="K75" i="10"/>
  <c r="P75" i="10"/>
  <c r="Q75" i="10"/>
  <c r="B76" i="10"/>
  <c r="C76" i="10"/>
  <c r="C77" i="10"/>
  <c r="H78" i="10"/>
  <c r="K78" i="10"/>
  <c r="P78" i="10"/>
  <c r="Q78" i="10"/>
  <c r="B79" i="10"/>
  <c r="C79" i="10"/>
  <c r="C80" i="10"/>
  <c r="H81" i="10"/>
  <c r="K81" i="10"/>
  <c r="P81" i="10"/>
  <c r="Q81" i="10"/>
  <c r="B82" i="10"/>
  <c r="C82" i="10"/>
  <c r="C83" i="10"/>
  <c r="Z83" i="10"/>
  <c r="AC83" i="10"/>
  <c r="AF83" i="10"/>
  <c r="H85" i="10"/>
  <c r="K85" i="10"/>
  <c r="P85" i="10"/>
  <c r="Q85" i="10"/>
  <c r="C86" i="10"/>
  <c r="C87" i="10"/>
  <c r="C88" i="10"/>
  <c r="C89" i="10"/>
  <c r="C90" i="10"/>
  <c r="C91" i="10"/>
  <c r="Z91" i="10"/>
  <c r="Z90" i="10" s="1"/>
  <c r="AC91" i="10"/>
  <c r="AF91" i="10"/>
  <c r="C92" i="10"/>
  <c r="H94" i="10"/>
  <c r="K94" i="10"/>
  <c r="P94" i="10"/>
  <c r="Q94" i="10"/>
  <c r="C95" i="10"/>
  <c r="A96" i="10"/>
  <c r="B96" i="10"/>
  <c r="C96" i="10"/>
  <c r="Z96" i="10"/>
  <c r="AC96" i="10"/>
  <c r="AF96" i="10"/>
  <c r="A97" i="10"/>
  <c r="B97" i="10"/>
  <c r="C97" i="10"/>
  <c r="C98" i="10"/>
  <c r="C99" i="10"/>
  <c r="C100" i="10"/>
  <c r="C101" i="10"/>
  <c r="C102" i="10"/>
  <c r="C105" i="10"/>
  <c r="C107" i="10"/>
  <c r="C108" i="10"/>
  <c r="C109" i="10"/>
  <c r="C110" i="10"/>
  <c r="C111" i="10"/>
  <c r="Z141" i="10"/>
  <c r="Z112" i="10" s="1"/>
  <c r="AC141" i="10"/>
  <c r="AF141" i="10"/>
  <c r="BQ20" i="10" s="1"/>
  <c r="N43" i="14" s="1"/>
  <c r="Z149" i="10"/>
  <c r="Z147" i="10" s="1"/>
  <c r="Z145" i="10" s="1"/>
  <c r="AC149" i="10"/>
  <c r="AC147" i="10" s="1"/>
  <c r="AF149" i="10"/>
  <c r="BQ16" i="10" s="1"/>
  <c r="Z157" i="10"/>
  <c r="Z155" i="10" s="1"/>
  <c r="Z170" i="10"/>
  <c r="AC170" i="10"/>
  <c r="AF170" i="10"/>
  <c r="Z174" i="10"/>
  <c r="AC174" i="10"/>
  <c r="AF174" i="10"/>
  <c r="Z185" i="10"/>
  <c r="Z183" i="10" s="1"/>
  <c r="AC185" i="10"/>
  <c r="AC183" i="10" s="1"/>
  <c r="AF185" i="10"/>
  <c r="AF183" i="10" s="1"/>
  <c r="Z196" i="10"/>
  <c r="AC196" i="10"/>
  <c r="AF196" i="10"/>
  <c r="AF195" i="10" s="1"/>
  <c r="AF194" i="10" s="1"/>
  <c r="Z204" i="10"/>
  <c r="S206" i="10"/>
  <c r="Z210" i="10"/>
  <c r="Z209" i="10" s="1"/>
  <c r="Z208" i="10" s="1"/>
  <c r="AC210" i="10"/>
  <c r="AC209" i="10" s="1"/>
  <c r="AC208" i="10" s="1"/>
  <c r="AF210" i="10"/>
  <c r="BQ27" i="10" s="1"/>
  <c r="N50" i="14" s="1"/>
  <c r="Z221" i="10"/>
  <c r="Z219" i="10" s="1"/>
  <c r="AC221" i="10"/>
  <c r="AC219" i="10" s="1"/>
  <c r="AF221" i="10"/>
  <c r="AF219" i="10" s="1"/>
  <c r="BQ30" i="10" s="1"/>
  <c r="BK14" i="10" s="1"/>
  <c r="Z226" i="10"/>
  <c r="AC226" i="10"/>
  <c r="AF226" i="10"/>
  <c r="Z234" i="10"/>
  <c r="Z233" i="10" s="1"/>
  <c r="Z231" i="10" s="1"/>
  <c r="AC234" i="10"/>
  <c r="AC233" i="10" s="1"/>
  <c r="AF234" i="10"/>
  <c r="BQ29" i="10" s="1"/>
  <c r="T235" i="10"/>
  <c r="S238" i="10"/>
  <c r="T238" i="10"/>
  <c r="Z242" i="10"/>
  <c r="AC242" i="10"/>
  <c r="AF242" i="10"/>
  <c r="U261" i="10"/>
  <c r="C128" i="10"/>
  <c r="U141" i="10"/>
  <c r="C25" i="10"/>
  <c r="C29" i="10"/>
  <c r="C54" i="10"/>
  <c r="C57" i="10"/>
  <c r="U91" i="10"/>
  <c r="C104" i="10"/>
  <c r="C69" i="10"/>
  <c r="C66" i="10"/>
  <c r="U58" i="10"/>
  <c r="U57" i="10"/>
  <c r="C72" i="10"/>
  <c r="U210" i="10"/>
  <c r="U209" i="10" s="1"/>
  <c r="U208" i="10" s="1"/>
  <c r="U242" i="10"/>
  <c r="C42" i="10"/>
  <c r="C10" i="10"/>
  <c r="C63" i="10"/>
  <c r="C32" i="10"/>
  <c r="C45" i="10"/>
  <c r="U96" i="10"/>
  <c r="U20" i="10"/>
  <c r="U16" i="10" s="1"/>
  <c r="U149" i="10"/>
  <c r="U147" i="10"/>
  <c r="U157" i="10"/>
  <c r="U155" i="10" s="1"/>
  <c r="U170" i="10"/>
  <c r="U35" i="10"/>
  <c r="U69" i="10"/>
  <c r="U65" i="10"/>
  <c r="U234" i="10"/>
  <c r="U233" i="10" s="1"/>
  <c r="U231" i="10" s="1"/>
  <c r="U49" i="10"/>
  <c r="U43" i="10" s="1"/>
  <c r="U83" i="10"/>
  <c r="U174" i="10"/>
  <c r="U185" i="10"/>
  <c r="U183" i="10" s="1"/>
  <c r="U168" i="10" s="1"/>
  <c r="U196" i="10"/>
  <c r="U195" i="10" s="1"/>
  <c r="U194" i="10" s="1"/>
  <c r="U226" i="10"/>
  <c r="U219" i="10" s="1"/>
  <c r="U44" i="10"/>
  <c r="U221" i="10"/>
  <c r="AF147" i="10"/>
  <c r="C94" i="10"/>
  <c r="C85" i="10"/>
  <c r="C78" i="10"/>
  <c r="C48" i="10"/>
  <c r="C75" i="10"/>
  <c r="C60" i="10"/>
  <c r="C51" i="10"/>
  <c r="Z43" i="10"/>
  <c r="C22" i="10"/>
  <c r="C35" i="10"/>
  <c r="C28" i="10" s="1"/>
  <c r="U90" i="10"/>
  <c r="T257" i="4"/>
  <c r="U256" i="4"/>
  <c r="U255" i="4"/>
  <c r="U254" i="4"/>
  <c r="U253" i="4"/>
  <c r="U252" i="4"/>
  <c r="U251" i="4"/>
  <c r="U250" i="4"/>
  <c r="U249" i="4"/>
  <c r="U248" i="4"/>
  <c r="U247" i="4"/>
  <c r="U246" i="4"/>
  <c r="U245" i="4"/>
  <c r="U244" i="4"/>
  <c r="AM243" i="4"/>
  <c r="AL243" i="4"/>
  <c r="AF243" i="4"/>
  <c r="AC243" i="4"/>
  <c r="Z243" i="4"/>
  <c r="U241" i="4"/>
  <c r="U240" i="4"/>
  <c r="U239" i="4"/>
  <c r="U238" i="4"/>
  <c r="U237" i="4"/>
  <c r="U236" i="4"/>
  <c r="AM235" i="4"/>
  <c r="AM234" i="4"/>
  <c r="AL235" i="4"/>
  <c r="AL234" i="4"/>
  <c r="AF235" i="4"/>
  <c r="AF234" i="4"/>
  <c r="AC235" i="4"/>
  <c r="AC234" i="4"/>
  <c r="Z235" i="4"/>
  <c r="Z234" i="4"/>
  <c r="T233" i="4"/>
  <c r="T232" i="4"/>
  <c r="T231" i="4"/>
  <c r="U230" i="4"/>
  <c r="U229" i="4"/>
  <c r="U228" i="4"/>
  <c r="AM227" i="4"/>
  <c r="AL227" i="4"/>
  <c r="AF227" i="4"/>
  <c r="AC227" i="4"/>
  <c r="Z227" i="4"/>
  <c r="T227" i="4"/>
  <c r="T226" i="4"/>
  <c r="U225" i="4"/>
  <c r="U224" i="4"/>
  <c r="U223" i="4"/>
  <c r="AM222" i="4"/>
  <c r="AL222" i="4"/>
  <c r="AF222" i="4"/>
  <c r="AC222" i="4"/>
  <c r="Z222" i="4"/>
  <c r="T222" i="4"/>
  <c r="T221" i="4"/>
  <c r="T220" i="4"/>
  <c r="T219" i="4"/>
  <c r="U218" i="4"/>
  <c r="U217" i="4"/>
  <c r="U216" i="4"/>
  <c r="U215" i="4"/>
  <c r="U214" i="4"/>
  <c r="U213" i="4"/>
  <c r="U212" i="4"/>
  <c r="AM211" i="4"/>
  <c r="AM210" i="4"/>
  <c r="AM209" i="4"/>
  <c r="AL211" i="4"/>
  <c r="AL210" i="4"/>
  <c r="AL209" i="4"/>
  <c r="AF211" i="4"/>
  <c r="AC211" i="4"/>
  <c r="AC210" i="4"/>
  <c r="AC209" i="4"/>
  <c r="Z211" i="4"/>
  <c r="Z210" i="4"/>
  <c r="Z209" i="4"/>
  <c r="T210" i="4"/>
  <c r="T209" i="4"/>
  <c r="T208" i="4"/>
  <c r="U207" i="4"/>
  <c r="U206" i="4"/>
  <c r="AM205" i="4"/>
  <c r="AL205" i="4"/>
  <c r="AF205" i="4"/>
  <c r="AC205" i="4"/>
  <c r="Z205" i="4"/>
  <c r="U204" i="4"/>
  <c r="U203" i="4"/>
  <c r="U202" i="4"/>
  <c r="U201" i="4"/>
  <c r="U200" i="4"/>
  <c r="U199" i="4"/>
  <c r="U198" i="4"/>
  <c r="AM197" i="4"/>
  <c r="AL197" i="4"/>
  <c r="AL196" i="4"/>
  <c r="AL195" i="4"/>
  <c r="AF197" i="4"/>
  <c r="AC197" i="4"/>
  <c r="Z197" i="4"/>
  <c r="T196" i="4"/>
  <c r="T195" i="4"/>
  <c r="T192" i="4"/>
  <c r="S192" i="4"/>
  <c r="U191" i="4"/>
  <c r="U190" i="4"/>
  <c r="U188" i="4"/>
  <c r="U187" i="4"/>
  <c r="AM186" i="4"/>
  <c r="AM184" i="4"/>
  <c r="AL186" i="4"/>
  <c r="AL184" i="4"/>
  <c r="AF186" i="4"/>
  <c r="AF184" i="4"/>
  <c r="AC186" i="4"/>
  <c r="AC184" i="4"/>
  <c r="Z186" i="4"/>
  <c r="Z184" i="4"/>
  <c r="U185" i="4"/>
  <c r="T184" i="4"/>
  <c r="T183" i="4"/>
  <c r="U182" i="4"/>
  <c r="U181" i="4"/>
  <c r="U180" i="4"/>
  <c r="U179" i="4"/>
  <c r="U178" i="4"/>
  <c r="U177" i="4"/>
  <c r="U176" i="4"/>
  <c r="AM175" i="4"/>
  <c r="AL175" i="4"/>
  <c r="AF175" i="4"/>
  <c r="AC175" i="4"/>
  <c r="Z175" i="4"/>
  <c r="T175" i="4"/>
  <c r="T174" i="4"/>
  <c r="U173" i="4"/>
  <c r="U172" i="4"/>
  <c r="AM171" i="4"/>
  <c r="AL171" i="4"/>
  <c r="AF171" i="4"/>
  <c r="AC171" i="4"/>
  <c r="Z171" i="4"/>
  <c r="T171" i="4"/>
  <c r="T170" i="4"/>
  <c r="T169" i="4"/>
  <c r="T168" i="4"/>
  <c r="AM157" i="4"/>
  <c r="AM155" i="4"/>
  <c r="AL157" i="4"/>
  <c r="AL155" i="4"/>
  <c r="AC157" i="4"/>
  <c r="AC155" i="4"/>
  <c r="Z157" i="4"/>
  <c r="Z155" i="4"/>
  <c r="T154" i="4"/>
  <c r="U153" i="4"/>
  <c r="U152" i="4"/>
  <c r="U151" i="4"/>
  <c r="U150" i="4"/>
  <c r="AM149" i="4"/>
  <c r="AM147" i="4"/>
  <c r="AL149" i="4"/>
  <c r="AL147" i="4"/>
  <c r="AF149" i="4"/>
  <c r="BQ16" i="4"/>
  <c r="AC149" i="4"/>
  <c r="AC147" i="4"/>
  <c r="Z149" i="4"/>
  <c r="Z147" i="4"/>
  <c r="U148" i="4"/>
  <c r="T147" i="4"/>
  <c r="T146" i="4"/>
  <c r="T145" i="4"/>
  <c r="T144" i="4"/>
  <c r="U143" i="4"/>
  <c r="U142" i="4"/>
  <c r="AM141" i="4"/>
  <c r="AL141" i="4"/>
  <c r="AF141" i="4"/>
  <c r="BQ20" i="4"/>
  <c r="AC141" i="4"/>
  <c r="Z141" i="4"/>
  <c r="T141" i="4"/>
  <c r="T140" i="4"/>
  <c r="U139" i="4"/>
  <c r="U138" i="4"/>
  <c r="U137" i="4"/>
  <c r="U136" i="4"/>
  <c r="U135" i="4"/>
  <c r="U134" i="4"/>
  <c r="U133" i="4"/>
  <c r="U132" i="4"/>
  <c r="U131" i="4"/>
  <c r="U130" i="4"/>
  <c r="U129" i="4"/>
  <c r="U128" i="4"/>
  <c r="U127" i="4"/>
  <c r="U126" i="4"/>
  <c r="U125" i="4"/>
  <c r="U124" i="4"/>
  <c r="C124" i="4"/>
  <c r="AM123" i="4"/>
  <c r="AL123" i="4"/>
  <c r="AF123" i="4"/>
  <c r="AC123" i="4"/>
  <c r="Z123" i="4"/>
  <c r="T123" i="4"/>
  <c r="C123" i="4"/>
  <c r="T122" i="4"/>
  <c r="C122" i="4"/>
  <c r="U121" i="4"/>
  <c r="C121" i="4"/>
  <c r="U120" i="4"/>
  <c r="C120" i="4"/>
  <c r="U119" i="4"/>
  <c r="C119" i="4"/>
  <c r="U118" i="4"/>
  <c r="C118" i="4"/>
  <c r="U117" i="4"/>
  <c r="C117" i="4"/>
  <c r="U116" i="4"/>
  <c r="C116" i="4"/>
  <c r="U115" i="4"/>
  <c r="C115" i="4"/>
  <c r="AM114" i="4"/>
  <c r="AL114" i="4"/>
  <c r="AF114" i="4"/>
  <c r="AC114" i="4"/>
  <c r="Z114" i="4"/>
  <c r="T114" i="4"/>
  <c r="T113" i="4"/>
  <c r="Q113" i="4"/>
  <c r="P113" i="4"/>
  <c r="K113" i="4"/>
  <c r="H113" i="4"/>
  <c r="T112" i="4"/>
  <c r="T111" i="4"/>
  <c r="C111" i="4"/>
  <c r="T110" i="4"/>
  <c r="C110" i="4"/>
  <c r="T109" i="4"/>
  <c r="C109" i="4"/>
  <c r="U108" i="4"/>
  <c r="C108" i="4"/>
  <c r="U107" i="4"/>
  <c r="C107" i="4"/>
  <c r="U106" i="4"/>
  <c r="C106" i="4"/>
  <c r="AM105" i="4"/>
  <c r="AM104" i="4"/>
  <c r="AL105" i="4"/>
  <c r="AL104" i="4"/>
  <c r="AF105" i="4"/>
  <c r="AF104" i="4"/>
  <c r="AC105" i="4"/>
  <c r="AC104" i="4"/>
  <c r="Z105" i="4"/>
  <c r="Z104" i="4"/>
  <c r="C105" i="4"/>
  <c r="T104" i="4"/>
  <c r="Q104" i="4"/>
  <c r="P104" i="4"/>
  <c r="K104" i="4"/>
  <c r="T103" i="4"/>
  <c r="U102" i="4"/>
  <c r="C102" i="4"/>
  <c r="U101" i="4"/>
  <c r="C101" i="4"/>
  <c r="U100" i="4"/>
  <c r="C100" i="4"/>
  <c r="U99" i="4"/>
  <c r="C99" i="4"/>
  <c r="U98" i="4"/>
  <c r="C98" i="4"/>
  <c r="U97" i="4"/>
  <c r="C97" i="4"/>
  <c r="AM96" i="4"/>
  <c r="AL96" i="4"/>
  <c r="AF96" i="4"/>
  <c r="AC96" i="4"/>
  <c r="Z96" i="4"/>
  <c r="C96" i="4"/>
  <c r="U95" i="4"/>
  <c r="C95" i="4"/>
  <c r="U94" i="4"/>
  <c r="Q94" i="4"/>
  <c r="P94" i="4"/>
  <c r="K94" i="4"/>
  <c r="H94" i="4"/>
  <c r="U93" i="4"/>
  <c r="U92" i="4"/>
  <c r="C92" i="4"/>
  <c r="AM91" i="4"/>
  <c r="AM90" i="4"/>
  <c r="AL91" i="4"/>
  <c r="AF91" i="4"/>
  <c r="AC91" i="4"/>
  <c r="Z91" i="4"/>
  <c r="C91" i="4"/>
  <c r="T90" i="4"/>
  <c r="C90" i="4"/>
  <c r="T89" i="4"/>
  <c r="C89" i="4"/>
  <c r="U88" i="4"/>
  <c r="C88" i="4"/>
  <c r="U87" i="4"/>
  <c r="C87" i="4"/>
  <c r="U86" i="4"/>
  <c r="C86" i="4"/>
  <c r="U85" i="4"/>
  <c r="Q85" i="4"/>
  <c r="P85" i="4"/>
  <c r="K85" i="4"/>
  <c r="H85" i="4"/>
  <c r="U84" i="4"/>
  <c r="AM83" i="4"/>
  <c r="AL83" i="4"/>
  <c r="AF83" i="4"/>
  <c r="AC83" i="4"/>
  <c r="Z83" i="4"/>
  <c r="T83" i="4"/>
  <c r="C83" i="4"/>
  <c r="T82" i="4"/>
  <c r="C82" i="4"/>
  <c r="B82" i="4"/>
  <c r="U81" i="4"/>
  <c r="Q81" i="4"/>
  <c r="P81" i="4"/>
  <c r="K81" i="4"/>
  <c r="H81" i="4"/>
  <c r="U80" i="4"/>
  <c r="C80" i="4"/>
  <c r="U79" i="4"/>
  <c r="C79" i="4"/>
  <c r="B79" i="4"/>
  <c r="U78" i="4"/>
  <c r="Q78" i="4"/>
  <c r="P78" i="4"/>
  <c r="K78" i="4"/>
  <c r="H78" i="4"/>
  <c r="U77" i="4"/>
  <c r="C77" i="4"/>
  <c r="U76" i="4"/>
  <c r="C76" i="4"/>
  <c r="B76" i="4"/>
  <c r="U75" i="4"/>
  <c r="Q75" i="4"/>
  <c r="P75" i="4"/>
  <c r="K75" i="4"/>
  <c r="H75" i="4"/>
  <c r="U74" i="4"/>
  <c r="C74" i="4"/>
  <c r="U73" i="4"/>
  <c r="C73" i="4"/>
  <c r="B73" i="4"/>
  <c r="U72" i="4"/>
  <c r="Q72" i="4"/>
  <c r="P72" i="4"/>
  <c r="K72" i="4"/>
  <c r="H72" i="4"/>
  <c r="U71" i="4"/>
  <c r="K69" i="4"/>
  <c r="H69" i="4"/>
  <c r="C71" i="4"/>
  <c r="U70" i="4"/>
  <c r="C70" i="4"/>
  <c r="B70" i="4"/>
  <c r="AM69" i="4"/>
  <c r="AM65" i="4"/>
  <c r="AL69" i="4"/>
  <c r="AL65" i="4"/>
  <c r="AF69" i="4"/>
  <c r="AF65" i="4"/>
  <c r="AC69" i="4"/>
  <c r="AC65" i="4"/>
  <c r="Z69" i="4"/>
  <c r="Z65" i="4"/>
  <c r="Q69" i="4"/>
  <c r="P69" i="4"/>
  <c r="U68" i="4"/>
  <c r="C68" i="4"/>
  <c r="U67" i="4"/>
  <c r="C67" i="4"/>
  <c r="B67" i="4"/>
  <c r="U66" i="4"/>
  <c r="Q66" i="4"/>
  <c r="P66" i="4"/>
  <c r="K66" i="4"/>
  <c r="H66" i="4"/>
  <c r="T65" i="4"/>
  <c r="C65" i="4"/>
  <c r="T64" i="4"/>
  <c r="C64" i="4"/>
  <c r="B64" i="4"/>
  <c r="T63" i="4"/>
  <c r="Q63" i="4"/>
  <c r="P63" i="4"/>
  <c r="K63" i="4"/>
  <c r="H63" i="4"/>
  <c r="T62" i="4"/>
  <c r="C62" i="4"/>
  <c r="U61" i="4"/>
  <c r="C61" i="4"/>
  <c r="B61" i="4"/>
  <c r="U60" i="4"/>
  <c r="Q60" i="4"/>
  <c r="P60" i="4"/>
  <c r="K60" i="4"/>
  <c r="H60" i="4"/>
  <c r="U59" i="4"/>
  <c r="C59" i="4"/>
  <c r="AM58" i="4"/>
  <c r="AM57" i="4"/>
  <c r="AL58" i="4"/>
  <c r="AL57" i="4"/>
  <c r="AF58" i="4"/>
  <c r="AF57" i="4"/>
  <c r="AC58" i="4"/>
  <c r="AC57" i="4"/>
  <c r="Z58" i="4"/>
  <c r="Z57" i="4"/>
  <c r="C58" i="4"/>
  <c r="B58" i="4"/>
  <c r="T57" i="4"/>
  <c r="Q57" i="4"/>
  <c r="P57" i="4"/>
  <c r="K57" i="4"/>
  <c r="H57" i="4"/>
  <c r="T56" i="4"/>
  <c r="C56" i="4"/>
  <c r="U55" i="4"/>
  <c r="C55" i="4"/>
  <c r="B55" i="4"/>
  <c r="U54" i="4"/>
  <c r="Q54" i="4"/>
  <c r="P54" i="4"/>
  <c r="K54" i="4"/>
  <c r="H54" i="4"/>
  <c r="U53" i="4"/>
  <c r="C53" i="4"/>
  <c r="U52" i="4"/>
  <c r="C52" i="4"/>
  <c r="B52" i="4"/>
  <c r="U51" i="4"/>
  <c r="Q51" i="4"/>
  <c r="P51" i="4"/>
  <c r="K51" i="4"/>
  <c r="H51" i="4"/>
  <c r="U50" i="4"/>
  <c r="C50" i="4"/>
  <c r="AM49" i="4"/>
  <c r="AL49" i="4"/>
  <c r="AF49" i="4"/>
  <c r="AC49" i="4"/>
  <c r="Z49" i="4"/>
  <c r="C49" i="4"/>
  <c r="B49" i="4"/>
  <c r="U48" i="4"/>
  <c r="Q48" i="4"/>
  <c r="P48" i="4"/>
  <c r="K48" i="4"/>
  <c r="H48" i="4"/>
  <c r="U47" i="4"/>
  <c r="C47" i="4"/>
  <c r="U46" i="4"/>
  <c r="C46" i="4"/>
  <c r="B46" i="4"/>
  <c r="U45" i="4"/>
  <c r="Q45" i="4"/>
  <c r="P45" i="4"/>
  <c r="K45" i="4"/>
  <c r="H45" i="4"/>
  <c r="AM44" i="4"/>
  <c r="AL44" i="4"/>
  <c r="AF44" i="4"/>
  <c r="AC44" i="4"/>
  <c r="Z44" i="4"/>
  <c r="C44" i="4"/>
  <c r="T43" i="4"/>
  <c r="C43" i="4"/>
  <c r="B43" i="4"/>
  <c r="T42" i="4"/>
  <c r="Q42" i="4"/>
  <c r="P42" i="4"/>
  <c r="K42" i="4"/>
  <c r="H42" i="4"/>
  <c r="U41" i="4"/>
  <c r="C41" i="4"/>
  <c r="U40" i="4"/>
  <c r="C40" i="4"/>
  <c r="U39" i="4"/>
  <c r="C39" i="4"/>
  <c r="U38" i="4"/>
  <c r="C38" i="4"/>
  <c r="U37" i="4"/>
  <c r="C37" i="4"/>
  <c r="U36" i="4"/>
  <c r="U35" i="4"/>
  <c r="C36" i="4"/>
  <c r="B36" i="4"/>
  <c r="AM35" i="4"/>
  <c r="AL35" i="4"/>
  <c r="AF35" i="4"/>
  <c r="BQ14" i="4"/>
  <c r="AC35" i="4"/>
  <c r="Z35" i="4"/>
  <c r="T35" i="4"/>
  <c r="Q35" i="4"/>
  <c r="P35" i="4"/>
  <c r="K35" i="4"/>
  <c r="H35" i="4"/>
  <c r="T34" i="4"/>
  <c r="C34" i="4"/>
  <c r="C33" i="4"/>
  <c r="B33" i="4"/>
  <c r="Q32" i="4"/>
  <c r="P32" i="4"/>
  <c r="K32" i="4"/>
  <c r="H32" i="4"/>
  <c r="BK15" i="4"/>
  <c r="C31" i="4"/>
  <c r="C30" i="4"/>
  <c r="B30" i="4"/>
  <c r="Q29" i="4"/>
  <c r="P29" i="4"/>
  <c r="K29" i="4"/>
  <c r="H29" i="4"/>
  <c r="K25" i="4"/>
  <c r="H25" i="4"/>
  <c r="C27" i="4"/>
  <c r="AT26" i="4"/>
  <c r="C26" i="4"/>
  <c r="B26" i="4"/>
  <c r="Q25" i="4"/>
  <c r="P25" i="4"/>
  <c r="U24" i="4"/>
  <c r="C24" i="4"/>
  <c r="U23" i="4"/>
  <c r="C23" i="4"/>
  <c r="B23" i="4"/>
  <c r="U22" i="4"/>
  <c r="Q22" i="4"/>
  <c r="P22" i="4"/>
  <c r="K22" i="4"/>
  <c r="H22" i="4"/>
  <c r="U21" i="4"/>
  <c r="AM20" i="4"/>
  <c r="AM16" i="4"/>
  <c r="AL20" i="4"/>
  <c r="AL16" i="4"/>
  <c r="AF20" i="4"/>
  <c r="AF16" i="4"/>
  <c r="BQ12" i="4"/>
  <c r="BQ9" i="4"/>
  <c r="AC20" i="4"/>
  <c r="AC16" i="4"/>
  <c r="Z20" i="4"/>
  <c r="Z16" i="4"/>
  <c r="AW19" i="4"/>
  <c r="U19" i="4"/>
  <c r="U18" i="4"/>
  <c r="BL17" i="4"/>
  <c r="U17" i="4"/>
  <c r="T16" i="4"/>
  <c r="T15" i="4"/>
  <c r="K15" i="4"/>
  <c r="C15" i="4"/>
  <c r="T14" i="4"/>
  <c r="K14" i="4"/>
  <c r="C14" i="4"/>
  <c r="K13" i="4"/>
  <c r="C13" i="4"/>
  <c r="T12" i="4"/>
  <c r="K12" i="4"/>
  <c r="C12" i="4"/>
  <c r="AT11" i="4"/>
  <c r="T10" i="4"/>
  <c r="Q10" i="4"/>
  <c r="P10" i="4"/>
  <c r="H10" i="4"/>
  <c r="T8" i="4"/>
  <c r="AR6" i="4"/>
  <c r="BH5" i="4"/>
  <c r="BC5" i="4"/>
  <c r="AW4" i="4"/>
  <c r="BG3" i="4"/>
  <c r="BE3" i="4"/>
  <c r="BB3" i="4"/>
  <c r="AJ3" i="4"/>
  <c r="AH3" i="4"/>
  <c r="Y3" i="4"/>
  <c r="V3" i="4"/>
  <c r="F3" i="4"/>
  <c r="D3" i="4"/>
  <c r="BE2" i="4"/>
  <c r="BK2" i="4"/>
  <c r="BQ2" i="4"/>
  <c r="Y2" i="4"/>
  <c r="V2" i="4"/>
  <c r="T2" i="4"/>
  <c r="F2" i="4"/>
  <c r="D2" i="4"/>
  <c r="B2" i="4"/>
  <c r="U123" i="4"/>
  <c r="U114" i="4"/>
  <c r="BQ15" i="4"/>
  <c r="BK10" i="4"/>
  <c r="AF210" i="4"/>
  <c r="AF209" i="4"/>
  <c r="BQ27" i="4"/>
  <c r="AF155" i="4"/>
  <c r="AF220" i="4"/>
  <c r="C128" i="4"/>
  <c r="AL220" i="4"/>
  <c r="AF232" i="4"/>
  <c r="BQ29" i="4"/>
  <c r="Z220" i="4"/>
  <c r="AC43" i="4"/>
  <c r="AC14" i="4"/>
  <c r="C42" i="4"/>
  <c r="C25" i="4"/>
  <c r="C78" i="4"/>
  <c r="AC232" i="4"/>
  <c r="AC196" i="4"/>
  <c r="AC195" i="4"/>
  <c r="AC193" i="4"/>
  <c r="AC220" i="4"/>
  <c r="K28" i="4"/>
  <c r="K21" i="4"/>
  <c r="K19" i="4"/>
  <c r="K17" i="4"/>
  <c r="AM196" i="4"/>
  <c r="AM195" i="4"/>
  <c r="AM193" i="4"/>
  <c r="AF90" i="4"/>
  <c r="AF63" i="4"/>
  <c r="AL90" i="4"/>
  <c r="AL63" i="4"/>
  <c r="U186" i="4"/>
  <c r="U184" i="4"/>
  <c r="U105" i="4"/>
  <c r="U104" i="4"/>
  <c r="U211" i="4"/>
  <c r="U210" i="4"/>
  <c r="U209" i="4"/>
  <c r="AL232" i="4"/>
  <c r="Z145" i="4"/>
  <c r="AC112" i="4"/>
  <c r="Z169" i="4"/>
  <c r="C54" i="4"/>
  <c r="AM43" i="4"/>
  <c r="AM14" i="4"/>
  <c r="AM145" i="4"/>
  <c r="AC90" i="4"/>
  <c r="AC63" i="4"/>
  <c r="AL112" i="4"/>
  <c r="AM169" i="4"/>
  <c r="AM220" i="4"/>
  <c r="Z90" i="4"/>
  <c r="Z63" i="4"/>
  <c r="C32" i="4"/>
  <c r="Z196" i="4"/>
  <c r="Z195" i="4"/>
  <c r="Z193" i="4"/>
  <c r="BK9" i="4"/>
  <c r="AL193" i="4"/>
  <c r="BL17" i="13"/>
  <c r="BL17" i="12"/>
  <c r="BL17" i="10"/>
  <c r="BL17" i="11"/>
  <c r="BL17" i="9"/>
  <c r="BL17" i="8"/>
  <c r="Q28" i="4"/>
  <c r="Q21" i="4"/>
  <c r="Q19" i="4"/>
  <c r="Q17" i="4"/>
  <c r="Q8" i="4"/>
  <c r="AF43" i="4"/>
  <c r="BQ13" i="4"/>
  <c r="BQ8" i="4"/>
  <c r="Z43" i="4"/>
  <c r="Z14" i="4"/>
  <c r="C57" i="4"/>
  <c r="AM63" i="4"/>
  <c r="C104" i="4"/>
  <c r="AL43" i="4"/>
  <c r="AL14" i="4"/>
  <c r="C45" i="4"/>
  <c r="C48" i="4"/>
  <c r="C94" i="4"/>
  <c r="AF147" i="4"/>
  <c r="AF145" i="4"/>
  <c r="C10" i="4"/>
  <c r="C35" i="4"/>
  <c r="C63" i="4"/>
  <c r="C75" i="4"/>
  <c r="U58" i="4"/>
  <c r="U57" i="4"/>
  <c r="C69" i="4"/>
  <c r="U49" i="4"/>
  <c r="H28" i="4"/>
  <c r="H21" i="4"/>
  <c r="H19" i="4"/>
  <c r="H17" i="4"/>
  <c r="H8" i="4"/>
  <c r="P28" i="4"/>
  <c r="P21" i="4"/>
  <c r="P19" i="4"/>
  <c r="P17" i="4"/>
  <c r="P8" i="4"/>
  <c r="U44" i="4"/>
  <c r="U96" i="4"/>
  <c r="Z112" i="4"/>
  <c r="AM112" i="4"/>
  <c r="AF112" i="4"/>
  <c r="AC145" i="4"/>
  <c r="AL169" i="4"/>
  <c r="U205" i="4"/>
  <c r="AL145" i="4"/>
  <c r="AC169" i="4"/>
  <c r="AF196" i="4"/>
  <c r="BQ28" i="4"/>
  <c r="AM232" i="4"/>
  <c r="U235" i="4"/>
  <c r="U234" i="4"/>
  <c r="U243" i="4"/>
  <c r="U227" i="4"/>
  <c r="Z232" i="4"/>
  <c r="C29" i="4"/>
  <c r="AT21" i="4"/>
  <c r="AR21" i="4"/>
  <c r="AS6" i="4"/>
  <c r="AS21" i="4"/>
  <c r="C22" i="4"/>
  <c r="C60" i="4"/>
  <c r="AT6" i="4"/>
  <c r="K10" i="4"/>
  <c r="BE7" i="4"/>
  <c r="U20" i="4"/>
  <c r="U16" i="4"/>
  <c r="U83" i="4"/>
  <c r="C51" i="4"/>
  <c r="C66" i="4"/>
  <c r="U69" i="4"/>
  <c r="U65" i="4"/>
  <c r="C72" i="4"/>
  <c r="C85" i="4"/>
  <c r="U91" i="4"/>
  <c r="U141" i="4"/>
  <c r="U149" i="4"/>
  <c r="U147" i="4"/>
  <c r="C113" i="4"/>
  <c r="U171" i="4"/>
  <c r="U222" i="4"/>
  <c r="AF169" i="4"/>
  <c r="U197" i="4"/>
  <c r="U175" i="4"/>
  <c r="BQ24" i="4"/>
  <c r="BQ22" i="4"/>
  <c r="BQ25" i="4"/>
  <c r="BQ30" i="4"/>
  <c r="BK14" i="4"/>
  <c r="BK13" i="4"/>
  <c r="AF14" i="4"/>
  <c r="U232" i="4"/>
  <c r="AC12" i="4"/>
  <c r="AM12" i="4"/>
  <c r="AM110" i="4"/>
  <c r="Z110" i="4"/>
  <c r="U196" i="4"/>
  <c r="U195" i="4"/>
  <c r="U193" i="4"/>
  <c r="AC110" i="4"/>
  <c r="AF12" i="4"/>
  <c r="Z12" i="4"/>
  <c r="Z10" i="4"/>
  <c r="Z8" i="4"/>
  <c r="AL110" i="4"/>
  <c r="C28" i="4"/>
  <c r="AF110" i="4"/>
  <c r="AL12" i="4"/>
  <c r="AL10" i="4"/>
  <c r="AL259" i="4"/>
  <c r="U43" i="4"/>
  <c r="U14" i="4"/>
  <c r="U90" i="4"/>
  <c r="U63" i="4"/>
  <c r="U220" i="4"/>
  <c r="U112" i="4"/>
  <c r="AF195" i="4"/>
  <c r="K8" i="4"/>
  <c r="U169" i="4"/>
  <c r="U145" i="4"/>
  <c r="BQ7" i="4"/>
  <c r="BK11" i="4"/>
  <c r="BQ32" i="4"/>
  <c r="AF10" i="4"/>
  <c r="AM10" i="4"/>
  <c r="AM8" i="4"/>
  <c r="AC10" i="4"/>
  <c r="AC8" i="4"/>
  <c r="AF193" i="4"/>
  <c r="Z258" i="4"/>
  <c r="BK8" i="4"/>
  <c r="BK7" i="4"/>
  <c r="AL8" i="4"/>
  <c r="U110" i="4"/>
  <c r="U12" i="4"/>
  <c r="U10" i="4"/>
  <c r="U8" i="4"/>
  <c r="U260" i="4"/>
  <c r="U264" i="4"/>
  <c r="AC258" i="4"/>
  <c r="AF8" i="4"/>
  <c r="AF260" i="4"/>
  <c r="AF264" i="4"/>
  <c r="AM259" i="4"/>
  <c r="BK12" i="4"/>
  <c r="BK16" i="4"/>
  <c r="Z260" i="4"/>
  <c r="Z264" i="4"/>
  <c r="AC260" i="4"/>
  <c r="AC264" i="4"/>
  <c r="S257" i="4"/>
  <c r="T256" i="4"/>
  <c r="S256" i="4"/>
  <c r="T255" i="4"/>
  <c r="S255" i="4"/>
  <c r="T254" i="4"/>
  <c r="S254" i="4"/>
  <c r="T253" i="4"/>
  <c r="S253" i="4"/>
  <c r="T252" i="4"/>
  <c r="S252" i="4"/>
  <c r="T251" i="4"/>
  <c r="S251" i="4"/>
  <c r="T250" i="4"/>
  <c r="S250" i="4"/>
  <c r="T249" i="4"/>
  <c r="S249" i="4"/>
  <c r="T248" i="4"/>
  <c r="S248" i="4"/>
  <c r="T247" i="4"/>
  <c r="S247" i="4"/>
  <c r="T246" i="4"/>
  <c r="S246" i="4"/>
  <c r="S245" i="4"/>
  <c r="S244" i="4"/>
  <c r="S243" i="4"/>
  <c r="S242" i="4"/>
  <c r="S241" i="4"/>
  <c r="S240" i="4"/>
  <c r="S239" i="4"/>
  <c r="S238" i="4"/>
  <c r="S237" i="4"/>
  <c r="S236" i="4"/>
  <c r="T235" i="4"/>
  <c r="S235" i="4"/>
  <c r="S234" i="4"/>
  <c r="S233" i="4"/>
  <c r="S232" i="4"/>
  <c r="S231" i="4"/>
  <c r="T230" i="4"/>
  <c r="S230" i="4"/>
  <c r="T229" i="4"/>
  <c r="S229" i="4"/>
  <c r="T228" i="4"/>
  <c r="S228" i="4"/>
  <c r="S227" i="4"/>
  <c r="S226" i="4"/>
  <c r="T225" i="4"/>
  <c r="S225" i="4"/>
  <c r="T224" i="4"/>
  <c r="S224" i="4"/>
  <c r="T223" i="4"/>
  <c r="S223" i="4"/>
  <c r="S222" i="4"/>
  <c r="S221" i="4"/>
  <c r="S220" i="4"/>
  <c r="S219" i="4"/>
  <c r="T218" i="4"/>
  <c r="S218" i="4"/>
  <c r="T217" i="4"/>
  <c r="S217" i="4"/>
  <c r="T216" i="4"/>
  <c r="S216" i="4"/>
  <c r="T215" i="4"/>
  <c r="S215" i="4"/>
  <c r="T214" i="4"/>
  <c r="S214" i="4"/>
  <c r="T213" i="4"/>
  <c r="S213" i="4"/>
  <c r="Y212" i="4"/>
  <c r="T212" i="4"/>
  <c r="S212" i="4"/>
  <c r="T211" i="4"/>
  <c r="S211" i="4"/>
  <c r="S210" i="4"/>
  <c r="S209" i="4"/>
  <c r="S208" i="4"/>
  <c r="T207" i="4"/>
  <c r="S207" i="4"/>
  <c r="T206" i="4"/>
  <c r="S206" i="4"/>
  <c r="T205" i="4"/>
  <c r="S205" i="4"/>
  <c r="T204" i="4"/>
  <c r="S204" i="4"/>
  <c r="T203" i="4"/>
  <c r="S203" i="4"/>
  <c r="T202" i="4"/>
  <c r="S202" i="4"/>
  <c r="T201" i="4"/>
  <c r="S201" i="4"/>
  <c r="T200" i="4"/>
  <c r="S200" i="4"/>
  <c r="T199" i="4"/>
  <c r="S199" i="4"/>
  <c r="T198" i="4"/>
  <c r="S198" i="4"/>
  <c r="T197" i="4"/>
  <c r="S197" i="4"/>
  <c r="S196" i="4"/>
  <c r="S195" i="4"/>
  <c r="T191" i="4"/>
  <c r="S191" i="4"/>
  <c r="T190" i="4"/>
  <c r="S190" i="4"/>
  <c r="T188" i="4"/>
  <c r="S188" i="4"/>
  <c r="T187" i="4"/>
  <c r="S187" i="4"/>
  <c r="T186" i="4"/>
  <c r="S186" i="4"/>
  <c r="T185" i="4"/>
  <c r="S185" i="4"/>
  <c r="S184" i="4"/>
  <c r="S183" i="4"/>
  <c r="T182" i="4"/>
  <c r="S182" i="4"/>
  <c r="T181" i="4"/>
  <c r="S181" i="4"/>
  <c r="T180" i="4"/>
  <c r="S180" i="4"/>
  <c r="T179" i="4"/>
  <c r="S179" i="4"/>
  <c r="T178" i="4"/>
  <c r="S178" i="4"/>
  <c r="T177" i="4"/>
  <c r="S177" i="4"/>
  <c r="T176" i="4"/>
  <c r="S176" i="4"/>
  <c r="S175" i="4"/>
  <c r="S174" i="4"/>
  <c r="T173" i="4"/>
  <c r="S173" i="4"/>
  <c r="T172" i="4"/>
  <c r="S172" i="4"/>
  <c r="S171" i="4"/>
  <c r="S170" i="4"/>
  <c r="S169" i="4"/>
  <c r="S154" i="4"/>
  <c r="T153" i="4"/>
  <c r="S153" i="4"/>
  <c r="T152" i="4"/>
  <c r="S152" i="4"/>
  <c r="T151" i="4"/>
  <c r="S151" i="4"/>
  <c r="T150" i="4"/>
  <c r="S150" i="4"/>
  <c r="T149" i="4"/>
  <c r="S149" i="4"/>
  <c r="T148" i="4"/>
  <c r="S148" i="4"/>
  <c r="S147" i="4"/>
  <c r="S146" i="4"/>
  <c r="S145" i="4"/>
  <c r="S144" i="4"/>
  <c r="T143" i="4"/>
  <c r="S143" i="4"/>
  <c r="T142" i="4"/>
  <c r="S142" i="4"/>
  <c r="S141" i="4"/>
  <c r="S140" i="4"/>
  <c r="T139" i="4"/>
  <c r="S139" i="4"/>
  <c r="T138" i="4"/>
  <c r="S138" i="4"/>
  <c r="T137" i="4"/>
  <c r="S137" i="4"/>
  <c r="T136" i="4"/>
  <c r="S136" i="4"/>
  <c r="T135" i="4"/>
  <c r="S135" i="4"/>
  <c r="T134" i="4"/>
  <c r="S134" i="4"/>
  <c r="T133" i="4"/>
  <c r="S133" i="4"/>
  <c r="T132" i="4"/>
  <c r="S132" i="4"/>
  <c r="T131" i="4"/>
  <c r="S131" i="4"/>
  <c r="T130" i="4"/>
  <c r="S130" i="4"/>
  <c r="T129" i="4"/>
  <c r="S129" i="4"/>
  <c r="T128" i="4"/>
  <c r="S128" i="4"/>
  <c r="T127" i="4"/>
  <c r="S127" i="4"/>
  <c r="T126" i="4"/>
  <c r="S126" i="4"/>
  <c r="T125" i="4"/>
  <c r="S125" i="4"/>
  <c r="T124" i="4"/>
  <c r="S124" i="4"/>
  <c r="B124" i="4"/>
  <c r="A124" i="4"/>
  <c r="S123" i="4"/>
  <c r="B123" i="4"/>
  <c r="A123" i="4"/>
  <c r="S122" i="4"/>
  <c r="A122" i="4"/>
  <c r="T121" i="4"/>
  <c r="S121" i="4"/>
  <c r="B121" i="4"/>
  <c r="A121" i="4"/>
  <c r="T120" i="4"/>
  <c r="S120" i="4"/>
  <c r="B120" i="4"/>
  <c r="A120" i="4"/>
  <c r="T119" i="4"/>
  <c r="S119" i="4"/>
  <c r="B119" i="4"/>
  <c r="A119" i="4"/>
  <c r="T118" i="4"/>
  <c r="S118" i="4"/>
  <c r="B118" i="4"/>
  <c r="A118" i="4"/>
  <c r="T117" i="4"/>
  <c r="S117" i="4"/>
  <c r="B117" i="4"/>
  <c r="A117" i="4"/>
  <c r="T116" i="4"/>
  <c r="S116" i="4"/>
  <c r="B116" i="4"/>
  <c r="A116" i="4"/>
  <c r="T115" i="4"/>
  <c r="S115" i="4"/>
  <c r="B115" i="4"/>
  <c r="A115" i="4"/>
  <c r="S114" i="4"/>
  <c r="B114" i="4"/>
  <c r="A114" i="4"/>
  <c r="S113" i="4"/>
  <c r="B113" i="4"/>
  <c r="A113" i="4"/>
  <c r="S112" i="4"/>
  <c r="B112" i="4"/>
  <c r="A112" i="4"/>
  <c r="S111" i="4"/>
  <c r="B111" i="4"/>
  <c r="A111" i="4"/>
  <c r="S110" i="4"/>
  <c r="B110" i="4"/>
  <c r="A110" i="4"/>
  <c r="S109" i="4"/>
  <c r="B109" i="4"/>
  <c r="A109" i="4"/>
  <c r="T108" i="4"/>
  <c r="S108" i="4"/>
  <c r="B108" i="4"/>
  <c r="A108" i="4"/>
  <c r="T107" i="4"/>
  <c r="S107" i="4"/>
  <c r="B107" i="4"/>
  <c r="A107" i="4"/>
  <c r="T106" i="4"/>
  <c r="S106" i="4"/>
  <c r="B106" i="4"/>
  <c r="A106" i="4"/>
  <c r="T105" i="4"/>
  <c r="S105" i="4"/>
  <c r="B105" i="4"/>
  <c r="A105" i="4"/>
  <c r="S104" i="4"/>
  <c r="B104" i="4"/>
  <c r="A104" i="4"/>
  <c r="S103" i="4"/>
  <c r="B103" i="4"/>
  <c r="A103" i="4"/>
  <c r="T102" i="4"/>
  <c r="S102" i="4"/>
  <c r="B102" i="4"/>
  <c r="A102" i="4"/>
  <c r="T101" i="4"/>
  <c r="S101" i="4"/>
  <c r="B101" i="4"/>
  <c r="A101" i="4"/>
  <c r="T100" i="4"/>
  <c r="S100" i="4"/>
  <c r="B100" i="4"/>
  <c r="A100" i="4"/>
  <c r="T99" i="4"/>
  <c r="S99" i="4"/>
  <c r="B99" i="4"/>
  <c r="A99" i="4"/>
  <c r="T98" i="4"/>
  <c r="S98" i="4"/>
  <c r="B98" i="4"/>
  <c r="A98" i="4"/>
  <c r="T97" i="4"/>
  <c r="S97" i="4"/>
  <c r="B97" i="4"/>
  <c r="A97" i="4"/>
  <c r="T96" i="4"/>
  <c r="S96" i="4"/>
  <c r="B96" i="4"/>
  <c r="A96" i="4"/>
  <c r="T95" i="4"/>
  <c r="S95" i="4"/>
  <c r="B95" i="4"/>
  <c r="A95" i="4"/>
  <c r="T94" i="4"/>
  <c r="S94" i="4"/>
  <c r="B94" i="4"/>
  <c r="A94" i="4"/>
  <c r="T93" i="4"/>
  <c r="S93" i="4"/>
  <c r="B93" i="4"/>
  <c r="A93" i="4"/>
  <c r="T92" i="4"/>
  <c r="S92" i="4"/>
  <c r="B92" i="4"/>
  <c r="A92" i="4"/>
  <c r="T91" i="4"/>
  <c r="S91" i="4"/>
  <c r="B91" i="4"/>
  <c r="A91" i="4"/>
  <c r="S90" i="4"/>
  <c r="B90" i="4"/>
  <c r="S89" i="4"/>
  <c r="B89" i="4"/>
  <c r="A89" i="4"/>
  <c r="T88" i="4"/>
  <c r="S88" i="4"/>
  <c r="B88" i="4"/>
  <c r="A88" i="4"/>
  <c r="T87" i="4"/>
  <c r="S87" i="4"/>
  <c r="B87" i="4"/>
  <c r="A87" i="4"/>
  <c r="T86" i="4"/>
  <c r="S86" i="4"/>
  <c r="A86" i="4"/>
  <c r="T85" i="4"/>
  <c r="S85" i="4"/>
  <c r="B85" i="4"/>
  <c r="A85" i="4"/>
  <c r="T84" i="4"/>
  <c r="S84" i="4"/>
  <c r="B84" i="4"/>
  <c r="A84" i="4"/>
  <c r="S83" i="4"/>
  <c r="B83" i="4"/>
  <c r="A83" i="4"/>
  <c r="S82" i="4"/>
  <c r="A82" i="4"/>
  <c r="T81" i="4"/>
  <c r="S81" i="4"/>
  <c r="B81" i="4"/>
  <c r="A81" i="4"/>
  <c r="S80" i="4"/>
  <c r="B80" i="4"/>
  <c r="A80" i="4"/>
  <c r="T79" i="4"/>
  <c r="S79" i="4"/>
  <c r="A79" i="4"/>
  <c r="T78" i="4"/>
  <c r="S78" i="4"/>
  <c r="B78" i="4"/>
  <c r="A78" i="4"/>
  <c r="T77" i="4"/>
  <c r="S77" i="4"/>
  <c r="B77" i="4"/>
  <c r="A77" i="4"/>
  <c r="T76" i="4"/>
  <c r="S76" i="4"/>
  <c r="A76" i="4"/>
  <c r="T75" i="4"/>
  <c r="S75" i="4"/>
  <c r="B75" i="4"/>
  <c r="A75" i="4"/>
  <c r="T74" i="4"/>
  <c r="S74" i="4"/>
  <c r="B74" i="4"/>
  <c r="A74" i="4"/>
  <c r="T73" i="4"/>
  <c r="S73" i="4"/>
  <c r="A73" i="4"/>
  <c r="T72" i="4"/>
  <c r="S72" i="4"/>
  <c r="B72" i="4"/>
  <c r="A72" i="4"/>
  <c r="T71" i="4"/>
  <c r="S71" i="4"/>
  <c r="B71" i="4"/>
  <c r="A71" i="4"/>
  <c r="T70" i="4"/>
  <c r="S70" i="4"/>
  <c r="A70" i="4"/>
  <c r="T69" i="4"/>
  <c r="S69" i="4"/>
  <c r="B69" i="4"/>
  <c r="A69" i="4"/>
  <c r="T68" i="4"/>
  <c r="S68" i="4"/>
  <c r="B68" i="4"/>
  <c r="A68" i="4"/>
  <c r="T67" i="4"/>
  <c r="S67" i="4"/>
  <c r="A67" i="4"/>
  <c r="T66" i="4"/>
  <c r="S66" i="4"/>
  <c r="B66" i="4"/>
  <c r="A66" i="4"/>
  <c r="S65" i="4"/>
  <c r="B65" i="4"/>
  <c r="A65" i="4"/>
  <c r="S64" i="4"/>
  <c r="A64" i="4"/>
  <c r="S63" i="4"/>
  <c r="B63" i="4"/>
  <c r="A63" i="4"/>
  <c r="S62" i="4"/>
  <c r="B62" i="4"/>
  <c r="A62" i="4"/>
  <c r="T61" i="4"/>
  <c r="S61" i="4"/>
  <c r="A61" i="4"/>
  <c r="T60" i="4"/>
  <c r="S60" i="4"/>
  <c r="B60" i="4"/>
  <c r="A60" i="4"/>
  <c r="T59" i="4"/>
  <c r="S59" i="4"/>
  <c r="B59" i="4"/>
  <c r="A59" i="4"/>
  <c r="T58" i="4"/>
  <c r="S58" i="4"/>
  <c r="A58" i="4"/>
  <c r="S57" i="4"/>
  <c r="B57" i="4"/>
  <c r="A57" i="4"/>
  <c r="S56" i="4"/>
  <c r="B56" i="4"/>
  <c r="A56" i="4"/>
  <c r="T55" i="4"/>
  <c r="S55" i="4"/>
  <c r="A55" i="4"/>
  <c r="T54" i="4"/>
  <c r="S54" i="4"/>
  <c r="B54" i="4"/>
  <c r="A54" i="4"/>
  <c r="T53" i="4"/>
  <c r="S53" i="4"/>
  <c r="B53" i="4"/>
  <c r="A53" i="4"/>
  <c r="T52" i="4"/>
  <c r="S52" i="4"/>
  <c r="A52" i="4"/>
  <c r="T51" i="4"/>
  <c r="T51" i="5"/>
  <c r="S51" i="4"/>
  <c r="B51" i="4"/>
  <c r="A51" i="4"/>
  <c r="T50" i="4"/>
  <c r="S50" i="4"/>
  <c r="B50" i="4"/>
  <c r="A50" i="4"/>
  <c r="T49" i="4"/>
  <c r="S49" i="4"/>
  <c r="A49" i="4"/>
  <c r="T48" i="4"/>
  <c r="S48" i="4"/>
  <c r="B48" i="4"/>
  <c r="A48" i="4"/>
  <c r="T47" i="4"/>
  <c r="S47" i="4"/>
  <c r="B47" i="4"/>
  <c r="A47" i="4"/>
  <c r="T46" i="4"/>
  <c r="S46" i="4"/>
  <c r="A46" i="4"/>
  <c r="T45" i="4"/>
  <c r="S45" i="4"/>
  <c r="B45" i="4"/>
  <c r="A45" i="4"/>
  <c r="T44" i="4"/>
  <c r="S44" i="4"/>
  <c r="B44" i="4"/>
  <c r="S43" i="4"/>
  <c r="S42" i="4"/>
  <c r="B42" i="4"/>
  <c r="T41" i="4"/>
  <c r="S41" i="4"/>
  <c r="B41" i="4"/>
  <c r="A41" i="4"/>
  <c r="T40" i="4"/>
  <c r="S40" i="4"/>
  <c r="B40" i="4"/>
  <c r="A40" i="4"/>
  <c r="T39" i="4"/>
  <c r="T39" i="5"/>
  <c r="S39" i="4"/>
  <c r="B39" i="4"/>
  <c r="A39" i="4"/>
  <c r="T38" i="4"/>
  <c r="T38" i="5"/>
  <c r="S38" i="4"/>
  <c r="B38" i="4"/>
  <c r="A38" i="4"/>
  <c r="T37" i="4"/>
  <c r="S37" i="4"/>
  <c r="B37" i="4"/>
  <c r="A37" i="4"/>
  <c r="T36" i="4"/>
  <c r="S36" i="4"/>
  <c r="A36" i="4"/>
  <c r="S35" i="4"/>
  <c r="B35" i="4"/>
  <c r="A35" i="4"/>
  <c r="S34" i="4"/>
  <c r="B34" i="4"/>
  <c r="A34" i="4"/>
  <c r="T33" i="4"/>
  <c r="S33" i="4"/>
  <c r="A33" i="4"/>
  <c r="T32" i="4"/>
  <c r="S32" i="4"/>
  <c r="B32" i="4"/>
  <c r="A32" i="4"/>
  <c r="T31" i="4"/>
  <c r="S31" i="4"/>
  <c r="B31" i="4"/>
  <c r="A31" i="4"/>
  <c r="T30" i="4"/>
  <c r="S30" i="4"/>
  <c r="A30" i="4"/>
  <c r="T29" i="4"/>
  <c r="S29" i="4"/>
  <c r="B29" i="4"/>
  <c r="A29" i="4"/>
  <c r="T28" i="4"/>
  <c r="S28" i="4"/>
  <c r="B28" i="4"/>
  <c r="A28" i="4"/>
  <c r="T27" i="4"/>
  <c r="S27" i="4"/>
  <c r="B27" i="4"/>
  <c r="A27" i="4"/>
  <c r="T26" i="4"/>
  <c r="S26" i="4"/>
  <c r="A26" i="4"/>
  <c r="T25" i="4"/>
  <c r="S25" i="4"/>
  <c r="B25" i="4"/>
  <c r="A25" i="4"/>
  <c r="T24" i="4"/>
  <c r="S24" i="4"/>
  <c r="A24" i="4"/>
  <c r="T23" i="4"/>
  <c r="S23" i="4"/>
  <c r="A23" i="4"/>
  <c r="T22" i="4"/>
  <c r="S22" i="4"/>
  <c r="B22" i="4"/>
  <c r="A22" i="4"/>
  <c r="T21" i="4"/>
  <c r="S21" i="4"/>
  <c r="B21" i="4"/>
  <c r="A21" i="4"/>
  <c r="T20" i="4"/>
  <c r="S20" i="4"/>
  <c r="B20" i="4"/>
  <c r="A20" i="4"/>
  <c r="T19" i="4"/>
  <c r="S19" i="4"/>
  <c r="B19" i="4"/>
  <c r="A19" i="4"/>
  <c r="T18" i="4"/>
  <c r="S18" i="4"/>
  <c r="B18" i="4"/>
  <c r="A18" i="4"/>
  <c r="T17" i="4"/>
  <c r="S17" i="4"/>
  <c r="B17" i="4"/>
  <c r="A17" i="4"/>
  <c r="S16" i="4"/>
  <c r="B16" i="4"/>
  <c r="A16" i="4"/>
  <c r="S15" i="4"/>
  <c r="E15" i="4"/>
  <c r="A15" i="4"/>
  <c r="S14" i="4"/>
  <c r="E14" i="4"/>
  <c r="B14" i="4"/>
  <c r="A14" i="4"/>
  <c r="B13" i="4"/>
  <c r="A13" i="4"/>
  <c r="S12" i="4"/>
  <c r="B12" i="4"/>
  <c r="A12" i="4"/>
  <c r="S10" i="4"/>
  <c r="G8" i="14"/>
  <c r="B10" i="4"/>
  <c r="A10" i="4"/>
  <c r="S8" i="4"/>
  <c r="B8" i="4"/>
  <c r="A8" i="4"/>
  <c r="B24" i="4"/>
  <c r="E13" i="4"/>
  <c r="AA212" i="4"/>
  <c r="BE11" i="2"/>
  <c r="BE12" i="2"/>
  <c r="BF12" i="4"/>
  <c r="BE13" i="2"/>
  <c r="BF13" i="4"/>
  <c r="BE16" i="2"/>
  <c r="BF16" i="4"/>
  <c r="BF17" i="4"/>
  <c r="F17" i="14"/>
  <c r="F11" i="14"/>
  <c r="BF11" i="4"/>
  <c r="V128" i="2"/>
  <c r="V128" i="4"/>
  <c r="M54" i="14"/>
  <c r="M42" i="14"/>
  <c r="M33" i="14"/>
  <c r="L54" i="14"/>
  <c r="L40" i="14"/>
  <c r="L34" i="14"/>
  <c r="L33" i="14"/>
  <c r="K49" i="14"/>
  <c r="K46" i="14"/>
  <c r="K42" i="14"/>
  <c r="K40" i="14"/>
  <c r="K34" i="14"/>
  <c r="K33" i="14"/>
  <c r="J54" i="14"/>
  <c r="J46" i="14"/>
  <c r="J42" i="14"/>
  <c r="J40" i="14"/>
  <c r="J34" i="14"/>
  <c r="I54" i="14"/>
  <c r="I42" i="14"/>
  <c r="I40" i="14"/>
  <c r="I34" i="14"/>
  <c r="I33" i="14"/>
  <c r="H54" i="14"/>
  <c r="H42" i="14"/>
  <c r="H40" i="14"/>
  <c r="G54" i="14"/>
  <c r="G49" i="14"/>
  <c r="G40" i="14"/>
  <c r="G34" i="14"/>
  <c r="F54" i="14"/>
  <c r="BQ26" i="2"/>
  <c r="F49" i="14"/>
  <c r="BQ23" i="2"/>
  <c r="F46" i="14"/>
  <c r="BQ19" i="2"/>
  <c r="F42" i="14"/>
  <c r="F40" i="14"/>
  <c r="BQ11" i="2"/>
  <c r="F34" i="14"/>
  <c r="BQ10" i="2"/>
  <c r="F33" i="14"/>
  <c r="BM3" i="2"/>
  <c r="K1" i="14"/>
  <c r="H2" i="14"/>
  <c r="G15" i="14"/>
  <c r="H15" i="14"/>
  <c r="F16" i="14"/>
  <c r="G16" i="14"/>
  <c r="H16" i="14"/>
  <c r="F18" i="14"/>
  <c r="G18" i="14"/>
  <c r="H18" i="14"/>
  <c r="I18" i="14"/>
  <c r="J18" i="14"/>
  <c r="K18" i="14"/>
  <c r="L18" i="14"/>
  <c r="M18" i="14"/>
  <c r="N18" i="14"/>
  <c r="F19" i="14"/>
  <c r="G19" i="14"/>
  <c r="H19" i="14"/>
  <c r="I19" i="14"/>
  <c r="J19" i="14"/>
  <c r="K19" i="14"/>
  <c r="L19" i="14"/>
  <c r="M19" i="14"/>
  <c r="N19" i="14"/>
  <c r="F20" i="14"/>
  <c r="G20" i="14"/>
  <c r="H20" i="14"/>
  <c r="I20" i="14"/>
  <c r="J20" i="14"/>
  <c r="K20" i="14"/>
  <c r="L20" i="14"/>
  <c r="M20" i="14"/>
  <c r="N20" i="14"/>
  <c r="F21" i="14"/>
  <c r="G21" i="14"/>
  <c r="H21" i="14"/>
  <c r="I21" i="14"/>
  <c r="J21" i="14"/>
  <c r="K21" i="14"/>
  <c r="L21" i="14"/>
  <c r="M21" i="14"/>
  <c r="N21" i="14"/>
  <c r="G23" i="14"/>
  <c r="H23" i="14"/>
  <c r="F28" i="14"/>
  <c r="G28" i="14"/>
  <c r="H28" i="14"/>
  <c r="I28" i="14"/>
  <c r="J28" i="14"/>
  <c r="K28" i="14"/>
  <c r="L28" i="14"/>
  <c r="M28" i="14"/>
  <c r="N28" i="14"/>
  <c r="H33" i="14"/>
  <c r="H34" i="14"/>
  <c r="M34" i="14"/>
  <c r="M40" i="14"/>
  <c r="G42" i="14"/>
  <c r="L42" i="14"/>
  <c r="N42" i="14"/>
  <c r="G43" i="14"/>
  <c r="H43" i="14"/>
  <c r="F44" i="14"/>
  <c r="G44" i="14"/>
  <c r="H44" i="14"/>
  <c r="I44" i="14"/>
  <c r="J44" i="14"/>
  <c r="K44" i="14"/>
  <c r="L44" i="14"/>
  <c r="M44" i="14"/>
  <c r="N44" i="14"/>
  <c r="G46" i="14"/>
  <c r="H46" i="14"/>
  <c r="M46" i="14"/>
  <c r="H49" i="14"/>
  <c r="M49" i="14"/>
  <c r="J33" i="14"/>
  <c r="G33" i="14"/>
  <c r="AC149" i="13"/>
  <c r="Z149" i="13"/>
  <c r="Z147" i="13" s="1"/>
  <c r="U141" i="2"/>
  <c r="K78" i="7"/>
  <c r="T246" i="5"/>
  <c r="T246" i="6"/>
  <c r="T246" i="8"/>
  <c r="T246" i="9"/>
  <c r="T246" i="11"/>
  <c r="T250" i="5"/>
  <c r="T250" i="6"/>
  <c r="T250" i="7"/>
  <c r="T250" i="8"/>
  <c r="T250" i="9"/>
  <c r="T250" i="11"/>
  <c r="T251" i="5"/>
  <c r="T251" i="6"/>
  <c r="T251" i="7"/>
  <c r="T251" i="8"/>
  <c r="T251" i="9"/>
  <c r="T251" i="11"/>
  <c r="A2" i="16"/>
  <c r="A1" i="16"/>
  <c r="A2" i="15"/>
  <c r="A1" i="15"/>
  <c r="Q44" i="14"/>
  <c r="P44" i="14"/>
  <c r="E44" i="14"/>
  <c r="D44" i="14"/>
  <c r="C44" i="14"/>
  <c r="Q28" i="14"/>
  <c r="P28" i="14"/>
  <c r="O28" i="14"/>
  <c r="Q21" i="14"/>
  <c r="P21" i="14"/>
  <c r="O21" i="14"/>
  <c r="Q20" i="14"/>
  <c r="P20" i="14"/>
  <c r="O20" i="14"/>
  <c r="Q19" i="14"/>
  <c r="P19" i="14"/>
  <c r="O19" i="14"/>
  <c r="Q18" i="14"/>
  <c r="R18" i="14" s="1"/>
  <c r="P18" i="14"/>
  <c r="O18" i="14"/>
  <c r="B3" i="14"/>
  <c r="U255" i="13"/>
  <c r="U254" i="13"/>
  <c r="U253" i="13"/>
  <c r="U252" i="13"/>
  <c r="U251" i="13"/>
  <c r="U250" i="13"/>
  <c r="U249" i="13"/>
  <c r="U248" i="13"/>
  <c r="U247" i="13"/>
  <c r="U246" i="13"/>
  <c r="U245" i="13"/>
  <c r="U244" i="13"/>
  <c r="U243" i="13"/>
  <c r="AM242" i="13"/>
  <c r="AL242" i="13"/>
  <c r="AF242" i="13"/>
  <c r="AC242" i="13"/>
  <c r="Z242" i="13"/>
  <c r="U240" i="13"/>
  <c r="U239" i="13"/>
  <c r="U238" i="13"/>
  <c r="U237" i="13"/>
  <c r="U236" i="13"/>
  <c r="U235" i="13"/>
  <c r="AM234" i="13"/>
  <c r="AM233" i="13" s="1"/>
  <c r="AL234" i="13"/>
  <c r="AL233" i="13" s="1"/>
  <c r="AF234" i="13"/>
  <c r="BQ29" i="13" s="1"/>
  <c r="AC234" i="13"/>
  <c r="AC233" i="13" s="1"/>
  <c r="Z234" i="13"/>
  <c r="Z233" i="13" s="1"/>
  <c r="Z231" i="13" s="1"/>
  <c r="U229" i="13"/>
  <c r="U228" i="13"/>
  <c r="U227" i="13"/>
  <c r="AM226" i="13"/>
  <c r="AL226" i="13"/>
  <c r="AF226" i="13"/>
  <c r="AC226" i="13"/>
  <c r="AC219" i="13" s="1"/>
  <c r="Z226" i="13"/>
  <c r="U224" i="13"/>
  <c r="U223" i="13"/>
  <c r="U222" i="13"/>
  <c r="AM221" i="13"/>
  <c r="AL221" i="13"/>
  <c r="AF221" i="13"/>
  <c r="AC221" i="13"/>
  <c r="Z221" i="13"/>
  <c r="U217" i="13"/>
  <c r="U216" i="13"/>
  <c r="U215" i="13"/>
  <c r="U214" i="13"/>
  <c r="U213" i="13"/>
  <c r="U212" i="13"/>
  <c r="U211" i="13"/>
  <c r="AM210" i="13"/>
  <c r="AM209" i="13" s="1"/>
  <c r="AM208" i="13" s="1"/>
  <c r="AL210" i="13"/>
  <c r="AL209" i="13" s="1"/>
  <c r="AL208" i="13" s="1"/>
  <c r="AF210" i="13"/>
  <c r="AF209" i="13" s="1"/>
  <c r="AF208" i="13" s="1"/>
  <c r="AC210" i="13"/>
  <c r="AC209" i="13" s="1"/>
  <c r="AC208" i="13" s="1"/>
  <c r="Z210" i="13"/>
  <c r="Z209" i="13" s="1"/>
  <c r="Z208" i="13" s="1"/>
  <c r="U206" i="13"/>
  <c r="U205" i="13"/>
  <c r="U204" i="13" s="1"/>
  <c r="U195" i="13" s="1"/>
  <c r="U194" i="13" s="1"/>
  <c r="U192" i="13" s="1"/>
  <c r="AM204" i="13"/>
  <c r="AL204" i="13"/>
  <c r="AF204" i="13"/>
  <c r="AC204" i="13"/>
  <c r="Z204" i="13"/>
  <c r="U203" i="13"/>
  <c r="U202" i="13"/>
  <c r="U201" i="13"/>
  <c r="U200" i="13"/>
  <c r="U199" i="13"/>
  <c r="U198" i="13"/>
  <c r="U197" i="13"/>
  <c r="AM196" i="13"/>
  <c r="AL196" i="13"/>
  <c r="AF196" i="13"/>
  <c r="AC196" i="13"/>
  <c r="AC195" i="13" s="1"/>
  <c r="AC194" i="13" s="1"/>
  <c r="Z196" i="13"/>
  <c r="U190" i="13"/>
  <c r="U189" i="13"/>
  <c r="U187" i="13"/>
  <c r="U185" i="13" s="1"/>
  <c r="U183" i="13" s="1"/>
  <c r="U186" i="13"/>
  <c r="AM185" i="13"/>
  <c r="AM183" i="13" s="1"/>
  <c r="AL185" i="13"/>
  <c r="AL183" i="13" s="1"/>
  <c r="AF185" i="13"/>
  <c r="AF183" i="13" s="1"/>
  <c r="AC185" i="13"/>
  <c r="AC183" i="13" s="1"/>
  <c r="Z185" i="13"/>
  <c r="Z183" i="13" s="1"/>
  <c r="U184" i="13"/>
  <c r="U181" i="13"/>
  <c r="U180" i="13"/>
  <c r="U179" i="13"/>
  <c r="U178" i="13"/>
  <c r="U177" i="13"/>
  <c r="U176" i="13"/>
  <c r="U175" i="13"/>
  <c r="AM174" i="13"/>
  <c r="AM168" i="13" s="1"/>
  <c r="AL174" i="13"/>
  <c r="AF174" i="13"/>
  <c r="AC174" i="13"/>
  <c r="Z174" i="13"/>
  <c r="U172" i="13"/>
  <c r="U171" i="13"/>
  <c r="AM170" i="13"/>
  <c r="AL170" i="13"/>
  <c r="AF170" i="13"/>
  <c r="AC170" i="13"/>
  <c r="Z170" i="13"/>
  <c r="U165" i="13"/>
  <c r="U164" i="13"/>
  <c r="U163" i="13"/>
  <c r="U162" i="13"/>
  <c r="U161" i="13"/>
  <c r="U160" i="13"/>
  <c r="U159" i="13"/>
  <c r="U158" i="13"/>
  <c r="AM157" i="13"/>
  <c r="AM155" i="13" s="1"/>
  <c r="AL157" i="13"/>
  <c r="AL155" i="13" s="1"/>
  <c r="AF157" i="13"/>
  <c r="AF155" i="13" s="1"/>
  <c r="BQ18" i="13"/>
  <c r="Q41" i="14" s="1"/>
  <c r="AC157" i="13"/>
  <c r="AC155" i="13" s="1"/>
  <c r="AC145" i="13" s="1"/>
  <c r="Z157" i="13"/>
  <c r="Z155" i="13" s="1"/>
  <c r="U156" i="13"/>
  <c r="U153" i="13"/>
  <c r="U152" i="13"/>
  <c r="U151" i="13"/>
  <c r="U150" i="13"/>
  <c r="AM149" i="13"/>
  <c r="AM147" i="13" s="1"/>
  <c r="AL149" i="13"/>
  <c r="AF149" i="13"/>
  <c r="BQ16" i="13"/>
  <c r="U148" i="13"/>
  <c r="AL147" i="13"/>
  <c r="AC147" i="13"/>
  <c r="U143" i="13"/>
  <c r="U142" i="13"/>
  <c r="AM141" i="13"/>
  <c r="AM112" i="13" s="1"/>
  <c r="AL141" i="13"/>
  <c r="AF141" i="13"/>
  <c r="BQ20" i="13"/>
  <c r="Q43" i="14" s="1"/>
  <c r="AC141" i="13"/>
  <c r="Z141" i="13"/>
  <c r="U139" i="13"/>
  <c r="U138" i="13"/>
  <c r="U137" i="13"/>
  <c r="U136" i="13"/>
  <c r="U135" i="13"/>
  <c r="U134" i="13"/>
  <c r="U133" i="13"/>
  <c r="U132" i="13"/>
  <c r="U131" i="13"/>
  <c r="U130" i="13"/>
  <c r="U129" i="13"/>
  <c r="U128" i="13"/>
  <c r="U127" i="13"/>
  <c r="U126" i="13"/>
  <c r="U125" i="13"/>
  <c r="U124" i="13"/>
  <c r="C124" i="13"/>
  <c r="AM123" i="13"/>
  <c r="AL123" i="13"/>
  <c r="AF123" i="13"/>
  <c r="AC123" i="13"/>
  <c r="Z123" i="13"/>
  <c r="C123" i="13"/>
  <c r="C122" i="13"/>
  <c r="U121" i="13"/>
  <c r="C121" i="13"/>
  <c r="U120" i="13"/>
  <c r="C120" i="13"/>
  <c r="U119" i="13"/>
  <c r="C119" i="13"/>
  <c r="U118" i="13"/>
  <c r="C118" i="13"/>
  <c r="U117" i="13"/>
  <c r="C117" i="13"/>
  <c r="U116" i="13"/>
  <c r="C116" i="13"/>
  <c r="U115" i="13"/>
  <c r="C115" i="13"/>
  <c r="AM114" i="13"/>
  <c r="AL114" i="13"/>
  <c r="AF114" i="13"/>
  <c r="AC114" i="13"/>
  <c r="Z114" i="13"/>
  <c r="Q113" i="13"/>
  <c r="P113" i="13"/>
  <c r="K113" i="13"/>
  <c r="H113" i="13"/>
  <c r="C111" i="13"/>
  <c r="C110" i="13"/>
  <c r="C109" i="13"/>
  <c r="U108" i="13"/>
  <c r="C108" i="13"/>
  <c r="U107" i="13"/>
  <c r="C107" i="13"/>
  <c r="U106" i="13"/>
  <c r="U105" i="13" s="1"/>
  <c r="U104" i="13" s="1"/>
  <c r="C106" i="13"/>
  <c r="AM105" i="13"/>
  <c r="AM104" i="13"/>
  <c r="AL105" i="13"/>
  <c r="AL104" i="13" s="1"/>
  <c r="AF105" i="13"/>
  <c r="AF104" i="13" s="1"/>
  <c r="AC105" i="13"/>
  <c r="AC104" i="13" s="1"/>
  <c r="Z105" i="13"/>
  <c r="Z104" i="13" s="1"/>
  <c r="C105" i="13"/>
  <c r="Q104" i="13"/>
  <c r="P104" i="13"/>
  <c r="K104" i="13"/>
  <c r="H104" i="13"/>
  <c r="U102" i="13"/>
  <c r="C102" i="13"/>
  <c r="U101" i="13"/>
  <c r="C101" i="13"/>
  <c r="U100" i="13"/>
  <c r="C100" i="13"/>
  <c r="U99" i="13"/>
  <c r="C99" i="13"/>
  <c r="U98" i="13"/>
  <c r="C98" i="13"/>
  <c r="U97" i="13"/>
  <c r="C97" i="13"/>
  <c r="AM96" i="13"/>
  <c r="AM90" i="13" s="1"/>
  <c r="AL96" i="13"/>
  <c r="AF96" i="13"/>
  <c r="AC96" i="13"/>
  <c r="Z96" i="13"/>
  <c r="C96" i="13"/>
  <c r="U95" i="13"/>
  <c r="C95" i="13"/>
  <c r="U94" i="13"/>
  <c r="Q94" i="13"/>
  <c r="P94" i="13"/>
  <c r="K94" i="13"/>
  <c r="H94" i="13"/>
  <c r="U93" i="13"/>
  <c r="U92" i="13"/>
  <c r="C92" i="13"/>
  <c r="AM91" i="13"/>
  <c r="AL91" i="13"/>
  <c r="AL90" i="13" s="1"/>
  <c r="AF91" i="13"/>
  <c r="AF90" i="13" s="1"/>
  <c r="AC91" i="13"/>
  <c r="AC90" i="13" s="1"/>
  <c r="Z91" i="13"/>
  <c r="C91" i="13"/>
  <c r="C90" i="13"/>
  <c r="C89" i="13"/>
  <c r="U88" i="13"/>
  <c r="C88" i="13"/>
  <c r="U87" i="13"/>
  <c r="C87" i="13"/>
  <c r="U86" i="13"/>
  <c r="C86" i="13"/>
  <c r="U85" i="13"/>
  <c r="Q85" i="13"/>
  <c r="P85" i="13"/>
  <c r="K85" i="13"/>
  <c r="H85" i="13"/>
  <c r="U84" i="13"/>
  <c r="U83" i="13" s="1"/>
  <c r="AM83" i="13"/>
  <c r="AL83" i="13"/>
  <c r="AF83" i="13"/>
  <c r="AC83" i="13"/>
  <c r="Z83" i="13"/>
  <c r="C83" i="13"/>
  <c r="C82" i="13"/>
  <c r="B82" i="13"/>
  <c r="U81" i="13"/>
  <c r="Q81" i="13"/>
  <c r="P81" i="13"/>
  <c r="K81" i="13"/>
  <c r="H81" i="13"/>
  <c r="U80" i="13"/>
  <c r="C80" i="13"/>
  <c r="U79" i="13"/>
  <c r="C79" i="13"/>
  <c r="B79" i="13"/>
  <c r="U78" i="13"/>
  <c r="Q78" i="13"/>
  <c r="P78" i="13"/>
  <c r="H78" i="13"/>
  <c r="U77" i="13"/>
  <c r="C77" i="13"/>
  <c r="U76" i="13"/>
  <c r="C76" i="13"/>
  <c r="B76" i="13"/>
  <c r="U75" i="13"/>
  <c r="Q75" i="13"/>
  <c r="P75" i="13"/>
  <c r="H75" i="13"/>
  <c r="U74" i="13"/>
  <c r="C74" i="13"/>
  <c r="U73" i="13"/>
  <c r="C73" i="13"/>
  <c r="B73" i="13"/>
  <c r="U72" i="13"/>
  <c r="Q72" i="13"/>
  <c r="P72" i="13"/>
  <c r="K72" i="13"/>
  <c r="H72" i="13"/>
  <c r="U71" i="13"/>
  <c r="C71" i="13"/>
  <c r="U70" i="13"/>
  <c r="C70" i="13"/>
  <c r="B70" i="13"/>
  <c r="AM69" i="13"/>
  <c r="AM65" i="13" s="1"/>
  <c r="AL69" i="13"/>
  <c r="AL65" i="13" s="1"/>
  <c r="AF69" i="13"/>
  <c r="AF65" i="13" s="1"/>
  <c r="AC69" i="13"/>
  <c r="AC65" i="13" s="1"/>
  <c r="Z69" i="13"/>
  <c r="Z65" i="13" s="1"/>
  <c r="Q69" i="13"/>
  <c r="P69" i="13"/>
  <c r="K69" i="13"/>
  <c r="H69" i="13"/>
  <c r="U68" i="13"/>
  <c r="U65" i="13" s="1"/>
  <c r="C68" i="13"/>
  <c r="U67" i="13"/>
  <c r="C67" i="13"/>
  <c r="B67" i="13"/>
  <c r="U66" i="13"/>
  <c r="Q66" i="13"/>
  <c r="P66" i="13"/>
  <c r="K66" i="13"/>
  <c r="H66" i="13"/>
  <c r="C65" i="13"/>
  <c r="C64" i="13"/>
  <c r="B64" i="13"/>
  <c r="Q63" i="13"/>
  <c r="P63" i="13"/>
  <c r="K63" i="13"/>
  <c r="H63" i="13"/>
  <c r="C62" i="13"/>
  <c r="U61" i="13"/>
  <c r="C61" i="13"/>
  <c r="B61" i="13"/>
  <c r="U60" i="13"/>
  <c r="Q60" i="13"/>
  <c r="P60" i="13"/>
  <c r="K60" i="13"/>
  <c r="H60" i="13"/>
  <c r="U59" i="13"/>
  <c r="C59" i="13"/>
  <c r="AM58" i="13"/>
  <c r="AM57" i="13" s="1"/>
  <c r="AL58" i="13"/>
  <c r="AL57" i="13" s="1"/>
  <c r="AF58" i="13"/>
  <c r="AF57" i="13" s="1"/>
  <c r="AC58" i="13"/>
  <c r="AC57" i="13" s="1"/>
  <c r="Z58" i="13"/>
  <c r="Z57" i="13" s="1"/>
  <c r="C58" i="13"/>
  <c r="B58" i="13"/>
  <c r="Q57" i="13"/>
  <c r="P57" i="13"/>
  <c r="K57" i="13"/>
  <c r="H57" i="13"/>
  <c r="C56" i="13"/>
  <c r="U55" i="13"/>
  <c r="U261" i="13" s="1"/>
  <c r="C55" i="13"/>
  <c r="B55" i="13"/>
  <c r="U54" i="13"/>
  <c r="Q54" i="13"/>
  <c r="P54" i="13"/>
  <c r="K54" i="13"/>
  <c r="H54" i="13"/>
  <c r="U53" i="13"/>
  <c r="C53" i="13"/>
  <c r="U52" i="13"/>
  <c r="C52" i="13"/>
  <c r="B52" i="13"/>
  <c r="U51" i="13"/>
  <c r="Q51" i="13"/>
  <c r="P51" i="13"/>
  <c r="K51" i="13"/>
  <c r="H51" i="13"/>
  <c r="U50" i="13"/>
  <c r="C50" i="13"/>
  <c r="AM49" i="13"/>
  <c r="AM43" i="13" s="1"/>
  <c r="AL49" i="13"/>
  <c r="AF49" i="13"/>
  <c r="AC49" i="13"/>
  <c r="Z49" i="13"/>
  <c r="C49" i="13"/>
  <c r="B49" i="13"/>
  <c r="U48" i="13"/>
  <c r="Q48" i="13"/>
  <c r="P48" i="13"/>
  <c r="K48" i="13"/>
  <c r="H48" i="13"/>
  <c r="U47" i="13"/>
  <c r="C47" i="13"/>
  <c r="U46" i="13"/>
  <c r="C46" i="13"/>
  <c r="B46" i="13"/>
  <c r="U45" i="13"/>
  <c r="Q45" i="13"/>
  <c r="P45" i="13"/>
  <c r="K45" i="13"/>
  <c r="H45" i="13"/>
  <c r="AM44" i="13"/>
  <c r="AL44" i="13"/>
  <c r="AF44" i="13"/>
  <c r="AC44" i="13"/>
  <c r="Z44" i="13"/>
  <c r="C44" i="13"/>
  <c r="C43" i="13"/>
  <c r="B43" i="13"/>
  <c r="Q42" i="13"/>
  <c r="P42" i="13"/>
  <c r="K42" i="13"/>
  <c r="H42" i="13"/>
  <c r="U41" i="13"/>
  <c r="C41" i="13"/>
  <c r="U40" i="13"/>
  <c r="C40" i="13"/>
  <c r="U39" i="13"/>
  <c r="C39" i="13"/>
  <c r="U38" i="13"/>
  <c r="C38" i="13"/>
  <c r="U37" i="13"/>
  <c r="C37" i="13"/>
  <c r="U36" i="13"/>
  <c r="C36" i="13"/>
  <c r="B36" i="13"/>
  <c r="AM35" i="13"/>
  <c r="AL35" i="13"/>
  <c r="AF35" i="13"/>
  <c r="AC35" i="13"/>
  <c r="Z35" i="13"/>
  <c r="Q35" i="13"/>
  <c r="P35" i="13"/>
  <c r="K35" i="13"/>
  <c r="H35" i="13"/>
  <c r="C34" i="13"/>
  <c r="U33" i="13"/>
  <c r="C33" i="13"/>
  <c r="B33" i="13"/>
  <c r="U32" i="13"/>
  <c r="U20" i="13" s="1"/>
  <c r="Q32" i="13"/>
  <c r="P32" i="13"/>
  <c r="K32" i="13"/>
  <c r="H32" i="13"/>
  <c r="U31" i="13"/>
  <c r="C31" i="13"/>
  <c r="U30" i="13"/>
  <c r="C30" i="13"/>
  <c r="B30" i="13"/>
  <c r="U29" i="13"/>
  <c r="Q29" i="13"/>
  <c r="P29" i="13"/>
  <c r="K29" i="13"/>
  <c r="H29" i="13"/>
  <c r="U28" i="13"/>
  <c r="U27" i="13"/>
  <c r="C27" i="13"/>
  <c r="U26" i="13"/>
  <c r="C26" i="13"/>
  <c r="B26" i="13"/>
  <c r="U25" i="13"/>
  <c r="Q25" i="13"/>
  <c r="P25" i="13"/>
  <c r="K25" i="13"/>
  <c r="H25" i="13"/>
  <c r="U24" i="13"/>
  <c r="C24" i="13"/>
  <c r="U23" i="13"/>
  <c r="C23" i="13"/>
  <c r="B23" i="13"/>
  <c r="U22" i="13"/>
  <c r="Q22" i="13"/>
  <c r="P22" i="13"/>
  <c r="K22" i="13"/>
  <c r="H22" i="13"/>
  <c r="U21" i="13"/>
  <c r="AM20" i="13"/>
  <c r="AM16" i="13" s="1"/>
  <c r="AL20" i="13"/>
  <c r="AL16" i="13" s="1"/>
  <c r="AF20" i="13"/>
  <c r="AF16" i="13" s="1"/>
  <c r="AC20" i="13"/>
  <c r="AC16" i="13" s="1"/>
  <c r="Z20" i="13"/>
  <c r="Z16" i="13"/>
  <c r="U19" i="13"/>
  <c r="U18" i="13"/>
  <c r="U17" i="13"/>
  <c r="C15" i="13"/>
  <c r="Q14" i="14"/>
  <c r="C14" i="13"/>
  <c r="Q13" i="14"/>
  <c r="C13" i="13"/>
  <c r="C12" i="13"/>
  <c r="Q34" i="14"/>
  <c r="Q11" i="14"/>
  <c r="Q10" i="13"/>
  <c r="P10" i="13"/>
  <c r="K10" i="13"/>
  <c r="H10" i="13"/>
  <c r="AH3" i="13"/>
  <c r="Y3" i="13"/>
  <c r="V3" i="13" s="1"/>
  <c r="F3" i="13"/>
  <c r="D3" i="13"/>
  <c r="Y2" i="13"/>
  <c r="V2" i="13" s="1"/>
  <c r="T2" i="13"/>
  <c r="F2" i="13"/>
  <c r="D2" i="13" s="1"/>
  <c r="B2" i="13"/>
  <c r="U255" i="12"/>
  <c r="U254" i="12"/>
  <c r="U253" i="12"/>
  <c r="U252" i="12"/>
  <c r="U251" i="12"/>
  <c r="U250" i="12"/>
  <c r="U249" i="12"/>
  <c r="U248" i="12"/>
  <c r="U247" i="12"/>
  <c r="U246" i="12"/>
  <c r="U245" i="12"/>
  <c r="U244" i="12"/>
  <c r="U243" i="12"/>
  <c r="Z242" i="12"/>
  <c r="U240" i="12"/>
  <c r="U239" i="12"/>
  <c r="U238" i="12"/>
  <c r="U237" i="12"/>
  <c r="U236" i="12"/>
  <c r="U235" i="12"/>
  <c r="Z234" i="12"/>
  <c r="Z233" i="12"/>
  <c r="U229" i="12"/>
  <c r="U228" i="12"/>
  <c r="U227" i="12"/>
  <c r="Z226" i="12"/>
  <c r="U224" i="12"/>
  <c r="U223" i="12"/>
  <c r="U222" i="12"/>
  <c r="Z221" i="12"/>
  <c r="U217" i="12"/>
  <c r="U216" i="12"/>
  <c r="U215" i="12"/>
  <c r="U214" i="12"/>
  <c r="U213" i="12"/>
  <c r="U212" i="12"/>
  <c r="U211" i="12"/>
  <c r="Z210" i="12"/>
  <c r="Z209" i="12"/>
  <c r="Z208" i="12"/>
  <c r="U206" i="12"/>
  <c r="U205" i="12"/>
  <c r="U204" i="12"/>
  <c r="Z204" i="12"/>
  <c r="U203" i="12"/>
  <c r="U202" i="12"/>
  <c r="U201" i="12"/>
  <c r="U200" i="12"/>
  <c r="U199" i="12"/>
  <c r="U198" i="12"/>
  <c r="U197" i="12"/>
  <c r="Z196" i="12"/>
  <c r="U190" i="12"/>
  <c r="U189" i="12"/>
  <c r="U187" i="12"/>
  <c r="U186" i="12"/>
  <c r="Z185" i="12"/>
  <c r="Z183" i="12"/>
  <c r="U184" i="12"/>
  <c r="U181" i="12"/>
  <c r="U180" i="12"/>
  <c r="U179" i="12"/>
  <c r="U178" i="12"/>
  <c r="U177" i="12"/>
  <c r="U176" i="12"/>
  <c r="U175" i="12"/>
  <c r="Z174" i="12"/>
  <c r="U172" i="12"/>
  <c r="U171" i="12"/>
  <c r="Z170" i="12"/>
  <c r="U165" i="12"/>
  <c r="U164" i="12"/>
  <c r="U163" i="12"/>
  <c r="U162" i="12"/>
  <c r="U161" i="12"/>
  <c r="U160" i="12"/>
  <c r="U159" i="12"/>
  <c r="U158" i="12"/>
  <c r="Z157" i="12"/>
  <c r="Z155" i="12"/>
  <c r="U156" i="12"/>
  <c r="U153" i="12"/>
  <c r="U152" i="12"/>
  <c r="U151" i="12"/>
  <c r="U150" i="12"/>
  <c r="Z149" i="12"/>
  <c r="Z147" i="12"/>
  <c r="U148" i="12"/>
  <c r="U143" i="12"/>
  <c r="U142" i="12"/>
  <c r="Z141" i="12"/>
  <c r="U139" i="12"/>
  <c r="U138" i="12"/>
  <c r="U137" i="12"/>
  <c r="U136" i="12"/>
  <c r="U135" i="12"/>
  <c r="U134" i="12"/>
  <c r="U133" i="12"/>
  <c r="U132" i="12"/>
  <c r="U131" i="12"/>
  <c r="U130" i="12"/>
  <c r="U129" i="12"/>
  <c r="U128" i="12"/>
  <c r="U127" i="12"/>
  <c r="U126" i="12"/>
  <c r="U125" i="12"/>
  <c r="U124" i="12"/>
  <c r="C124" i="12"/>
  <c r="Z123" i="12"/>
  <c r="C123" i="12"/>
  <c r="C122" i="12"/>
  <c r="U121" i="12"/>
  <c r="C121" i="12"/>
  <c r="U120" i="12"/>
  <c r="C120" i="12"/>
  <c r="U119" i="12"/>
  <c r="C119" i="12"/>
  <c r="U118" i="12"/>
  <c r="C118" i="12"/>
  <c r="U117" i="12"/>
  <c r="C117" i="12"/>
  <c r="U116" i="12"/>
  <c r="C116" i="12"/>
  <c r="U115" i="12"/>
  <c r="C115" i="12"/>
  <c r="Z114" i="12"/>
  <c r="Q113" i="12"/>
  <c r="P113" i="12"/>
  <c r="K113" i="12"/>
  <c r="H113" i="12"/>
  <c r="C111" i="12"/>
  <c r="C110" i="12"/>
  <c r="C109" i="12"/>
  <c r="U108" i="12"/>
  <c r="C108" i="12"/>
  <c r="U107" i="12"/>
  <c r="C107" i="12"/>
  <c r="U106" i="12"/>
  <c r="C106" i="12"/>
  <c r="Z105" i="12"/>
  <c r="Z104" i="12"/>
  <c r="C105" i="12"/>
  <c r="Q104" i="12"/>
  <c r="P104" i="12"/>
  <c r="K104" i="12"/>
  <c r="H104" i="12"/>
  <c r="U102" i="12"/>
  <c r="C102" i="12"/>
  <c r="U101" i="12"/>
  <c r="C101" i="12"/>
  <c r="U100" i="12"/>
  <c r="C100" i="12"/>
  <c r="U99" i="12"/>
  <c r="C99" i="12"/>
  <c r="U98" i="12"/>
  <c r="C98" i="12"/>
  <c r="U97" i="12"/>
  <c r="C97" i="12"/>
  <c r="Z96" i="12"/>
  <c r="C96" i="12"/>
  <c r="U95" i="12"/>
  <c r="C95" i="12"/>
  <c r="U94" i="12"/>
  <c r="Q94" i="12"/>
  <c r="P94" i="12"/>
  <c r="K94" i="12"/>
  <c r="H94" i="12"/>
  <c r="U93" i="12"/>
  <c r="U92" i="12"/>
  <c r="C92" i="12"/>
  <c r="Z91" i="12"/>
  <c r="C91" i="12"/>
  <c r="C90" i="12"/>
  <c r="C89" i="12"/>
  <c r="U88" i="12"/>
  <c r="C88" i="12"/>
  <c r="U87" i="12"/>
  <c r="C87" i="12"/>
  <c r="U86" i="12"/>
  <c r="C86" i="12"/>
  <c r="U85" i="12"/>
  <c r="P85" i="12"/>
  <c r="K85" i="12"/>
  <c r="H85" i="12"/>
  <c r="U84" i="12"/>
  <c r="Z83" i="12"/>
  <c r="C83" i="12"/>
  <c r="C82" i="12"/>
  <c r="B82" i="12"/>
  <c r="U81" i="12"/>
  <c r="Q81" i="12"/>
  <c r="P81" i="12"/>
  <c r="K81" i="12"/>
  <c r="H81" i="12"/>
  <c r="U80" i="12"/>
  <c r="C80" i="12"/>
  <c r="U79" i="12"/>
  <c r="C79" i="12"/>
  <c r="B79" i="12"/>
  <c r="U78" i="12"/>
  <c r="Q78" i="12"/>
  <c r="P78" i="12"/>
  <c r="K78" i="12"/>
  <c r="H78" i="12"/>
  <c r="U77" i="12"/>
  <c r="C77" i="12"/>
  <c r="U76" i="12"/>
  <c r="C76" i="12"/>
  <c r="B76" i="12"/>
  <c r="U75" i="12"/>
  <c r="Q75" i="12"/>
  <c r="P75" i="12"/>
  <c r="K75" i="12"/>
  <c r="H75" i="12"/>
  <c r="U74" i="12"/>
  <c r="C74" i="12"/>
  <c r="U73" i="12"/>
  <c r="C73" i="12"/>
  <c r="B73" i="12"/>
  <c r="U72" i="12"/>
  <c r="Q72" i="12"/>
  <c r="P72" i="12"/>
  <c r="K72" i="12"/>
  <c r="H72" i="12"/>
  <c r="U71" i="12"/>
  <c r="C71" i="12"/>
  <c r="U70" i="12"/>
  <c r="C70" i="12"/>
  <c r="B70" i="12"/>
  <c r="Z69" i="12"/>
  <c r="Z65" i="12"/>
  <c r="Q69" i="12"/>
  <c r="P69" i="12"/>
  <c r="K69" i="12"/>
  <c r="H69" i="12"/>
  <c r="U68" i="12"/>
  <c r="C68" i="12"/>
  <c r="U67" i="12"/>
  <c r="C67" i="12"/>
  <c r="B67" i="12"/>
  <c r="U66" i="12"/>
  <c r="Q66" i="12"/>
  <c r="P66" i="12"/>
  <c r="K66" i="12"/>
  <c r="H66" i="12"/>
  <c r="C65" i="12"/>
  <c r="C64" i="12"/>
  <c r="B64" i="12"/>
  <c r="Q63" i="12"/>
  <c r="P63" i="12"/>
  <c r="K63" i="12"/>
  <c r="H63" i="12"/>
  <c r="C62" i="12"/>
  <c r="U61" i="12"/>
  <c r="C61" i="12"/>
  <c r="B61" i="12"/>
  <c r="U60" i="12"/>
  <c r="Q60" i="12"/>
  <c r="P60" i="12"/>
  <c r="K60" i="12"/>
  <c r="H60" i="12"/>
  <c r="U59" i="12"/>
  <c r="C59" i="12"/>
  <c r="Z58" i="12"/>
  <c r="Z57" i="12"/>
  <c r="C58" i="12"/>
  <c r="B58" i="12"/>
  <c r="Q57" i="12"/>
  <c r="P57" i="12"/>
  <c r="K57" i="12"/>
  <c r="H57" i="12"/>
  <c r="C56" i="12"/>
  <c r="U55" i="12"/>
  <c r="C55" i="12"/>
  <c r="B55" i="12"/>
  <c r="U54" i="12"/>
  <c r="Q54" i="12"/>
  <c r="P54" i="12"/>
  <c r="K54" i="12"/>
  <c r="H54" i="12"/>
  <c r="U53" i="12"/>
  <c r="C53" i="12"/>
  <c r="U52" i="12"/>
  <c r="C52" i="12"/>
  <c r="B52" i="12"/>
  <c r="U51" i="12"/>
  <c r="Q51" i="12"/>
  <c r="P51" i="12"/>
  <c r="K51" i="12"/>
  <c r="H51" i="12"/>
  <c r="U50" i="12"/>
  <c r="C50" i="12"/>
  <c r="Z49" i="12"/>
  <c r="C49" i="12"/>
  <c r="B49" i="12"/>
  <c r="U48" i="12"/>
  <c r="Q48" i="12"/>
  <c r="P48" i="12"/>
  <c r="K48" i="12"/>
  <c r="H48" i="12"/>
  <c r="U47" i="12"/>
  <c r="C47" i="12"/>
  <c r="U46" i="12"/>
  <c r="C46" i="12"/>
  <c r="B46" i="12"/>
  <c r="U45" i="12"/>
  <c r="Q45" i="12"/>
  <c r="P45" i="12"/>
  <c r="K45" i="12"/>
  <c r="H45" i="12"/>
  <c r="Z44" i="12"/>
  <c r="C44" i="12"/>
  <c r="C43" i="12"/>
  <c r="B43" i="12"/>
  <c r="Q42" i="12"/>
  <c r="P42" i="12"/>
  <c r="K42" i="12"/>
  <c r="H42" i="12"/>
  <c r="U41" i="12"/>
  <c r="C41" i="12"/>
  <c r="U40" i="12"/>
  <c r="C40" i="12"/>
  <c r="U39" i="12"/>
  <c r="C39" i="12"/>
  <c r="U38" i="12"/>
  <c r="C38" i="12"/>
  <c r="U37" i="12"/>
  <c r="C37" i="12"/>
  <c r="U36" i="12"/>
  <c r="C36" i="12"/>
  <c r="B36" i="12"/>
  <c r="Z35" i="12"/>
  <c r="Q35" i="12"/>
  <c r="P35" i="12"/>
  <c r="K35" i="12"/>
  <c r="H35" i="12"/>
  <c r="C34" i="12"/>
  <c r="U33" i="12"/>
  <c r="C33" i="12"/>
  <c r="B33" i="12"/>
  <c r="U32" i="12"/>
  <c r="Q32" i="12"/>
  <c r="P32" i="12"/>
  <c r="K32" i="12"/>
  <c r="H32" i="12"/>
  <c r="U31" i="12"/>
  <c r="C31" i="12"/>
  <c r="U30" i="12"/>
  <c r="C30" i="12"/>
  <c r="B30" i="12"/>
  <c r="U29" i="12"/>
  <c r="Q29" i="12"/>
  <c r="P29" i="12"/>
  <c r="H29" i="12"/>
  <c r="U28" i="12"/>
  <c r="U27" i="12"/>
  <c r="C27" i="12"/>
  <c r="U26" i="12"/>
  <c r="C26" i="12"/>
  <c r="B26" i="12"/>
  <c r="U25" i="12"/>
  <c r="Q25" i="12"/>
  <c r="P25" i="12"/>
  <c r="K25" i="12"/>
  <c r="H25" i="12"/>
  <c r="U24" i="12"/>
  <c r="C24" i="12"/>
  <c r="U23" i="12"/>
  <c r="C23" i="12"/>
  <c r="B23" i="12"/>
  <c r="U22" i="12"/>
  <c r="Q22" i="12"/>
  <c r="P22" i="12"/>
  <c r="K22" i="12"/>
  <c r="H22" i="12"/>
  <c r="U21" i="12"/>
  <c r="P23" i="14"/>
  <c r="Z20" i="12"/>
  <c r="Z16" i="12"/>
  <c r="P42" i="14"/>
  <c r="U19" i="12"/>
  <c r="U18" i="12"/>
  <c r="U17" i="12"/>
  <c r="C15" i="12"/>
  <c r="C14" i="12"/>
  <c r="P13" i="14"/>
  <c r="C13" i="12"/>
  <c r="C12" i="12"/>
  <c r="P34" i="14"/>
  <c r="P11" i="14"/>
  <c r="P33" i="14"/>
  <c r="Q10" i="12"/>
  <c r="P10" i="12"/>
  <c r="K10" i="12"/>
  <c r="H10" i="12"/>
  <c r="AH3" i="12"/>
  <c r="Y3" i="12"/>
  <c r="V3" i="12"/>
  <c r="AJ3" i="12"/>
  <c r="F3" i="12"/>
  <c r="D3" i="12"/>
  <c r="Y2" i="12"/>
  <c r="V2" i="12"/>
  <c r="T2" i="12"/>
  <c r="F2" i="12"/>
  <c r="D2" i="12"/>
  <c r="B2" i="12"/>
  <c r="C102" i="11"/>
  <c r="C101" i="11"/>
  <c r="C100" i="11"/>
  <c r="C99" i="11"/>
  <c r="C98" i="11"/>
  <c r="C97" i="11"/>
  <c r="AM96" i="11"/>
  <c r="AL96" i="11"/>
  <c r="AF96" i="11"/>
  <c r="AC96" i="11"/>
  <c r="Z96" i="11"/>
  <c r="C96" i="11"/>
  <c r="C95" i="11"/>
  <c r="Q94" i="11"/>
  <c r="P94" i="11"/>
  <c r="K94" i="11"/>
  <c r="H94" i="11"/>
  <c r="C92" i="11"/>
  <c r="AM91" i="11"/>
  <c r="AL91" i="11"/>
  <c r="AL90" i="11"/>
  <c r="AF91" i="11"/>
  <c r="AC91" i="11"/>
  <c r="Z91" i="11"/>
  <c r="C91" i="11"/>
  <c r="C90" i="11"/>
  <c r="C89" i="11"/>
  <c r="C88" i="11"/>
  <c r="C87" i="11"/>
  <c r="C86" i="11"/>
  <c r="Q85" i="11"/>
  <c r="P85" i="11"/>
  <c r="K85" i="11"/>
  <c r="H85" i="11"/>
  <c r="AF83" i="11"/>
  <c r="BQ14" i="11"/>
  <c r="AC83" i="11"/>
  <c r="Z83" i="11"/>
  <c r="C83" i="11"/>
  <c r="C82" i="11"/>
  <c r="B82" i="11"/>
  <c r="Q81" i="11"/>
  <c r="P81" i="11"/>
  <c r="K81" i="11"/>
  <c r="H81" i="11"/>
  <c r="C80" i="11"/>
  <c r="C79" i="11"/>
  <c r="B79" i="11"/>
  <c r="Q78" i="11"/>
  <c r="P78" i="11"/>
  <c r="K78" i="11"/>
  <c r="H78" i="11"/>
  <c r="C77" i="11"/>
  <c r="C76" i="11"/>
  <c r="B76" i="11"/>
  <c r="Q75" i="11"/>
  <c r="P75" i="11"/>
  <c r="K75" i="11"/>
  <c r="H75" i="11"/>
  <c r="C74" i="11"/>
  <c r="C73" i="11"/>
  <c r="B73" i="11"/>
  <c r="Q72" i="11"/>
  <c r="P72" i="11"/>
  <c r="K72" i="11"/>
  <c r="H72" i="11"/>
  <c r="C71" i="11"/>
  <c r="C70" i="11"/>
  <c r="B70" i="11"/>
  <c r="AM69" i="11"/>
  <c r="AM65" i="11"/>
  <c r="AL69" i="11"/>
  <c r="AL65" i="11"/>
  <c r="AF69" i="11"/>
  <c r="AF65" i="11"/>
  <c r="BQ12" i="11"/>
  <c r="BQ9" i="11"/>
  <c r="AC69" i="11"/>
  <c r="AC65" i="11"/>
  <c r="Z69" i="11"/>
  <c r="Z65" i="11"/>
  <c r="Q69" i="11"/>
  <c r="P69" i="11"/>
  <c r="K69" i="11"/>
  <c r="H69" i="11"/>
  <c r="C68" i="11"/>
  <c r="C67" i="11"/>
  <c r="B67" i="11"/>
  <c r="Q66" i="11"/>
  <c r="P66" i="11"/>
  <c r="K66" i="11"/>
  <c r="H66" i="11"/>
  <c r="C65" i="11"/>
  <c r="C64" i="11"/>
  <c r="B64" i="11"/>
  <c r="Q63" i="11"/>
  <c r="P63" i="11"/>
  <c r="K63" i="11"/>
  <c r="H63" i="11"/>
  <c r="C62" i="11"/>
  <c r="C61" i="11"/>
  <c r="B61" i="11"/>
  <c r="Q60" i="11"/>
  <c r="P60" i="11"/>
  <c r="K60" i="11"/>
  <c r="H60" i="11"/>
  <c r="C59" i="11"/>
  <c r="AM58" i="11"/>
  <c r="AM57" i="11"/>
  <c r="AL58" i="11"/>
  <c r="AL57" i="11"/>
  <c r="AF58" i="11"/>
  <c r="AF57" i="11"/>
  <c r="AC58" i="11"/>
  <c r="AC57" i="11"/>
  <c r="Z58" i="11"/>
  <c r="Z57" i="11"/>
  <c r="C58" i="11"/>
  <c r="B58" i="11"/>
  <c r="Q57" i="11"/>
  <c r="P57" i="11"/>
  <c r="K57" i="11"/>
  <c r="H57" i="11"/>
  <c r="C56" i="11"/>
  <c r="C55" i="11"/>
  <c r="B55" i="11"/>
  <c r="Q54" i="11"/>
  <c r="P54" i="11"/>
  <c r="K54" i="11"/>
  <c r="H54" i="11"/>
  <c r="C53" i="11"/>
  <c r="C52" i="11"/>
  <c r="B52" i="11"/>
  <c r="Q51" i="11"/>
  <c r="P51" i="11"/>
  <c r="K51" i="11"/>
  <c r="H51" i="11"/>
  <c r="C50" i="11"/>
  <c r="AM49" i="11"/>
  <c r="AL49" i="11"/>
  <c r="AF49" i="11"/>
  <c r="AC49" i="11"/>
  <c r="Z49" i="11"/>
  <c r="C49" i="11"/>
  <c r="B49" i="11"/>
  <c r="Q48" i="11"/>
  <c r="P48" i="11"/>
  <c r="K48" i="11"/>
  <c r="H48" i="11"/>
  <c r="C47" i="11"/>
  <c r="C46" i="11"/>
  <c r="B46" i="11"/>
  <c r="Q45" i="11"/>
  <c r="P45" i="11"/>
  <c r="K45" i="11"/>
  <c r="H45" i="11"/>
  <c r="AM44" i="11"/>
  <c r="AL44" i="11"/>
  <c r="AF44" i="11"/>
  <c r="AC44" i="11"/>
  <c r="Z44" i="11"/>
  <c r="C44" i="11"/>
  <c r="C43" i="11"/>
  <c r="B43" i="11"/>
  <c r="Q42" i="11"/>
  <c r="P42" i="11"/>
  <c r="K42" i="11"/>
  <c r="H42" i="11"/>
  <c r="C41" i="11"/>
  <c r="C40" i="11"/>
  <c r="C39" i="11"/>
  <c r="C38" i="11"/>
  <c r="C37" i="11"/>
  <c r="C36" i="11"/>
  <c r="B36" i="11"/>
  <c r="AL35" i="11"/>
  <c r="Z35" i="11"/>
  <c r="Q35" i="11"/>
  <c r="P35" i="11"/>
  <c r="K35" i="11"/>
  <c r="H35" i="11"/>
  <c r="C34" i="11"/>
  <c r="C33" i="11"/>
  <c r="B33" i="11"/>
  <c r="Q32" i="11"/>
  <c r="P32" i="11"/>
  <c r="K32" i="11"/>
  <c r="H32" i="11"/>
  <c r="C31" i="11"/>
  <c r="C30" i="11"/>
  <c r="B30" i="11"/>
  <c r="Q29" i="11"/>
  <c r="P29" i="11"/>
  <c r="K29" i="11"/>
  <c r="H29" i="11"/>
  <c r="C27" i="11"/>
  <c r="C26" i="11"/>
  <c r="B26" i="11"/>
  <c r="Q25" i="11"/>
  <c r="P25" i="11"/>
  <c r="K25" i="11"/>
  <c r="H25" i="11"/>
  <c r="C24" i="11"/>
  <c r="C23" i="11"/>
  <c r="B23" i="11"/>
  <c r="Q22" i="11"/>
  <c r="P22" i="11"/>
  <c r="K22" i="11"/>
  <c r="H22" i="11"/>
  <c r="O23" i="14"/>
  <c r="AM20" i="11"/>
  <c r="AM16" i="11"/>
  <c r="AL20" i="11"/>
  <c r="AL16" i="11"/>
  <c r="Z20" i="11"/>
  <c r="Z16" i="11"/>
  <c r="O22" i="14"/>
  <c r="O17" i="14"/>
  <c r="O16" i="14"/>
  <c r="C15" i="11"/>
  <c r="O14" i="14"/>
  <c r="C14" i="11"/>
  <c r="O13" i="14"/>
  <c r="C13" i="11"/>
  <c r="O12" i="14"/>
  <c r="C12" i="11"/>
  <c r="O11" i="14"/>
  <c r="Q10" i="11"/>
  <c r="BK7" i="11"/>
  <c r="P10" i="11"/>
  <c r="K10" i="11"/>
  <c r="H10" i="11"/>
  <c r="AH3" i="11"/>
  <c r="Y3" i="11"/>
  <c r="V3" i="11"/>
  <c r="F3" i="11"/>
  <c r="D3" i="11"/>
  <c r="Y2" i="11"/>
  <c r="V2" i="11"/>
  <c r="T2" i="11"/>
  <c r="F2" i="11"/>
  <c r="D2" i="11"/>
  <c r="B2" i="11"/>
  <c r="N41" i="14"/>
  <c r="N40" i="14"/>
  <c r="N22" i="14"/>
  <c r="N17" i="14"/>
  <c r="N15" i="14"/>
  <c r="N14" i="14"/>
  <c r="N13" i="14"/>
  <c r="U255" i="9"/>
  <c r="U254" i="9"/>
  <c r="U253" i="9"/>
  <c r="U252" i="9"/>
  <c r="U251" i="9"/>
  <c r="U250" i="9"/>
  <c r="U249" i="9"/>
  <c r="U248" i="9"/>
  <c r="U247" i="9"/>
  <c r="U246" i="9"/>
  <c r="U245" i="9"/>
  <c r="U244" i="9"/>
  <c r="U243" i="9"/>
  <c r="AF242" i="9"/>
  <c r="AC242" i="9"/>
  <c r="Z242" i="9"/>
  <c r="U240" i="9"/>
  <c r="U239" i="9"/>
  <c r="U238" i="9"/>
  <c r="U237" i="9"/>
  <c r="U236" i="9"/>
  <c r="U235" i="9"/>
  <c r="AF234" i="9"/>
  <c r="BQ29" i="9"/>
  <c r="AC234" i="9"/>
  <c r="AC233" i="9"/>
  <c r="Z234" i="9"/>
  <c r="Z233" i="9"/>
  <c r="U229" i="9"/>
  <c r="U228" i="9"/>
  <c r="U227" i="9"/>
  <c r="AF226" i="9"/>
  <c r="AC226" i="9"/>
  <c r="Z226" i="9"/>
  <c r="U224" i="9"/>
  <c r="U223" i="9"/>
  <c r="U222" i="9"/>
  <c r="AF221" i="9"/>
  <c r="AC221" i="9"/>
  <c r="Z221" i="9"/>
  <c r="U217" i="9"/>
  <c r="U216" i="9"/>
  <c r="U215" i="9"/>
  <c r="U214" i="9"/>
  <c r="U213" i="9"/>
  <c r="U212" i="9"/>
  <c r="U211" i="9"/>
  <c r="AF210" i="9"/>
  <c r="BQ27" i="9"/>
  <c r="AC210" i="9"/>
  <c r="AC209" i="9"/>
  <c r="AC208" i="9"/>
  <c r="Z210" i="9"/>
  <c r="Z209" i="9"/>
  <c r="Z208" i="9"/>
  <c r="U206" i="9"/>
  <c r="U205" i="9"/>
  <c r="Z204" i="9"/>
  <c r="U203" i="9"/>
  <c r="U202" i="9"/>
  <c r="U201" i="9"/>
  <c r="U200" i="9"/>
  <c r="U199" i="9"/>
  <c r="U198" i="9"/>
  <c r="U197" i="9"/>
  <c r="AF196" i="9"/>
  <c r="BQ28" i="9"/>
  <c r="BQ25" i="9"/>
  <c r="AC196" i="9"/>
  <c r="Z196" i="9"/>
  <c r="U190" i="9"/>
  <c r="U189" i="9"/>
  <c r="U187" i="9"/>
  <c r="U186" i="9"/>
  <c r="AF185" i="9"/>
  <c r="AF183" i="9"/>
  <c r="AC185" i="9"/>
  <c r="AC183" i="9"/>
  <c r="Z185" i="9"/>
  <c r="Z183" i="9"/>
  <c r="U184" i="9"/>
  <c r="U181" i="9"/>
  <c r="U180" i="9"/>
  <c r="U179" i="9"/>
  <c r="U178" i="9"/>
  <c r="U177" i="9"/>
  <c r="U176" i="9"/>
  <c r="U175" i="9"/>
  <c r="AF174" i="9"/>
  <c r="AC174" i="9"/>
  <c r="Z174" i="9"/>
  <c r="U172" i="9"/>
  <c r="U171" i="9"/>
  <c r="AF170" i="9"/>
  <c r="AC170" i="9"/>
  <c r="Z170" i="9"/>
  <c r="U165" i="9"/>
  <c r="U164" i="9"/>
  <c r="U163" i="9"/>
  <c r="U162" i="9"/>
  <c r="U161" i="9"/>
  <c r="U160" i="9"/>
  <c r="U159" i="9"/>
  <c r="U158" i="9"/>
  <c r="Z157" i="9"/>
  <c r="Z155" i="9"/>
  <c r="U156" i="9"/>
  <c r="U153" i="9"/>
  <c r="U152" i="9"/>
  <c r="U151" i="9"/>
  <c r="U150" i="9"/>
  <c r="AC147" i="9"/>
  <c r="Z149" i="9"/>
  <c r="Z147" i="9"/>
  <c r="U148" i="9"/>
  <c r="U143" i="9"/>
  <c r="U142" i="9"/>
  <c r="AF141" i="9"/>
  <c r="BQ20" i="9"/>
  <c r="BQ15" i="9"/>
  <c r="AC141" i="9"/>
  <c r="Z141" i="9"/>
  <c r="U139" i="9"/>
  <c r="U138" i="9"/>
  <c r="U137" i="9"/>
  <c r="U136" i="9"/>
  <c r="U135" i="9"/>
  <c r="U134" i="9"/>
  <c r="U133" i="9"/>
  <c r="U132" i="9"/>
  <c r="U131" i="9"/>
  <c r="U130" i="9"/>
  <c r="U129" i="9"/>
  <c r="U128" i="9"/>
  <c r="U127" i="9"/>
  <c r="U126" i="9"/>
  <c r="U125" i="9"/>
  <c r="U124" i="9"/>
  <c r="C124" i="9"/>
  <c r="AF123" i="9"/>
  <c r="AC123" i="9"/>
  <c r="Z123" i="9"/>
  <c r="C123" i="9"/>
  <c r="C122" i="9"/>
  <c r="U121" i="9"/>
  <c r="C121" i="9"/>
  <c r="U120" i="9"/>
  <c r="C120" i="9"/>
  <c r="U119" i="9"/>
  <c r="C119" i="9"/>
  <c r="U118" i="9"/>
  <c r="C118" i="9"/>
  <c r="U117" i="9"/>
  <c r="C117" i="9"/>
  <c r="U116" i="9"/>
  <c r="C116" i="9"/>
  <c r="U115" i="9"/>
  <c r="C115" i="9"/>
  <c r="AF114" i="9"/>
  <c r="AC114" i="9"/>
  <c r="Z114" i="9"/>
  <c r="Q113" i="9"/>
  <c r="P113" i="9"/>
  <c r="K113" i="9"/>
  <c r="H113" i="9"/>
  <c r="C111" i="9"/>
  <c r="C110" i="9"/>
  <c r="C109" i="9"/>
  <c r="U108" i="9"/>
  <c r="C108" i="9"/>
  <c r="U107" i="9"/>
  <c r="C107" i="9"/>
  <c r="U106" i="9"/>
  <c r="C106" i="9"/>
  <c r="AF105" i="9"/>
  <c r="AF104" i="9"/>
  <c r="AC105" i="9"/>
  <c r="AC104" i="9"/>
  <c r="Z105" i="9"/>
  <c r="Z104" i="9"/>
  <c r="C105" i="9"/>
  <c r="Q104" i="9"/>
  <c r="P104" i="9"/>
  <c r="K104" i="9"/>
  <c r="H104" i="9"/>
  <c r="U102" i="9"/>
  <c r="C102" i="9"/>
  <c r="U101" i="9"/>
  <c r="C101" i="9"/>
  <c r="U100" i="9"/>
  <c r="C100" i="9"/>
  <c r="U99" i="9"/>
  <c r="C99" i="9"/>
  <c r="U98" i="9"/>
  <c r="C98" i="9"/>
  <c r="U97" i="9"/>
  <c r="C97" i="9"/>
  <c r="AF96" i="9"/>
  <c r="AC96" i="9"/>
  <c r="Z96" i="9"/>
  <c r="C96" i="9"/>
  <c r="U95" i="9"/>
  <c r="C95" i="9"/>
  <c r="U94" i="9"/>
  <c r="Q94" i="9"/>
  <c r="P94" i="9"/>
  <c r="K94" i="9"/>
  <c r="H94" i="9"/>
  <c r="U93" i="9"/>
  <c r="U92" i="9"/>
  <c r="C92" i="9"/>
  <c r="AF91" i="9"/>
  <c r="AC91" i="9"/>
  <c r="Z91" i="9"/>
  <c r="C91" i="9"/>
  <c r="C90" i="9"/>
  <c r="C89" i="9"/>
  <c r="U88" i="9"/>
  <c r="C88" i="9"/>
  <c r="U87" i="9"/>
  <c r="C87" i="9"/>
  <c r="U86" i="9"/>
  <c r="C86" i="9"/>
  <c r="U85" i="9"/>
  <c r="Q85" i="9"/>
  <c r="P85" i="9"/>
  <c r="K85" i="9"/>
  <c r="H85" i="9"/>
  <c r="U84" i="9"/>
  <c r="AF83" i="9"/>
  <c r="AC83" i="9"/>
  <c r="Z83" i="9"/>
  <c r="C83" i="9"/>
  <c r="C82" i="9"/>
  <c r="B82" i="9"/>
  <c r="U81" i="9"/>
  <c r="Q81" i="9"/>
  <c r="P81" i="9"/>
  <c r="K81" i="9"/>
  <c r="U80" i="9"/>
  <c r="C80" i="9"/>
  <c r="U79" i="9"/>
  <c r="C79" i="9"/>
  <c r="B79" i="9"/>
  <c r="U78" i="9"/>
  <c r="Q78" i="9"/>
  <c r="P78" i="9"/>
  <c r="K78" i="9"/>
  <c r="H78" i="9"/>
  <c r="U77" i="9"/>
  <c r="C77" i="9"/>
  <c r="U76" i="9"/>
  <c r="C76" i="9"/>
  <c r="B76" i="9"/>
  <c r="U75" i="9"/>
  <c r="Q75" i="9"/>
  <c r="P75" i="9"/>
  <c r="K75" i="9"/>
  <c r="H75" i="9"/>
  <c r="U74" i="9"/>
  <c r="C74" i="9"/>
  <c r="U73" i="9"/>
  <c r="C73" i="9"/>
  <c r="B73" i="9"/>
  <c r="U72" i="9"/>
  <c r="Q72" i="9"/>
  <c r="P72" i="9"/>
  <c r="K72" i="9"/>
  <c r="H72" i="9"/>
  <c r="U71" i="9"/>
  <c r="C71" i="9"/>
  <c r="U70" i="9"/>
  <c r="C70" i="9"/>
  <c r="B70" i="9"/>
  <c r="AF69" i="9"/>
  <c r="AF65" i="9"/>
  <c r="AC69" i="9"/>
  <c r="AC65" i="9"/>
  <c r="Z69" i="9"/>
  <c r="Z65" i="9"/>
  <c r="Q69" i="9"/>
  <c r="P69" i="9"/>
  <c r="K69" i="9"/>
  <c r="H69" i="9"/>
  <c r="U68" i="9"/>
  <c r="C68" i="9"/>
  <c r="U67" i="9"/>
  <c r="C67" i="9"/>
  <c r="B67" i="9"/>
  <c r="U66" i="9"/>
  <c r="Q66" i="9"/>
  <c r="P66" i="9"/>
  <c r="K66" i="9"/>
  <c r="H66" i="9"/>
  <c r="C65" i="9"/>
  <c r="C64" i="9"/>
  <c r="B64" i="9"/>
  <c r="Q63" i="9"/>
  <c r="P63" i="9"/>
  <c r="K63" i="9"/>
  <c r="H63" i="9"/>
  <c r="C62" i="9"/>
  <c r="U61" i="9"/>
  <c r="C61" i="9"/>
  <c r="B61" i="9"/>
  <c r="U60" i="9"/>
  <c r="Q60" i="9"/>
  <c r="P60" i="9"/>
  <c r="K60" i="9"/>
  <c r="H60" i="9"/>
  <c r="U59" i="9"/>
  <c r="C59" i="9"/>
  <c r="AF58" i="9"/>
  <c r="AF57" i="9"/>
  <c r="AC58" i="9"/>
  <c r="AC57" i="9"/>
  <c r="Z58" i="9"/>
  <c r="Z57" i="9"/>
  <c r="C58" i="9"/>
  <c r="B58" i="9"/>
  <c r="Q57" i="9"/>
  <c r="P57" i="9"/>
  <c r="K57" i="9"/>
  <c r="H57" i="9"/>
  <c r="C56" i="9"/>
  <c r="U55" i="9"/>
  <c r="C55" i="9"/>
  <c r="B55" i="9"/>
  <c r="U54" i="9"/>
  <c r="Q54" i="9"/>
  <c r="P54" i="9"/>
  <c r="K54" i="9"/>
  <c r="H54" i="9"/>
  <c r="U53" i="9"/>
  <c r="C53" i="9"/>
  <c r="U52" i="9"/>
  <c r="C52" i="9"/>
  <c r="B52" i="9"/>
  <c r="U51" i="9"/>
  <c r="Q51" i="9"/>
  <c r="P51" i="9"/>
  <c r="K51" i="9"/>
  <c r="H51" i="9"/>
  <c r="U50" i="9"/>
  <c r="C50" i="9"/>
  <c r="AF49" i="9"/>
  <c r="AC49" i="9"/>
  <c r="Z49" i="9"/>
  <c r="C49" i="9"/>
  <c r="B49" i="9"/>
  <c r="U48" i="9"/>
  <c r="Q48" i="9"/>
  <c r="P48" i="9"/>
  <c r="K48" i="9"/>
  <c r="H48" i="9"/>
  <c r="U47" i="9"/>
  <c r="C47" i="9"/>
  <c r="U46" i="9"/>
  <c r="C46" i="9"/>
  <c r="B46" i="9"/>
  <c r="U45" i="9"/>
  <c r="Q45" i="9"/>
  <c r="P45" i="9"/>
  <c r="K45" i="9"/>
  <c r="H45" i="9"/>
  <c r="AF44" i="9"/>
  <c r="AC44" i="9"/>
  <c r="Z44" i="9"/>
  <c r="C44" i="9"/>
  <c r="C43" i="9"/>
  <c r="B43" i="9"/>
  <c r="Q42" i="9"/>
  <c r="P42" i="9"/>
  <c r="K42" i="9"/>
  <c r="H42" i="9"/>
  <c r="U41" i="9"/>
  <c r="C41" i="9"/>
  <c r="U40" i="9"/>
  <c r="C40" i="9"/>
  <c r="U39" i="9"/>
  <c r="C39" i="9"/>
  <c r="U38" i="9"/>
  <c r="C38" i="9"/>
  <c r="U37" i="9"/>
  <c r="C37" i="9"/>
  <c r="U36" i="9"/>
  <c r="C36" i="9"/>
  <c r="B36" i="9"/>
  <c r="AF35" i="9"/>
  <c r="AC35" i="9"/>
  <c r="Z35" i="9"/>
  <c r="Q35" i="9"/>
  <c r="P35" i="9"/>
  <c r="K35" i="9"/>
  <c r="H35" i="9"/>
  <c r="C34" i="9"/>
  <c r="U33" i="9"/>
  <c r="C33" i="9"/>
  <c r="B33" i="9"/>
  <c r="U32" i="9"/>
  <c r="Q32" i="9"/>
  <c r="P32" i="9"/>
  <c r="K32" i="9"/>
  <c r="H32" i="9"/>
  <c r="U31" i="9"/>
  <c r="C31" i="9"/>
  <c r="U30" i="9"/>
  <c r="C30" i="9"/>
  <c r="B30" i="9"/>
  <c r="U29" i="9"/>
  <c r="Q29" i="9"/>
  <c r="P29" i="9"/>
  <c r="K29" i="9"/>
  <c r="H29" i="9"/>
  <c r="U28" i="9"/>
  <c r="U27" i="9"/>
  <c r="C27" i="9"/>
  <c r="U26" i="9"/>
  <c r="C26" i="9"/>
  <c r="B26" i="9"/>
  <c r="U25" i="9"/>
  <c r="Q25" i="9"/>
  <c r="P25" i="9"/>
  <c r="K25" i="9"/>
  <c r="H25" i="9"/>
  <c r="U24" i="9"/>
  <c r="C24" i="9"/>
  <c r="U23" i="9"/>
  <c r="C23" i="9"/>
  <c r="B23" i="9"/>
  <c r="U22" i="9"/>
  <c r="Q22" i="9"/>
  <c r="P22" i="9"/>
  <c r="K22" i="9"/>
  <c r="H22" i="9"/>
  <c r="U21" i="9"/>
  <c r="M23" i="14"/>
  <c r="AF16" i="9"/>
  <c r="AC16" i="9"/>
  <c r="Z20" i="9"/>
  <c r="Z16" i="9"/>
  <c r="U19" i="9"/>
  <c r="U18" i="9"/>
  <c r="U17" i="9"/>
  <c r="C15" i="9"/>
  <c r="C14" i="9"/>
  <c r="C13" i="9"/>
  <c r="C12" i="9"/>
  <c r="Q10" i="9"/>
  <c r="P10" i="9"/>
  <c r="K10" i="9"/>
  <c r="BE7" i="9"/>
  <c r="H10" i="9"/>
  <c r="AH3" i="9"/>
  <c r="Y3" i="9"/>
  <c r="V3" i="9"/>
  <c r="F3" i="9"/>
  <c r="D3" i="9"/>
  <c r="Y2" i="9"/>
  <c r="V2" i="9"/>
  <c r="T2" i="9"/>
  <c r="F2" i="9"/>
  <c r="D2" i="9"/>
  <c r="B2" i="9"/>
  <c r="U255" i="8"/>
  <c r="U254" i="8"/>
  <c r="U253" i="8"/>
  <c r="U252" i="8"/>
  <c r="U251" i="8"/>
  <c r="U250" i="8"/>
  <c r="U249" i="8"/>
  <c r="U248" i="8"/>
  <c r="U247" i="8"/>
  <c r="U246" i="8"/>
  <c r="U245" i="8"/>
  <c r="U244" i="8"/>
  <c r="U243" i="8"/>
  <c r="AM242" i="8"/>
  <c r="AL242" i="8"/>
  <c r="AF242" i="8"/>
  <c r="AC242" i="8"/>
  <c r="Z242" i="8"/>
  <c r="U240" i="8"/>
  <c r="U239" i="8"/>
  <c r="U238" i="8"/>
  <c r="U237" i="8"/>
  <c r="U236" i="8"/>
  <c r="U235" i="8"/>
  <c r="AM234" i="8"/>
  <c r="AM233" i="8"/>
  <c r="AL234" i="8"/>
  <c r="AL233" i="8"/>
  <c r="AF234" i="8"/>
  <c r="BQ29" i="8"/>
  <c r="AC234" i="8"/>
  <c r="AC233" i="8"/>
  <c r="Z234" i="8"/>
  <c r="Z233" i="8"/>
  <c r="U229" i="8"/>
  <c r="U228" i="8"/>
  <c r="U227" i="8"/>
  <c r="AM226" i="8"/>
  <c r="AL226" i="8"/>
  <c r="AF226" i="8"/>
  <c r="AC226" i="8"/>
  <c r="Z226" i="8"/>
  <c r="U224" i="8"/>
  <c r="U223" i="8"/>
  <c r="U222" i="8"/>
  <c r="AM221" i="8"/>
  <c r="AM219" i="8"/>
  <c r="AL221" i="8"/>
  <c r="AF221" i="8"/>
  <c r="AF219" i="8"/>
  <c r="BQ30" i="8"/>
  <c r="AC221" i="8"/>
  <c r="AC219" i="8"/>
  <c r="Z221" i="8"/>
  <c r="Z219" i="8"/>
  <c r="U217" i="8"/>
  <c r="U216" i="8"/>
  <c r="U215" i="8"/>
  <c r="U214" i="8"/>
  <c r="U213" i="8"/>
  <c r="U212" i="8"/>
  <c r="U211" i="8"/>
  <c r="AM210" i="8"/>
  <c r="AM209" i="8"/>
  <c r="AM208" i="8"/>
  <c r="AL210" i="8"/>
  <c r="AL209" i="8"/>
  <c r="AL208" i="8"/>
  <c r="AF210" i="8"/>
  <c r="BQ27" i="8"/>
  <c r="AC210" i="8"/>
  <c r="AC209" i="8"/>
  <c r="AC208" i="8"/>
  <c r="Z210" i="8"/>
  <c r="Z209" i="8"/>
  <c r="Z208" i="8"/>
  <c r="U206" i="8"/>
  <c r="U205" i="8"/>
  <c r="U204" i="8"/>
  <c r="AM204" i="8"/>
  <c r="AL204" i="8"/>
  <c r="AF204" i="8"/>
  <c r="U203" i="8"/>
  <c r="U202" i="8"/>
  <c r="U201" i="8"/>
  <c r="U200" i="8"/>
  <c r="U199" i="8"/>
  <c r="U198" i="8"/>
  <c r="U197" i="8"/>
  <c r="AM196" i="8"/>
  <c r="AL196" i="8"/>
  <c r="AF196" i="8"/>
  <c r="AC196" i="8"/>
  <c r="Z196" i="8"/>
  <c r="U190" i="8"/>
  <c r="U189" i="8"/>
  <c r="U187" i="8"/>
  <c r="U186" i="8"/>
  <c r="AM185" i="8"/>
  <c r="AM183" i="8"/>
  <c r="AL185" i="8"/>
  <c r="AL183" i="8"/>
  <c r="AF185" i="8"/>
  <c r="AF183" i="8"/>
  <c r="AC185" i="8"/>
  <c r="AC183" i="8"/>
  <c r="Z185" i="8"/>
  <c r="Z183" i="8"/>
  <c r="U184" i="8"/>
  <c r="U181" i="8"/>
  <c r="U180" i="8"/>
  <c r="U179" i="8"/>
  <c r="U178" i="8"/>
  <c r="U177" i="8"/>
  <c r="U176" i="8"/>
  <c r="U175" i="8"/>
  <c r="AM174" i="8"/>
  <c r="AL174" i="8"/>
  <c r="AF174" i="8"/>
  <c r="AC174" i="8"/>
  <c r="Z174" i="8"/>
  <c r="U172" i="8"/>
  <c r="U171" i="8"/>
  <c r="AM170" i="8"/>
  <c r="AL170" i="8"/>
  <c r="AF170" i="8"/>
  <c r="AC170" i="8"/>
  <c r="Z170" i="8"/>
  <c r="U165" i="8"/>
  <c r="U164" i="8"/>
  <c r="U163" i="8"/>
  <c r="U162" i="8"/>
  <c r="U161" i="8"/>
  <c r="U160" i="8"/>
  <c r="U159" i="8"/>
  <c r="U158" i="8"/>
  <c r="AM157" i="8"/>
  <c r="AM155" i="8"/>
  <c r="AL157" i="8"/>
  <c r="AL155" i="8"/>
  <c r="AL258" i="8"/>
  <c r="AF157" i="8"/>
  <c r="BQ18" i="8"/>
  <c r="AC157" i="8"/>
  <c r="AC155" i="8"/>
  <c r="Z157" i="8"/>
  <c r="Z155" i="8"/>
  <c r="U156" i="8"/>
  <c r="U153" i="8"/>
  <c r="U152" i="8"/>
  <c r="U151" i="8"/>
  <c r="U150" i="8"/>
  <c r="AM149" i="8"/>
  <c r="AM147" i="8"/>
  <c r="AL149" i="8"/>
  <c r="AL147" i="8"/>
  <c r="AF149" i="8"/>
  <c r="BQ16" i="8"/>
  <c r="AC149" i="8"/>
  <c r="AC147" i="8"/>
  <c r="Z149" i="8"/>
  <c r="Z147" i="8"/>
  <c r="U148" i="8"/>
  <c r="U143" i="8"/>
  <c r="U142" i="8"/>
  <c r="AM141" i="8"/>
  <c r="AL141" i="8"/>
  <c r="AF141" i="8"/>
  <c r="BQ20" i="8"/>
  <c r="AC141" i="8"/>
  <c r="Z141" i="8"/>
  <c r="U139" i="8"/>
  <c r="U138" i="8"/>
  <c r="U137" i="8"/>
  <c r="U136" i="8"/>
  <c r="U135" i="8"/>
  <c r="U134" i="8"/>
  <c r="U133" i="8"/>
  <c r="U132" i="8"/>
  <c r="U131" i="8"/>
  <c r="U130" i="8"/>
  <c r="U129" i="8"/>
  <c r="U128" i="8"/>
  <c r="U127" i="8"/>
  <c r="U126" i="8"/>
  <c r="U125" i="8"/>
  <c r="U124" i="8"/>
  <c r="C124" i="8"/>
  <c r="AM123" i="8"/>
  <c r="AL123" i="8"/>
  <c r="AF123" i="8"/>
  <c r="AC123" i="8"/>
  <c r="Z123" i="8"/>
  <c r="C123" i="8"/>
  <c r="C122" i="8"/>
  <c r="U121" i="8"/>
  <c r="C121" i="8"/>
  <c r="U120" i="8"/>
  <c r="C120" i="8"/>
  <c r="U119" i="8"/>
  <c r="C119" i="8"/>
  <c r="U118" i="8"/>
  <c r="C118" i="8"/>
  <c r="U117" i="8"/>
  <c r="C117" i="8"/>
  <c r="U116" i="8"/>
  <c r="C116" i="8"/>
  <c r="U115" i="8"/>
  <c r="C115" i="8"/>
  <c r="AM114" i="8"/>
  <c r="AL114" i="8"/>
  <c r="AF114" i="8"/>
  <c r="AC114" i="8"/>
  <c r="Z114" i="8"/>
  <c r="Q113" i="8"/>
  <c r="P113" i="8"/>
  <c r="K113" i="8"/>
  <c r="H113" i="8"/>
  <c r="C111" i="8"/>
  <c r="C110" i="8"/>
  <c r="C109" i="8"/>
  <c r="U108" i="8"/>
  <c r="C108" i="8"/>
  <c r="U107" i="8"/>
  <c r="C107" i="8"/>
  <c r="U106" i="8"/>
  <c r="C106" i="8"/>
  <c r="AM105" i="8"/>
  <c r="AM104" i="8"/>
  <c r="AL105" i="8"/>
  <c r="AL104" i="8"/>
  <c r="AF105" i="8"/>
  <c r="AF104" i="8"/>
  <c r="AC105" i="8"/>
  <c r="AC104" i="8"/>
  <c r="Z105" i="8"/>
  <c r="Z104" i="8"/>
  <c r="C105" i="8"/>
  <c r="Q104" i="8"/>
  <c r="P104" i="8"/>
  <c r="K104" i="8"/>
  <c r="H104" i="8"/>
  <c r="U102" i="8"/>
  <c r="C102" i="8"/>
  <c r="U101" i="8"/>
  <c r="C101" i="8"/>
  <c r="U100" i="8"/>
  <c r="C100" i="8"/>
  <c r="U99" i="8"/>
  <c r="C99" i="8"/>
  <c r="U98" i="8"/>
  <c r="C98" i="8"/>
  <c r="U97" i="8"/>
  <c r="C97" i="8"/>
  <c r="AM96" i="8"/>
  <c r="AL96" i="8"/>
  <c r="AF96" i="8"/>
  <c r="AC96" i="8"/>
  <c r="Z96" i="8"/>
  <c r="C96" i="8"/>
  <c r="U95" i="8"/>
  <c r="C95" i="8"/>
  <c r="U94" i="8"/>
  <c r="Q94" i="8"/>
  <c r="P94" i="8"/>
  <c r="K94" i="8"/>
  <c r="H94" i="8"/>
  <c r="U93" i="8"/>
  <c r="U92" i="8"/>
  <c r="C92" i="8"/>
  <c r="AM91" i="8"/>
  <c r="AL91" i="8"/>
  <c r="AF91" i="8"/>
  <c r="AC91" i="8"/>
  <c r="Z91" i="8"/>
  <c r="C91" i="8"/>
  <c r="C90" i="8"/>
  <c r="C89" i="8"/>
  <c r="U88" i="8"/>
  <c r="C88" i="8"/>
  <c r="U87" i="8"/>
  <c r="C87" i="8"/>
  <c r="U86" i="8"/>
  <c r="C86" i="8"/>
  <c r="U85" i="8"/>
  <c r="Q85" i="8"/>
  <c r="P85" i="8"/>
  <c r="K85" i="8"/>
  <c r="H85" i="8"/>
  <c r="U84" i="8"/>
  <c r="AM83" i="8"/>
  <c r="AL83" i="8"/>
  <c r="AF83" i="8"/>
  <c r="AC83" i="8"/>
  <c r="Z83" i="8"/>
  <c r="C83" i="8"/>
  <c r="C82" i="8"/>
  <c r="B82" i="8"/>
  <c r="U81" i="8"/>
  <c r="Q81" i="8"/>
  <c r="P81" i="8"/>
  <c r="K81" i="8"/>
  <c r="H81" i="8"/>
  <c r="U80" i="8"/>
  <c r="C80" i="8"/>
  <c r="U79" i="8"/>
  <c r="C79" i="8"/>
  <c r="B79" i="8"/>
  <c r="U78" i="8"/>
  <c r="Q78" i="8"/>
  <c r="P78" i="8"/>
  <c r="K78" i="8"/>
  <c r="H78" i="8"/>
  <c r="U77" i="8"/>
  <c r="C77" i="8"/>
  <c r="U76" i="8"/>
  <c r="C76" i="8"/>
  <c r="B76" i="8"/>
  <c r="U75" i="8"/>
  <c r="Q75" i="8"/>
  <c r="P75" i="8"/>
  <c r="K75" i="8"/>
  <c r="H75" i="8"/>
  <c r="U74" i="8"/>
  <c r="C74" i="8"/>
  <c r="U73" i="8"/>
  <c r="C73" i="8"/>
  <c r="B73" i="8"/>
  <c r="U72" i="8"/>
  <c r="Q72" i="8"/>
  <c r="P72" i="8"/>
  <c r="K72" i="8"/>
  <c r="H72" i="8"/>
  <c r="U71" i="8"/>
  <c r="C71" i="8"/>
  <c r="U70" i="8"/>
  <c r="C70" i="8"/>
  <c r="B70" i="8"/>
  <c r="AM69" i="8"/>
  <c r="AM65" i="8"/>
  <c r="AL69" i="8"/>
  <c r="AL65" i="8"/>
  <c r="AF69" i="8"/>
  <c r="AF65" i="8"/>
  <c r="AC69" i="8"/>
  <c r="AC65" i="8"/>
  <c r="Z69" i="8"/>
  <c r="Z65" i="8"/>
  <c r="Q69" i="8"/>
  <c r="P69" i="8"/>
  <c r="K69" i="8"/>
  <c r="H69" i="8"/>
  <c r="U68" i="8"/>
  <c r="C68" i="8"/>
  <c r="U67" i="8"/>
  <c r="C67" i="8"/>
  <c r="B67" i="8"/>
  <c r="U66" i="8"/>
  <c r="Q66" i="8"/>
  <c r="P66" i="8"/>
  <c r="K66" i="8"/>
  <c r="H66" i="8"/>
  <c r="C65" i="8"/>
  <c r="C64" i="8"/>
  <c r="B64" i="8"/>
  <c r="Q63" i="8"/>
  <c r="P63" i="8"/>
  <c r="K63" i="8"/>
  <c r="H63" i="8"/>
  <c r="C62" i="8"/>
  <c r="U61" i="8"/>
  <c r="C61" i="8"/>
  <c r="B61" i="8"/>
  <c r="U60" i="8"/>
  <c r="Q60" i="8"/>
  <c r="P60" i="8"/>
  <c r="K60" i="8"/>
  <c r="H60" i="8"/>
  <c r="U59" i="8"/>
  <c r="C59" i="8"/>
  <c r="AM58" i="8"/>
  <c r="AM57" i="8"/>
  <c r="AL58" i="8"/>
  <c r="AL57" i="8"/>
  <c r="AF58" i="8"/>
  <c r="AF57" i="8"/>
  <c r="AC58" i="8"/>
  <c r="AC57" i="8"/>
  <c r="Z58" i="8"/>
  <c r="Z57" i="8"/>
  <c r="C58" i="8"/>
  <c r="B58" i="8"/>
  <c r="Q57" i="8"/>
  <c r="P57" i="8"/>
  <c r="K57" i="8"/>
  <c r="H57" i="8"/>
  <c r="C56" i="8"/>
  <c r="U55" i="8"/>
  <c r="C55" i="8"/>
  <c r="B55" i="8"/>
  <c r="U54" i="8"/>
  <c r="Q54" i="8"/>
  <c r="P54" i="8"/>
  <c r="K54" i="8"/>
  <c r="H54" i="8"/>
  <c r="U53" i="8"/>
  <c r="C53" i="8"/>
  <c r="U52" i="8"/>
  <c r="C52" i="8"/>
  <c r="B52" i="8"/>
  <c r="U51" i="8"/>
  <c r="Q51" i="8"/>
  <c r="P51" i="8"/>
  <c r="K51" i="8"/>
  <c r="H51" i="8"/>
  <c r="U50" i="8"/>
  <c r="C50" i="8"/>
  <c r="AM49" i="8"/>
  <c r="AL49" i="8"/>
  <c r="AF49" i="8"/>
  <c r="AC49" i="8"/>
  <c r="Z49" i="8"/>
  <c r="C49" i="8"/>
  <c r="B49" i="8"/>
  <c r="U48" i="8"/>
  <c r="Q48" i="8"/>
  <c r="P48" i="8"/>
  <c r="K48" i="8"/>
  <c r="H48" i="8"/>
  <c r="U47" i="8"/>
  <c r="C47" i="8"/>
  <c r="U46" i="8"/>
  <c r="C46" i="8"/>
  <c r="B46" i="8"/>
  <c r="U45" i="8"/>
  <c r="Q45" i="8"/>
  <c r="P45" i="8"/>
  <c r="K45" i="8"/>
  <c r="H45" i="8"/>
  <c r="AM44" i="8"/>
  <c r="AL44" i="8"/>
  <c r="AF44" i="8"/>
  <c r="AC44" i="8"/>
  <c r="Z44" i="8"/>
  <c r="C44" i="8"/>
  <c r="C43" i="8"/>
  <c r="B43" i="8"/>
  <c r="Q42" i="8"/>
  <c r="P42" i="8"/>
  <c r="K42" i="8"/>
  <c r="H42" i="8"/>
  <c r="U41" i="8"/>
  <c r="C41" i="8"/>
  <c r="U40" i="8"/>
  <c r="C40" i="8"/>
  <c r="U39" i="8"/>
  <c r="C39" i="8"/>
  <c r="U38" i="8"/>
  <c r="C38" i="8"/>
  <c r="U37" i="8"/>
  <c r="C37" i="8"/>
  <c r="U36" i="8"/>
  <c r="C36" i="8"/>
  <c r="B36" i="8"/>
  <c r="AM35" i="8"/>
  <c r="AL35" i="8"/>
  <c r="AF35" i="8"/>
  <c r="BQ14" i="8"/>
  <c r="AC35" i="8"/>
  <c r="Z35" i="8"/>
  <c r="Q35" i="8"/>
  <c r="P35" i="8"/>
  <c r="K35" i="8"/>
  <c r="H35" i="8"/>
  <c r="C34" i="8"/>
  <c r="U33" i="8"/>
  <c r="C33" i="8"/>
  <c r="B33" i="8"/>
  <c r="U32" i="8"/>
  <c r="Q32" i="8"/>
  <c r="P32" i="8"/>
  <c r="K32" i="8"/>
  <c r="H32" i="8"/>
  <c r="U31" i="8"/>
  <c r="C31" i="8"/>
  <c r="U30" i="8"/>
  <c r="C30" i="8"/>
  <c r="B30" i="8"/>
  <c r="U29" i="8"/>
  <c r="Q29" i="8"/>
  <c r="P29" i="8"/>
  <c r="K29" i="8"/>
  <c r="H29" i="8"/>
  <c r="U28" i="8"/>
  <c r="U27" i="8"/>
  <c r="C27" i="8"/>
  <c r="U26" i="8"/>
  <c r="C26" i="8"/>
  <c r="B26" i="8"/>
  <c r="U25" i="8"/>
  <c r="Q25" i="8"/>
  <c r="P25" i="8"/>
  <c r="K25" i="8"/>
  <c r="H25" i="8"/>
  <c r="U24" i="8"/>
  <c r="C24" i="8"/>
  <c r="U23" i="8"/>
  <c r="C23" i="8"/>
  <c r="B23" i="8"/>
  <c r="U22" i="8"/>
  <c r="Q22" i="8"/>
  <c r="P22" i="8"/>
  <c r="K22" i="8"/>
  <c r="H22" i="8"/>
  <c r="U21" i="8"/>
  <c r="L23" i="14"/>
  <c r="AM20" i="8"/>
  <c r="AM16" i="8"/>
  <c r="AL20" i="8"/>
  <c r="AL16" i="8"/>
  <c r="AF20" i="8"/>
  <c r="AF16" i="8"/>
  <c r="AC20" i="8"/>
  <c r="AC16" i="8"/>
  <c r="Z20" i="8"/>
  <c r="Z16" i="8"/>
  <c r="L22" i="14"/>
  <c r="U19" i="8"/>
  <c r="U18" i="8"/>
  <c r="L17" i="14"/>
  <c r="U17" i="8"/>
  <c r="L16" i="14"/>
  <c r="L15" i="14"/>
  <c r="K15" i="8"/>
  <c r="C15" i="8"/>
  <c r="L14" i="14"/>
  <c r="K14" i="8"/>
  <c r="C14" i="8"/>
  <c r="L13" i="14"/>
  <c r="K13" i="8"/>
  <c r="C13" i="8"/>
  <c r="L12" i="14"/>
  <c r="K12" i="8"/>
  <c r="C12" i="8"/>
  <c r="L11" i="14"/>
  <c r="Q10" i="8"/>
  <c r="P10" i="8"/>
  <c r="H10" i="8"/>
  <c r="AH3" i="8"/>
  <c r="Y3" i="8"/>
  <c r="V3" i="8"/>
  <c r="F3" i="8"/>
  <c r="D3" i="8"/>
  <c r="Y2" i="8"/>
  <c r="V2" i="8"/>
  <c r="T2" i="8"/>
  <c r="F2" i="8"/>
  <c r="D2" i="8"/>
  <c r="B2" i="8"/>
  <c r="AL258" i="7"/>
  <c r="U255" i="7"/>
  <c r="U254" i="7"/>
  <c r="U253" i="7"/>
  <c r="U252" i="7"/>
  <c r="U251" i="7"/>
  <c r="U250" i="7"/>
  <c r="U249" i="7"/>
  <c r="U248" i="7"/>
  <c r="U247" i="7"/>
  <c r="U246" i="7"/>
  <c r="U245" i="7"/>
  <c r="U244" i="7"/>
  <c r="U243" i="7"/>
  <c r="AM242" i="7"/>
  <c r="AL242" i="7"/>
  <c r="AF242" i="7"/>
  <c r="AC242" i="7"/>
  <c r="Z242" i="7"/>
  <c r="U240" i="7"/>
  <c r="U239" i="7"/>
  <c r="U238" i="7"/>
  <c r="U237" i="7"/>
  <c r="U236" i="7"/>
  <c r="U235" i="7"/>
  <c r="AM234" i="7"/>
  <c r="AM233" i="7"/>
  <c r="AL234" i="7"/>
  <c r="AL233" i="7"/>
  <c r="AF234" i="7"/>
  <c r="BQ29" i="7"/>
  <c r="AC234" i="7"/>
  <c r="AC233" i="7"/>
  <c r="Z234" i="7"/>
  <c r="Z233" i="7"/>
  <c r="U229" i="7"/>
  <c r="U228" i="7"/>
  <c r="U227" i="7"/>
  <c r="AM226" i="7"/>
  <c r="AL226" i="7"/>
  <c r="AF226" i="7"/>
  <c r="AC226" i="7"/>
  <c r="Z226" i="7"/>
  <c r="U224" i="7"/>
  <c r="U223" i="7"/>
  <c r="U222" i="7"/>
  <c r="AM221" i="7"/>
  <c r="AL221" i="7"/>
  <c r="AF221" i="7"/>
  <c r="AC221" i="7"/>
  <c r="Z221" i="7"/>
  <c r="U217" i="7"/>
  <c r="U216" i="7"/>
  <c r="U215" i="7"/>
  <c r="U214" i="7"/>
  <c r="U213" i="7"/>
  <c r="U212" i="7"/>
  <c r="U211" i="7"/>
  <c r="AM210" i="7"/>
  <c r="AM209" i="7"/>
  <c r="AM208" i="7"/>
  <c r="AL210" i="7"/>
  <c r="AL209" i="7"/>
  <c r="AL208" i="7"/>
  <c r="AF210" i="7"/>
  <c r="BQ27" i="7"/>
  <c r="AC210" i="7"/>
  <c r="AC209" i="7"/>
  <c r="AC208" i="7"/>
  <c r="Z210" i="7"/>
  <c r="Z209" i="7"/>
  <c r="Z208" i="7"/>
  <c r="T208" i="7"/>
  <c r="T208" i="8"/>
  <c r="T208" i="9"/>
  <c r="U206" i="7"/>
  <c r="U205" i="7"/>
  <c r="U204" i="7"/>
  <c r="AM204" i="7"/>
  <c r="AL204" i="7"/>
  <c r="AF204" i="7"/>
  <c r="AC204" i="7"/>
  <c r="Z204" i="7"/>
  <c r="U203" i="7"/>
  <c r="U202" i="7"/>
  <c r="U201" i="7"/>
  <c r="U200" i="7"/>
  <c r="U199" i="7"/>
  <c r="U198" i="7"/>
  <c r="U197" i="7"/>
  <c r="AM196" i="7"/>
  <c r="AL196" i="7"/>
  <c r="AL195" i="7"/>
  <c r="AL194" i="7"/>
  <c r="AF196" i="7"/>
  <c r="BQ28" i="7"/>
  <c r="AC196" i="7"/>
  <c r="Z196" i="7"/>
  <c r="U190" i="7"/>
  <c r="U189" i="7"/>
  <c r="U187" i="7"/>
  <c r="U186" i="7"/>
  <c r="AM185" i="7"/>
  <c r="AM183" i="7"/>
  <c r="AL185" i="7"/>
  <c r="AL183" i="7"/>
  <c r="AF185" i="7"/>
  <c r="AF183" i="7"/>
  <c r="AC185" i="7"/>
  <c r="AC183" i="7"/>
  <c r="Z185" i="7"/>
  <c r="Z183" i="7"/>
  <c r="U184" i="7"/>
  <c r="U181" i="7"/>
  <c r="U180" i="7"/>
  <c r="U179" i="7"/>
  <c r="U178" i="7"/>
  <c r="U177" i="7"/>
  <c r="U176" i="7"/>
  <c r="U175" i="7"/>
  <c r="AM174" i="7"/>
  <c r="AL174" i="7"/>
  <c r="AF174" i="7"/>
  <c r="AC174" i="7"/>
  <c r="Z174" i="7"/>
  <c r="U172" i="7"/>
  <c r="U171" i="7"/>
  <c r="AM170" i="7"/>
  <c r="AM168" i="7"/>
  <c r="AL170" i="7"/>
  <c r="AF170" i="7"/>
  <c r="AC170" i="7"/>
  <c r="Z170" i="7"/>
  <c r="U165" i="7"/>
  <c r="U164" i="7"/>
  <c r="U163" i="7"/>
  <c r="U162" i="7"/>
  <c r="U161" i="7"/>
  <c r="U160" i="7"/>
  <c r="U159" i="7"/>
  <c r="U158" i="7"/>
  <c r="AF157" i="7"/>
  <c r="BQ18" i="7"/>
  <c r="AC157" i="7"/>
  <c r="AC155" i="7"/>
  <c r="Z157" i="7"/>
  <c r="Z155" i="7"/>
  <c r="U156" i="7"/>
  <c r="U153" i="7"/>
  <c r="U152" i="7"/>
  <c r="U151" i="7"/>
  <c r="U150" i="7"/>
  <c r="AM149" i="7"/>
  <c r="AM147" i="7"/>
  <c r="AM145" i="7"/>
  <c r="AL147" i="7"/>
  <c r="AL145" i="7"/>
  <c r="AF149" i="7"/>
  <c r="BQ16" i="7"/>
  <c r="AC149" i="7"/>
  <c r="AC147" i="7"/>
  <c r="Z149" i="7"/>
  <c r="Z147" i="7"/>
  <c r="U148" i="7"/>
  <c r="U143" i="7"/>
  <c r="U142" i="7"/>
  <c r="AM141" i="7"/>
  <c r="AL141" i="7"/>
  <c r="AF141" i="7"/>
  <c r="BQ20" i="7"/>
  <c r="AC141" i="7"/>
  <c r="Z141" i="7"/>
  <c r="U139" i="7"/>
  <c r="U138" i="7"/>
  <c r="U137" i="7"/>
  <c r="U136" i="7"/>
  <c r="U135" i="7"/>
  <c r="U134" i="7"/>
  <c r="U133" i="7"/>
  <c r="U132" i="7"/>
  <c r="U131" i="7"/>
  <c r="U130" i="7"/>
  <c r="U129" i="7"/>
  <c r="U128" i="7"/>
  <c r="U127" i="7"/>
  <c r="U126" i="7"/>
  <c r="U125" i="7"/>
  <c r="U124" i="7"/>
  <c r="C124" i="7"/>
  <c r="AM123" i="7"/>
  <c r="AL123" i="7"/>
  <c r="AF123" i="7"/>
  <c r="AC123" i="7"/>
  <c r="Z123" i="7"/>
  <c r="C123" i="7"/>
  <c r="C122" i="7"/>
  <c r="U121" i="7"/>
  <c r="C121" i="7"/>
  <c r="U120" i="7"/>
  <c r="C120" i="7"/>
  <c r="U119" i="7"/>
  <c r="C119" i="7"/>
  <c r="U118" i="7"/>
  <c r="C118" i="7"/>
  <c r="U117" i="7"/>
  <c r="C117" i="7"/>
  <c r="U116" i="7"/>
  <c r="C116" i="7"/>
  <c r="U115" i="7"/>
  <c r="C115" i="7"/>
  <c r="AM114" i="7"/>
  <c r="AF114" i="7"/>
  <c r="AC114" i="7"/>
  <c r="Z114" i="7"/>
  <c r="Q113" i="7"/>
  <c r="P113" i="7"/>
  <c r="K113" i="7"/>
  <c r="H113" i="7"/>
  <c r="C111" i="7"/>
  <c r="C110" i="7"/>
  <c r="C109" i="7"/>
  <c r="U108" i="7"/>
  <c r="C108" i="7"/>
  <c r="U107" i="7"/>
  <c r="C107" i="7"/>
  <c r="U106" i="7"/>
  <c r="C106" i="7"/>
  <c r="AM105" i="7"/>
  <c r="AM104" i="7"/>
  <c r="AL105" i="7"/>
  <c r="AL104" i="7"/>
  <c r="AF105" i="7"/>
  <c r="AF104" i="7"/>
  <c r="AC105" i="7"/>
  <c r="AC104" i="7"/>
  <c r="Z105" i="7"/>
  <c r="Z104" i="7"/>
  <c r="C105" i="7"/>
  <c r="Q104" i="7"/>
  <c r="P104" i="7"/>
  <c r="K104" i="7"/>
  <c r="H104" i="7"/>
  <c r="U102" i="7"/>
  <c r="C102" i="7"/>
  <c r="U101" i="7"/>
  <c r="C101" i="7"/>
  <c r="U100" i="7"/>
  <c r="C100" i="7"/>
  <c r="U99" i="7"/>
  <c r="C99" i="7"/>
  <c r="U98" i="7"/>
  <c r="C98" i="7"/>
  <c r="U97" i="7"/>
  <c r="C97" i="7"/>
  <c r="AM96" i="7"/>
  <c r="AL96" i="7"/>
  <c r="AF96" i="7"/>
  <c r="AC96" i="7"/>
  <c r="Z96" i="7"/>
  <c r="C96" i="7"/>
  <c r="U95" i="7"/>
  <c r="C95" i="7"/>
  <c r="U94" i="7"/>
  <c r="Q94" i="7"/>
  <c r="P94" i="7"/>
  <c r="K94" i="7"/>
  <c r="H94" i="7"/>
  <c r="U93" i="7"/>
  <c r="U92" i="7"/>
  <c r="C92" i="7"/>
  <c r="AM91" i="7"/>
  <c r="AL91" i="7"/>
  <c r="AL90" i="7"/>
  <c r="AF91" i="7"/>
  <c r="AC91" i="7"/>
  <c r="Z91" i="7"/>
  <c r="C91" i="7"/>
  <c r="C90" i="7"/>
  <c r="C89" i="7"/>
  <c r="U88" i="7"/>
  <c r="C88" i="7"/>
  <c r="U87" i="7"/>
  <c r="C87" i="7"/>
  <c r="U86" i="7"/>
  <c r="C86" i="7"/>
  <c r="U85" i="7"/>
  <c r="Q85" i="7"/>
  <c r="P85" i="7"/>
  <c r="K85" i="7"/>
  <c r="H85" i="7"/>
  <c r="U84" i="7"/>
  <c r="AM83" i="7"/>
  <c r="AL83" i="7"/>
  <c r="AF83" i="7"/>
  <c r="AC83" i="7"/>
  <c r="Z83" i="7"/>
  <c r="C83" i="7"/>
  <c r="C82" i="7"/>
  <c r="B82" i="7"/>
  <c r="U81" i="7"/>
  <c r="Q81" i="7"/>
  <c r="P81" i="7"/>
  <c r="K81" i="7"/>
  <c r="H81" i="7"/>
  <c r="U80" i="7"/>
  <c r="C80" i="7"/>
  <c r="U79" i="7"/>
  <c r="C79" i="7"/>
  <c r="B79" i="7"/>
  <c r="U78" i="7"/>
  <c r="Q78" i="7"/>
  <c r="P78" i="7"/>
  <c r="H78" i="7"/>
  <c r="U77" i="7"/>
  <c r="C77" i="7"/>
  <c r="U76" i="7"/>
  <c r="C76" i="7"/>
  <c r="B76" i="7"/>
  <c r="U75" i="7"/>
  <c r="Q75" i="7"/>
  <c r="P75" i="7"/>
  <c r="K75" i="7"/>
  <c r="U74" i="7"/>
  <c r="C74" i="7"/>
  <c r="U73" i="7"/>
  <c r="C73" i="7"/>
  <c r="B73" i="7"/>
  <c r="U72" i="7"/>
  <c r="Q72" i="7"/>
  <c r="P72" i="7"/>
  <c r="K72" i="7"/>
  <c r="H72" i="7"/>
  <c r="U71" i="7"/>
  <c r="C71" i="7"/>
  <c r="U70" i="7"/>
  <c r="C70" i="7"/>
  <c r="B70" i="7"/>
  <c r="AM69" i="7"/>
  <c r="AM65" i="7"/>
  <c r="AL69" i="7"/>
  <c r="AL65" i="7"/>
  <c r="AF69" i="7"/>
  <c r="AF65" i="7"/>
  <c r="AC69" i="7"/>
  <c r="AC65" i="7"/>
  <c r="Z69" i="7"/>
  <c r="Z65" i="7"/>
  <c r="Q69" i="7"/>
  <c r="P69" i="7"/>
  <c r="K69" i="7"/>
  <c r="H69" i="7"/>
  <c r="U68" i="7"/>
  <c r="C68" i="7"/>
  <c r="U67" i="7"/>
  <c r="C67" i="7"/>
  <c r="B67" i="7"/>
  <c r="U66" i="7"/>
  <c r="Q66" i="7"/>
  <c r="P66" i="7"/>
  <c r="K66" i="7"/>
  <c r="H66" i="7"/>
  <c r="C65" i="7"/>
  <c r="C64" i="7"/>
  <c r="B64" i="7"/>
  <c r="Q63" i="7"/>
  <c r="P63" i="7"/>
  <c r="K63" i="7"/>
  <c r="H63" i="7"/>
  <c r="C62" i="7"/>
  <c r="U61" i="7"/>
  <c r="C61" i="7"/>
  <c r="B61" i="7"/>
  <c r="U60" i="7"/>
  <c r="Q60" i="7"/>
  <c r="P60" i="7"/>
  <c r="K60" i="7"/>
  <c r="H60" i="7"/>
  <c r="U59" i="7"/>
  <c r="C59" i="7"/>
  <c r="AM58" i="7"/>
  <c r="AM57" i="7"/>
  <c r="AL58" i="7"/>
  <c r="AL57" i="7"/>
  <c r="AF58" i="7"/>
  <c r="AF57" i="7"/>
  <c r="AC58" i="7"/>
  <c r="AC57" i="7"/>
  <c r="Z58" i="7"/>
  <c r="Z57" i="7"/>
  <c r="C58" i="7"/>
  <c r="B58" i="7"/>
  <c r="Q57" i="7"/>
  <c r="P57" i="7"/>
  <c r="K57" i="7"/>
  <c r="H57" i="7"/>
  <c r="C56" i="7"/>
  <c r="U55" i="7"/>
  <c r="C55" i="7"/>
  <c r="B55" i="7"/>
  <c r="U54" i="7"/>
  <c r="Q54" i="7"/>
  <c r="P54" i="7"/>
  <c r="K54" i="7"/>
  <c r="H54" i="7"/>
  <c r="U53" i="7"/>
  <c r="C53" i="7"/>
  <c r="U52" i="7"/>
  <c r="C52" i="7"/>
  <c r="B52" i="7"/>
  <c r="U51" i="7"/>
  <c r="Q51" i="7"/>
  <c r="P51" i="7"/>
  <c r="K51" i="7"/>
  <c r="H51" i="7"/>
  <c r="U50" i="7"/>
  <c r="C50" i="7"/>
  <c r="AM49" i="7"/>
  <c r="AL49" i="7"/>
  <c r="AF49" i="7"/>
  <c r="AC49" i="7"/>
  <c r="Z49" i="7"/>
  <c r="C49" i="7"/>
  <c r="B49" i="7"/>
  <c r="U48" i="7"/>
  <c r="Q48" i="7"/>
  <c r="P48" i="7"/>
  <c r="K48" i="7"/>
  <c r="H48" i="7"/>
  <c r="U47" i="7"/>
  <c r="C47" i="7"/>
  <c r="U46" i="7"/>
  <c r="C46" i="7"/>
  <c r="B46" i="7"/>
  <c r="U45" i="7"/>
  <c r="Q45" i="7"/>
  <c r="P45" i="7"/>
  <c r="K45" i="7"/>
  <c r="H45" i="7"/>
  <c r="AM44" i="7"/>
  <c r="AL44" i="7"/>
  <c r="AF44" i="7"/>
  <c r="AC44" i="7"/>
  <c r="Z44" i="7"/>
  <c r="C44" i="7"/>
  <c r="C43" i="7"/>
  <c r="B43" i="7"/>
  <c r="Q42" i="7"/>
  <c r="P42" i="7"/>
  <c r="K42" i="7"/>
  <c r="H42" i="7"/>
  <c r="U41" i="7"/>
  <c r="C41" i="7"/>
  <c r="U40" i="7"/>
  <c r="C40" i="7"/>
  <c r="U39" i="7"/>
  <c r="C39" i="7"/>
  <c r="U38" i="7"/>
  <c r="C38" i="7"/>
  <c r="U37" i="7"/>
  <c r="C37" i="7"/>
  <c r="U36" i="7"/>
  <c r="C36" i="7"/>
  <c r="B36" i="7"/>
  <c r="AM35" i="7"/>
  <c r="AL35" i="7"/>
  <c r="AF35" i="7"/>
  <c r="BQ14" i="7"/>
  <c r="AC35" i="7"/>
  <c r="Z35" i="7"/>
  <c r="Q35" i="7"/>
  <c r="P35" i="7"/>
  <c r="K35" i="7"/>
  <c r="H35" i="7"/>
  <c r="C34" i="7"/>
  <c r="U33" i="7"/>
  <c r="C33" i="7"/>
  <c r="B33" i="7"/>
  <c r="U32" i="7"/>
  <c r="Q32" i="7"/>
  <c r="P32" i="7"/>
  <c r="K32" i="7"/>
  <c r="H32" i="7"/>
  <c r="U31" i="7"/>
  <c r="C31" i="7"/>
  <c r="U30" i="7"/>
  <c r="C30" i="7"/>
  <c r="B30" i="7"/>
  <c r="U29" i="7"/>
  <c r="Q29" i="7"/>
  <c r="P29" i="7"/>
  <c r="K29" i="7"/>
  <c r="H29" i="7"/>
  <c r="U28" i="7"/>
  <c r="U27" i="7"/>
  <c r="C27" i="7"/>
  <c r="AT26" i="7"/>
  <c r="U26" i="7"/>
  <c r="C26" i="7"/>
  <c r="B26" i="7"/>
  <c r="U25" i="7"/>
  <c r="Q25" i="7"/>
  <c r="P25" i="7"/>
  <c r="K25" i="7"/>
  <c r="H25" i="7"/>
  <c r="U24" i="7"/>
  <c r="C24" i="7"/>
  <c r="U23" i="7"/>
  <c r="C23" i="7"/>
  <c r="B23" i="7"/>
  <c r="U22" i="7"/>
  <c r="Q22" i="7"/>
  <c r="P22" i="7"/>
  <c r="K22" i="7"/>
  <c r="H22" i="7"/>
  <c r="U21" i="7"/>
  <c r="K23" i="14"/>
  <c r="AM20" i="7"/>
  <c r="AM16" i="7"/>
  <c r="AL20" i="7"/>
  <c r="AL16" i="7"/>
  <c r="AF20" i="7"/>
  <c r="AF16" i="7"/>
  <c r="BQ12" i="7"/>
  <c r="BQ9" i="7"/>
  <c r="AC20" i="7"/>
  <c r="AC16" i="7"/>
  <c r="Z20" i="7"/>
  <c r="Z16" i="7"/>
  <c r="K22" i="14"/>
  <c r="U19" i="7"/>
  <c r="U18" i="7"/>
  <c r="U17" i="7"/>
  <c r="K15" i="14"/>
  <c r="K15" i="7"/>
  <c r="C15" i="7"/>
  <c r="K14" i="14"/>
  <c r="K14" i="7"/>
  <c r="C14" i="7"/>
  <c r="K13" i="14"/>
  <c r="K13" i="7"/>
  <c r="C13" i="7"/>
  <c r="K12" i="14"/>
  <c r="K12" i="7"/>
  <c r="C12" i="7"/>
  <c r="K11" i="14"/>
  <c r="AT11" i="7"/>
  <c r="Q10" i="7"/>
  <c r="P10" i="7"/>
  <c r="H10" i="7"/>
  <c r="AR6" i="7"/>
  <c r="BG3" i="7"/>
  <c r="BB3" i="7"/>
  <c r="AH3" i="7"/>
  <c r="Y3" i="7"/>
  <c r="V3" i="7"/>
  <c r="F3" i="7"/>
  <c r="D3" i="7"/>
  <c r="BE2" i="7"/>
  <c r="BK2" i="7"/>
  <c r="BQ2" i="7"/>
  <c r="Y2" i="7"/>
  <c r="V2" i="7"/>
  <c r="T2" i="7"/>
  <c r="F2" i="7"/>
  <c r="D2" i="7"/>
  <c r="B2" i="7"/>
  <c r="AL258" i="6"/>
  <c r="U255" i="6"/>
  <c r="U254" i="6"/>
  <c r="U253" i="6"/>
  <c r="U252" i="6"/>
  <c r="U251" i="6"/>
  <c r="U250" i="6"/>
  <c r="U249" i="6"/>
  <c r="U248" i="6"/>
  <c r="U247" i="6"/>
  <c r="U246" i="6"/>
  <c r="U245" i="6"/>
  <c r="U244" i="6"/>
  <c r="U243" i="6"/>
  <c r="AM242" i="6"/>
  <c r="AL242" i="6"/>
  <c r="AF242" i="6"/>
  <c r="AC242" i="6"/>
  <c r="Z242" i="6"/>
  <c r="U240" i="6"/>
  <c r="U239" i="6"/>
  <c r="U238" i="6"/>
  <c r="U237" i="6"/>
  <c r="U236" i="6"/>
  <c r="U235" i="6"/>
  <c r="AM234" i="6"/>
  <c r="AM233" i="6"/>
  <c r="AL234" i="6"/>
  <c r="AL233" i="6"/>
  <c r="AF234" i="6"/>
  <c r="BQ29" i="6"/>
  <c r="AC234" i="6"/>
  <c r="AC233" i="6"/>
  <c r="Z234" i="6"/>
  <c r="Z233" i="6"/>
  <c r="U229" i="6"/>
  <c r="U228" i="6"/>
  <c r="U227" i="6"/>
  <c r="AM226" i="6"/>
  <c r="AL226" i="6"/>
  <c r="AF226" i="6"/>
  <c r="AC226" i="6"/>
  <c r="Z226" i="6"/>
  <c r="U224" i="6"/>
  <c r="U223" i="6"/>
  <c r="U222" i="6"/>
  <c r="AM221" i="6"/>
  <c r="AL221" i="6"/>
  <c r="AF221" i="6"/>
  <c r="AC221" i="6"/>
  <c r="AC219" i="6"/>
  <c r="Z221" i="6"/>
  <c r="Z219" i="6"/>
  <c r="U217" i="6"/>
  <c r="U216" i="6"/>
  <c r="U215" i="6"/>
  <c r="U214" i="6"/>
  <c r="U213" i="6"/>
  <c r="U212" i="6"/>
  <c r="U211" i="6"/>
  <c r="AM210" i="6"/>
  <c r="AM209" i="6"/>
  <c r="AM208" i="6"/>
  <c r="AL210" i="6"/>
  <c r="AL209" i="6"/>
  <c r="AL208" i="6"/>
  <c r="AF210" i="6"/>
  <c r="BQ27" i="6"/>
  <c r="AC210" i="6"/>
  <c r="AC209" i="6"/>
  <c r="AC208" i="6"/>
  <c r="Z210" i="6"/>
  <c r="Z209" i="6"/>
  <c r="Z208" i="6"/>
  <c r="U206" i="6"/>
  <c r="U205" i="6"/>
  <c r="U204" i="6"/>
  <c r="AM204" i="6"/>
  <c r="AL204" i="6"/>
  <c r="AF204" i="6"/>
  <c r="AC204" i="6"/>
  <c r="Z204" i="6"/>
  <c r="U203" i="6"/>
  <c r="U202" i="6"/>
  <c r="U201" i="6"/>
  <c r="U200" i="6"/>
  <c r="U199" i="6"/>
  <c r="U198" i="6"/>
  <c r="U197" i="6"/>
  <c r="AM196" i="6"/>
  <c r="AM195" i="6"/>
  <c r="AM194" i="6"/>
  <c r="AL196" i="6"/>
  <c r="AF196" i="6"/>
  <c r="BQ28" i="6"/>
  <c r="AC196" i="6"/>
  <c r="Z196" i="6"/>
  <c r="U190" i="6"/>
  <c r="U189" i="6"/>
  <c r="U187" i="6"/>
  <c r="U186" i="6"/>
  <c r="AM185" i="6"/>
  <c r="AM183" i="6"/>
  <c r="AL185" i="6"/>
  <c r="AL183" i="6"/>
  <c r="AF185" i="6"/>
  <c r="AF183" i="6"/>
  <c r="AC185" i="6"/>
  <c r="AC183" i="6"/>
  <c r="Z185" i="6"/>
  <c r="Z183" i="6"/>
  <c r="U184" i="6"/>
  <c r="U181" i="6"/>
  <c r="U180" i="6"/>
  <c r="U179" i="6"/>
  <c r="U178" i="6"/>
  <c r="U177" i="6"/>
  <c r="U176" i="6"/>
  <c r="U175" i="6"/>
  <c r="AM174" i="6"/>
  <c r="AL174" i="6"/>
  <c r="AF174" i="6"/>
  <c r="AC174" i="6"/>
  <c r="Z174" i="6"/>
  <c r="U172" i="6"/>
  <c r="U171" i="6"/>
  <c r="AM170" i="6"/>
  <c r="AL170" i="6"/>
  <c r="AF170" i="6"/>
  <c r="AC170" i="6"/>
  <c r="Z170" i="6"/>
  <c r="U165" i="6"/>
  <c r="U164" i="6"/>
  <c r="U163" i="6"/>
  <c r="U162" i="6"/>
  <c r="U161" i="6"/>
  <c r="U160" i="6"/>
  <c r="U159" i="6"/>
  <c r="U158" i="6"/>
  <c r="AM157" i="6"/>
  <c r="AM155" i="6"/>
  <c r="AL157" i="6"/>
  <c r="AL155" i="6"/>
  <c r="AF157" i="6"/>
  <c r="BQ18" i="6"/>
  <c r="AC157" i="6"/>
  <c r="AC155" i="6"/>
  <c r="Z157" i="6"/>
  <c r="Z155" i="6"/>
  <c r="U156" i="6"/>
  <c r="U153" i="6"/>
  <c r="U152" i="6"/>
  <c r="U151" i="6"/>
  <c r="U150" i="6"/>
  <c r="AM149" i="6"/>
  <c r="AM147" i="6"/>
  <c r="AL149" i="6"/>
  <c r="AL147" i="6"/>
  <c r="AF149" i="6"/>
  <c r="BQ16" i="6"/>
  <c r="AC149" i="6"/>
  <c r="AC147" i="6"/>
  <c r="Z149" i="6"/>
  <c r="Z147" i="6"/>
  <c r="U148" i="6"/>
  <c r="U143" i="6"/>
  <c r="U142" i="6"/>
  <c r="AM141" i="6"/>
  <c r="AL141" i="6"/>
  <c r="AF141" i="6"/>
  <c r="BQ20" i="6"/>
  <c r="AC141" i="6"/>
  <c r="Z141" i="6"/>
  <c r="U139" i="6"/>
  <c r="U138" i="6"/>
  <c r="U137" i="6"/>
  <c r="U136" i="6"/>
  <c r="U135" i="6"/>
  <c r="U134" i="6"/>
  <c r="U133" i="6"/>
  <c r="U132" i="6"/>
  <c r="U131" i="6"/>
  <c r="U130" i="6"/>
  <c r="U129" i="6"/>
  <c r="U128" i="6"/>
  <c r="U127" i="6"/>
  <c r="U126" i="6"/>
  <c r="U125" i="6"/>
  <c r="U124" i="6"/>
  <c r="C124" i="6"/>
  <c r="AM123" i="6"/>
  <c r="AL123" i="6"/>
  <c r="AF123" i="6"/>
  <c r="AC123" i="6"/>
  <c r="Z123" i="6"/>
  <c r="C123" i="6"/>
  <c r="C122" i="6"/>
  <c r="U121" i="6"/>
  <c r="C121" i="6"/>
  <c r="U120" i="6"/>
  <c r="C120" i="6"/>
  <c r="U119" i="6"/>
  <c r="C119" i="6"/>
  <c r="U118" i="6"/>
  <c r="C118" i="6"/>
  <c r="U117" i="6"/>
  <c r="C117" i="6"/>
  <c r="U116" i="6"/>
  <c r="C116" i="6"/>
  <c r="U115" i="6"/>
  <c r="C115" i="6"/>
  <c r="AM114" i="6"/>
  <c r="AL114" i="6"/>
  <c r="AF114" i="6"/>
  <c r="AC114" i="6"/>
  <c r="Z114" i="6"/>
  <c r="Q113" i="6"/>
  <c r="P113" i="6"/>
  <c r="K113" i="6"/>
  <c r="H113" i="6"/>
  <c r="C111" i="6"/>
  <c r="C110" i="6"/>
  <c r="C109" i="6"/>
  <c r="U108" i="6"/>
  <c r="C108" i="6"/>
  <c r="U107" i="6"/>
  <c r="C107" i="6"/>
  <c r="U106" i="6"/>
  <c r="C106" i="6"/>
  <c r="AM105" i="6"/>
  <c r="AM104" i="6"/>
  <c r="AL105" i="6"/>
  <c r="AL104" i="6"/>
  <c r="AF105" i="6"/>
  <c r="AF104" i="6"/>
  <c r="AC105" i="6"/>
  <c r="AC104" i="6"/>
  <c r="Z105" i="6"/>
  <c r="Z104" i="6"/>
  <c r="C105" i="6"/>
  <c r="Q104" i="6"/>
  <c r="P104" i="6"/>
  <c r="K104" i="6"/>
  <c r="H104" i="6"/>
  <c r="U102" i="6"/>
  <c r="C102" i="6"/>
  <c r="U101" i="6"/>
  <c r="C101" i="6"/>
  <c r="U100" i="6"/>
  <c r="C100" i="6"/>
  <c r="U99" i="6"/>
  <c r="C99" i="6"/>
  <c r="U98" i="6"/>
  <c r="C98" i="6"/>
  <c r="U97" i="6"/>
  <c r="C97" i="6"/>
  <c r="AM96" i="6"/>
  <c r="AL96" i="6"/>
  <c r="AF96" i="6"/>
  <c r="AC96" i="6"/>
  <c r="Z96" i="6"/>
  <c r="C96" i="6"/>
  <c r="U95" i="6"/>
  <c r="C95" i="6"/>
  <c r="U94" i="6"/>
  <c r="Q94" i="6"/>
  <c r="P94" i="6"/>
  <c r="K94" i="6"/>
  <c r="H94" i="6"/>
  <c r="U93" i="6"/>
  <c r="U92" i="6"/>
  <c r="C92" i="6"/>
  <c r="AM91" i="6"/>
  <c r="AM90" i="6"/>
  <c r="AL91" i="6"/>
  <c r="AL90" i="6"/>
  <c r="AF91" i="6"/>
  <c r="AC91" i="6"/>
  <c r="Z91" i="6"/>
  <c r="C91" i="6"/>
  <c r="C90" i="6"/>
  <c r="C89" i="6"/>
  <c r="U88" i="6"/>
  <c r="C88" i="6"/>
  <c r="U87" i="6"/>
  <c r="C87" i="6"/>
  <c r="U86" i="6"/>
  <c r="C86" i="6"/>
  <c r="U85" i="6"/>
  <c r="Q85" i="6"/>
  <c r="P85" i="6"/>
  <c r="K85" i="6"/>
  <c r="H85" i="6"/>
  <c r="U84" i="6"/>
  <c r="AM83" i="6"/>
  <c r="AL83" i="6"/>
  <c r="AF83" i="6"/>
  <c r="AC83" i="6"/>
  <c r="Z83" i="6"/>
  <c r="C83" i="6"/>
  <c r="C82" i="6"/>
  <c r="B82" i="6"/>
  <c r="U81" i="6"/>
  <c r="Q81" i="6"/>
  <c r="P81" i="6"/>
  <c r="K81" i="6"/>
  <c r="H81" i="6"/>
  <c r="U80" i="6"/>
  <c r="C80" i="6"/>
  <c r="U79" i="6"/>
  <c r="C79" i="6"/>
  <c r="B79" i="6"/>
  <c r="U78" i="6"/>
  <c r="Q78" i="6"/>
  <c r="P78" i="6"/>
  <c r="H78" i="6"/>
  <c r="U77" i="6"/>
  <c r="C77" i="6"/>
  <c r="U76" i="6"/>
  <c r="C76" i="6"/>
  <c r="B76" i="6"/>
  <c r="U75" i="6"/>
  <c r="Q75" i="6"/>
  <c r="P75" i="6"/>
  <c r="K75" i="6"/>
  <c r="H75" i="6"/>
  <c r="U74" i="6"/>
  <c r="C74" i="6"/>
  <c r="U73" i="6"/>
  <c r="C73" i="6"/>
  <c r="B73" i="6"/>
  <c r="U72" i="6"/>
  <c r="Q72" i="6"/>
  <c r="P72" i="6"/>
  <c r="K72" i="6"/>
  <c r="H72" i="6"/>
  <c r="U71" i="6"/>
  <c r="C71" i="6"/>
  <c r="U70" i="6"/>
  <c r="C70" i="6"/>
  <c r="B70" i="6"/>
  <c r="AM69" i="6"/>
  <c r="AM65" i="6"/>
  <c r="AL69" i="6"/>
  <c r="AL65" i="6"/>
  <c r="AF69" i="6"/>
  <c r="AF65" i="6"/>
  <c r="AC69" i="6"/>
  <c r="AC65" i="6"/>
  <c r="Z69" i="6"/>
  <c r="Z65" i="6"/>
  <c r="Q69" i="6"/>
  <c r="P69" i="6"/>
  <c r="K69" i="6"/>
  <c r="H69" i="6"/>
  <c r="U68" i="6"/>
  <c r="C68" i="6"/>
  <c r="U67" i="6"/>
  <c r="C67" i="6"/>
  <c r="B67" i="6"/>
  <c r="U66" i="6"/>
  <c r="Q66" i="6"/>
  <c r="P66" i="6"/>
  <c r="K66" i="6"/>
  <c r="H66" i="6"/>
  <c r="C65" i="6"/>
  <c r="C64" i="6"/>
  <c r="B64" i="6"/>
  <c r="Q63" i="6"/>
  <c r="P63" i="6"/>
  <c r="K63" i="6"/>
  <c r="H63" i="6"/>
  <c r="C62" i="6"/>
  <c r="U61" i="6"/>
  <c r="C61" i="6"/>
  <c r="B61" i="6"/>
  <c r="U60" i="6"/>
  <c r="Q60" i="6"/>
  <c r="P60" i="6"/>
  <c r="K60" i="6"/>
  <c r="H60" i="6"/>
  <c r="U59" i="6"/>
  <c r="C59" i="6"/>
  <c r="AM58" i="6"/>
  <c r="AM57" i="6"/>
  <c r="AL58" i="6"/>
  <c r="AL57" i="6"/>
  <c r="AF58" i="6"/>
  <c r="AF57" i="6"/>
  <c r="AC58" i="6"/>
  <c r="AC57" i="6"/>
  <c r="Z58" i="6"/>
  <c r="Z57" i="6"/>
  <c r="C58" i="6"/>
  <c r="B58" i="6"/>
  <c r="Q57" i="6"/>
  <c r="P57" i="6"/>
  <c r="K57" i="6"/>
  <c r="H57" i="6"/>
  <c r="C56" i="6"/>
  <c r="U55" i="6"/>
  <c r="C55" i="6"/>
  <c r="B55" i="6"/>
  <c r="U54" i="6"/>
  <c r="Q54" i="6"/>
  <c r="P54" i="6"/>
  <c r="K54" i="6"/>
  <c r="H54" i="6"/>
  <c r="U53" i="6"/>
  <c r="C53" i="6"/>
  <c r="U52" i="6"/>
  <c r="C52" i="6"/>
  <c r="B52" i="6"/>
  <c r="U51" i="6"/>
  <c r="Q51" i="6"/>
  <c r="P51" i="6"/>
  <c r="K51" i="6"/>
  <c r="H51" i="6"/>
  <c r="U50" i="6"/>
  <c r="C50" i="6"/>
  <c r="AM49" i="6"/>
  <c r="AL49" i="6"/>
  <c r="AF49" i="6"/>
  <c r="AC49" i="6"/>
  <c r="Z49" i="6"/>
  <c r="C49" i="6"/>
  <c r="B49" i="6"/>
  <c r="U48" i="6"/>
  <c r="Q48" i="6"/>
  <c r="P48" i="6"/>
  <c r="K48" i="6"/>
  <c r="H48" i="6"/>
  <c r="U47" i="6"/>
  <c r="C47" i="6"/>
  <c r="U46" i="6"/>
  <c r="C46" i="6"/>
  <c r="B46" i="6"/>
  <c r="U45" i="6"/>
  <c r="Q45" i="6"/>
  <c r="P45" i="6"/>
  <c r="K45" i="6"/>
  <c r="H45" i="6"/>
  <c r="AM44" i="6"/>
  <c r="AL44" i="6"/>
  <c r="AF44" i="6"/>
  <c r="AC44" i="6"/>
  <c r="Z44" i="6"/>
  <c r="C44" i="6"/>
  <c r="C43" i="6"/>
  <c r="B43" i="6"/>
  <c r="Q42" i="6"/>
  <c r="P42" i="6"/>
  <c r="K42" i="6"/>
  <c r="H42" i="6"/>
  <c r="U41" i="6"/>
  <c r="C41" i="6"/>
  <c r="U40" i="6"/>
  <c r="C40" i="6"/>
  <c r="U39" i="6"/>
  <c r="C39" i="6"/>
  <c r="U38" i="6"/>
  <c r="C38" i="6"/>
  <c r="U37" i="6"/>
  <c r="C37" i="6"/>
  <c r="U36" i="6"/>
  <c r="C36" i="6"/>
  <c r="B36" i="6"/>
  <c r="AM35" i="6"/>
  <c r="AL35" i="6"/>
  <c r="AF35" i="6"/>
  <c r="AC35" i="6"/>
  <c r="Z35" i="6"/>
  <c r="Q35" i="6"/>
  <c r="P35" i="6"/>
  <c r="K35" i="6"/>
  <c r="H35" i="6"/>
  <c r="C34" i="6"/>
  <c r="U33" i="6"/>
  <c r="H32" i="6"/>
  <c r="C33" i="6"/>
  <c r="B33" i="6"/>
  <c r="U32" i="6"/>
  <c r="Q32" i="6"/>
  <c r="P32" i="6"/>
  <c r="K32" i="6"/>
  <c r="U31" i="6"/>
  <c r="C31" i="6"/>
  <c r="U30" i="6"/>
  <c r="C30" i="6"/>
  <c r="B30" i="6"/>
  <c r="U29" i="6"/>
  <c r="Q29" i="6"/>
  <c r="P29" i="6"/>
  <c r="K29" i="6"/>
  <c r="H29" i="6"/>
  <c r="U28" i="6"/>
  <c r="U27" i="6"/>
  <c r="C27" i="6"/>
  <c r="AT26" i="6"/>
  <c r="U26" i="6"/>
  <c r="C26" i="6"/>
  <c r="B26" i="6"/>
  <c r="U25" i="6"/>
  <c r="Q25" i="6"/>
  <c r="P25" i="6"/>
  <c r="K25" i="6"/>
  <c r="H25" i="6"/>
  <c r="U24" i="6"/>
  <c r="C24" i="6"/>
  <c r="U23" i="6"/>
  <c r="C23" i="6"/>
  <c r="B23" i="6"/>
  <c r="U22" i="6"/>
  <c r="Q22" i="6"/>
  <c r="P22" i="6"/>
  <c r="K22" i="6"/>
  <c r="H22" i="6"/>
  <c r="U21" i="6"/>
  <c r="J23" i="14"/>
  <c r="AM20" i="6"/>
  <c r="AM16" i="6"/>
  <c r="AL20" i="6"/>
  <c r="AL16" i="6"/>
  <c r="AF20" i="6"/>
  <c r="AF16" i="6"/>
  <c r="BQ12" i="6"/>
  <c r="BQ9" i="6"/>
  <c r="AC20" i="6"/>
  <c r="AC16" i="6"/>
  <c r="Z20" i="6"/>
  <c r="Z16" i="6"/>
  <c r="J22" i="14"/>
  <c r="U19" i="6"/>
  <c r="U18" i="6"/>
  <c r="U17" i="6"/>
  <c r="J16" i="14"/>
  <c r="J15" i="14"/>
  <c r="K15" i="6"/>
  <c r="C15" i="6"/>
  <c r="J14" i="14"/>
  <c r="K14" i="6"/>
  <c r="C14" i="6"/>
  <c r="J13" i="14"/>
  <c r="K13" i="6"/>
  <c r="C13" i="6"/>
  <c r="J12" i="14"/>
  <c r="K12" i="6"/>
  <c r="C12" i="6"/>
  <c r="J11" i="14"/>
  <c r="AT11" i="6"/>
  <c r="Q10" i="6"/>
  <c r="P10" i="6"/>
  <c r="H10" i="6"/>
  <c r="AR6" i="6"/>
  <c r="AR21" i="6"/>
  <c r="BG3" i="6"/>
  <c r="BB3" i="6"/>
  <c r="AH3" i="6"/>
  <c r="Y3" i="6"/>
  <c r="V3" i="6"/>
  <c r="BC5" i="6"/>
  <c r="F3" i="6"/>
  <c r="D3" i="6"/>
  <c r="BE2" i="6"/>
  <c r="BK2" i="6"/>
  <c r="BQ2" i="6"/>
  <c r="Y2" i="6"/>
  <c r="V2" i="6"/>
  <c r="T2" i="6"/>
  <c r="F2" i="6"/>
  <c r="D2" i="6"/>
  <c r="B2" i="6"/>
  <c r="U255" i="5"/>
  <c r="U254" i="5"/>
  <c r="U253" i="5"/>
  <c r="U252" i="5"/>
  <c r="U251" i="5"/>
  <c r="U250" i="5"/>
  <c r="U249" i="5"/>
  <c r="U248" i="5"/>
  <c r="U247" i="5"/>
  <c r="U246" i="5"/>
  <c r="U245" i="5"/>
  <c r="U244" i="5"/>
  <c r="T244" i="9"/>
  <c r="T244" i="11"/>
  <c r="U243" i="5"/>
  <c r="AM242" i="5"/>
  <c r="AL242" i="5"/>
  <c r="AF242" i="5"/>
  <c r="AC242" i="5"/>
  <c r="Z242" i="5"/>
  <c r="U240" i="5"/>
  <c r="U239" i="5"/>
  <c r="U238" i="5"/>
  <c r="U237" i="5"/>
  <c r="T237" i="9"/>
  <c r="T237" i="11"/>
  <c r="U236" i="5"/>
  <c r="T236" i="9"/>
  <c r="T236" i="11"/>
  <c r="U235" i="5"/>
  <c r="T235" i="12"/>
  <c r="T235" i="13"/>
  <c r="AM234" i="5"/>
  <c r="AM233" i="5"/>
  <c r="AL234" i="5"/>
  <c r="AL233" i="5"/>
  <c r="AF234" i="5"/>
  <c r="BQ29" i="5"/>
  <c r="AC234" i="5"/>
  <c r="AC233" i="5"/>
  <c r="Z234" i="5"/>
  <c r="Z233" i="5"/>
  <c r="U229" i="5"/>
  <c r="U228" i="5"/>
  <c r="U227" i="5"/>
  <c r="AM226" i="5"/>
  <c r="AL226" i="5"/>
  <c r="AF226" i="5"/>
  <c r="AC226" i="5"/>
  <c r="Z226" i="5"/>
  <c r="U224" i="5"/>
  <c r="U223" i="5"/>
  <c r="U222" i="5"/>
  <c r="AM221" i="5"/>
  <c r="AL221" i="5"/>
  <c r="AF221" i="5"/>
  <c r="AC221" i="5"/>
  <c r="Z221" i="5"/>
  <c r="U217" i="5"/>
  <c r="U216" i="5"/>
  <c r="U215" i="5"/>
  <c r="U214" i="5"/>
  <c r="U213" i="5"/>
  <c r="U212" i="5"/>
  <c r="U211" i="5"/>
  <c r="AM210" i="5"/>
  <c r="AM209" i="5"/>
  <c r="AM208" i="5"/>
  <c r="AL210" i="5"/>
  <c r="AL209" i="5"/>
  <c r="AL208" i="5"/>
  <c r="AF210" i="5"/>
  <c r="BQ27" i="5"/>
  <c r="AC210" i="5"/>
  <c r="AC209" i="5"/>
  <c r="AC208" i="5"/>
  <c r="Z210" i="5"/>
  <c r="Z209" i="5"/>
  <c r="Z208" i="5"/>
  <c r="U206" i="5"/>
  <c r="U205" i="5"/>
  <c r="U204" i="5"/>
  <c r="AM204" i="5"/>
  <c r="AL204" i="5"/>
  <c r="AF204" i="5"/>
  <c r="AC204" i="5"/>
  <c r="Z204" i="5"/>
  <c r="U203" i="5"/>
  <c r="U202" i="5"/>
  <c r="U201" i="5"/>
  <c r="U200" i="5"/>
  <c r="U199" i="5"/>
  <c r="U198" i="5"/>
  <c r="U197" i="5"/>
  <c r="AM196" i="5"/>
  <c r="AL196" i="5"/>
  <c r="AF196" i="5"/>
  <c r="BQ28" i="5"/>
  <c r="AC196" i="5"/>
  <c r="Z196" i="5"/>
  <c r="U190" i="5"/>
  <c r="U189" i="5"/>
  <c r="U187" i="5"/>
  <c r="U186" i="5"/>
  <c r="AM185" i="5"/>
  <c r="AM183" i="5"/>
  <c r="AL185" i="5"/>
  <c r="AL183" i="5"/>
  <c r="AF185" i="5"/>
  <c r="AF183" i="5"/>
  <c r="AC185" i="5"/>
  <c r="AC183" i="5"/>
  <c r="Z185" i="5"/>
  <c r="Z183" i="5"/>
  <c r="U184" i="5"/>
  <c r="U181" i="5"/>
  <c r="U180" i="5"/>
  <c r="U179" i="5"/>
  <c r="U178" i="5"/>
  <c r="U177" i="5"/>
  <c r="U176" i="5"/>
  <c r="U175" i="5"/>
  <c r="AM174" i="5"/>
  <c r="AL174" i="5"/>
  <c r="AF174" i="5"/>
  <c r="AC174" i="5"/>
  <c r="Z174" i="5"/>
  <c r="U172" i="5"/>
  <c r="U171" i="5"/>
  <c r="AM170" i="5"/>
  <c r="AL170" i="5"/>
  <c r="AF170" i="5"/>
  <c r="AC170" i="5"/>
  <c r="Z170" i="5"/>
  <c r="U164" i="5"/>
  <c r="U163" i="5"/>
  <c r="U162" i="5"/>
  <c r="U161" i="5"/>
  <c r="U160" i="5"/>
  <c r="U159" i="5"/>
  <c r="U158" i="5"/>
  <c r="AM157" i="5"/>
  <c r="AM155" i="5"/>
  <c r="AL157" i="5"/>
  <c r="AL155" i="5"/>
  <c r="AL258" i="5"/>
  <c r="AF157" i="5"/>
  <c r="BQ18" i="5"/>
  <c r="AC157" i="5"/>
  <c r="AC155" i="5"/>
  <c r="Z157" i="5"/>
  <c r="Z155" i="5"/>
  <c r="U156" i="5"/>
  <c r="U153" i="5"/>
  <c r="U152" i="5"/>
  <c r="U151" i="5"/>
  <c r="U150" i="5"/>
  <c r="AM149" i="5"/>
  <c r="AM147" i="5"/>
  <c r="AL149" i="5"/>
  <c r="AL147" i="5"/>
  <c r="AF149" i="5"/>
  <c r="BQ16" i="5"/>
  <c r="AC149" i="5"/>
  <c r="AC147" i="5"/>
  <c r="Z149" i="5"/>
  <c r="Z147" i="5"/>
  <c r="U148" i="5"/>
  <c r="U143" i="5"/>
  <c r="U142" i="5"/>
  <c r="AM141" i="5"/>
  <c r="AL141" i="5"/>
  <c r="AF141" i="5"/>
  <c r="BQ20" i="5"/>
  <c r="AC141" i="5"/>
  <c r="Z141" i="5"/>
  <c r="U139" i="5"/>
  <c r="U138" i="5"/>
  <c r="U137" i="5"/>
  <c r="U136" i="5"/>
  <c r="U135" i="5"/>
  <c r="U134" i="5"/>
  <c r="U133" i="5"/>
  <c r="U132" i="5"/>
  <c r="U131" i="5"/>
  <c r="U130" i="5"/>
  <c r="U129" i="5"/>
  <c r="U128" i="5"/>
  <c r="U127" i="5"/>
  <c r="U126" i="5"/>
  <c r="U125" i="5"/>
  <c r="U124" i="5"/>
  <c r="C124" i="5"/>
  <c r="AM123" i="5"/>
  <c r="AL123" i="5"/>
  <c r="AF123" i="5"/>
  <c r="AC123" i="5"/>
  <c r="Z123" i="5"/>
  <c r="C123" i="5"/>
  <c r="C122" i="5"/>
  <c r="U121" i="5"/>
  <c r="C121" i="5"/>
  <c r="U120" i="5"/>
  <c r="C120" i="5"/>
  <c r="U119" i="5"/>
  <c r="C119" i="5"/>
  <c r="U118" i="5"/>
  <c r="C118" i="5"/>
  <c r="U117" i="5"/>
  <c r="C117" i="5"/>
  <c r="U116" i="5"/>
  <c r="C116" i="5"/>
  <c r="U115" i="5"/>
  <c r="C115" i="5"/>
  <c r="AM114" i="5"/>
  <c r="AL114" i="5"/>
  <c r="AF114" i="5"/>
  <c r="AC114" i="5"/>
  <c r="Z114" i="5"/>
  <c r="Q113" i="5"/>
  <c r="P113" i="5"/>
  <c r="K113" i="5"/>
  <c r="H113" i="5"/>
  <c r="C111" i="5"/>
  <c r="C110" i="5"/>
  <c r="C109" i="5"/>
  <c r="U108" i="5"/>
  <c r="C108" i="5"/>
  <c r="U107" i="5"/>
  <c r="C107" i="5"/>
  <c r="U106" i="5"/>
  <c r="C106" i="5"/>
  <c r="AM105" i="5"/>
  <c r="AM104" i="5"/>
  <c r="AL105" i="5"/>
  <c r="AL104" i="5"/>
  <c r="AF105" i="5"/>
  <c r="AF104" i="5"/>
  <c r="AC105" i="5"/>
  <c r="AC104" i="5"/>
  <c r="Z105" i="5"/>
  <c r="Z104" i="5"/>
  <c r="C105" i="5"/>
  <c r="Q104" i="5"/>
  <c r="P104" i="5"/>
  <c r="K104" i="5"/>
  <c r="H104" i="5"/>
  <c r="U102" i="5"/>
  <c r="C102" i="5"/>
  <c r="U101" i="5"/>
  <c r="C101" i="5"/>
  <c r="U100" i="5"/>
  <c r="C100" i="5"/>
  <c r="U99" i="5"/>
  <c r="C99" i="5"/>
  <c r="U98" i="5"/>
  <c r="C98" i="5"/>
  <c r="U97" i="5"/>
  <c r="C97" i="5"/>
  <c r="AM96" i="5"/>
  <c r="AL96" i="5"/>
  <c r="AF96" i="5"/>
  <c r="AC96" i="5"/>
  <c r="Z96" i="5"/>
  <c r="C96" i="5"/>
  <c r="U95" i="5"/>
  <c r="C95" i="5"/>
  <c r="U94" i="5"/>
  <c r="Q94" i="5"/>
  <c r="P94" i="5"/>
  <c r="K94" i="5"/>
  <c r="H94" i="5"/>
  <c r="U93" i="5"/>
  <c r="U92" i="5"/>
  <c r="C92" i="5"/>
  <c r="AM91" i="5"/>
  <c r="AM90" i="5"/>
  <c r="AL91" i="5"/>
  <c r="AL90" i="5"/>
  <c r="AF91" i="5"/>
  <c r="AF90" i="5"/>
  <c r="AC91" i="5"/>
  <c r="AC90" i="5"/>
  <c r="Z91" i="5"/>
  <c r="C91" i="5"/>
  <c r="C90" i="5"/>
  <c r="C89" i="5"/>
  <c r="U88" i="5"/>
  <c r="C88" i="5"/>
  <c r="U87" i="5"/>
  <c r="C87" i="5"/>
  <c r="U86" i="5"/>
  <c r="C86" i="5"/>
  <c r="B86" i="5"/>
  <c r="B86" i="6"/>
  <c r="B86" i="7"/>
  <c r="B86" i="8"/>
  <c r="B86" i="9"/>
  <c r="U85" i="5"/>
  <c r="Q85" i="5"/>
  <c r="P85" i="5"/>
  <c r="K85" i="5"/>
  <c r="H85" i="5"/>
  <c r="U84" i="5"/>
  <c r="AM83" i="5"/>
  <c r="AL83" i="5"/>
  <c r="AF83" i="5"/>
  <c r="AC83" i="5"/>
  <c r="Z83" i="5"/>
  <c r="C83" i="5"/>
  <c r="C82" i="5"/>
  <c r="B82" i="5"/>
  <c r="U81" i="5"/>
  <c r="Q81" i="5"/>
  <c r="P81" i="5"/>
  <c r="K81" i="5"/>
  <c r="H81" i="5"/>
  <c r="U80" i="5"/>
  <c r="C80" i="5"/>
  <c r="U79" i="5"/>
  <c r="C79" i="5"/>
  <c r="B79" i="5"/>
  <c r="U78" i="5"/>
  <c r="Q78" i="5"/>
  <c r="P78" i="5"/>
  <c r="K78" i="5"/>
  <c r="H78" i="5"/>
  <c r="U77" i="5"/>
  <c r="C77" i="5"/>
  <c r="U76" i="5"/>
  <c r="C76" i="5"/>
  <c r="B76" i="5"/>
  <c r="U75" i="5"/>
  <c r="Q75" i="5"/>
  <c r="P75" i="5"/>
  <c r="K75" i="5"/>
  <c r="H75" i="5"/>
  <c r="U74" i="5"/>
  <c r="C74" i="5"/>
  <c r="U73" i="5"/>
  <c r="C73" i="5"/>
  <c r="B73" i="5"/>
  <c r="U72" i="5"/>
  <c r="Q72" i="5"/>
  <c r="P72" i="5"/>
  <c r="K72" i="5"/>
  <c r="H72" i="5"/>
  <c r="U71" i="5"/>
  <c r="C71" i="5"/>
  <c r="U70" i="5"/>
  <c r="C70" i="5"/>
  <c r="B70" i="5"/>
  <c r="AM69" i="5"/>
  <c r="AM65" i="5"/>
  <c r="AL69" i="5"/>
  <c r="AL65" i="5"/>
  <c r="AF69" i="5"/>
  <c r="AF65" i="5"/>
  <c r="AC69" i="5"/>
  <c r="AC65" i="5"/>
  <c r="Z69" i="5"/>
  <c r="Z65" i="5"/>
  <c r="Q69" i="5"/>
  <c r="P69" i="5"/>
  <c r="K69" i="5"/>
  <c r="H69" i="5"/>
  <c r="U68" i="5"/>
  <c r="C68" i="5"/>
  <c r="U67" i="5"/>
  <c r="C67" i="5"/>
  <c r="B67" i="5"/>
  <c r="U66" i="5"/>
  <c r="Q66" i="5"/>
  <c r="P66" i="5"/>
  <c r="K66" i="5"/>
  <c r="H66" i="5"/>
  <c r="C65" i="5"/>
  <c r="C64" i="5"/>
  <c r="B64" i="5"/>
  <c r="Q63" i="5"/>
  <c r="P63" i="5"/>
  <c r="K63" i="5"/>
  <c r="H63" i="5"/>
  <c r="C62" i="5"/>
  <c r="U61" i="5"/>
  <c r="C61" i="5"/>
  <c r="B61" i="5"/>
  <c r="U60" i="5"/>
  <c r="Q60" i="5"/>
  <c r="P60" i="5"/>
  <c r="K60" i="5"/>
  <c r="H60" i="5"/>
  <c r="U59" i="5"/>
  <c r="C59" i="5"/>
  <c r="AM58" i="5"/>
  <c r="AM57" i="5"/>
  <c r="AL58" i="5"/>
  <c r="AL57" i="5"/>
  <c r="AF58" i="5"/>
  <c r="AF57" i="5"/>
  <c r="AC58" i="5"/>
  <c r="AC57" i="5"/>
  <c r="Z58" i="5"/>
  <c r="Z57" i="5"/>
  <c r="C58" i="5"/>
  <c r="B58" i="5"/>
  <c r="Q57" i="5"/>
  <c r="P57" i="5"/>
  <c r="K57" i="5"/>
  <c r="H57" i="5"/>
  <c r="C56" i="5"/>
  <c r="U55" i="5"/>
  <c r="C55" i="5"/>
  <c r="B55" i="5"/>
  <c r="U54" i="5"/>
  <c r="Q54" i="5"/>
  <c r="P54" i="5"/>
  <c r="K54" i="5"/>
  <c r="H54" i="5"/>
  <c r="U53" i="5"/>
  <c r="C53" i="5"/>
  <c r="U52" i="5"/>
  <c r="C52" i="5"/>
  <c r="B52" i="5"/>
  <c r="U51" i="5"/>
  <c r="Q51" i="5"/>
  <c r="P51" i="5"/>
  <c r="K51" i="5"/>
  <c r="H51" i="5"/>
  <c r="U50" i="5"/>
  <c r="C50" i="5"/>
  <c r="AM49" i="5"/>
  <c r="AL49" i="5"/>
  <c r="AF49" i="5"/>
  <c r="AC49" i="5"/>
  <c r="Z49" i="5"/>
  <c r="C49" i="5"/>
  <c r="B49" i="5"/>
  <c r="U48" i="5"/>
  <c r="Q48" i="5"/>
  <c r="P48" i="5"/>
  <c r="K48" i="5"/>
  <c r="H48" i="5"/>
  <c r="U47" i="5"/>
  <c r="C47" i="5"/>
  <c r="U46" i="5"/>
  <c r="C46" i="5"/>
  <c r="B46" i="5"/>
  <c r="U45" i="5"/>
  <c r="Q45" i="5"/>
  <c r="P45" i="5"/>
  <c r="K45" i="5"/>
  <c r="H45" i="5"/>
  <c r="AM44" i="5"/>
  <c r="AL44" i="5"/>
  <c r="AF44" i="5"/>
  <c r="AC44" i="5"/>
  <c r="Z44" i="5"/>
  <c r="C44" i="5"/>
  <c r="C43" i="5"/>
  <c r="B43" i="5"/>
  <c r="Q42" i="5"/>
  <c r="P42" i="5"/>
  <c r="K42" i="5"/>
  <c r="H42" i="5"/>
  <c r="U41" i="5"/>
  <c r="C41" i="5"/>
  <c r="U40" i="5"/>
  <c r="C40" i="5"/>
  <c r="C39" i="5"/>
  <c r="U38" i="5"/>
  <c r="C38" i="5"/>
  <c r="U37" i="5"/>
  <c r="C37" i="5"/>
  <c r="U36" i="5"/>
  <c r="C36" i="5"/>
  <c r="B36" i="5"/>
  <c r="AM35" i="5"/>
  <c r="AL35" i="5"/>
  <c r="AF35" i="5"/>
  <c r="AC35" i="5"/>
  <c r="Z35" i="5"/>
  <c r="Q35" i="5"/>
  <c r="P35" i="5"/>
  <c r="K35" i="5"/>
  <c r="H35" i="5"/>
  <c r="C34" i="5"/>
  <c r="U33" i="5"/>
  <c r="C33" i="5"/>
  <c r="B33" i="5"/>
  <c r="U32" i="5"/>
  <c r="Q32" i="5"/>
  <c r="P32" i="5"/>
  <c r="K32" i="5"/>
  <c r="H32" i="5"/>
  <c r="U31" i="5"/>
  <c r="C31" i="5"/>
  <c r="U30" i="5"/>
  <c r="C30" i="5"/>
  <c r="B30" i="5"/>
  <c r="U29" i="5"/>
  <c r="Q29" i="5"/>
  <c r="P29" i="5"/>
  <c r="K29" i="5"/>
  <c r="H29" i="5"/>
  <c r="U28" i="5"/>
  <c r="U27" i="5"/>
  <c r="C27" i="5"/>
  <c r="AT26" i="5"/>
  <c r="U26" i="5"/>
  <c r="C26" i="5"/>
  <c r="B26" i="5"/>
  <c r="U25" i="5"/>
  <c r="Q25" i="5"/>
  <c r="P25" i="5"/>
  <c r="K25" i="5"/>
  <c r="H25" i="5"/>
  <c r="U24" i="5"/>
  <c r="C24" i="5"/>
  <c r="U23" i="5"/>
  <c r="C23" i="5"/>
  <c r="B23" i="5"/>
  <c r="U22" i="5"/>
  <c r="Q22" i="5"/>
  <c r="P22" i="5"/>
  <c r="K22" i="5"/>
  <c r="H22" i="5"/>
  <c r="U21" i="5"/>
  <c r="I23" i="14"/>
  <c r="AM20" i="5"/>
  <c r="AM16" i="5"/>
  <c r="AL20" i="5"/>
  <c r="AL16" i="5"/>
  <c r="AF20" i="5"/>
  <c r="AF16" i="5"/>
  <c r="AC20" i="5"/>
  <c r="AC16" i="5"/>
  <c r="Z20" i="5"/>
  <c r="Z16" i="5"/>
  <c r="I22" i="14"/>
  <c r="U19" i="5"/>
  <c r="U18" i="5"/>
  <c r="U17" i="5"/>
  <c r="I15" i="14"/>
  <c r="K15" i="5"/>
  <c r="C15" i="5"/>
  <c r="I14" i="14"/>
  <c r="K14" i="5"/>
  <c r="C14" i="5"/>
  <c r="K13" i="5"/>
  <c r="C13" i="5"/>
  <c r="K12" i="5"/>
  <c r="C12" i="5"/>
  <c r="AT11" i="5"/>
  <c r="Q10" i="5"/>
  <c r="P10" i="5"/>
  <c r="H10" i="5"/>
  <c r="AR6" i="5"/>
  <c r="AS6" i="5"/>
  <c r="BG3" i="5"/>
  <c r="BB3" i="5"/>
  <c r="AH3" i="5"/>
  <c r="Y3" i="5"/>
  <c r="V3" i="5"/>
  <c r="AW19" i="5"/>
  <c r="F3" i="5"/>
  <c r="D3" i="5"/>
  <c r="BE2" i="5"/>
  <c r="BK2" i="5"/>
  <c r="BQ2" i="5"/>
  <c r="Y2" i="5"/>
  <c r="V2" i="5"/>
  <c r="T2" i="5"/>
  <c r="F2" i="5"/>
  <c r="D2" i="5"/>
  <c r="B2" i="5"/>
  <c r="H53" i="14"/>
  <c r="H50" i="14"/>
  <c r="T193" i="5"/>
  <c r="T193" i="6"/>
  <c r="T193" i="7"/>
  <c r="T193" i="8"/>
  <c r="T193" i="9"/>
  <c r="T193" i="11"/>
  <c r="S193" i="5"/>
  <c r="H22" i="14"/>
  <c r="BL17" i="7"/>
  <c r="H17" i="14"/>
  <c r="H14" i="14"/>
  <c r="H13" i="14"/>
  <c r="H12" i="14"/>
  <c r="H11" i="14"/>
  <c r="T256" i="5"/>
  <c r="T256" i="6"/>
  <c r="T256" i="7"/>
  <c r="T256" i="8"/>
  <c r="T256" i="9"/>
  <c r="T256" i="11"/>
  <c r="S256" i="5"/>
  <c r="T255" i="5"/>
  <c r="T255" i="6"/>
  <c r="S255" i="5"/>
  <c r="T254" i="5"/>
  <c r="T254" i="6"/>
  <c r="T254" i="7"/>
  <c r="T254" i="8"/>
  <c r="T254" i="9"/>
  <c r="T254" i="11"/>
  <c r="S254" i="5"/>
  <c r="T253" i="5"/>
  <c r="T253" i="6"/>
  <c r="T253" i="7"/>
  <c r="T253" i="8"/>
  <c r="T253" i="9"/>
  <c r="T253" i="11"/>
  <c r="S253" i="5"/>
  <c r="T252" i="5"/>
  <c r="T252" i="6"/>
  <c r="T252" i="7"/>
  <c r="T252" i="8"/>
  <c r="T252" i="9"/>
  <c r="T252" i="11"/>
  <c r="S252" i="5"/>
  <c r="S251" i="5"/>
  <c r="S250" i="5"/>
  <c r="S249" i="5"/>
  <c r="S248" i="5"/>
  <c r="S247" i="5"/>
  <c r="S246" i="5"/>
  <c r="T245" i="5"/>
  <c r="T245" i="7"/>
  <c r="T245" i="8"/>
  <c r="T245" i="9"/>
  <c r="T245" i="11"/>
  <c r="S245" i="5"/>
  <c r="S244" i="5"/>
  <c r="S243" i="5"/>
  <c r="S242" i="5"/>
  <c r="S241" i="5"/>
  <c r="S240" i="5"/>
  <c r="S239" i="5"/>
  <c r="S238" i="5"/>
  <c r="S237" i="5"/>
  <c r="S236" i="5"/>
  <c r="S235" i="5"/>
  <c r="G52" i="14"/>
  <c r="S234" i="5"/>
  <c r="T233" i="9"/>
  <c r="T233" i="11"/>
  <c r="S233" i="5"/>
  <c r="T232" i="5"/>
  <c r="T232" i="6"/>
  <c r="T232" i="7"/>
  <c r="T232" i="8"/>
  <c r="T232" i="9"/>
  <c r="T232" i="11"/>
  <c r="S232" i="5"/>
  <c r="T231" i="5"/>
  <c r="T231" i="6"/>
  <c r="T231" i="7"/>
  <c r="T231" i="8"/>
  <c r="T231" i="9"/>
  <c r="T231" i="11"/>
  <c r="S231" i="5"/>
  <c r="T230" i="5"/>
  <c r="T230" i="6"/>
  <c r="T230" i="7"/>
  <c r="T230" i="8"/>
  <c r="T230" i="9"/>
  <c r="T230" i="11"/>
  <c r="S230" i="5"/>
  <c r="T229" i="5"/>
  <c r="T229" i="6"/>
  <c r="S229" i="5"/>
  <c r="T228" i="5"/>
  <c r="T228" i="6"/>
  <c r="T228" i="7"/>
  <c r="T228" i="8"/>
  <c r="T228" i="9"/>
  <c r="T228" i="11"/>
  <c r="S228" i="5"/>
  <c r="T227" i="5"/>
  <c r="T227" i="6"/>
  <c r="T227" i="7"/>
  <c r="T227" i="8"/>
  <c r="T227" i="9"/>
  <c r="T227" i="11"/>
  <c r="S227" i="5"/>
  <c r="T226" i="5"/>
  <c r="T226" i="6"/>
  <c r="T226" i="7"/>
  <c r="T226" i="8"/>
  <c r="T226" i="9"/>
  <c r="T226" i="11"/>
  <c r="S226" i="5"/>
  <c r="T225" i="5"/>
  <c r="T225" i="6"/>
  <c r="T225" i="7"/>
  <c r="T225" i="8"/>
  <c r="T225" i="9"/>
  <c r="T225" i="11"/>
  <c r="S225" i="5"/>
  <c r="T224" i="5"/>
  <c r="T224" i="6"/>
  <c r="S224" i="5"/>
  <c r="T223" i="5"/>
  <c r="T223" i="6"/>
  <c r="T223" i="7"/>
  <c r="T223" i="8"/>
  <c r="T223" i="9"/>
  <c r="T223" i="11"/>
  <c r="S223" i="5"/>
  <c r="T222" i="5"/>
  <c r="T222" i="6"/>
  <c r="T222" i="7"/>
  <c r="T222" i="8"/>
  <c r="T222" i="9"/>
  <c r="T222" i="11"/>
  <c r="S222" i="5"/>
  <c r="G53" i="14"/>
  <c r="T221" i="5"/>
  <c r="T221" i="6"/>
  <c r="T221" i="7"/>
  <c r="T221" i="8"/>
  <c r="T221" i="9"/>
  <c r="T221" i="11"/>
  <c r="S221" i="5"/>
  <c r="T220" i="5"/>
  <c r="T220" i="6"/>
  <c r="T220" i="7"/>
  <c r="T220" i="8"/>
  <c r="T220" i="9"/>
  <c r="T220" i="11"/>
  <c r="S220" i="5"/>
  <c r="T219" i="5"/>
  <c r="T219" i="6"/>
  <c r="T219" i="7"/>
  <c r="T219" i="8"/>
  <c r="T219" i="9"/>
  <c r="T219" i="11"/>
  <c r="S219" i="5"/>
  <c r="T218" i="5"/>
  <c r="T218" i="6"/>
  <c r="T218" i="7"/>
  <c r="T218" i="8"/>
  <c r="T218" i="9"/>
  <c r="T218" i="11"/>
  <c r="S218" i="5"/>
  <c r="T217" i="5"/>
  <c r="T217" i="6"/>
  <c r="T217" i="8"/>
  <c r="T217" i="9"/>
  <c r="T217" i="11"/>
  <c r="S217" i="5"/>
  <c r="T216" i="5"/>
  <c r="T216" i="6"/>
  <c r="T216" i="8"/>
  <c r="T216" i="9"/>
  <c r="T216" i="11"/>
  <c r="S216" i="5"/>
  <c r="T215" i="5"/>
  <c r="T215" i="6"/>
  <c r="T215" i="8"/>
  <c r="T215" i="9"/>
  <c r="T215" i="11"/>
  <c r="S215" i="5"/>
  <c r="T214" i="5"/>
  <c r="T214" i="6"/>
  <c r="T214" i="7"/>
  <c r="T214" i="8"/>
  <c r="T214" i="9"/>
  <c r="T214" i="11"/>
  <c r="S214" i="5"/>
  <c r="T213" i="5"/>
  <c r="T213" i="6"/>
  <c r="T213" i="7"/>
  <c r="T213" i="8"/>
  <c r="T213" i="9"/>
  <c r="T213" i="11"/>
  <c r="S213" i="5"/>
  <c r="T212" i="5"/>
  <c r="T212" i="6"/>
  <c r="T212" i="7"/>
  <c r="T212" i="8"/>
  <c r="T212" i="9"/>
  <c r="T212" i="11"/>
  <c r="S212" i="5"/>
  <c r="T211" i="5"/>
  <c r="T211" i="6"/>
  <c r="T211" i="7"/>
  <c r="T211" i="8"/>
  <c r="T211" i="9"/>
  <c r="T211" i="11"/>
  <c r="S211" i="5"/>
  <c r="G50" i="14"/>
  <c r="T210" i="5"/>
  <c r="T210" i="6"/>
  <c r="T210" i="7"/>
  <c r="T210" i="8"/>
  <c r="T210" i="9"/>
  <c r="T210" i="11"/>
  <c r="S210" i="5"/>
  <c r="T209" i="5"/>
  <c r="T209" i="6"/>
  <c r="T209" i="7"/>
  <c r="T209" i="8"/>
  <c r="T209" i="9"/>
  <c r="T209" i="11"/>
  <c r="S209" i="5"/>
  <c r="T208" i="5"/>
  <c r="S208" i="5"/>
  <c r="T207" i="5"/>
  <c r="T207" i="6"/>
  <c r="T207" i="7"/>
  <c r="T207" i="8"/>
  <c r="T207" i="9"/>
  <c r="T207" i="11"/>
  <c r="S207" i="5"/>
  <c r="T206" i="5"/>
  <c r="T206" i="6"/>
  <c r="T206" i="8"/>
  <c r="T206" i="9"/>
  <c r="T206" i="11"/>
  <c r="S206" i="5"/>
  <c r="T205" i="5"/>
  <c r="T205" i="6"/>
  <c r="T205" i="7"/>
  <c r="T205" i="8"/>
  <c r="T205" i="9"/>
  <c r="T205" i="11"/>
  <c r="S205" i="5"/>
  <c r="T204" i="5"/>
  <c r="T204" i="6"/>
  <c r="T204" i="7"/>
  <c r="T204" i="8"/>
  <c r="T204" i="9"/>
  <c r="T204" i="11"/>
  <c r="S204" i="5"/>
  <c r="T203" i="5"/>
  <c r="T203" i="6"/>
  <c r="T203" i="7"/>
  <c r="T203" i="8"/>
  <c r="T203" i="9"/>
  <c r="T203" i="11"/>
  <c r="S203" i="5"/>
  <c r="T202" i="5"/>
  <c r="T202" i="6"/>
  <c r="T202" i="7"/>
  <c r="T202" i="8"/>
  <c r="T202" i="9"/>
  <c r="T202" i="11"/>
  <c r="S202" i="5"/>
  <c r="T201" i="5"/>
  <c r="T201" i="6"/>
  <c r="T201" i="7"/>
  <c r="T201" i="8"/>
  <c r="T201" i="9"/>
  <c r="T201" i="11"/>
  <c r="S201" i="5"/>
  <c r="T200" i="5"/>
  <c r="T200" i="6"/>
  <c r="T200" i="7"/>
  <c r="T200" i="8"/>
  <c r="T200" i="9"/>
  <c r="T200" i="11"/>
  <c r="S200" i="5"/>
  <c r="T199" i="5"/>
  <c r="T199" i="6"/>
  <c r="T199" i="7"/>
  <c r="T199" i="8"/>
  <c r="S199" i="5"/>
  <c r="T198" i="5"/>
  <c r="T198" i="6"/>
  <c r="T198" i="7"/>
  <c r="T198" i="8"/>
  <c r="T198" i="9"/>
  <c r="T198" i="11"/>
  <c r="S198" i="5"/>
  <c r="T197" i="5"/>
  <c r="T197" i="6"/>
  <c r="T197" i="7"/>
  <c r="T197" i="8"/>
  <c r="T197" i="9"/>
  <c r="T197" i="11"/>
  <c r="S197" i="5"/>
  <c r="T196" i="5"/>
  <c r="T196" i="6"/>
  <c r="T196" i="7"/>
  <c r="T196" i="8"/>
  <c r="T196" i="9"/>
  <c r="T196" i="11"/>
  <c r="S196" i="5"/>
  <c r="T195" i="5"/>
  <c r="T195" i="6"/>
  <c r="T195" i="7"/>
  <c r="T195" i="8"/>
  <c r="T195" i="9"/>
  <c r="T195" i="11"/>
  <c r="S195" i="5"/>
  <c r="T194" i="5"/>
  <c r="T194" i="6"/>
  <c r="T194" i="7"/>
  <c r="T194" i="8"/>
  <c r="T194" i="9"/>
  <c r="T194" i="11"/>
  <c r="S194" i="5"/>
  <c r="T190" i="5"/>
  <c r="T190" i="6"/>
  <c r="S190" i="7"/>
  <c r="S190" i="8"/>
  <c r="S190" i="9"/>
  <c r="S190" i="11"/>
  <c r="T189" i="5"/>
  <c r="T189" i="6"/>
  <c r="T189" i="7"/>
  <c r="T189" i="8"/>
  <c r="T189" i="9"/>
  <c r="T189" i="11"/>
  <c r="S189" i="5"/>
  <c r="T187" i="5"/>
  <c r="T187" i="6"/>
  <c r="T187" i="7"/>
  <c r="T187" i="8"/>
  <c r="T187" i="9"/>
  <c r="T187" i="11"/>
  <c r="S187" i="5"/>
  <c r="T186" i="5"/>
  <c r="T186" i="6"/>
  <c r="T186" i="7"/>
  <c r="T186" i="8"/>
  <c r="T186" i="9"/>
  <c r="T186" i="11"/>
  <c r="S186" i="5"/>
  <c r="T185" i="5"/>
  <c r="T185" i="6"/>
  <c r="T185" i="7"/>
  <c r="T185" i="8"/>
  <c r="T185" i="9"/>
  <c r="T185" i="11"/>
  <c r="S185" i="5"/>
  <c r="T184" i="5"/>
  <c r="T184" i="6"/>
  <c r="T184" i="7"/>
  <c r="T184" i="8"/>
  <c r="T184" i="9"/>
  <c r="T184" i="11"/>
  <c r="S184" i="5"/>
  <c r="T183" i="5"/>
  <c r="T183" i="6"/>
  <c r="T183" i="7"/>
  <c r="T183" i="8"/>
  <c r="T183" i="9"/>
  <c r="T183" i="11"/>
  <c r="S183" i="5"/>
  <c r="T182" i="5"/>
  <c r="T182" i="6"/>
  <c r="T182" i="7"/>
  <c r="T182" i="8"/>
  <c r="T182" i="9"/>
  <c r="T182" i="11"/>
  <c r="S182" i="5"/>
  <c r="T181" i="5"/>
  <c r="T181" i="6"/>
  <c r="S181" i="5"/>
  <c r="T180" i="6"/>
  <c r="T180" i="7"/>
  <c r="T180" i="8"/>
  <c r="T180" i="9"/>
  <c r="T180" i="11"/>
  <c r="S180" i="5"/>
  <c r="T179" i="6"/>
  <c r="T179" i="7"/>
  <c r="T179" i="9"/>
  <c r="T179" i="11"/>
  <c r="S179" i="5"/>
  <c r="T178" i="5"/>
  <c r="T178" i="6"/>
  <c r="T178" i="7"/>
  <c r="T178" i="8"/>
  <c r="T178" i="9"/>
  <c r="T178" i="11"/>
  <c r="S178" i="5"/>
  <c r="T177" i="5"/>
  <c r="T177" i="6"/>
  <c r="T177" i="7"/>
  <c r="T177" i="8"/>
  <c r="T177" i="9"/>
  <c r="T177" i="11"/>
  <c r="S177" i="5"/>
  <c r="T176" i="5"/>
  <c r="T176" i="6"/>
  <c r="T176" i="7"/>
  <c r="T176" i="8"/>
  <c r="T176" i="9"/>
  <c r="T176" i="11"/>
  <c r="S176" i="5"/>
  <c r="T175" i="5"/>
  <c r="T175" i="6"/>
  <c r="T175" i="7"/>
  <c r="T175" i="8"/>
  <c r="T175" i="9"/>
  <c r="T175" i="11"/>
  <c r="S175" i="5"/>
  <c r="T174" i="5"/>
  <c r="T174" i="6"/>
  <c r="T174" i="7"/>
  <c r="T174" i="8"/>
  <c r="T174" i="9"/>
  <c r="T174" i="11"/>
  <c r="S174" i="5"/>
  <c r="T173" i="5"/>
  <c r="T173" i="6"/>
  <c r="T173" i="7"/>
  <c r="T173" i="8"/>
  <c r="T173" i="9"/>
  <c r="T173" i="11"/>
  <c r="S173" i="5"/>
  <c r="T172" i="5"/>
  <c r="T172" i="6"/>
  <c r="S172" i="5"/>
  <c r="T171" i="5"/>
  <c r="T171" i="6"/>
  <c r="T171" i="7"/>
  <c r="T171" i="8"/>
  <c r="T171" i="9"/>
  <c r="T171" i="11"/>
  <c r="S171" i="5"/>
  <c r="T170" i="5"/>
  <c r="T170" i="6"/>
  <c r="T170" i="7"/>
  <c r="T170" i="8"/>
  <c r="T170" i="9"/>
  <c r="T170" i="11"/>
  <c r="S170" i="5"/>
  <c r="T169" i="5"/>
  <c r="T169" i="6"/>
  <c r="T169" i="7"/>
  <c r="T169" i="8"/>
  <c r="T169" i="9"/>
  <c r="T169" i="11"/>
  <c r="S169" i="5"/>
  <c r="T168" i="5"/>
  <c r="T168" i="6"/>
  <c r="T168" i="7"/>
  <c r="T168" i="8"/>
  <c r="T168" i="9"/>
  <c r="T168" i="11"/>
  <c r="S168" i="5"/>
  <c r="T167" i="5"/>
  <c r="T167" i="6"/>
  <c r="T167" i="7"/>
  <c r="T167" i="8"/>
  <c r="T167" i="9"/>
  <c r="T167" i="11"/>
  <c r="S167" i="7"/>
  <c r="S167" i="8"/>
  <c r="S167" i="9"/>
  <c r="S167" i="11"/>
  <c r="T166" i="5"/>
  <c r="T166" i="6"/>
  <c r="T166" i="7"/>
  <c r="T166" i="8"/>
  <c r="T166" i="9"/>
  <c r="T166" i="11"/>
  <c r="S166" i="5"/>
  <c r="T165" i="5"/>
  <c r="T165" i="6"/>
  <c r="T165" i="7"/>
  <c r="T165" i="8"/>
  <c r="T165" i="9"/>
  <c r="T165" i="11"/>
  <c r="S165" i="5"/>
  <c r="T164" i="5"/>
  <c r="T164" i="8"/>
  <c r="T164" i="9"/>
  <c r="T164" i="11"/>
  <c r="S164" i="5"/>
  <c r="T163" i="5"/>
  <c r="T163" i="8"/>
  <c r="T163" i="9"/>
  <c r="T163" i="11"/>
  <c r="S163" i="5"/>
  <c r="T162" i="5"/>
  <c r="T162" i="8"/>
  <c r="T162" i="9"/>
  <c r="T162" i="11"/>
  <c r="S162" i="5"/>
  <c r="T161" i="5"/>
  <c r="T161" i="8"/>
  <c r="T161" i="9"/>
  <c r="T161" i="11"/>
  <c r="S161" i="5"/>
  <c r="T160" i="5"/>
  <c r="T160" i="8"/>
  <c r="T160" i="9"/>
  <c r="T160" i="11"/>
  <c r="S160" i="5"/>
  <c r="T159" i="5"/>
  <c r="T159" i="8"/>
  <c r="T159" i="9"/>
  <c r="T159" i="11"/>
  <c r="S159" i="5"/>
  <c r="T158" i="5"/>
  <c r="T158" i="8"/>
  <c r="T158" i="9"/>
  <c r="T158" i="11"/>
  <c r="S158" i="5"/>
  <c r="G41" i="14"/>
  <c r="T157" i="5"/>
  <c r="T157" i="6"/>
  <c r="T157" i="7"/>
  <c r="T157" i="8"/>
  <c r="T157" i="9"/>
  <c r="T157" i="11"/>
  <c r="S157" i="5"/>
  <c r="T156" i="5"/>
  <c r="T156" i="6"/>
  <c r="T156" i="7"/>
  <c r="T156" i="8"/>
  <c r="T156" i="9"/>
  <c r="T156" i="11"/>
  <c r="S156" i="5"/>
  <c r="T155" i="5"/>
  <c r="T155" i="6"/>
  <c r="T155" i="7"/>
  <c r="T155" i="8"/>
  <c r="T155" i="9"/>
  <c r="T155" i="11"/>
  <c r="S155" i="5"/>
  <c r="T154" i="5"/>
  <c r="T154" i="6"/>
  <c r="T154" i="7"/>
  <c r="T154" i="8"/>
  <c r="T154" i="9"/>
  <c r="T154" i="11"/>
  <c r="S154" i="5"/>
  <c r="T153" i="5"/>
  <c r="T153" i="6"/>
  <c r="T153" i="8"/>
  <c r="T153" i="9"/>
  <c r="T153" i="11"/>
  <c r="S153" i="5"/>
  <c r="T152" i="5"/>
  <c r="T152" i="6"/>
  <c r="T152" i="7"/>
  <c r="T152" i="8"/>
  <c r="T152" i="9"/>
  <c r="T152" i="11"/>
  <c r="S152" i="5"/>
  <c r="T151" i="5"/>
  <c r="T151" i="6"/>
  <c r="T151" i="7"/>
  <c r="T151" i="8"/>
  <c r="T151" i="9"/>
  <c r="T151" i="11"/>
  <c r="S151" i="5"/>
  <c r="T150" i="5"/>
  <c r="T150" i="6"/>
  <c r="T150" i="7"/>
  <c r="T150" i="8"/>
  <c r="T150" i="9"/>
  <c r="T150" i="11"/>
  <c r="S150" i="5"/>
  <c r="T149" i="5"/>
  <c r="T149" i="6"/>
  <c r="T149" i="7"/>
  <c r="T149" i="8"/>
  <c r="T149" i="9"/>
  <c r="T149" i="11"/>
  <c r="S149" i="5"/>
  <c r="T148" i="5"/>
  <c r="T148" i="6"/>
  <c r="T148" i="7"/>
  <c r="T148" i="8"/>
  <c r="T148" i="9"/>
  <c r="T148" i="11"/>
  <c r="S148" i="5"/>
  <c r="T147" i="5"/>
  <c r="T147" i="6"/>
  <c r="T147" i="7"/>
  <c r="T147" i="8"/>
  <c r="T147" i="9"/>
  <c r="T147" i="11"/>
  <c r="S147" i="5"/>
  <c r="T146" i="5"/>
  <c r="T146" i="6"/>
  <c r="T146" i="7"/>
  <c r="T146" i="8"/>
  <c r="T146" i="9"/>
  <c r="T146" i="11"/>
  <c r="S146" i="5"/>
  <c r="T145" i="5"/>
  <c r="T145" i="6"/>
  <c r="T145" i="7"/>
  <c r="T145" i="8"/>
  <c r="T145" i="9"/>
  <c r="T145" i="11"/>
  <c r="S145" i="5"/>
  <c r="T144" i="5"/>
  <c r="T144" i="6"/>
  <c r="T144" i="7"/>
  <c r="T144" i="8"/>
  <c r="T144" i="9"/>
  <c r="T144" i="11"/>
  <c r="S144" i="5"/>
  <c r="T143" i="5"/>
  <c r="T143" i="6"/>
  <c r="S143" i="5"/>
  <c r="T142" i="6"/>
  <c r="T142" i="7"/>
  <c r="T142" i="8"/>
  <c r="T142" i="9"/>
  <c r="T142" i="11"/>
  <c r="S142" i="5"/>
  <c r="T141" i="5"/>
  <c r="T141" i="6"/>
  <c r="T141" i="7"/>
  <c r="T141" i="8"/>
  <c r="T141" i="9"/>
  <c r="T141" i="11"/>
  <c r="S141" i="5"/>
  <c r="T140" i="5"/>
  <c r="T140" i="6"/>
  <c r="T140" i="7"/>
  <c r="T140" i="8"/>
  <c r="T140" i="9"/>
  <c r="T140" i="11"/>
  <c r="S140" i="5"/>
  <c r="T139" i="5"/>
  <c r="T139" i="6"/>
  <c r="T139" i="8"/>
  <c r="T139" i="9"/>
  <c r="T139" i="11"/>
  <c r="S139" i="5"/>
  <c r="T138" i="5"/>
  <c r="T138" i="6"/>
  <c r="T138" i="7"/>
  <c r="T138" i="8"/>
  <c r="T138" i="9"/>
  <c r="T138" i="11"/>
  <c r="S138" i="5"/>
  <c r="T137" i="5"/>
  <c r="T137" i="6"/>
  <c r="T137" i="7"/>
  <c r="T137" i="8"/>
  <c r="T137" i="9"/>
  <c r="T137" i="11"/>
  <c r="S137" i="5"/>
  <c r="T136" i="5"/>
  <c r="T136" i="6"/>
  <c r="T136" i="7"/>
  <c r="T136" i="8"/>
  <c r="T136" i="9"/>
  <c r="T136" i="11"/>
  <c r="S136" i="5"/>
  <c r="T135" i="5"/>
  <c r="T135" i="6"/>
  <c r="T135" i="7"/>
  <c r="T135" i="8"/>
  <c r="T135" i="9"/>
  <c r="T135" i="11"/>
  <c r="S135" i="5"/>
  <c r="T134" i="5"/>
  <c r="T134" i="6"/>
  <c r="T134" i="7"/>
  <c r="T134" i="8"/>
  <c r="T134" i="9"/>
  <c r="T134" i="11"/>
  <c r="S134" i="5"/>
  <c r="T133" i="5"/>
  <c r="T133" i="6"/>
  <c r="T133" i="7"/>
  <c r="T133" i="8"/>
  <c r="T133" i="9"/>
  <c r="T133" i="11"/>
  <c r="S133" i="5"/>
  <c r="T132" i="5"/>
  <c r="T132" i="6"/>
  <c r="T132" i="7"/>
  <c r="T132" i="8"/>
  <c r="T132" i="9"/>
  <c r="T132" i="11"/>
  <c r="S132" i="5"/>
  <c r="T131" i="5"/>
  <c r="T131" i="6"/>
  <c r="T131" i="7"/>
  <c r="T131" i="8"/>
  <c r="T131" i="9"/>
  <c r="T131" i="11"/>
  <c r="S131" i="5"/>
  <c r="T130" i="5"/>
  <c r="T130" i="6"/>
  <c r="S130" i="5"/>
  <c r="T129" i="5"/>
  <c r="T129" i="6"/>
  <c r="T129" i="7"/>
  <c r="T129" i="8"/>
  <c r="T129" i="9"/>
  <c r="T129" i="11"/>
  <c r="S129" i="5"/>
  <c r="T128" i="5"/>
  <c r="T128" i="6"/>
  <c r="T128" i="7"/>
  <c r="T128" i="8"/>
  <c r="T128" i="9"/>
  <c r="T128" i="11"/>
  <c r="S128" i="5"/>
  <c r="T127" i="5"/>
  <c r="T127" i="6"/>
  <c r="T127" i="7"/>
  <c r="T127" i="8"/>
  <c r="T127" i="9"/>
  <c r="T127" i="11"/>
  <c r="S127" i="5"/>
  <c r="T126" i="5"/>
  <c r="T126" i="6"/>
  <c r="T126" i="7"/>
  <c r="T126" i="8"/>
  <c r="T126" i="9"/>
  <c r="T126" i="11"/>
  <c r="S126" i="5"/>
  <c r="T125" i="5"/>
  <c r="T125" i="6"/>
  <c r="T125" i="7"/>
  <c r="T125" i="8"/>
  <c r="T125" i="9"/>
  <c r="T125" i="11"/>
  <c r="S125" i="5"/>
  <c r="T124" i="5"/>
  <c r="T124" i="6"/>
  <c r="T124" i="7"/>
  <c r="T124" i="8"/>
  <c r="T124" i="9"/>
  <c r="S124" i="5"/>
  <c r="B124" i="5"/>
  <c r="B124" i="6"/>
  <c r="B124" i="7"/>
  <c r="B124" i="8"/>
  <c r="A124" i="5"/>
  <c r="A124" i="6"/>
  <c r="A124" i="7"/>
  <c r="A124" i="8"/>
  <c r="T123" i="5"/>
  <c r="T123" i="6"/>
  <c r="T123" i="7"/>
  <c r="T123" i="8"/>
  <c r="T123" i="9"/>
  <c r="S123" i="5"/>
  <c r="B123" i="5"/>
  <c r="B123" i="6"/>
  <c r="B123" i="7"/>
  <c r="B123" i="8"/>
  <c r="A123" i="5"/>
  <c r="A123" i="6"/>
  <c r="A123" i="7"/>
  <c r="A123" i="8"/>
  <c r="T122" i="5"/>
  <c r="T122" i="6"/>
  <c r="T122" i="7"/>
  <c r="T122" i="8"/>
  <c r="T122" i="9"/>
  <c r="S122" i="5"/>
  <c r="A122" i="5"/>
  <c r="A122" i="6"/>
  <c r="A122" i="7"/>
  <c r="A122" i="8"/>
  <c r="T121" i="5"/>
  <c r="T121" i="6"/>
  <c r="T121" i="8"/>
  <c r="T121" i="9"/>
  <c r="S121" i="5"/>
  <c r="B121" i="5"/>
  <c r="B121" i="6"/>
  <c r="B121" i="7"/>
  <c r="B121" i="8"/>
  <c r="A121" i="5"/>
  <c r="A121" i="6"/>
  <c r="A121" i="7"/>
  <c r="A121" i="8"/>
  <c r="T120" i="5"/>
  <c r="T120" i="6"/>
  <c r="T120" i="7"/>
  <c r="T120" i="8"/>
  <c r="T120" i="9"/>
  <c r="S120" i="5"/>
  <c r="B120" i="5"/>
  <c r="B120" i="6"/>
  <c r="B120" i="7"/>
  <c r="B120" i="8"/>
  <c r="A120" i="5"/>
  <c r="A120" i="6"/>
  <c r="A120" i="7"/>
  <c r="A120" i="8"/>
  <c r="T119" i="5"/>
  <c r="T119" i="6"/>
  <c r="T119" i="7"/>
  <c r="T119" i="8"/>
  <c r="T119" i="9"/>
  <c r="T119" i="11"/>
  <c r="S119" i="5"/>
  <c r="B119" i="5"/>
  <c r="B119" i="6"/>
  <c r="B119" i="7"/>
  <c r="B119" i="8"/>
  <c r="A119" i="5"/>
  <c r="A119" i="6"/>
  <c r="A119" i="7"/>
  <c r="A119" i="8"/>
  <c r="T118" i="5"/>
  <c r="T118" i="6"/>
  <c r="T118" i="7"/>
  <c r="T118" i="8"/>
  <c r="T118" i="9"/>
  <c r="T118" i="11"/>
  <c r="S118" i="5"/>
  <c r="B118" i="5"/>
  <c r="B118" i="6"/>
  <c r="B118" i="7"/>
  <c r="B118" i="8"/>
  <c r="A118" i="5"/>
  <c r="A118" i="6"/>
  <c r="A118" i="7"/>
  <c r="A118" i="8"/>
  <c r="T117" i="5"/>
  <c r="T117" i="6"/>
  <c r="T117" i="7"/>
  <c r="T117" i="8"/>
  <c r="T117" i="9"/>
  <c r="T117" i="11"/>
  <c r="S117" i="5"/>
  <c r="B117" i="5"/>
  <c r="B117" i="6"/>
  <c r="B117" i="7"/>
  <c r="B117" i="8"/>
  <c r="A117" i="5"/>
  <c r="A117" i="6"/>
  <c r="A117" i="7"/>
  <c r="A117" i="8"/>
  <c r="T116" i="5"/>
  <c r="T116" i="6"/>
  <c r="T116" i="7"/>
  <c r="T116" i="8"/>
  <c r="T116" i="9"/>
  <c r="S116" i="5"/>
  <c r="B116" i="5"/>
  <c r="B116" i="6"/>
  <c r="B116" i="7"/>
  <c r="B116" i="8"/>
  <c r="A116" i="5"/>
  <c r="A116" i="6"/>
  <c r="A116" i="7"/>
  <c r="A116" i="8"/>
  <c r="T115" i="5"/>
  <c r="T115" i="6"/>
  <c r="T115" i="7"/>
  <c r="T115" i="8"/>
  <c r="T115" i="9"/>
  <c r="S115" i="5"/>
  <c r="B115" i="5"/>
  <c r="B115" i="6"/>
  <c r="B115" i="7"/>
  <c r="B115" i="8"/>
  <c r="A115" i="5"/>
  <c r="A115" i="6"/>
  <c r="A115" i="7"/>
  <c r="A115" i="8"/>
  <c r="T114" i="5"/>
  <c r="T114" i="6"/>
  <c r="T114" i="7"/>
  <c r="T114" i="8"/>
  <c r="S114" i="5"/>
  <c r="B114" i="5"/>
  <c r="B114" i="6"/>
  <c r="B114" i="7"/>
  <c r="B114" i="8"/>
  <c r="B114" i="9"/>
  <c r="A114" i="5"/>
  <c r="A114" i="6"/>
  <c r="A114" i="7"/>
  <c r="A114" i="8"/>
  <c r="A114" i="9"/>
  <c r="T113" i="5"/>
  <c r="T113" i="6"/>
  <c r="T113" i="7"/>
  <c r="T113" i="8"/>
  <c r="T113" i="9"/>
  <c r="S113" i="5"/>
  <c r="B113" i="5"/>
  <c r="B113" i="6"/>
  <c r="B113" i="7"/>
  <c r="B113" i="8"/>
  <c r="B113" i="9"/>
  <c r="B113" i="11"/>
  <c r="A113" i="5"/>
  <c r="A113" i="6"/>
  <c r="A113" i="7"/>
  <c r="A113" i="8"/>
  <c r="A113" i="9"/>
  <c r="A113" i="11"/>
  <c r="T112" i="5"/>
  <c r="T112" i="6"/>
  <c r="T112" i="7"/>
  <c r="T112" i="8"/>
  <c r="S112" i="5"/>
  <c r="B112" i="5"/>
  <c r="B112" i="6"/>
  <c r="B112" i="7"/>
  <c r="B112" i="8"/>
  <c r="B112" i="9"/>
  <c r="A112" i="5"/>
  <c r="A112" i="6"/>
  <c r="A112" i="7"/>
  <c r="A112" i="8"/>
  <c r="A112" i="9"/>
  <c r="T111" i="5"/>
  <c r="T111" i="6"/>
  <c r="T111" i="7"/>
  <c r="T111" i="8"/>
  <c r="T111" i="9"/>
  <c r="T111" i="11"/>
  <c r="S111" i="5"/>
  <c r="B111" i="5"/>
  <c r="B111" i="6"/>
  <c r="B111" i="7"/>
  <c r="B111" i="8"/>
  <c r="B111" i="9"/>
  <c r="B111" i="11"/>
  <c r="A111" i="5"/>
  <c r="A111" i="6"/>
  <c r="A111" i="7"/>
  <c r="A111" i="8"/>
  <c r="A111" i="9"/>
  <c r="A111" i="11"/>
  <c r="T110" i="5"/>
  <c r="T110" i="6"/>
  <c r="T110" i="7"/>
  <c r="T110" i="8"/>
  <c r="T110" i="9"/>
  <c r="S110" i="5"/>
  <c r="B110" i="5"/>
  <c r="B110" i="6"/>
  <c r="B110" i="7"/>
  <c r="B110" i="8"/>
  <c r="B110" i="9"/>
  <c r="B110" i="11"/>
  <c r="A110" i="5"/>
  <c r="A110" i="6"/>
  <c r="A110" i="7"/>
  <c r="A110" i="8"/>
  <c r="A110" i="9"/>
  <c r="T109" i="5"/>
  <c r="T109" i="6"/>
  <c r="T109" i="7"/>
  <c r="T109" i="8"/>
  <c r="T109" i="9"/>
  <c r="T109" i="11"/>
  <c r="S109" i="5"/>
  <c r="B109" i="5"/>
  <c r="B109" i="6"/>
  <c r="B109" i="7"/>
  <c r="B109" i="8"/>
  <c r="B109" i="9"/>
  <c r="B109" i="11"/>
  <c r="A109" i="5"/>
  <c r="A109" i="6"/>
  <c r="A109" i="7"/>
  <c r="A109" i="8"/>
  <c r="A109" i="9"/>
  <c r="A109" i="11"/>
  <c r="T108" i="5"/>
  <c r="T108" i="6"/>
  <c r="S108" i="7"/>
  <c r="S108" i="8"/>
  <c r="B108" i="5"/>
  <c r="B108" i="6"/>
  <c r="B108" i="7"/>
  <c r="B108" i="8"/>
  <c r="B108" i="9"/>
  <c r="B108" i="11"/>
  <c r="A108" i="5"/>
  <c r="A108" i="6"/>
  <c r="A108" i="7"/>
  <c r="A108" i="8"/>
  <c r="A108" i="9"/>
  <c r="A108" i="11"/>
  <c r="T107" i="5"/>
  <c r="T107" i="6"/>
  <c r="T107" i="7"/>
  <c r="T107" i="8"/>
  <c r="S107" i="5"/>
  <c r="B107" i="5"/>
  <c r="B107" i="6"/>
  <c r="B107" i="7"/>
  <c r="B107" i="8"/>
  <c r="B107" i="9"/>
  <c r="B107" i="11"/>
  <c r="A107" i="5"/>
  <c r="A107" i="6"/>
  <c r="A107" i="7"/>
  <c r="A107" i="8"/>
  <c r="A107" i="9"/>
  <c r="A107" i="11"/>
  <c r="T106" i="5"/>
  <c r="T106" i="6"/>
  <c r="T106" i="7"/>
  <c r="T106" i="8"/>
  <c r="S106" i="5"/>
  <c r="B106" i="5"/>
  <c r="B106" i="6"/>
  <c r="B106" i="7"/>
  <c r="A106" i="5"/>
  <c r="A106" i="6"/>
  <c r="A106" i="7"/>
  <c r="T105" i="5"/>
  <c r="T105" i="6"/>
  <c r="T105" i="7"/>
  <c r="T105" i="8"/>
  <c r="S105" i="5"/>
  <c r="B105" i="5"/>
  <c r="B105" i="6"/>
  <c r="B105" i="7"/>
  <c r="B105" i="8"/>
  <c r="B105" i="9"/>
  <c r="B105" i="11"/>
  <c r="A105" i="5"/>
  <c r="A105" i="6"/>
  <c r="A105" i="7"/>
  <c r="A105" i="8"/>
  <c r="A105" i="9"/>
  <c r="A105" i="11"/>
  <c r="T104" i="5"/>
  <c r="T104" i="6"/>
  <c r="T104" i="7"/>
  <c r="T104" i="8"/>
  <c r="S104" i="5"/>
  <c r="B104" i="5"/>
  <c r="B104" i="6"/>
  <c r="B104" i="7"/>
  <c r="B104" i="8"/>
  <c r="A104" i="5"/>
  <c r="A104" i="6"/>
  <c r="A104" i="7"/>
  <c r="A104" i="8"/>
  <c r="T103" i="5"/>
  <c r="T103" i="6"/>
  <c r="T103" i="7"/>
  <c r="T103" i="8"/>
  <c r="T103" i="9"/>
  <c r="S103" i="5"/>
  <c r="B103" i="5"/>
  <c r="B103" i="6"/>
  <c r="B103" i="7"/>
  <c r="B103" i="8"/>
  <c r="B103" i="9"/>
  <c r="A103" i="5"/>
  <c r="A103" i="6"/>
  <c r="A103" i="7"/>
  <c r="A103" i="8"/>
  <c r="A103" i="9"/>
  <c r="T102" i="5"/>
  <c r="T102" i="6"/>
  <c r="S102" i="5"/>
  <c r="B102" i="5"/>
  <c r="B102" i="6"/>
  <c r="B102" i="7"/>
  <c r="B102" i="8"/>
  <c r="B102" i="9"/>
  <c r="A102" i="5"/>
  <c r="A102" i="6"/>
  <c r="A102" i="7"/>
  <c r="A102" i="8"/>
  <c r="A102" i="9"/>
  <c r="T101" i="5"/>
  <c r="T101" i="6"/>
  <c r="T101" i="7"/>
  <c r="T101" i="8"/>
  <c r="T101" i="9"/>
  <c r="S101" i="5"/>
  <c r="B101" i="5"/>
  <c r="B101" i="6"/>
  <c r="B101" i="7"/>
  <c r="B101" i="8"/>
  <c r="B101" i="9"/>
  <c r="A101" i="5"/>
  <c r="A101" i="6"/>
  <c r="A101" i="7"/>
  <c r="A101" i="8"/>
  <c r="A101" i="9"/>
  <c r="T100" i="5"/>
  <c r="T100" i="6"/>
  <c r="T100" i="7"/>
  <c r="T100" i="8"/>
  <c r="T100" i="9"/>
  <c r="S100" i="5"/>
  <c r="B100" i="5"/>
  <c r="B100" i="6"/>
  <c r="B100" i="7"/>
  <c r="B100" i="8"/>
  <c r="B100" i="9"/>
  <c r="A100" i="5"/>
  <c r="A100" i="6"/>
  <c r="A100" i="7"/>
  <c r="A100" i="8"/>
  <c r="A100" i="9"/>
  <c r="T99" i="5"/>
  <c r="T99" i="6"/>
  <c r="T99" i="7"/>
  <c r="T99" i="8"/>
  <c r="T99" i="9"/>
  <c r="S99" i="5"/>
  <c r="B99" i="5"/>
  <c r="B99" i="6"/>
  <c r="B99" i="7"/>
  <c r="B99" i="8"/>
  <c r="B99" i="9"/>
  <c r="A99" i="5"/>
  <c r="A99" i="6"/>
  <c r="A99" i="7"/>
  <c r="A99" i="8"/>
  <c r="A99" i="9"/>
  <c r="T98" i="5"/>
  <c r="T98" i="6"/>
  <c r="T98" i="7"/>
  <c r="T98" i="8"/>
  <c r="T98" i="9"/>
  <c r="S98" i="5"/>
  <c r="B98" i="5"/>
  <c r="B98" i="6"/>
  <c r="B98" i="7"/>
  <c r="B98" i="8"/>
  <c r="B98" i="9"/>
  <c r="A98" i="5"/>
  <c r="A98" i="6"/>
  <c r="A98" i="7"/>
  <c r="A98" i="8"/>
  <c r="A98" i="9"/>
  <c r="T97" i="5"/>
  <c r="T97" i="6"/>
  <c r="T97" i="7"/>
  <c r="T97" i="8"/>
  <c r="T97" i="9"/>
  <c r="S97" i="5"/>
  <c r="B97" i="5"/>
  <c r="B97" i="6"/>
  <c r="B97" i="7"/>
  <c r="B97" i="8"/>
  <c r="B97" i="11"/>
  <c r="B97" i="12" s="1"/>
  <c r="B97" i="13" s="1"/>
  <c r="A97" i="5"/>
  <c r="A97" i="6"/>
  <c r="A97" i="7"/>
  <c r="A97" i="8"/>
  <c r="A97" i="11"/>
  <c r="A97" i="12" s="1"/>
  <c r="A97" i="13" s="1"/>
  <c r="T96" i="5"/>
  <c r="T96" i="6"/>
  <c r="T96" i="7"/>
  <c r="T96" i="8"/>
  <c r="T96" i="9"/>
  <c r="S96" i="5"/>
  <c r="B96" i="5"/>
  <c r="B96" i="6"/>
  <c r="B96" i="7"/>
  <c r="B96" i="8"/>
  <c r="B96" i="11"/>
  <c r="B96" i="12" s="1"/>
  <c r="B96" i="13" s="1"/>
  <c r="A96" i="5"/>
  <c r="A96" i="6"/>
  <c r="A96" i="7"/>
  <c r="A96" i="8"/>
  <c r="A96" i="11"/>
  <c r="A96" i="12" s="1"/>
  <c r="A96" i="13" s="1"/>
  <c r="T95" i="5"/>
  <c r="T95" i="6"/>
  <c r="T95" i="7"/>
  <c r="T95" i="8"/>
  <c r="T95" i="9"/>
  <c r="S95" i="5"/>
  <c r="B95" i="5"/>
  <c r="B95" i="6"/>
  <c r="B95" i="7"/>
  <c r="B95" i="8"/>
  <c r="B95" i="9"/>
  <c r="A95" i="5"/>
  <c r="A95" i="6"/>
  <c r="A95" i="7"/>
  <c r="A95" i="8"/>
  <c r="A95" i="9"/>
  <c r="T94" i="5"/>
  <c r="T94" i="6"/>
  <c r="T94" i="7"/>
  <c r="T94" i="8"/>
  <c r="T94" i="9"/>
  <c r="S94" i="5"/>
  <c r="B94" i="5"/>
  <c r="B94" i="6"/>
  <c r="B94" i="7"/>
  <c r="B94" i="8"/>
  <c r="B94" i="9"/>
  <c r="A94" i="5"/>
  <c r="A94" i="6"/>
  <c r="A94" i="7"/>
  <c r="A94" i="8"/>
  <c r="A94" i="9"/>
  <c r="T93" i="5"/>
  <c r="T93" i="6"/>
  <c r="T93" i="7"/>
  <c r="T93" i="8"/>
  <c r="T93" i="9"/>
  <c r="S93" i="5"/>
  <c r="B93" i="5"/>
  <c r="B93" i="6"/>
  <c r="B93" i="7"/>
  <c r="B93" i="8"/>
  <c r="B93" i="9"/>
  <c r="A93" i="5"/>
  <c r="A93" i="6"/>
  <c r="A93" i="7"/>
  <c r="A93" i="8"/>
  <c r="A93" i="9"/>
  <c r="T92" i="5"/>
  <c r="T92" i="6"/>
  <c r="T92" i="7"/>
  <c r="T92" i="8"/>
  <c r="T92" i="9"/>
  <c r="S92" i="5"/>
  <c r="B92" i="5"/>
  <c r="B92" i="6"/>
  <c r="B92" i="7"/>
  <c r="B92" i="8"/>
  <c r="B92" i="9"/>
  <c r="A92" i="5"/>
  <c r="A92" i="6"/>
  <c r="A92" i="7"/>
  <c r="A92" i="8"/>
  <c r="A92" i="9"/>
  <c r="T91" i="5"/>
  <c r="T91" i="6"/>
  <c r="T91" i="7"/>
  <c r="T91" i="8"/>
  <c r="T91" i="9"/>
  <c r="S91" i="5"/>
  <c r="B91" i="5"/>
  <c r="B91" i="6"/>
  <c r="B91" i="7"/>
  <c r="B91" i="8"/>
  <c r="B91" i="9"/>
  <c r="A91" i="5"/>
  <c r="A91" i="6"/>
  <c r="A91" i="7"/>
  <c r="A91" i="8"/>
  <c r="A91" i="9"/>
  <c r="T90" i="5"/>
  <c r="T90" i="6"/>
  <c r="T90" i="7"/>
  <c r="T90" i="8"/>
  <c r="T90" i="9"/>
  <c r="S90" i="5"/>
  <c r="B90" i="5"/>
  <c r="B90" i="6"/>
  <c r="B90" i="7"/>
  <c r="B90" i="8"/>
  <c r="B90" i="9"/>
  <c r="A90" i="5"/>
  <c r="A90" i="6"/>
  <c r="A90" i="7"/>
  <c r="A90" i="8"/>
  <c r="A90" i="9"/>
  <c r="T89" i="5"/>
  <c r="T89" i="6"/>
  <c r="T89" i="7"/>
  <c r="T89" i="8"/>
  <c r="T89" i="9"/>
  <c r="S89" i="5"/>
  <c r="B89" i="5"/>
  <c r="B89" i="6"/>
  <c r="B89" i="7"/>
  <c r="B89" i="8"/>
  <c r="B89" i="9"/>
  <c r="A89" i="5"/>
  <c r="A89" i="6"/>
  <c r="A89" i="7"/>
  <c r="A89" i="8"/>
  <c r="A89" i="9"/>
  <c r="T88" i="5"/>
  <c r="T88" i="6"/>
  <c r="T88" i="8"/>
  <c r="T88" i="9"/>
  <c r="S88" i="5"/>
  <c r="B88" i="5"/>
  <c r="B88" i="6"/>
  <c r="B88" i="7"/>
  <c r="B88" i="8"/>
  <c r="B88" i="9"/>
  <c r="A88" i="5"/>
  <c r="A88" i="6"/>
  <c r="A88" i="7"/>
  <c r="T87" i="5"/>
  <c r="T87" i="6"/>
  <c r="T87" i="7"/>
  <c r="T87" i="8"/>
  <c r="T87" i="9"/>
  <c r="S87" i="5"/>
  <c r="B87" i="5"/>
  <c r="B87" i="6"/>
  <c r="B87" i="7"/>
  <c r="B87" i="8"/>
  <c r="B87" i="9"/>
  <c r="A87" i="5"/>
  <c r="A87" i="6"/>
  <c r="A87" i="7"/>
  <c r="A87" i="8"/>
  <c r="A87" i="9"/>
  <c r="T86" i="5"/>
  <c r="T86" i="6"/>
  <c r="T86" i="7"/>
  <c r="T86" i="8"/>
  <c r="T86" i="9"/>
  <c r="S86" i="5"/>
  <c r="T85" i="5"/>
  <c r="T85" i="6"/>
  <c r="T85" i="7"/>
  <c r="T85" i="8"/>
  <c r="T85" i="9"/>
  <c r="S85" i="5"/>
  <c r="B85" i="5"/>
  <c r="B85" i="6"/>
  <c r="B85" i="7"/>
  <c r="B85" i="8"/>
  <c r="B85" i="9"/>
  <c r="A85" i="5"/>
  <c r="A85" i="6"/>
  <c r="A85" i="7"/>
  <c r="A85" i="8"/>
  <c r="A85" i="9"/>
  <c r="T84" i="5"/>
  <c r="T84" i="6"/>
  <c r="T84" i="7"/>
  <c r="T84" i="8"/>
  <c r="T84" i="9"/>
  <c r="S84" i="5"/>
  <c r="B84" i="5"/>
  <c r="B84" i="6"/>
  <c r="B84" i="7"/>
  <c r="B84" i="8"/>
  <c r="B84" i="9"/>
  <c r="A84" i="5"/>
  <c r="A84" i="6"/>
  <c r="A84" i="7"/>
  <c r="A84" i="8"/>
  <c r="A84" i="9"/>
  <c r="T83" i="5"/>
  <c r="T83" i="6"/>
  <c r="T83" i="7"/>
  <c r="T83" i="8"/>
  <c r="T83" i="9"/>
  <c r="S83" i="5"/>
  <c r="B83" i="5"/>
  <c r="B83" i="6"/>
  <c r="B83" i="7"/>
  <c r="B83" i="8"/>
  <c r="B83" i="9"/>
  <c r="A83" i="5"/>
  <c r="A83" i="6"/>
  <c r="A83" i="7"/>
  <c r="A83" i="8"/>
  <c r="A83" i="9"/>
  <c r="T82" i="5"/>
  <c r="T82" i="6"/>
  <c r="T82" i="7"/>
  <c r="T82" i="8"/>
  <c r="T82" i="9"/>
  <c r="S82" i="5"/>
  <c r="A82" i="5"/>
  <c r="A82" i="6"/>
  <c r="A82" i="7"/>
  <c r="A82" i="8"/>
  <c r="A82" i="9"/>
  <c r="T81" i="5"/>
  <c r="T81" i="6"/>
  <c r="T81" i="8"/>
  <c r="T81" i="9"/>
  <c r="S81" i="5"/>
  <c r="B81" i="5"/>
  <c r="B81" i="6"/>
  <c r="B81" i="7"/>
  <c r="B81" i="8"/>
  <c r="B81" i="9"/>
  <c r="A81" i="5"/>
  <c r="A81" i="6"/>
  <c r="A81" i="7"/>
  <c r="A81" i="8"/>
  <c r="A81" i="9"/>
  <c r="T80" i="6"/>
  <c r="T80" i="7"/>
  <c r="T80" i="8"/>
  <c r="T80" i="9"/>
  <c r="S80" i="5"/>
  <c r="B80" i="5"/>
  <c r="B80" i="6"/>
  <c r="B80" i="7"/>
  <c r="B80" i="8"/>
  <c r="B80" i="9"/>
  <c r="A80" i="5"/>
  <c r="A80" i="6"/>
  <c r="A80" i="7"/>
  <c r="A80" i="8"/>
  <c r="A80" i="9"/>
  <c r="T79" i="5"/>
  <c r="T79" i="6"/>
  <c r="T79" i="7"/>
  <c r="T79" i="8"/>
  <c r="T79" i="9"/>
  <c r="S79" i="5"/>
  <c r="A79" i="5"/>
  <c r="A79" i="6"/>
  <c r="A79" i="7"/>
  <c r="A79" i="8"/>
  <c r="A79" i="9"/>
  <c r="T78" i="6"/>
  <c r="T78" i="7"/>
  <c r="T78" i="8"/>
  <c r="T78" i="9"/>
  <c r="S78" i="5"/>
  <c r="B78" i="5"/>
  <c r="B78" i="6"/>
  <c r="B78" i="7"/>
  <c r="B78" i="8"/>
  <c r="B78" i="9"/>
  <c r="A78" i="5"/>
  <c r="A78" i="6"/>
  <c r="A78" i="7"/>
  <c r="A78" i="8"/>
  <c r="A78" i="9"/>
  <c r="T77" i="5"/>
  <c r="T77" i="6"/>
  <c r="T77" i="7"/>
  <c r="T77" i="8"/>
  <c r="T77" i="9"/>
  <c r="S77" i="5"/>
  <c r="B77" i="5"/>
  <c r="B77" i="6"/>
  <c r="B77" i="7"/>
  <c r="B77" i="8"/>
  <c r="B77" i="9"/>
  <c r="A77" i="5"/>
  <c r="A77" i="6"/>
  <c r="A77" i="7"/>
  <c r="A77" i="8"/>
  <c r="A77" i="9"/>
  <c r="T76" i="5"/>
  <c r="T76" i="6"/>
  <c r="T76" i="7"/>
  <c r="T76" i="8"/>
  <c r="T76" i="9"/>
  <c r="S76" i="5"/>
  <c r="A76" i="5"/>
  <c r="A76" i="6"/>
  <c r="A76" i="7"/>
  <c r="A76" i="8"/>
  <c r="A76" i="9"/>
  <c r="T75" i="5"/>
  <c r="T75" i="6"/>
  <c r="T75" i="7"/>
  <c r="T75" i="8"/>
  <c r="T75" i="9"/>
  <c r="S75" i="5"/>
  <c r="B75" i="5"/>
  <c r="B75" i="6"/>
  <c r="B75" i="7"/>
  <c r="B75" i="8"/>
  <c r="B75" i="9"/>
  <c r="A75" i="5"/>
  <c r="A75" i="6"/>
  <c r="A75" i="7"/>
  <c r="A75" i="8"/>
  <c r="A75" i="9"/>
  <c r="T74" i="5"/>
  <c r="T74" i="6"/>
  <c r="T74" i="7"/>
  <c r="T74" i="8"/>
  <c r="T74" i="9"/>
  <c r="S74" i="5"/>
  <c r="B74" i="5"/>
  <c r="B74" i="6"/>
  <c r="B74" i="7"/>
  <c r="B74" i="8"/>
  <c r="B74" i="9"/>
  <c r="A74" i="5"/>
  <c r="A74" i="6"/>
  <c r="A74" i="7"/>
  <c r="A74" i="8"/>
  <c r="A74" i="9"/>
  <c r="T73" i="5"/>
  <c r="T73" i="6"/>
  <c r="T73" i="7"/>
  <c r="T73" i="8"/>
  <c r="T73" i="9"/>
  <c r="S73" i="5"/>
  <c r="A73" i="5"/>
  <c r="A73" i="6"/>
  <c r="A73" i="7"/>
  <c r="A73" i="8"/>
  <c r="A73" i="9"/>
  <c r="T72" i="5"/>
  <c r="T72" i="6"/>
  <c r="T72" i="7"/>
  <c r="T72" i="8"/>
  <c r="T72" i="9"/>
  <c r="S72" i="5"/>
  <c r="B72" i="5"/>
  <c r="B72" i="6"/>
  <c r="B72" i="7"/>
  <c r="B72" i="8"/>
  <c r="B72" i="9"/>
  <c r="A72" i="5"/>
  <c r="A72" i="6"/>
  <c r="A72" i="7"/>
  <c r="A72" i="8"/>
  <c r="A72" i="9"/>
  <c r="T71" i="5"/>
  <c r="T71" i="6"/>
  <c r="T71" i="7"/>
  <c r="T71" i="8"/>
  <c r="T71" i="9"/>
  <c r="S71" i="5"/>
  <c r="B71" i="5"/>
  <c r="B71" i="6"/>
  <c r="B71" i="7"/>
  <c r="B71" i="8"/>
  <c r="B71" i="9"/>
  <c r="A71" i="5"/>
  <c r="A71" i="6"/>
  <c r="A71" i="7"/>
  <c r="A71" i="8"/>
  <c r="A71" i="9"/>
  <c r="T70" i="5"/>
  <c r="T70" i="6"/>
  <c r="T70" i="7"/>
  <c r="T70" i="8"/>
  <c r="T70" i="9"/>
  <c r="S70" i="5"/>
  <c r="A70" i="5"/>
  <c r="A70" i="6"/>
  <c r="A70" i="7"/>
  <c r="A70" i="8"/>
  <c r="A70" i="9"/>
  <c r="T69" i="5"/>
  <c r="T69" i="6"/>
  <c r="T69" i="7"/>
  <c r="T69" i="8"/>
  <c r="T69" i="9"/>
  <c r="S69" i="5"/>
  <c r="B69" i="5"/>
  <c r="B69" i="6"/>
  <c r="B69" i="7"/>
  <c r="B69" i="8"/>
  <c r="B69" i="9"/>
  <c r="A69" i="5"/>
  <c r="A69" i="6"/>
  <c r="A69" i="7"/>
  <c r="A69" i="8"/>
  <c r="A69" i="9"/>
  <c r="T68" i="5"/>
  <c r="T68" i="6"/>
  <c r="T68" i="7"/>
  <c r="T68" i="8"/>
  <c r="T68" i="9"/>
  <c r="S68" i="5"/>
  <c r="B68" i="5"/>
  <c r="B68" i="6"/>
  <c r="A68" i="5"/>
  <c r="A68" i="6"/>
  <c r="A68" i="7"/>
  <c r="A68" i="8"/>
  <c r="A68" i="9"/>
  <c r="T67" i="5"/>
  <c r="T67" i="6"/>
  <c r="T67" i="7"/>
  <c r="T67" i="8"/>
  <c r="T67" i="9"/>
  <c r="S67" i="5"/>
  <c r="A67" i="5"/>
  <c r="A67" i="6"/>
  <c r="A67" i="7"/>
  <c r="A67" i="8"/>
  <c r="A67" i="9"/>
  <c r="T66" i="5"/>
  <c r="T66" i="6"/>
  <c r="T66" i="7"/>
  <c r="T66" i="8"/>
  <c r="T66" i="9"/>
  <c r="S66" i="5"/>
  <c r="B66" i="5"/>
  <c r="B66" i="6"/>
  <c r="B66" i="7"/>
  <c r="B66" i="8"/>
  <c r="B66" i="9"/>
  <c r="A66" i="5"/>
  <c r="A66" i="6"/>
  <c r="A66" i="7"/>
  <c r="A66" i="8"/>
  <c r="A66" i="9"/>
  <c r="T65" i="5"/>
  <c r="T65" i="6"/>
  <c r="T65" i="7"/>
  <c r="T65" i="8"/>
  <c r="T65" i="9"/>
  <c r="S65" i="5"/>
  <c r="B65" i="5"/>
  <c r="B65" i="6"/>
  <c r="B65" i="7"/>
  <c r="B65" i="8"/>
  <c r="B65" i="9"/>
  <c r="A65" i="5"/>
  <c r="A65" i="6"/>
  <c r="A65" i="7"/>
  <c r="A65" i="8"/>
  <c r="A65" i="9"/>
  <c r="T64" i="5"/>
  <c r="T64" i="6"/>
  <c r="T64" i="7"/>
  <c r="T64" i="8"/>
  <c r="T64" i="9"/>
  <c r="S64" i="5"/>
  <c r="A64" i="5"/>
  <c r="A64" i="6"/>
  <c r="A64" i="7"/>
  <c r="A64" i="8"/>
  <c r="A64" i="9"/>
  <c r="T63" i="5"/>
  <c r="T63" i="6"/>
  <c r="T63" i="7"/>
  <c r="T63" i="8"/>
  <c r="T63" i="9"/>
  <c r="S63" i="5"/>
  <c r="B63" i="5"/>
  <c r="B63" i="6"/>
  <c r="B63" i="7"/>
  <c r="B63" i="8"/>
  <c r="B63" i="9"/>
  <c r="A63" i="5"/>
  <c r="A63" i="6"/>
  <c r="A63" i="7"/>
  <c r="A63" i="8"/>
  <c r="A63" i="9"/>
  <c r="T62" i="5"/>
  <c r="T62" i="6"/>
  <c r="T62" i="7"/>
  <c r="T62" i="8"/>
  <c r="T62" i="9"/>
  <c r="S62" i="5"/>
  <c r="B62" i="5"/>
  <c r="B62" i="6"/>
  <c r="B62" i="7"/>
  <c r="B62" i="8"/>
  <c r="B62" i="9"/>
  <c r="A62" i="5"/>
  <c r="A62" i="6"/>
  <c r="A62" i="7"/>
  <c r="A62" i="8"/>
  <c r="A62" i="9"/>
  <c r="T61" i="5"/>
  <c r="T61" i="6"/>
  <c r="S61" i="5"/>
  <c r="A61" i="5"/>
  <c r="A61" i="6"/>
  <c r="A61" i="7"/>
  <c r="A61" i="8"/>
  <c r="A61" i="9"/>
  <c r="T60" i="5"/>
  <c r="T60" i="6"/>
  <c r="T60" i="7"/>
  <c r="T60" i="8"/>
  <c r="T60" i="9"/>
  <c r="T60" i="10"/>
  <c r="S60" i="5"/>
  <c r="B60" i="5"/>
  <c r="B60" i="6"/>
  <c r="B60" i="7"/>
  <c r="B60" i="8"/>
  <c r="B60" i="9"/>
  <c r="A60" i="5"/>
  <c r="A60" i="6"/>
  <c r="A60" i="7"/>
  <c r="A60" i="8"/>
  <c r="A60" i="9"/>
  <c r="T59" i="5"/>
  <c r="T59" i="6"/>
  <c r="T59" i="7"/>
  <c r="T59" i="8"/>
  <c r="T59" i="9"/>
  <c r="T59" i="10"/>
  <c r="S59" i="5"/>
  <c r="B59" i="5"/>
  <c r="B59" i="6"/>
  <c r="B59" i="7"/>
  <c r="B59" i="8"/>
  <c r="B59" i="9"/>
  <c r="A59" i="5"/>
  <c r="A59" i="6"/>
  <c r="A59" i="7"/>
  <c r="A59" i="8"/>
  <c r="A59" i="9"/>
  <c r="T58" i="5"/>
  <c r="T58" i="6"/>
  <c r="T58" i="7"/>
  <c r="T58" i="8"/>
  <c r="T58" i="9"/>
  <c r="S58" i="5"/>
  <c r="A58" i="5"/>
  <c r="A58" i="6"/>
  <c r="A58" i="7"/>
  <c r="A58" i="8"/>
  <c r="A58" i="9"/>
  <c r="T57" i="5"/>
  <c r="T57" i="6"/>
  <c r="T57" i="7"/>
  <c r="T57" i="8"/>
  <c r="T57" i="9"/>
  <c r="S57" i="5"/>
  <c r="B57" i="5"/>
  <c r="B57" i="6"/>
  <c r="B57" i="7"/>
  <c r="B57" i="8"/>
  <c r="B57" i="9"/>
  <c r="A57" i="5"/>
  <c r="A57" i="6"/>
  <c r="A57" i="7"/>
  <c r="A57" i="8"/>
  <c r="A57" i="9"/>
  <c r="T56" i="5"/>
  <c r="T56" i="6"/>
  <c r="T56" i="7"/>
  <c r="T56" i="8"/>
  <c r="T56" i="9"/>
  <c r="S56" i="5"/>
  <c r="B56" i="5"/>
  <c r="B56" i="6"/>
  <c r="B56" i="7"/>
  <c r="B56" i="8"/>
  <c r="B56" i="9"/>
  <c r="A56" i="5"/>
  <c r="A56" i="6"/>
  <c r="A56" i="7"/>
  <c r="A56" i="8"/>
  <c r="A56" i="9"/>
  <c r="T55" i="5"/>
  <c r="T55" i="6"/>
  <c r="T55" i="8"/>
  <c r="T55" i="9"/>
  <c r="S55" i="5"/>
  <c r="A55" i="5"/>
  <c r="A55" i="6"/>
  <c r="A55" i="7"/>
  <c r="A55" i="8"/>
  <c r="A55" i="9"/>
  <c r="T54" i="5"/>
  <c r="T54" i="6"/>
  <c r="T54" i="7"/>
  <c r="T54" i="8"/>
  <c r="T54" i="9"/>
  <c r="S54" i="5"/>
  <c r="B54" i="5"/>
  <c r="B54" i="6"/>
  <c r="B54" i="7"/>
  <c r="B54" i="8"/>
  <c r="B54" i="9"/>
  <c r="A54" i="5"/>
  <c r="A54" i="6"/>
  <c r="A54" i="7"/>
  <c r="A54" i="8"/>
  <c r="A54" i="9"/>
  <c r="T53" i="5"/>
  <c r="T53" i="6"/>
  <c r="T53" i="7"/>
  <c r="T53" i="8"/>
  <c r="T53" i="9"/>
  <c r="S53" i="5"/>
  <c r="B53" i="5"/>
  <c r="B53" i="6"/>
  <c r="B53" i="7"/>
  <c r="B53" i="8"/>
  <c r="B53" i="9"/>
  <c r="A53" i="5"/>
  <c r="A53" i="6"/>
  <c r="A53" i="7"/>
  <c r="A53" i="8"/>
  <c r="A53" i="9"/>
  <c r="T52" i="5"/>
  <c r="T52" i="6"/>
  <c r="T52" i="7"/>
  <c r="T52" i="8"/>
  <c r="T52" i="9"/>
  <c r="S52" i="5"/>
  <c r="A52" i="5"/>
  <c r="A52" i="6"/>
  <c r="A52" i="7"/>
  <c r="A52" i="8"/>
  <c r="A52" i="9"/>
  <c r="T51" i="6"/>
  <c r="T51" i="7"/>
  <c r="T51" i="8"/>
  <c r="T51" i="9"/>
  <c r="S51" i="5"/>
  <c r="B51" i="5"/>
  <c r="B51" i="6"/>
  <c r="B51" i="7"/>
  <c r="B51" i="8"/>
  <c r="B51" i="9"/>
  <c r="A51" i="5"/>
  <c r="A51" i="6"/>
  <c r="A51" i="7"/>
  <c r="A51" i="8"/>
  <c r="A51" i="9"/>
  <c r="T50" i="5"/>
  <c r="T50" i="6"/>
  <c r="T50" i="7"/>
  <c r="T50" i="8"/>
  <c r="T50" i="9"/>
  <c r="S50" i="5"/>
  <c r="B50" i="5"/>
  <c r="B50" i="6"/>
  <c r="B50" i="7"/>
  <c r="B50" i="8"/>
  <c r="B50" i="9"/>
  <c r="A50" i="5"/>
  <c r="A50" i="6"/>
  <c r="A50" i="7"/>
  <c r="A50" i="8"/>
  <c r="A50" i="9"/>
  <c r="T49" i="5"/>
  <c r="T49" i="6"/>
  <c r="T49" i="7"/>
  <c r="T49" i="8"/>
  <c r="T49" i="9"/>
  <c r="S49" i="5"/>
  <c r="A49" i="5"/>
  <c r="A49" i="6"/>
  <c r="A49" i="7"/>
  <c r="A49" i="8"/>
  <c r="A49" i="9"/>
  <c r="T48" i="5"/>
  <c r="T48" i="6"/>
  <c r="T48" i="7"/>
  <c r="T48" i="8"/>
  <c r="T48" i="9"/>
  <c r="S48" i="5"/>
  <c r="B48" i="5"/>
  <c r="B48" i="6"/>
  <c r="B48" i="7"/>
  <c r="B48" i="8"/>
  <c r="B48" i="9"/>
  <c r="A48" i="5"/>
  <c r="A48" i="6"/>
  <c r="A48" i="7"/>
  <c r="A48" i="8"/>
  <c r="A48" i="9"/>
  <c r="T47" i="5"/>
  <c r="T47" i="6"/>
  <c r="T47" i="7"/>
  <c r="T47" i="8"/>
  <c r="T47" i="9"/>
  <c r="S47" i="5"/>
  <c r="B47" i="5"/>
  <c r="B47" i="6"/>
  <c r="B47" i="7"/>
  <c r="B47" i="8"/>
  <c r="B47" i="9"/>
  <c r="A47" i="5"/>
  <c r="A47" i="6"/>
  <c r="A47" i="7"/>
  <c r="A47" i="8"/>
  <c r="A47" i="9"/>
  <c r="T46" i="5"/>
  <c r="T46" i="6"/>
  <c r="T46" i="7"/>
  <c r="T46" i="8"/>
  <c r="T46" i="9"/>
  <c r="S46" i="5"/>
  <c r="A46" i="5"/>
  <c r="A46" i="6"/>
  <c r="A46" i="7"/>
  <c r="A46" i="8"/>
  <c r="A46" i="9"/>
  <c r="T45" i="5"/>
  <c r="T45" i="6"/>
  <c r="T45" i="7"/>
  <c r="T45" i="8"/>
  <c r="T45" i="9"/>
  <c r="S45" i="5"/>
  <c r="B45" i="5"/>
  <c r="B45" i="6"/>
  <c r="B45" i="7"/>
  <c r="B45" i="8"/>
  <c r="B45" i="9"/>
  <c r="A45" i="5"/>
  <c r="A45" i="6"/>
  <c r="A45" i="7"/>
  <c r="A45" i="8"/>
  <c r="A45" i="9"/>
  <c r="T44" i="5"/>
  <c r="T44" i="6"/>
  <c r="T44" i="7"/>
  <c r="T44" i="8"/>
  <c r="T44" i="9"/>
  <c r="S44" i="5"/>
  <c r="B44" i="5"/>
  <c r="B44" i="6"/>
  <c r="B44" i="7"/>
  <c r="B44" i="8"/>
  <c r="B44" i="9"/>
  <c r="A44" i="5"/>
  <c r="A44" i="6"/>
  <c r="A44" i="7"/>
  <c r="A44" i="8"/>
  <c r="A44" i="9"/>
  <c r="T43" i="5"/>
  <c r="T43" i="6"/>
  <c r="T43" i="7"/>
  <c r="T43" i="8"/>
  <c r="T43" i="9"/>
  <c r="S43" i="5"/>
  <c r="A43" i="5"/>
  <c r="A43" i="6"/>
  <c r="A43" i="7"/>
  <c r="A43" i="8"/>
  <c r="A43" i="9"/>
  <c r="T42" i="5"/>
  <c r="T42" i="6"/>
  <c r="T42" i="7"/>
  <c r="T42" i="8"/>
  <c r="T42" i="9"/>
  <c r="S42" i="5"/>
  <c r="B42" i="5"/>
  <c r="B42" i="6"/>
  <c r="B42" i="7"/>
  <c r="B42" i="8"/>
  <c r="B42" i="9"/>
  <c r="A42" i="5"/>
  <c r="A42" i="6"/>
  <c r="A42" i="7"/>
  <c r="A42" i="8"/>
  <c r="A42" i="9"/>
  <c r="T41" i="5"/>
  <c r="T41" i="6"/>
  <c r="T41" i="8"/>
  <c r="S41" i="5"/>
  <c r="A41" i="5"/>
  <c r="A41" i="6"/>
  <c r="A41" i="7"/>
  <c r="A41" i="8"/>
  <c r="A41" i="9"/>
  <c r="T40" i="5"/>
  <c r="T40" i="6"/>
  <c r="T40" i="7"/>
  <c r="T40" i="8"/>
  <c r="T40" i="9"/>
  <c r="S40" i="5"/>
  <c r="B40" i="5"/>
  <c r="B40" i="6"/>
  <c r="B40" i="7"/>
  <c r="B40" i="8"/>
  <c r="B40" i="9"/>
  <c r="A40" i="5"/>
  <c r="A40" i="6"/>
  <c r="A40" i="7"/>
  <c r="A40" i="8"/>
  <c r="A40" i="9"/>
  <c r="T39" i="6"/>
  <c r="T39" i="7"/>
  <c r="T39" i="8"/>
  <c r="T39" i="9"/>
  <c r="S39" i="5"/>
  <c r="B39" i="5"/>
  <c r="B39" i="6"/>
  <c r="B39" i="7"/>
  <c r="B39" i="8"/>
  <c r="B39" i="9"/>
  <c r="A39" i="5"/>
  <c r="A39" i="6"/>
  <c r="A39" i="7"/>
  <c r="A39" i="8"/>
  <c r="A39" i="9"/>
  <c r="T38" i="6"/>
  <c r="T38" i="7"/>
  <c r="T38" i="8"/>
  <c r="T38" i="9"/>
  <c r="S38" i="5"/>
  <c r="B38" i="5"/>
  <c r="B38" i="6"/>
  <c r="B38" i="7"/>
  <c r="B38" i="8"/>
  <c r="B38" i="9"/>
  <c r="A38" i="5"/>
  <c r="A38" i="6"/>
  <c r="A38" i="7"/>
  <c r="A38" i="8"/>
  <c r="A38" i="9"/>
  <c r="T37" i="5"/>
  <c r="T37" i="6"/>
  <c r="T37" i="7"/>
  <c r="T37" i="8"/>
  <c r="T37" i="9"/>
  <c r="S37" i="5"/>
  <c r="B37" i="5"/>
  <c r="B37" i="6"/>
  <c r="B37" i="7"/>
  <c r="B37" i="8"/>
  <c r="B37" i="9"/>
  <c r="A37" i="5"/>
  <c r="A37" i="6"/>
  <c r="A37" i="7"/>
  <c r="A37" i="8"/>
  <c r="A37" i="9"/>
  <c r="T36" i="5"/>
  <c r="T36" i="6"/>
  <c r="T36" i="7"/>
  <c r="T36" i="8"/>
  <c r="T36" i="9"/>
  <c r="S36" i="5"/>
  <c r="A36" i="5"/>
  <c r="A36" i="6"/>
  <c r="A36" i="7"/>
  <c r="A36" i="8"/>
  <c r="A36" i="9"/>
  <c r="G37" i="14"/>
  <c r="T35" i="5"/>
  <c r="T35" i="6"/>
  <c r="T35" i="7"/>
  <c r="T35" i="8"/>
  <c r="T35" i="9"/>
  <c r="S35" i="5"/>
  <c r="B35" i="5"/>
  <c r="B35" i="6"/>
  <c r="B35" i="7"/>
  <c r="B35" i="8"/>
  <c r="B35" i="9"/>
  <c r="A35" i="5"/>
  <c r="A35" i="6"/>
  <c r="A35" i="7"/>
  <c r="A35" i="8"/>
  <c r="A35" i="9"/>
  <c r="T34" i="5"/>
  <c r="T34" i="6"/>
  <c r="T34" i="7"/>
  <c r="T34" i="8"/>
  <c r="T34" i="9"/>
  <c r="S34" i="5"/>
  <c r="B34" i="5"/>
  <c r="B34" i="6"/>
  <c r="B34" i="7"/>
  <c r="B34" i="8"/>
  <c r="B34" i="9"/>
  <c r="A34" i="5"/>
  <c r="A34" i="6"/>
  <c r="A34" i="7"/>
  <c r="A34" i="8"/>
  <c r="A34" i="9"/>
  <c r="S33" i="5"/>
  <c r="A33" i="5"/>
  <c r="A33" i="6"/>
  <c r="A33" i="7"/>
  <c r="A33" i="8"/>
  <c r="A33" i="9"/>
  <c r="T32" i="5"/>
  <c r="T32" i="6"/>
  <c r="T32" i="7"/>
  <c r="T32" i="8"/>
  <c r="T32" i="9"/>
  <c r="S32" i="5"/>
  <c r="B32" i="5"/>
  <c r="B32" i="6"/>
  <c r="B32" i="7"/>
  <c r="B32" i="8"/>
  <c r="B32" i="9"/>
  <c r="A32" i="5"/>
  <c r="A32" i="6"/>
  <c r="A32" i="7"/>
  <c r="A32" i="8"/>
  <c r="A32" i="9"/>
  <c r="T31" i="5"/>
  <c r="T31" i="6"/>
  <c r="T31" i="7"/>
  <c r="T31" i="8"/>
  <c r="T31" i="9"/>
  <c r="S31" i="5"/>
  <c r="B31" i="5"/>
  <c r="B31" i="6"/>
  <c r="B31" i="7"/>
  <c r="B31" i="8"/>
  <c r="B31" i="9"/>
  <c r="A31" i="5"/>
  <c r="A31" i="6"/>
  <c r="A31" i="7"/>
  <c r="A31" i="8"/>
  <c r="A31" i="9"/>
  <c r="T30" i="5"/>
  <c r="T30" i="6"/>
  <c r="T30" i="7"/>
  <c r="T30" i="8"/>
  <c r="T30" i="9"/>
  <c r="S30" i="5"/>
  <c r="A30" i="5"/>
  <c r="A30" i="6"/>
  <c r="A30" i="7"/>
  <c r="A30" i="8"/>
  <c r="A30" i="9"/>
  <c r="T29" i="5"/>
  <c r="T29" i="6"/>
  <c r="T29" i="7"/>
  <c r="T29" i="8"/>
  <c r="T29" i="9"/>
  <c r="S29" i="5"/>
  <c r="B29" i="5"/>
  <c r="B29" i="6"/>
  <c r="B29" i="7"/>
  <c r="B29" i="8"/>
  <c r="B29" i="9"/>
  <c r="A29" i="5"/>
  <c r="A29" i="6"/>
  <c r="A29" i="7"/>
  <c r="A29" i="8"/>
  <c r="A29" i="9"/>
  <c r="T28" i="5"/>
  <c r="T28" i="6"/>
  <c r="T28" i="7"/>
  <c r="T28" i="8"/>
  <c r="T28" i="9"/>
  <c r="S28" i="5"/>
  <c r="B28" i="5"/>
  <c r="B28" i="6"/>
  <c r="B28" i="7"/>
  <c r="B28" i="8"/>
  <c r="B28" i="9"/>
  <c r="A28" i="5"/>
  <c r="A28" i="6"/>
  <c r="A28" i="7"/>
  <c r="A28" i="8"/>
  <c r="A28" i="9"/>
  <c r="T27" i="5"/>
  <c r="T27" i="6"/>
  <c r="T27" i="7"/>
  <c r="T27" i="8"/>
  <c r="T27" i="9"/>
  <c r="S27" i="5"/>
  <c r="B27" i="5"/>
  <c r="B27" i="6"/>
  <c r="B27" i="7"/>
  <c r="B27" i="8"/>
  <c r="B27" i="9"/>
  <c r="A27" i="5"/>
  <c r="A27" i="6"/>
  <c r="A27" i="7"/>
  <c r="A27" i="8"/>
  <c r="A27" i="9"/>
  <c r="T26" i="5"/>
  <c r="T26" i="6"/>
  <c r="T26" i="7"/>
  <c r="T26" i="8"/>
  <c r="T26" i="9"/>
  <c r="S26" i="5"/>
  <c r="A26" i="5"/>
  <c r="A26" i="6"/>
  <c r="A26" i="7"/>
  <c r="A26" i="8"/>
  <c r="A26" i="9"/>
  <c r="T25" i="5"/>
  <c r="T25" i="6"/>
  <c r="T25" i="7"/>
  <c r="T25" i="8"/>
  <c r="T25" i="9"/>
  <c r="S25" i="5"/>
  <c r="B25" i="5"/>
  <c r="B25" i="6"/>
  <c r="B25" i="7"/>
  <c r="B25" i="8"/>
  <c r="B25" i="9"/>
  <c r="A25" i="5"/>
  <c r="A25" i="6"/>
  <c r="A25" i="7"/>
  <c r="A25" i="8"/>
  <c r="A25" i="9"/>
  <c r="T24" i="5"/>
  <c r="T24" i="6"/>
  <c r="T24" i="7"/>
  <c r="T24" i="8"/>
  <c r="T24" i="9"/>
  <c r="S24" i="5"/>
  <c r="A24" i="5"/>
  <c r="A24" i="6"/>
  <c r="A24" i="7"/>
  <c r="A24" i="8"/>
  <c r="A24" i="9"/>
  <c r="T23" i="5"/>
  <c r="T23" i="6"/>
  <c r="T23" i="7"/>
  <c r="T23" i="8"/>
  <c r="T23" i="9"/>
  <c r="S23" i="5"/>
  <c r="A23" i="5"/>
  <c r="A23" i="6"/>
  <c r="A23" i="7"/>
  <c r="A23" i="8"/>
  <c r="A23" i="9"/>
  <c r="T22" i="5"/>
  <c r="T22" i="6"/>
  <c r="T22" i="7"/>
  <c r="T22" i="8"/>
  <c r="T22" i="9"/>
  <c r="S22" i="5"/>
  <c r="B22" i="5"/>
  <c r="B22" i="6"/>
  <c r="B22" i="7"/>
  <c r="B22" i="8"/>
  <c r="B22" i="9"/>
  <c r="A22" i="5"/>
  <c r="A22" i="6"/>
  <c r="A22" i="7"/>
  <c r="A22" i="8"/>
  <c r="A22" i="9"/>
  <c r="T21" i="5"/>
  <c r="T21" i="6"/>
  <c r="T21" i="7"/>
  <c r="T21" i="8"/>
  <c r="T21" i="9"/>
  <c r="S21" i="5"/>
  <c r="B21" i="5"/>
  <c r="B21" i="6"/>
  <c r="B21" i="7"/>
  <c r="B21" i="8"/>
  <c r="B21" i="9"/>
  <c r="A21" i="5"/>
  <c r="A21" i="6"/>
  <c r="A21" i="7"/>
  <c r="A21" i="8"/>
  <c r="A21" i="9"/>
  <c r="T20" i="5"/>
  <c r="T20" i="6"/>
  <c r="T20" i="7"/>
  <c r="T20" i="8"/>
  <c r="T20" i="9"/>
  <c r="S20" i="5"/>
  <c r="B20" i="5"/>
  <c r="B20" i="6"/>
  <c r="B20" i="7"/>
  <c r="B20" i="8"/>
  <c r="B20" i="9"/>
  <c r="A20" i="5"/>
  <c r="A20" i="6"/>
  <c r="A20" i="7"/>
  <c r="A20" i="8"/>
  <c r="A20" i="9"/>
  <c r="G22" i="14"/>
  <c r="T19" i="5"/>
  <c r="T19" i="6"/>
  <c r="T19" i="7"/>
  <c r="T19" i="8"/>
  <c r="T19" i="9"/>
  <c r="S19" i="5"/>
  <c r="B19" i="5"/>
  <c r="B19" i="6"/>
  <c r="B19" i="7"/>
  <c r="B19" i="8"/>
  <c r="B19" i="9"/>
  <c r="A19" i="5"/>
  <c r="A19" i="6"/>
  <c r="A19" i="7"/>
  <c r="A19" i="8"/>
  <c r="A19" i="9"/>
  <c r="T18" i="5"/>
  <c r="T18" i="6"/>
  <c r="T18" i="7"/>
  <c r="T18" i="8"/>
  <c r="T18" i="9"/>
  <c r="S18" i="5"/>
  <c r="B18" i="5"/>
  <c r="B18" i="6"/>
  <c r="B18" i="7"/>
  <c r="B18" i="8"/>
  <c r="B18" i="9"/>
  <c r="A18" i="5"/>
  <c r="A18" i="6"/>
  <c r="A18" i="7"/>
  <c r="A18" i="8"/>
  <c r="A18" i="9"/>
  <c r="G17" i="14"/>
  <c r="T17" i="5"/>
  <c r="T17" i="6"/>
  <c r="T17" i="7"/>
  <c r="T17" i="8"/>
  <c r="T17" i="9"/>
  <c r="S17" i="5"/>
  <c r="B17" i="5"/>
  <c r="B17" i="6"/>
  <c r="B17" i="7"/>
  <c r="B17" i="8"/>
  <c r="B17" i="9"/>
  <c r="A17" i="5"/>
  <c r="A17" i="6"/>
  <c r="A17" i="7"/>
  <c r="A17" i="8"/>
  <c r="A17" i="9"/>
  <c r="T16" i="5"/>
  <c r="T16" i="6"/>
  <c r="T16" i="7"/>
  <c r="T16" i="8"/>
  <c r="T16" i="9"/>
  <c r="S16" i="5"/>
  <c r="B16" i="5"/>
  <c r="B16" i="6"/>
  <c r="B16" i="7"/>
  <c r="B16" i="8"/>
  <c r="B16" i="9"/>
  <c r="A16" i="5"/>
  <c r="A16" i="6"/>
  <c r="A16" i="7"/>
  <c r="A16" i="8"/>
  <c r="A16" i="9"/>
  <c r="S15" i="5"/>
  <c r="A15" i="5"/>
  <c r="A15" i="6"/>
  <c r="A15" i="7"/>
  <c r="A15" i="8"/>
  <c r="A15" i="9"/>
  <c r="G14" i="14"/>
  <c r="T14" i="5"/>
  <c r="T14" i="6"/>
  <c r="T14" i="7"/>
  <c r="T14" i="8"/>
  <c r="T14" i="9"/>
  <c r="S14" i="5"/>
  <c r="A14" i="5"/>
  <c r="A14" i="6"/>
  <c r="A14" i="7"/>
  <c r="A14" i="8"/>
  <c r="A14" i="9"/>
  <c r="G13" i="14"/>
  <c r="A13" i="5"/>
  <c r="A13" i="6"/>
  <c r="A13" i="7"/>
  <c r="A13" i="8"/>
  <c r="A13" i="9"/>
  <c r="G12" i="14"/>
  <c r="T12" i="5"/>
  <c r="T12" i="6"/>
  <c r="T12" i="7"/>
  <c r="T12" i="8"/>
  <c r="T12" i="9"/>
  <c r="S12" i="5"/>
  <c r="A12" i="5"/>
  <c r="A12" i="6"/>
  <c r="A12" i="7"/>
  <c r="A12" i="8"/>
  <c r="A12" i="9"/>
  <c r="G11" i="14"/>
  <c r="T10" i="5"/>
  <c r="T10" i="6"/>
  <c r="T10" i="7"/>
  <c r="T10" i="8"/>
  <c r="T10" i="9"/>
  <c r="S10" i="5"/>
  <c r="B10" i="5"/>
  <c r="B10" i="6"/>
  <c r="B10" i="7"/>
  <c r="B10" i="8"/>
  <c r="B10" i="9"/>
  <c r="A10" i="5"/>
  <c r="A10" i="6"/>
  <c r="A10" i="7"/>
  <c r="A10" i="8"/>
  <c r="A10" i="9"/>
  <c r="T8" i="5"/>
  <c r="T8" i="6"/>
  <c r="T8" i="7"/>
  <c r="T8" i="8"/>
  <c r="T8" i="9"/>
  <c r="S8" i="5"/>
  <c r="B8" i="5"/>
  <c r="B8" i="6"/>
  <c r="B8" i="7"/>
  <c r="B8" i="8"/>
  <c r="B8" i="9"/>
  <c r="A8" i="5"/>
  <c r="A8" i="6"/>
  <c r="A8" i="7"/>
  <c r="A8" i="8"/>
  <c r="A8" i="9"/>
  <c r="AL259" i="2"/>
  <c r="AG256" i="2"/>
  <c r="AD256" i="2"/>
  <c r="AA256" i="2"/>
  <c r="W256" i="2"/>
  <c r="V256" i="2"/>
  <c r="AG255" i="2"/>
  <c r="AD255" i="2"/>
  <c r="AA255" i="2"/>
  <c r="W255" i="2"/>
  <c r="V255" i="2"/>
  <c r="AG254" i="2"/>
  <c r="AD254" i="2"/>
  <c r="AA254" i="2"/>
  <c r="W254" i="2"/>
  <c r="V254" i="2"/>
  <c r="AG253" i="2"/>
  <c r="AD253" i="2"/>
  <c r="AA253" i="2"/>
  <c r="W253" i="2"/>
  <c r="V253" i="2"/>
  <c r="AG252" i="2"/>
  <c r="AD252" i="2"/>
  <c r="AA252" i="2"/>
  <c r="W252" i="2"/>
  <c r="V252" i="2"/>
  <c r="AG251" i="2"/>
  <c r="AD251" i="2"/>
  <c r="AA251" i="2"/>
  <c r="W251" i="2"/>
  <c r="V251" i="2"/>
  <c r="V251" i="4"/>
  <c r="AG250" i="2"/>
  <c r="AD250" i="2"/>
  <c r="AA250" i="2"/>
  <c r="W250" i="2"/>
  <c r="V250" i="2"/>
  <c r="AG249" i="2"/>
  <c r="AD249" i="2"/>
  <c r="AA249" i="2"/>
  <c r="W249" i="2"/>
  <c r="V249" i="2"/>
  <c r="AG248" i="2"/>
  <c r="AD248" i="2"/>
  <c r="AA248" i="2"/>
  <c r="W248" i="2"/>
  <c r="V248" i="2"/>
  <c r="AG247" i="2"/>
  <c r="AD247" i="2"/>
  <c r="AA247" i="2"/>
  <c r="W247" i="2"/>
  <c r="V247" i="2"/>
  <c r="AG246" i="2"/>
  <c r="AD246" i="2"/>
  <c r="AA246" i="2"/>
  <c r="W246" i="2"/>
  <c r="V246" i="2"/>
  <c r="AG245" i="2"/>
  <c r="AD245" i="2"/>
  <c r="AA245" i="2"/>
  <c r="W245" i="2"/>
  <c r="W245" i="4"/>
  <c r="V245" i="2"/>
  <c r="AG244" i="2"/>
  <c r="AD244" i="2"/>
  <c r="AA244" i="2"/>
  <c r="W244" i="2"/>
  <c r="V244" i="2"/>
  <c r="V244" i="4"/>
  <c r="AM243" i="2"/>
  <c r="AL243" i="2"/>
  <c r="AF243" i="2"/>
  <c r="AE243" i="2"/>
  <c r="AC243" i="2"/>
  <c r="AB243" i="2"/>
  <c r="Z243" i="2"/>
  <c r="Y243" i="2"/>
  <c r="U243" i="2"/>
  <c r="AG241" i="2"/>
  <c r="AD241" i="2"/>
  <c r="AA241" i="2"/>
  <c r="W241" i="2"/>
  <c r="V241" i="2"/>
  <c r="AG240" i="2"/>
  <c r="AD240" i="2"/>
  <c r="AA240" i="2"/>
  <c r="W240" i="2"/>
  <c r="V240" i="2"/>
  <c r="AG239" i="2"/>
  <c r="AD239" i="2"/>
  <c r="AA239" i="2"/>
  <c r="W239" i="2"/>
  <c r="V239" i="2"/>
  <c r="AG238" i="2"/>
  <c r="AD238" i="2"/>
  <c r="AA238" i="2"/>
  <c r="W238" i="2"/>
  <c r="V238" i="2"/>
  <c r="AG237" i="2"/>
  <c r="AD237" i="2"/>
  <c r="AA237" i="2"/>
  <c r="W237" i="2"/>
  <c r="V237" i="2"/>
  <c r="V237" i="4"/>
  <c r="AG236" i="2"/>
  <c r="AD236" i="2"/>
  <c r="AA236" i="2"/>
  <c r="W236" i="2"/>
  <c r="V236" i="2"/>
  <c r="AM234" i="2"/>
  <c r="AL235" i="2"/>
  <c r="AL234" i="2"/>
  <c r="AF235" i="2"/>
  <c r="AF234" i="2"/>
  <c r="AE235" i="2"/>
  <c r="AE234" i="2"/>
  <c r="AC235" i="2"/>
  <c r="AC234" i="2"/>
  <c r="AB235" i="2"/>
  <c r="AB234" i="2"/>
  <c r="Z235" i="2"/>
  <c r="Z234" i="2"/>
  <c r="Y235" i="2"/>
  <c r="Y234" i="2"/>
  <c r="U235" i="2"/>
  <c r="U234" i="2"/>
  <c r="AG230" i="2"/>
  <c r="AE230" i="4"/>
  <c r="AG230" i="4"/>
  <c r="AD230" i="2"/>
  <c r="AA230" i="2"/>
  <c r="W230" i="2"/>
  <c r="V230" i="2"/>
  <c r="AG229" i="2"/>
  <c r="AD229" i="2"/>
  <c r="AA229" i="2"/>
  <c r="W229" i="2"/>
  <c r="V229" i="2"/>
  <c r="AG228" i="2"/>
  <c r="AD228" i="2"/>
  <c r="AA228" i="2"/>
  <c r="W228" i="2"/>
  <c r="V228" i="2"/>
  <c r="AM227" i="2"/>
  <c r="AL227" i="2"/>
  <c r="AF227" i="2"/>
  <c r="AE227" i="2"/>
  <c r="AC227" i="2"/>
  <c r="AB227" i="2"/>
  <c r="Z227" i="2"/>
  <c r="Y227" i="2"/>
  <c r="U227" i="2"/>
  <c r="AG225" i="2"/>
  <c r="AD225" i="2"/>
  <c r="AA225" i="2"/>
  <c r="W225" i="2"/>
  <c r="V225" i="2"/>
  <c r="AG224" i="2"/>
  <c r="AD224" i="2"/>
  <c r="AA224" i="2"/>
  <c r="W224" i="2"/>
  <c r="V224" i="2"/>
  <c r="AG223" i="2"/>
  <c r="AD223" i="2"/>
  <c r="AA223" i="2"/>
  <c r="W223" i="2"/>
  <c r="V223" i="2"/>
  <c r="AM222" i="2"/>
  <c r="AL222" i="2"/>
  <c r="AF222" i="2"/>
  <c r="AE222" i="2"/>
  <c r="AC222" i="2"/>
  <c r="AB222" i="2"/>
  <c r="Z222" i="2"/>
  <c r="Y222" i="2"/>
  <c r="U222" i="2"/>
  <c r="AG218" i="2"/>
  <c r="AD218" i="2"/>
  <c r="AA218" i="2"/>
  <c r="W218" i="2"/>
  <c r="V218" i="2"/>
  <c r="AG217" i="2"/>
  <c r="AD217" i="2"/>
  <c r="AA217" i="2"/>
  <c r="W217" i="2"/>
  <c r="V217" i="2"/>
  <c r="AG216" i="2"/>
  <c r="AD216" i="2"/>
  <c r="AA216" i="2"/>
  <c r="W216" i="2"/>
  <c r="V216" i="2"/>
  <c r="AG215" i="2"/>
  <c r="AD215" i="2"/>
  <c r="AA215" i="2"/>
  <c r="W215" i="2"/>
  <c r="V215" i="2"/>
  <c r="AG214" i="2"/>
  <c r="AD214" i="2"/>
  <c r="AA214" i="2"/>
  <c r="W214" i="2"/>
  <c r="V214" i="2"/>
  <c r="V214" i="4"/>
  <c r="AG213" i="2"/>
  <c r="AD213" i="2"/>
  <c r="AA213" i="2"/>
  <c r="W213" i="2"/>
  <c r="V213" i="2"/>
  <c r="AG212" i="2"/>
  <c r="AD212" i="2"/>
  <c r="AA212" i="2"/>
  <c r="W212" i="2"/>
  <c r="V212" i="2"/>
  <c r="AM211" i="2"/>
  <c r="AM210" i="2"/>
  <c r="AM209" i="2"/>
  <c r="AL211" i="2"/>
  <c r="AL210" i="2"/>
  <c r="AL209" i="2"/>
  <c r="AF211" i="2"/>
  <c r="AF210" i="2"/>
  <c r="AF209" i="2"/>
  <c r="BQ27" i="2"/>
  <c r="F50" i="14"/>
  <c r="AE211" i="2"/>
  <c r="AE210" i="2"/>
  <c r="AE209" i="2"/>
  <c r="AC211" i="2"/>
  <c r="AC210" i="2"/>
  <c r="AC209" i="2"/>
  <c r="AB211" i="2"/>
  <c r="AB210" i="2"/>
  <c r="AB209" i="2"/>
  <c r="Z211" i="2"/>
  <c r="Z210" i="2"/>
  <c r="Z209" i="2"/>
  <c r="Y211" i="2"/>
  <c r="Y210" i="2"/>
  <c r="Y209" i="2"/>
  <c r="U211" i="2"/>
  <c r="U210" i="2"/>
  <c r="U209" i="2"/>
  <c r="AG207" i="2"/>
  <c r="AD207" i="2"/>
  <c r="AA207" i="2"/>
  <c r="V207" i="2"/>
  <c r="X207" i="2"/>
  <c r="AG206" i="2"/>
  <c r="AD206" i="2"/>
  <c r="AA206" i="2"/>
  <c r="W206" i="2"/>
  <c r="V206" i="2"/>
  <c r="AM205" i="2"/>
  <c r="AL205" i="2"/>
  <c r="AF205" i="2"/>
  <c r="AE205" i="2"/>
  <c r="AC205" i="2"/>
  <c r="AB205" i="2"/>
  <c r="Z205" i="2"/>
  <c r="Y205" i="2"/>
  <c r="U205" i="2"/>
  <c r="AG204" i="2"/>
  <c r="AE204" i="4"/>
  <c r="AG204" i="4"/>
  <c r="AD204" i="2"/>
  <c r="AA204" i="2"/>
  <c r="W204" i="2"/>
  <c r="V204" i="2"/>
  <c r="V204" i="4"/>
  <c r="AG203" i="2"/>
  <c r="AE203" i="4"/>
  <c r="AG203" i="4"/>
  <c r="AD203" i="2"/>
  <c r="AA203" i="2"/>
  <c r="W203" i="2"/>
  <c r="V203" i="2"/>
  <c r="AG202" i="2"/>
  <c r="AE202" i="4"/>
  <c r="AG202" i="4"/>
  <c r="AD202" i="2"/>
  <c r="AA202" i="2"/>
  <c r="W202" i="2"/>
  <c r="V202" i="2"/>
  <c r="AG201" i="2"/>
  <c r="AD201" i="2"/>
  <c r="AA201" i="2"/>
  <c r="W201" i="2"/>
  <c r="V201" i="2"/>
  <c r="AG200" i="2"/>
  <c r="AE200" i="4"/>
  <c r="AG200" i="4"/>
  <c r="AD200" i="2"/>
  <c r="AA200" i="2"/>
  <c r="W200" i="2"/>
  <c r="V200" i="2"/>
  <c r="AG199" i="2"/>
  <c r="AE199" i="4"/>
  <c r="AG199" i="4"/>
  <c r="AD199" i="2"/>
  <c r="AA199" i="2"/>
  <c r="W199" i="2"/>
  <c r="V199" i="2"/>
  <c r="AG198" i="2"/>
  <c r="AD198" i="2"/>
  <c r="AA198" i="2"/>
  <c r="W198" i="2"/>
  <c r="W198" i="4"/>
  <c r="V198" i="2"/>
  <c r="AL197" i="2"/>
  <c r="AF197" i="2"/>
  <c r="AE197" i="2"/>
  <c r="AC197" i="2"/>
  <c r="AB197" i="2"/>
  <c r="Z197" i="2"/>
  <c r="Y197" i="2"/>
  <c r="AG191" i="2"/>
  <c r="AD191" i="2"/>
  <c r="AA191" i="2"/>
  <c r="W191" i="2"/>
  <c r="V191" i="2"/>
  <c r="AG190" i="2"/>
  <c r="AD190" i="2"/>
  <c r="AA190" i="2"/>
  <c r="W190" i="2"/>
  <c r="V190" i="2"/>
  <c r="AG188" i="2"/>
  <c r="AD188" i="2"/>
  <c r="AA188" i="2"/>
  <c r="W188" i="2"/>
  <c r="V188" i="2"/>
  <c r="AG187" i="2"/>
  <c r="AD187" i="2"/>
  <c r="AA187" i="2"/>
  <c r="W187" i="2"/>
  <c r="W187" i="4"/>
  <c r="V187" i="2"/>
  <c r="AM186" i="2"/>
  <c r="AM184" i="2"/>
  <c r="AL186" i="2"/>
  <c r="AL184" i="2"/>
  <c r="AF186" i="2"/>
  <c r="AF184" i="2"/>
  <c r="AE186" i="2"/>
  <c r="AE184" i="2"/>
  <c r="AC186" i="2"/>
  <c r="AC184" i="2"/>
  <c r="AB186" i="2"/>
  <c r="AB184" i="2"/>
  <c r="Z186" i="2"/>
  <c r="Z184" i="2"/>
  <c r="Y186" i="2"/>
  <c r="Y184" i="2"/>
  <c r="AG185" i="2"/>
  <c r="AD185" i="2"/>
  <c r="AA185" i="2"/>
  <c r="W185" i="2"/>
  <c r="W185" i="4"/>
  <c r="V185" i="2"/>
  <c r="AG182" i="2"/>
  <c r="AD182" i="2"/>
  <c r="AA182" i="2"/>
  <c r="W182" i="2"/>
  <c r="V182" i="2"/>
  <c r="AG181" i="2"/>
  <c r="AD181" i="2"/>
  <c r="AA181" i="2"/>
  <c r="W181" i="2"/>
  <c r="V181" i="2"/>
  <c r="AG180" i="2"/>
  <c r="AD180" i="2"/>
  <c r="AA180" i="2"/>
  <c r="W180" i="2"/>
  <c r="V180" i="2"/>
  <c r="AG179" i="2"/>
  <c r="AD179" i="2"/>
  <c r="AA179" i="2"/>
  <c r="W179" i="2"/>
  <c r="W179" i="4"/>
  <c r="V179" i="2"/>
  <c r="AG178" i="2"/>
  <c r="AD178" i="2"/>
  <c r="AA178" i="2"/>
  <c r="W178" i="2"/>
  <c r="V178" i="2"/>
  <c r="AG177" i="2"/>
  <c r="AD177" i="2"/>
  <c r="AA177" i="2"/>
  <c r="W177" i="2"/>
  <c r="V177" i="2"/>
  <c r="AG176" i="2"/>
  <c r="AD176" i="2"/>
  <c r="AA176" i="2"/>
  <c r="W176" i="2"/>
  <c r="W176" i="4"/>
  <c r="V176" i="2"/>
  <c r="AM175" i="2"/>
  <c r="AL175" i="2"/>
  <c r="AF175" i="2"/>
  <c r="AE175" i="2"/>
  <c r="AC175" i="2"/>
  <c r="AB175" i="2"/>
  <c r="Z175" i="2"/>
  <c r="Y175" i="2"/>
  <c r="U175" i="2"/>
  <c r="AG173" i="2"/>
  <c r="AD173" i="2"/>
  <c r="AA173" i="2"/>
  <c r="W173" i="2"/>
  <c r="V173" i="2"/>
  <c r="AG172" i="2"/>
  <c r="AD172" i="2"/>
  <c r="AA172" i="2"/>
  <c r="W172" i="2"/>
  <c r="V172" i="2"/>
  <c r="AM171" i="2"/>
  <c r="AL171" i="2"/>
  <c r="AF171" i="2"/>
  <c r="AE171" i="2"/>
  <c r="AC171" i="2"/>
  <c r="AB171" i="2"/>
  <c r="Y171" i="2"/>
  <c r="U171" i="2"/>
  <c r="AG167" i="2"/>
  <c r="AD167" i="2"/>
  <c r="AA167" i="2"/>
  <c r="W167" i="2"/>
  <c r="V167" i="2"/>
  <c r="AG166" i="2"/>
  <c r="AD166" i="2"/>
  <c r="AA166" i="2"/>
  <c r="W166" i="2"/>
  <c r="V166" i="2"/>
  <c r="AG165" i="2"/>
  <c r="AD165" i="2"/>
  <c r="AA165" i="2"/>
  <c r="W165" i="2"/>
  <c r="V165" i="2"/>
  <c r="AG164" i="2"/>
  <c r="AD164" i="2"/>
  <c r="AA164" i="2"/>
  <c r="W164" i="2"/>
  <c r="V164" i="2"/>
  <c r="AG163" i="2"/>
  <c r="AD163" i="2"/>
  <c r="AA163" i="2"/>
  <c r="W163" i="2"/>
  <c r="V163" i="2"/>
  <c r="AG162" i="2"/>
  <c r="AD162" i="2"/>
  <c r="AA162" i="2"/>
  <c r="W162" i="2"/>
  <c r="V162" i="2"/>
  <c r="AG161" i="2"/>
  <c r="AD161" i="2"/>
  <c r="AA161" i="2"/>
  <c r="W161" i="2"/>
  <c r="V161" i="2"/>
  <c r="AG160" i="2"/>
  <c r="AD160" i="2"/>
  <c r="AA160" i="2"/>
  <c r="W160" i="2"/>
  <c r="V160" i="2"/>
  <c r="AG159" i="2"/>
  <c r="AD159" i="2"/>
  <c r="AA159" i="2"/>
  <c r="W159" i="2"/>
  <c r="V159" i="2"/>
  <c r="AG158" i="2"/>
  <c r="AD158" i="2"/>
  <c r="AA158" i="2"/>
  <c r="W158" i="2"/>
  <c r="V158" i="2"/>
  <c r="AL157" i="2"/>
  <c r="AL155" i="2"/>
  <c r="AF157" i="2"/>
  <c r="BQ18" i="2"/>
  <c r="AE157" i="2"/>
  <c r="AE155" i="2"/>
  <c r="AC157" i="2"/>
  <c r="AC155" i="2"/>
  <c r="AB157" i="2"/>
  <c r="AB155" i="2"/>
  <c r="Z157" i="2"/>
  <c r="Z155" i="2"/>
  <c r="Y157" i="2"/>
  <c r="Y155" i="2"/>
  <c r="AG156" i="2"/>
  <c r="AD156" i="2"/>
  <c r="AA156" i="2"/>
  <c r="W156" i="2"/>
  <c r="V156" i="2"/>
  <c r="AG153" i="2"/>
  <c r="AD153" i="2"/>
  <c r="AA153" i="2"/>
  <c r="W153" i="2"/>
  <c r="V153" i="2"/>
  <c r="AG152" i="2"/>
  <c r="AD152" i="2"/>
  <c r="AA152" i="2"/>
  <c r="W152" i="2"/>
  <c r="V152" i="2"/>
  <c r="AG151" i="2"/>
  <c r="AD151" i="2"/>
  <c r="AA151" i="2"/>
  <c r="W151" i="2"/>
  <c r="V151" i="2"/>
  <c r="AG150" i="2"/>
  <c r="AD150" i="2"/>
  <c r="AA150" i="2"/>
  <c r="W150" i="2"/>
  <c r="V150" i="2"/>
  <c r="AM149" i="2"/>
  <c r="AM147" i="2"/>
  <c r="AL149" i="2"/>
  <c r="AL147" i="2"/>
  <c r="AF149" i="2"/>
  <c r="BQ16" i="2"/>
  <c r="AE149" i="2"/>
  <c r="AE147" i="2"/>
  <c r="AC149" i="2"/>
  <c r="AC147" i="2"/>
  <c r="AB149" i="2"/>
  <c r="AB147" i="2"/>
  <c r="Z149" i="2"/>
  <c r="Z147" i="2"/>
  <c r="Y149" i="2"/>
  <c r="Y147" i="2"/>
  <c r="AG148" i="2"/>
  <c r="AD148" i="2"/>
  <c r="AA148" i="2"/>
  <c r="W148" i="2"/>
  <c r="V148" i="2"/>
  <c r="AG143" i="2"/>
  <c r="AD143" i="2"/>
  <c r="AA143" i="2"/>
  <c r="W143" i="2"/>
  <c r="V143" i="2"/>
  <c r="AG142" i="2"/>
  <c r="AD142" i="2"/>
  <c r="AA142" i="2"/>
  <c r="W142" i="2"/>
  <c r="V142" i="2"/>
  <c r="AM141" i="2"/>
  <c r="AL141" i="2"/>
  <c r="AF141" i="2"/>
  <c r="BQ20" i="2"/>
  <c r="F43" i="14"/>
  <c r="AE141" i="2"/>
  <c r="AC141" i="2"/>
  <c r="AB141" i="2"/>
  <c r="Z141" i="2"/>
  <c r="Y141" i="2"/>
  <c r="AG139" i="2"/>
  <c r="AD139" i="2"/>
  <c r="AA139" i="2"/>
  <c r="W139" i="2"/>
  <c r="V139" i="2"/>
  <c r="AG138" i="2"/>
  <c r="AD138" i="2"/>
  <c r="AA138" i="2"/>
  <c r="W138" i="2"/>
  <c r="V138" i="2"/>
  <c r="AG137" i="2"/>
  <c r="AD137" i="2"/>
  <c r="AA137" i="2"/>
  <c r="W137" i="2"/>
  <c r="V137" i="2"/>
  <c r="AG136" i="2"/>
  <c r="AD136" i="2"/>
  <c r="AA136" i="2"/>
  <c r="W136" i="2"/>
  <c r="V136" i="2"/>
  <c r="AG135" i="2"/>
  <c r="AD135" i="2"/>
  <c r="AA135" i="2"/>
  <c r="W135" i="2"/>
  <c r="V135" i="2"/>
  <c r="AG134" i="2"/>
  <c r="AD134" i="2"/>
  <c r="AA134" i="2"/>
  <c r="W134" i="2"/>
  <c r="V134" i="2"/>
  <c r="AG133" i="2"/>
  <c r="AD133" i="2"/>
  <c r="AA133" i="2"/>
  <c r="W133" i="2"/>
  <c r="V133" i="2"/>
  <c r="AG132" i="2"/>
  <c r="AD132" i="2"/>
  <c r="AA132" i="2"/>
  <c r="W132" i="2"/>
  <c r="V132" i="2"/>
  <c r="AG131" i="2"/>
  <c r="AD131" i="2"/>
  <c r="AA131" i="2"/>
  <c r="W131" i="2"/>
  <c r="V131" i="2"/>
  <c r="AG130" i="2"/>
  <c r="AD130" i="2"/>
  <c r="AA130" i="2"/>
  <c r="W130" i="2"/>
  <c r="V130" i="2"/>
  <c r="AG129" i="2"/>
  <c r="AD129" i="2"/>
  <c r="AA129" i="2"/>
  <c r="W129" i="2"/>
  <c r="V129" i="2"/>
  <c r="AG128" i="2"/>
  <c r="AD128" i="2"/>
  <c r="AA128" i="2"/>
  <c r="W128" i="2"/>
  <c r="X128" i="2"/>
  <c r="AG127" i="2"/>
  <c r="AD127" i="2"/>
  <c r="AA127" i="2"/>
  <c r="W127" i="2"/>
  <c r="V127" i="2"/>
  <c r="AG126" i="2"/>
  <c r="AD126" i="2"/>
  <c r="AA126" i="2"/>
  <c r="W126" i="2"/>
  <c r="V126" i="2"/>
  <c r="AG125" i="2"/>
  <c r="AD125" i="2"/>
  <c r="AA125" i="2"/>
  <c r="Y125" i="4"/>
  <c r="AA125" i="4"/>
  <c r="W125" i="2"/>
  <c r="V125" i="2"/>
  <c r="AG124" i="2"/>
  <c r="AD124" i="2"/>
  <c r="AA124" i="2"/>
  <c r="W124" i="2"/>
  <c r="W124" i="4"/>
  <c r="V124" i="2"/>
  <c r="L124" i="2"/>
  <c r="I124" i="2"/>
  <c r="E124" i="2"/>
  <c r="D124" i="2"/>
  <c r="AM123" i="2"/>
  <c r="AL123" i="2"/>
  <c r="AF123" i="2"/>
  <c r="AE123" i="2"/>
  <c r="AC123" i="2"/>
  <c r="AB123" i="2"/>
  <c r="Z123" i="2"/>
  <c r="Y123" i="2"/>
  <c r="L123" i="2"/>
  <c r="I123" i="2"/>
  <c r="E123" i="2"/>
  <c r="D123" i="2"/>
  <c r="L122" i="2"/>
  <c r="I122" i="2"/>
  <c r="E122" i="2"/>
  <c r="D122" i="2"/>
  <c r="B122" i="2"/>
  <c r="AG121" i="2"/>
  <c r="AD121" i="2"/>
  <c r="AA121" i="2"/>
  <c r="W121" i="2"/>
  <c r="V121" i="2"/>
  <c r="L121" i="2"/>
  <c r="I121" i="2"/>
  <c r="E121" i="2"/>
  <c r="D121" i="2"/>
  <c r="AG120" i="2"/>
  <c r="AD120" i="2"/>
  <c r="AA120" i="2"/>
  <c r="W120" i="2"/>
  <c r="V120" i="2"/>
  <c r="L120" i="2"/>
  <c r="I120" i="2"/>
  <c r="E120" i="2"/>
  <c r="D120" i="2"/>
  <c r="AG119" i="2"/>
  <c r="AD119" i="2"/>
  <c r="AA119" i="2"/>
  <c r="W119" i="2"/>
  <c r="V119" i="2"/>
  <c r="V119" i="4"/>
  <c r="L119" i="2"/>
  <c r="I119" i="2"/>
  <c r="E119" i="2"/>
  <c r="D119" i="2"/>
  <c r="D119" i="4"/>
  <c r="AG118" i="2"/>
  <c r="AD118" i="2"/>
  <c r="AA118" i="2"/>
  <c r="W118" i="2"/>
  <c r="V118" i="2"/>
  <c r="L118" i="2"/>
  <c r="I118" i="2"/>
  <c r="E118" i="2"/>
  <c r="D118" i="2"/>
  <c r="AG117" i="2"/>
  <c r="AD117" i="2"/>
  <c r="AA117" i="2"/>
  <c r="W117" i="2"/>
  <c r="V117" i="2"/>
  <c r="L117" i="2"/>
  <c r="I117" i="2"/>
  <c r="E117" i="2"/>
  <c r="D117" i="2"/>
  <c r="AG116" i="2"/>
  <c r="AD116" i="2"/>
  <c r="AA116" i="2"/>
  <c r="W116" i="2"/>
  <c r="V116" i="2"/>
  <c r="L116" i="2"/>
  <c r="I116" i="2"/>
  <c r="E116" i="2"/>
  <c r="D116" i="2"/>
  <c r="AG115" i="2"/>
  <c r="AD115" i="2"/>
  <c r="AA115" i="2"/>
  <c r="W115" i="2"/>
  <c r="V115" i="2"/>
  <c r="V115" i="4"/>
  <c r="L115" i="2"/>
  <c r="I115" i="2"/>
  <c r="E115" i="2"/>
  <c r="D115" i="2"/>
  <c r="AM114" i="2"/>
  <c r="AL114" i="2"/>
  <c r="AF114" i="2"/>
  <c r="AE114" i="2"/>
  <c r="AC114" i="2"/>
  <c r="AB114" i="2"/>
  <c r="Z114" i="2"/>
  <c r="Y114" i="2"/>
  <c r="U114" i="2"/>
  <c r="U112" i="2"/>
  <c r="U110" i="2"/>
  <c r="Q113" i="2"/>
  <c r="P113" i="2"/>
  <c r="K113" i="2"/>
  <c r="J113" i="2"/>
  <c r="H113" i="2"/>
  <c r="G113" i="2"/>
  <c r="C113" i="2"/>
  <c r="L111" i="2"/>
  <c r="I111" i="2"/>
  <c r="E111" i="2"/>
  <c r="D111" i="2"/>
  <c r="D111" i="4"/>
  <c r="L110" i="2"/>
  <c r="I110" i="2"/>
  <c r="E110" i="2"/>
  <c r="D110" i="2"/>
  <c r="L109" i="2"/>
  <c r="I109" i="2"/>
  <c r="E109" i="2"/>
  <c r="D109" i="2"/>
  <c r="AG108" i="2"/>
  <c r="AD108" i="2"/>
  <c r="AA108" i="2"/>
  <c r="W108" i="2"/>
  <c r="V108" i="2"/>
  <c r="V108" i="11"/>
  <c r="L108" i="2"/>
  <c r="I108" i="2"/>
  <c r="E108" i="2"/>
  <c r="D108" i="2"/>
  <c r="AG107" i="2"/>
  <c r="AD107" i="2"/>
  <c r="AA107" i="2"/>
  <c r="W107" i="2"/>
  <c r="V107" i="2"/>
  <c r="V107" i="11"/>
  <c r="L107" i="2"/>
  <c r="I107" i="2"/>
  <c r="E107" i="2"/>
  <c r="D107" i="2"/>
  <c r="AG106" i="2"/>
  <c r="AD106" i="2"/>
  <c r="AA106" i="2"/>
  <c r="W106" i="2"/>
  <c r="V106" i="2"/>
  <c r="V106" i="11"/>
  <c r="L106" i="2"/>
  <c r="I106" i="2"/>
  <c r="E106" i="2"/>
  <c r="D106" i="2"/>
  <c r="AM105" i="2"/>
  <c r="AM104" i="2"/>
  <c r="AL105" i="2"/>
  <c r="AL104" i="2"/>
  <c r="AF105" i="2"/>
  <c r="AF104" i="2"/>
  <c r="AE105" i="2"/>
  <c r="AE104" i="2"/>
  <c r="AC105" i="2"/>
  <c r="AC104" i="2"/>
  <c r="AB105" i="2"/>
  <c r="AB104" i="2"/>
  <c r="Z105" i="2"/>
  <c r="Z104" i="2"/>
  <c r="Y105" i="2"/>
  <c r="Y104" i="2"/>
  <c r="U105" i="2"/>
  <c r="L105" i="2"/>
  <c r="I105" i="2"/>
  <c r="E105" i="2"/>
  <c r="D105" i="2"/>
  <c r="Q104" i="2"/>
  <c r="P104" i="2"/>
  <c r="K104" i="2"/>
  <c r="J104" i="2"/>
  <c r="G104" i="2"/>
  <c r="C104" i="2"/>
  <c r="AG102" i="2"/>
  <c r="AD102" i="2"/>
  <c r="AA102" i="2"/>
  <c r="W102" i="2"/>
  <c r="V102" i="2"/>
  <c r="L102" i="2"/>
  <c r="I102" i="2"/>
  <c r="E102" i="2"/>
  <c r="D102" i="2"/>
  <c r="AG101" i="2"/>
  <c r="AD101" i="2"/>
  <c r="AA101" i="2"/>
  <c r="W101" i="2"/>
  <c r="V101" i="2"/>
  <c r="L101" i="2"/>
  <c r="I101" i="2"/>
  <c r="E101" i="2"/>
  <c r="D101" i="2"/>
  <c r="AG100" i="2"/>
  <c r="AD100" i="2"/>
  <c r="AA100" i="2"/>
  <c r="W100" i="2"/>
  <c r="V100" i="2"/>
  <c r="L100" i="2"/>
  <c r="I100" i="2"/>
  <c r="E100" i="2"/>
  <c r="D100" i="2"/>
  <c r="AG99" i="2"/>
  <c r="AD99" i="2"/>
  <c r="AA99" i="2"/>
  <c r="W99" i="2"/>
  <c r="V99" i="2"/>
  <c r="L99" i="2"/>
  <c r="I99" i="2"/>
  <c r="G99" i="4"/>
  <c r="I99" i="4"/>
  <c r="E99" i="2"/>
  <c r="D99" i="2"/>
  <c r="AG98" i="2"/>
  <c r="AD98" i="2"/>
  <c r="AA98" i="2"/>
  <c r="W98" i="2"/>
  <c r="V98" i="2"/>
  <c r="L98" i="2"/>
  <c r="I98" i="2"/>
  <c r="E98" i="2"/>
  <c r="AG97" i="2"/>
  <c r="AD97" i="2"/>
  <c r="AA97" i="2"/>
  <c r="W97" i="2"/>
  <c r="V97" i="2"/>
  <c r="L97" i="2"/>
  <c r="I97" i="2"/>
  <c r="G97" i="4"/>
  <c r="I97" i="4"/>
  <c r="E97" i="2"/>
  <c r="D97" i="2"/>
  <c r="AM96" i="2"/>
  <c r="AL96" i="2"/>
  <c r="AF96" i="2"/>
  <c r="AE96" i="2"/>
  <c r="AC96" i="2"/>
  <c r="AB96" i="2"/>
  <c r="Z96" i="2"/>
  <c r="Y96" i="2"/>
  <c r="U96" i="2"/>
  <c r="U96" i="3"/>
  <c r="L96" i="2"/>
  <c r="I96" i="2"/>
  <c r="E96" i="2"/>
  <c r="D96" i="2"/>
  <c r="AG95" i="2"/>
  <c r="AD95" i="2"/>
  <c r="AA95" i="2"/>
  <c r="W95" i="2"/>
  <c r="V95" i="2"/>
  <c r="L95" i="2"/>
  <c r="I95" i="2"/>
  <c r="E95" i="2"/>
  <c r="D95" i="2"/>
  <c r="AG94" i="2"/>
  <c r="AD94" i="2"/>
  <c r="AA94" i="2"/>
  <c r="W94" i="2"/>
  <c r="V94" i="2"/>
  <c r="Q94" i="2"/>
  <c r="P94" i="2"/>
  <c r="K94" i="2"/>
  <c r="J94" i="2"/>
  <c r="H94" i="2"/>
  <c r="G94" i="2"/>
  <c r="C94" i="2"/>
  <c r="AG93" i="2"/>
  <c r="AD93" i="2"/>
  <c r="AA93" i="2"/>
  <c r="W93" i="2"/>
  <c r="V93" i="2"/>
  <c r="AG92" i="2"/>
  <c r="AD92" i="2"/>
  <c r="AA92" i="2"/>
  <c r="W92" i="2"/>
  <c r="V92" i="2"/>
  <c r="L92" i="2"/>
  <c r="I92" i="2"/>
  <c r="E92" i="2"/>
  <c r="D92" i="2"/>
  <c r="AM91" i="2"/>
  <c r="AL91" i="2"/>
  <c r="AF91" i="2"/>
  <c r="AE91" i="2"/>
  <c r="AC91" i="2"/>
  <c r="AB91" i="2"/>
  <c r="Z91" i="2"/>
  <c r="Y91" i="2"/>
  <c r="U91" i="2"/>
  <c r="U91" i="3"/>
  <c r="U90" i="3"/>
  <c r="L91" i="2"/>
  <c r="I91" i="2"/>
  <c r="G91" i="3"/>
  <c r="I91" i="3"/>
  <c r="M91" i="3"/>
  <c r="E91" i="2"/>
  <c r="D91" i="2"/>
  <c r="L90" i="2"/>
  <c r="E90" i="2"/>
  <c r="E90" i="3"/>
  <c r="D90" i="2"/>
  <c r="L89" i="2"/>
  <c r="I89" i="2"/>
  <c r="G89" i="3"/>
  <c r="I89" i="3"/>
  <c r="E89" i="2"/>
  <c r="D89" i="2"/>
  <c r="AG88" i="2"/>
  <c r="AD88" i="2"/>
  <c r="AA88" i="2"/>
  <c r="W88" i="2"/>
  <c r="V88" i="2"/>
  <c r="L88" i="2"/>
  <c r="I88" i="2"/>
  <c r="G88" i="3"/>
  <c r="I88" i="3"/>
  <c r="E88" i="2"/>
  <c r="D88" i="2"/>
  <c r="AG87" i="2"/>
  <c r="AD87" i="2"/>
  <c r="AA87" i="2"/>
  <c r="W87" i="2"/>
  <c r="V87" i="2"/>
  <c r="L87" i="2"/>
  <c r="I87" i="2"/>
  <c r="G87" i="3"/>
  <c r="I87" i="3"/>
  <c r="E87" i="2"/>
  <c r="D87" i="2"/>
  <c r="AG86" i="2"/>
  <c r="AD86" i="2"/>
  <c r="AA86" i="2"/>
  <c r="W86" i="2"/>
  <c r="V86" i="2"/>
  <c r="L86" i="2"/>
  <c r="I86" i="2"/>
  <c r="G86" i="3"/>
  <c r="E86" i="2"/>
  <c r="D86" i="2"/>
  <c r="AG85" i="2"/>
  <c r="AD85" i="2"/>
  <c r="AA85" i="2"/>
  <c r="W85" i="2"/>
  <c r="V85" i="2"/>
  <c r="Q85" i="2"/>
  <c r="P85" i="2"/>
  <c r="K85" i="2"/>
  <c r="J85" i="2"/>
  <c r="H85" i="2"/>
  <c r="G85" i="2"/>
  <c r="C85" i="2"/>
  <c r="AG84" i="2"/>
  <c r="AD84" i="2"/>
  <c r="AA84" i="2"/>
  <c r="W84" i="2"/>
  <c r="W84" i="4"/>
  <c r="V84" i="2"/>
  <c r="AL83" i="2"/>
  <c r="AF83" i="2"/>
  <c r="AE83" i="2"/>
  <c r="AC83" i="2"/>
  <c r="AB83" i="2"/>
  <c r="Z83" i="2"/>
  <c r="Y83" i="2"/>
  <c r="U83" i="2"/>
  <c r="L83" i="2"/>
  <c r="I83" i="2"/>
  <c r="E83" i="2"/>
  <c r="D83" i="2"/>
  <c r="L82" i="2"/>
  <c r="I82" i="2"/>
  <c r="E82" i="2"/>
  <c r="D82" i="2"/>
  <c r="B82" i="2"/>
  <c r="AG81" i="2"/>
  <c r="AE81" i="4"/>
  <c r="AG81" i="4"/>
  <c r="AD81" i="2"/>
  <c r="AA81" i="2"/>
  <c r="Y81" i="4"/>
  <c r="AA81" i="4"/>
  <c r="W81" i="2"/>
  <c r="V81" i="2"/>
  <c r="Q81" i="2"/>
  <c r="P81" i="2"/>
  <c r="K81" i="2"/>
  <c r="J81" i="2"/>
  <c r="H81" i="2"/>
  <c r="G81" i="2"/>
  <c r="AG80" i="2"/>
  <c r="AD80" i="2"/>
  <c r="AA80" i="2"/>
  <c r="W80" i="2"/>
  <c r="V80" i="2"/>
  <c r="L80" i="2"/>
  <c r="I80" i="2"/>
  <c r="E80" i="2"/>
  <c r="D80" i="2"/>
  <c r="AG79" i="2"/>
  <c r="AD79" i="2"/>
  <c r="AA79" i="2"/>
  <c r="W79" i="2"/>
  <c r="V79" i="2"/>
  <c r="L79" i="2"/>
  <c r="I79" i="2"/>
  <c r="E79" i="2"/>
  <c r="D79" i="2"/>
  <c r="B79" i="2"/>
  <c r="AG78" i="2"/>
  <c r="AD78" i="2"/>
  <c r="AA78" i="2"/>
  <c r="W78" i="2"/>
  <c r="V78" i="2"/>
  <c r="Q78" i="2"/>
  <c r="P78" i="2"/>
  <c r="K78" i="2"/>
  <c r="J78" i="2"/>
  <c r="H78" i="2"/>
  <c r="G78" i="2"/>
  <c r="C78" i="2"/>
  <c r="AG77" i="2"/>
  <c r="AD77" i="2"/>
  <c r="AA77" i="2"/>
  <c r="W77" i="2"/>
  <c r="V77" i="2"/>
  <c r="L77" i="2"/>
  <c r="I77" i="2"/>
  <c r="G77" i="4"/>
  <c r="I77" i="4"/>
  <c r="E77" i="2"/>
  <c r="D77" i="2"/>
  <c r="AG76" i="2"/>
  <c r="AD76" i="2"/>
  <c r="AA76" i="2"/>
  <c r="W76" i="2"/>
  <c r="V76" i="2"/>
  <c r="L76" i="2"/>
  <c r="I76" i="2"/>
  <c r="E76" i="2"/>
  <c r="D76" i="2"/>
  <c r="B76" i="2"/>
  <c r="AG75" i="2"/>
  <c r="AD75" i="2"/>
  <c r="AA75" i="2"/>
  <c r="W75" i="2"/>
  <c r="V75" i="2"/>
  <c r="Q75" i="2"/>
  <c r="P75" i="2"/>
  <c r="K75" i="2"/>
  <c r="J75" i="2"/>
  <c r="H75" i="2"/>
  <c r="G75" i="2"/>
  <c r="C75" i="2"/>
  <c r="AG74" i="2"/>
  <c r="AD74" i="2"/>
  <c r="AA74" i="2"/>
  <c r="W74" i="2"/>
  <c r="V74" i="2"/>
  <c r="L74" i="2"/>
  <c r="I74" i="2"/>
  <c r="E74" i="2"/>
  <c r="D74" i="2"/>
  <c r="AG73" i="2"/>
  <c r="AD73" i="2"/>
  <c r="AA73" i="2"/>
  <c r="W73" i="2"/>
  <c r="V73" i="2"/>
  <c r="L73" i="2"/>
  <c r="I73" i="2"/>
  <c r="E73" i="2"/>
  <c r="D73" i="2"/>
  <c r="B73" i="2"/>
  <c r="AG72" i="2"/>
  <c r="AD72" i="2"/>
  <c r="AA72" i="2"/>
  <c r="W72" i="2"/>
  <c r="V72" i="2"/>
  <c r="Q72" i="2"/>
  <c r="P72" i="2"/>
  <c r="K72" i="2"/>
  <c r="J72" i="2"/>
  <c r="H72" i="2"/>
  <c r="G72" i="2"/>
  <c r="C72" i="2"/>
  <c r="AG71" i="2"/>
  <c r="AD71" i="2"/>
  <c r="AA71" i="2"/>
  <c r="W71" i="2"/>
  <c r="V71" i="2"/>
  <c r="L71" i="2"/>
  <c r="I71" i="2"/>
  <c r="E71" i="2"/>
  <c r="D71" i="2"/>
  <c r="AG70" i="2"/>
  <c r="AD70" i="2"/>
  <c r="AA70" i="2"/>
  <c r="W70" i="2"/>
  <c r="V70" i="2"/>
  <c r="L70" i="2"/>
  <c r="I70" i="2"/>
  <c r="E70" i="2"/>
  <c r="D70" i="2"/>
  <c r="B70" i="2"/>
  <c r="AM69" i="2"/>
  <c r="AM65" i="2"/>
  <c r="AL69" i="2"/>
  <c r="AL65" i="2"/>
  <c r="AF69" i="2"/>
  <c r="AF65" i="2"/>
  <c r="AE69" i="2"/>
  <c r="AE65" i="2"/>
  <c r="AC69" i="2"/>
  <c r="AC65" i="2"/>
  <c r="AB69" i="2"/>
  <c r="AB65" i="2"/>
  <c r="Z69" i="2"/>
  <c r="Z65" i="2"/>
  <c r="Y69" i="2"/>
  <c r="Y65" i="2"/>
  <c r="U69" i="2"/>
  <c r="Q69" i="2"/>
  <c r="P69" i="2"/>
  <c r="K69" i="2"/>
  <c r="J69" i="2"/>
  <c r="H69" i="2"/>
  <c r="G69" i="2"/>
  <c r="C69" i="2"/>
  <c r="AG68" i="2"/>
  <c r="AD68" i="2"/>
  <c r="AA68" i="2"/>
  <c r="W68" i="2"/>
  <c r="V68" i="2"/>
  <c r="L68" i="2"/>
  <c r="I68" i="2"/>
  <c r="E68" i="2"/>
  <c r="D68" i="2"/>
  <c r="AG67" i="2"/>
  <c r="AD67" i="2"/>
  <c r="AA67" i="2"/>
  <c r="W67" i="2"/>
  <c r="V67" i="2"/>
  <c r="L67" i="2"/>
  <c r="I67" i="2"/>
  <c r="E67" i="2"/>
  <c r="D67" i="2"/>
  <c r="B67" i="2"/>
  <c r="AG66" i="2"/>
  <c r="AD66" i="2"/>
  <c r="AA66" i="2"/>
  <c r="W66" i="2"/>
  <c r="W66" i="4"/>
  <c r="V66" i="2"/>
  <c r="Q66" i="2"/>
  <c r="P66" i="2"/>
  <c r="K66" i="2"/>
  <c r="J66" i="2"/>
  <c r="H66" i="2"/>
  <c r="G66" i="2"/>
  <c r="C66" i="2"/>
  <c r="L65" i="2"/>
  <c r="I65" i="2"/>
  <c r="G65" i="4"/>
  <c r="I65" i="4"/>
  <c r="E65" i="2"/>
  <c r="D65" i="2"/>
  <c r="L64" i="2"/>
  <c r="I64" i="2"/>
  <c r="E64" i="2"/>
  <c r="D64" i="2"/>
  <c r="B64" i="2"/>
  <c r="Q63" i="2"/>
  <c r="P63" i="2"/>
  <c r="K63" i="2"/>
  <c r="J63" i="2"/>
  <c r="H63" i="2"/>
  <c r="G63" i="2"/>
  <c r="C63" i="2"/>
  <c r="L62" i="2"/>
  <c r="I62" i="2"/>
  <c r="E62" i="2"/>
  <c r="D62" i="2"/>
  <c r="AG61" i="2"/>
  <c r="AD61" i="2"/>
  <c r="AA61" i="2"/>
  <c r="W61" i="2"/>
  <c r="V61" i="2"/>
  <c r="L61" i="2"/>
  <c r="I61" i="2"/>
  <c r="E61" i="2"/>
  <c r="D61" i="2"/>
  <c r="B61" i="2"/>
  <c r="AG60" i="2"/>
  <c r="AD60" i="2"/>
  <c r="AA60" i="2"/>
  <c r="W60" i="2"/>
  <c r="V60" i="2"/>
  <c r="Q60" i="2"/>
  <c r="P60" i="2"/>
  <c r="K60" i="2"/>
  <c r="J60" i="2"/>
  <c r="H60" i="2"/>
  <c r="G60" i="2"/>
  <c r="C60" i="2"/>
  <c r="AG59" i="2"/>
  <c r="AD59" i="2"/>
  <c r="AA59" i="2"/>
  <c r="W59" i="2"/>
  <c r="V59" i="2"/>
  <c r="L59" i="2"/>
  <c r="I59" i="2"/>
  <c r="E59" i="2"/>
  <c r="D59" i="2"/>
  <c r="AM58" i="2"/>
  <c r="AM57" i="2"/>
  <c r="AL58" i="2"/>
  <c r="AL57" i="2"/>
  <c r="AF58" i="2"/>
  <c r="AF57" i="2"/>
  <c r="AE58" i="2"/>
  <c r="AE57" i="2"/>
  <c r="AC58" i="2"/>
  <c r="AC57" i="2"/>
  <c r="AB58" i="2"/>
  <c r="AB57" i="2"/>
  <c r="Z58" i="2"/>
  <c r="Z57" i="2"/>
  <c r="Y58" i="2"/>
  <c r="Y57" i="2"/>
  <c r="U58" i="2"/>
  <c r="L58" i="2"/>
  <c r="I58" i="2"/>
  <c r="E58" i="2"/>
  <c r="D58" i="2"/>
  <c r="B58" i="2"/>
  <c r="Q57" i="2"/>
  <c r="P57" i="2"/>
  <c r="K57" i="2"/>
  <c r="J57" i="2"/>
  <c r="H57" i="2"/>
  <c r="G57" i="2"/>
  <c r="C57" i="2"/>
  <c r="L56" i="2"/>
  <c r="I56" i="2"/>
  <c r="E56" i="2"/>
  <c r="D56" i="2"/>
  <c r="AG55" i="2"/>
  <c r="AE55" i="4"/>
  <c r="AG55" i="4"/>
  <c r="AD55" i="2"/>
  <c r="AA55" i="2"/>
  <c r="W55" i="2"/>
  <c r="V55" i="2"/>
  <c r="L55" i="2"/>
  <c r="I55" i="2"/>
  <c r="E55" i="2"/>
  <c r="D55" i="2"/>
  <c r="B55" i="2"/>
  <c r="AG54" i="2"/>
  <c r="AD54" i="2"/>
  <c r="AA54" i="2"/>
  <c r="W54" i="2"/>
  <c r="V54" i="2"/>
  <c r="Q54" i="2"/>
  <c r="P54" i="2"/>
  <c r="K54" i="2"/>
  <c r="J54" i="2"/>
  <c r="H54" i="2"/>
  <c r="G54" i="2"/>
  <c r="C54" i="2"/>
  <c r="AG53" i="2"/>
  <c r="AD53" i="2"/>
  <c r="AA53" i="2"/>
  <c r="W53" i="2"/>
  <c r="V53" i="2"/>
  <c r="L53" i="2"/>
  <c r="I53" i="2"/>
  <c r="E53" i="2"/>
  <c r="D53" i="2"/>
  <c r="AG52" i="2"/>
  <c r="AD52" i="2"/>
  <c r="AA52" i="2"/>
  <c r="W52" i="2"/>
  <c r="V52" i="2"/>
  <c r="L52" i="2"/>
  <c r="I52" i="2"/>
  <c r="E52" i="2"/>
  <c r="D52" i="2"/>
  <c r="B52" i="2"/>
  <c r="AG51" i="2"/>
  <c r="AD51" i="2"/>
  <c r="AA51" i="2"/>
  <c r="W51" i="2"/>
  <c r="Q51" i="2"/>
  <c r="P51" i="2"/>
  <c r="K51" i="2"/>
  <c r="J51" i="2"/>
  <c r="H51" i="2"/>
  <c r="G51" i="2"/>
  <c r="C51" i="2"/>
  <c r="AG50" i="2"/>
  <c r="AE50" i="4"/>
  <c r="AD50" i="2"/>
  <c r="AA50" i="2"/>
  <c r="W50" i="2"/>
  <c r="V50" i="2"/>
  <c r="L50" i="2"/>
  <c r="I50" i="2"/>
  <c r="E50" i="2"/>
  <c r="D50" i="2"/>
  <c r="AM49" i="2"/>
  <c r="AL49" i="2"/>
  <c r="AF49" i="2"/>
  <c r="AE49" i="2"/>
  <c r="AC49" i="2"/>
  <c r="AB49" i="2"/>
  <c r="Z49" i="2"/>
  <c r="Y49" i="2"/>
  <c r="U49" i="2"/>
  <c r="U49" i="3"/>
  <c r="L49" i="2"/>
  <c r="I49" i="2"/>
  <c r="E49" i="2"/>
  <c r="D49" i="2"/>
  <c r="B49" i="2"/>
  <c r="AG48" i="2"/>
  <c r="AD48" i="2"/>
  <c r="AA48" i="2"/>
  <c r="W48" i="2"/>
  <c r="V48" i="2"/>
  <c r="Q48" i="2"/>
  <c r="P48" i="2"/>
  <c r="K48" i="2"/>
  <c r="J48" i="2"/>
  <c r="H48" i="2"/>
  <c r="G48" i="2"/>
  <c r="C48" i="2"/>
  <c r="AG47" i="2"/>
  <c r="AD47" i="2"/>
  <c r="AA47" i="2"/>
  <c r="W47" i="2"/>
  <c r="V47" i="2"/>
  <c r="L47" i="2"/>
  <c r="I47" i="2"/>
  <c r="E47" i="2"/>
  <c r="D47" i="2"/>
  <c r="AG46" i="2"/>
  <c r="AD46" i="2"/>
  <c r="AA46" i="2"/>
  <c r="Y46" i="4"/>
  <c r="AA46" i="4"/>
  <c r="W46" i="2"/>
  <c r="V46" i="2"/>
  <c r="L46" i="2"/>
  <c r="I46" i="2"/>
  <c r="E46" i="2"/>
  <c r="D46" i="2"/>
  <c r="B46" i="2"/>
  <c r="AG45" i="2"/>
  <c r="AE45" i="4"/>
  <c r="AD45" i="2"/>
  <c r="AA45" i="2"/>
  <c r="W45" i="2"/>
  <c r="V45" i="2"/>
  <c r="Q45" i="2"/>
  <c r="P45" i="2"/>
  <c r="K45" i="2"/>
  <c r="J45" i="2"/>
  <c r="H45" i="2"/>
  <c r="G45" i="2"/>
  <c r="C45" i="2"/>
  <c r="AM44" i="2"/>
  <c r="AL44" i="2"/>
  <c r="AF44" i="2"/>
  <c r="AE44" i="2"/>
  <c r="AC44" i="2"/>
  <c r="AB44" i="2"/>
  <c r="Z44" i="2"/>
  <c r="Y44" i="2"/>
  <c r="U44" i="2"/>
  <c r="L44" i="2"/>
  <c r="I44" i="2"/>
  <c r="E44" i="2"/>
  <c r="D44" i="2"/>
  <c r="L43" i="2"/>
  <c r="I43" i="2"/>
  <c r="E43" i="2"/>
  <c r="D43" i="2"/>
  <c r="B43" i="2"/>
  <c r="Q42" i="2"/>
  <c r="P42" i="2"/>
  <c r="K42" i="2"/>
  <c r="J42" i="2"/>
  <c r="H42" i="2"/>
  <c r="G42" i="2"/>
  <c r="C42" i="2"/>
  <c r="AG41" i="2"/>
  <c r="AD41" i="2"/>
  <c r="AA41" i="2"/>
  <c r="Y41" i="4"/>
  <c r="AA41" i="4"/>
  <c r="W41" i="2"/>
  <c r="V41" i="2"/>
  <c r="L41" i="2"/>
  <c r="I41" i="2"/>
  <c r="E41" i="2"/>
  <c r="D41" i="2"/>
  <c r="AG40" i="2"/>
  <c r="AD40" i="2"/>
  <c r="AA40" i="2"/>
  <c r="W40" i="2"/>
  <c r="V40" i="2"/>
  <c r="L40" i="2"/>
  <c r="I40" i="2"/>
  <c r="E40" i="2"/>
  <c r="D40" i="2"/>
  <c r="AG39" i="2"/>
  <c r="AD39" i="2"/>
  <c r="AA39" i="2"/>
  <c r="W39" i="2"/>
  <c r="V39" i="2"/>
  <c r="L39" i="2"/>
  <c r="I39" i="2"/>
  <c r="E39" i="2"/>
  <c r="D39" i="2"/>
  <c r="AG38" i="2"/>
  <c r="AD38" i="2"/>
  <c r="AA38" i="2"/>
  <c r="W38" i="2"/>
  <c r="V38" i="2"/>
  <c r="L38" i="2"/>
  <c r="I38" i="2"/>
  <c r="E38" i="2"/>
  <c r="D38" i="2"/>
  <c r="AG37" i="2"/>
  <c r="AD37" i="2"/>
  <c r="AA37" i="2"/>
  <c r="W37" i="2"/>
  <c r="V37" i="2"/>
  <c r="L37" i="2"/>
  <c r="I37" i="2"/>
  <c r="E37" i="2"/>
  <c r="D37" i="2"/>
  <c r="AG36" i="2"/>
  <c r="AD36" i="2"/>
  <c r="AA36" i="2"/>
  <c r="W36" i="2"/>
  <c r="W36" i="4"/>
  <c r="V36" i="2"/>
  <c r="L36" i="2"/>
  <c r="I36" i="2"/>
  <c r="E36" i="2"/>
  <c r="D36" i="2"/>
  <c r="B36" i="2"/>
  <c r="AM35" i="2"/>
  <c r="AL35" i="2"/>
  <c r="AF35" i="2"/>
  <c r="AE35" i="2"/>
  <c r="AC35" i="2"/>
  <c r="AB35" i="2"/>
  <c r="Z35" i="2"/>
  <c r="Y35" i="2"/>
  <c r="U35" i="2"/>
  <c r="Q35" i="2"/>
  <c r="P35" i="2"/>
  <c r="K35" i="2"/>
  <c r="J35" i="2"/>
  <c r="H35" i="2"/>
  <c r="G35" i="2"/>
  <c r="C35" i="2"/>
  <c r="L34" i="2"/>
  <c r="I34" i="2"/>
  <c r="G34" i="4"/>
  <c r="I34" i="4"/>
  <c r="E34" i="2"/>
  <c r="D34" i="2"/>
  <c r="AG33" i="2"/>
  <c r="AD33" i="2"/>
  <c r="AA33" i="2"/>
  <c r="W33" i="2"/>
  <c r="V33" i="2"/>
  <c r="L33" i="2"/>
  <c r="I33" i="2"/>
  <c r="E33" i="2"/>
  <c r="D33" i="2"/>
  <c r="B33" i="2"/>
  <c r="AG32" i="2"/>
  <c r="AD32" i="2"/>
  <c r="AA32" i="2"/>
  <c r="W32" i="2"/>
  <c r="V32" i="2"/>
  <c r="Q32" i="2"/>
  <c r="P32" i="2"/>
  <c r="J32" i="2"/>
  <c r="H32" i="2"/>
  <c r="G32" i="2"/>
  <c r="C32" i="2"/>
  <c r="AG31" i="2"/>
  <c r="AD31" i="2"/>
  <c r="AA31" i="2"/>
  <c r="W31" i="2"/>
  <c r="V31" i="2"/>
  <c r="L31" i="2"/>
  <c r="I31" i="2"/>
  <c r="E31" i="2"/>
  <c r="D31" i="2"/>
  <c r="AG30" i="2"/>
  <c r="AD30" i="2"/>
  <c r="AA30" i="2"/>
  <c r="W30" i="2"/>
  <c r="V30" i="2"/>
  <c r="L30" i="2"/>
  <c r="I30" i="2"/>
  <c r="E30" i="2"/>
  <c r="D30" i="2"/>
  <c r="B30" i="2"/>
  <c r="AG29" i="2"/>
  <c r="AD29" i="2"/>
  <c r="AA29" i="2"/>
  <c r="W29" i="2"/>
  <c r="V29" i="2"/>
  <c r="Q29" i="2"/>
  <c r="P29" i="2"/>
  <c r="K29" i="2"/>
  <c r="J29" i="2"/>
  <c r="H29" i="2"/>
  <c r="G29" i="2"/>
  <c r="C29" i="2"/>
  <c r="AG28" i="2"/>
  <c r="AD28" i="2"/>
  <c r="AA28" i="2"/>
  <c r="W28" i="2"/>
  <c r="V28" i="2"/>
  <c r="AG27" i="2"/>
  <c r="AD27" i="2"/>
  <c r="AA27" i="2"/>
  <c r="W27" i="2"/>
  <c r="V27" i="2"/>
  <c r="L27" i="2"/>
  <c r="I27" i="2"/>
  <c r="E27" i="2"/>
  <c r="D27" i="2"/>
  <c r="AT26" i="2"/>
  <c r="AG26" i="2"/>
  <c r="AD26" i="2"/>
  <c r="AA26" i="2"/>
  <c r="W26" i="2"/>
  <c r="V26" i="2"/>
  <c r="L26" i="2"/>
  <c r="I26" i="2"/>
  <c r="E26" i="2"/>
  <c r="D26" i="2"/>
  <c r="B26" i="2"/>
  <c r="AG25" i="2"/>
  <c r="AD25" i="2"/>
  <c r="AA25" i="2"/>
  <c r="W25" i="2"/>
  <c r="V25" i="2"/>
  <c r="Q25" i="2"/>
  <c r="P25" i="2"/>
  <c r="K25" i="2"/>
  <c r="J25" i="2"/>
  <c r="G25" i="2"/>
  <c r="C25" i="2"/>
  <c r="AG24" i="2"/>
  <c r="AD24" i="2"/>
  <c r="AA24" i="2"/>
  <c r="W24" i="2"/>
  <c r="V24" i="2"/>
  <c r="K22" i="2"/>
  <c r="I24" i="2"/>
  <c r="E24" i="2"/>
  <c r="D24" i="2"/>
  <c r="AG23" i="2"/>
  <c r="AD23" i="2"/>
  <c r="AA23" i="2"/>
  <c r="W23" i="2"/>
  <c r="V23" i="2"/>
  <c r="L23" i="2"/>
  <c r="I23" i="2"/>
  <c r="E23" i="2"/>
  <c r="D23" i="2"/>
  <c r="B23" i="2"/>
  <c r="AG22" i="2"/>
  <c r="AE22" i="4"/>
  <c r="AG22" i="4"/>
  <c r="AD22" i="2"/>
  <c r="AA22" i="2"/>
  <c r="W22" i="2"/>
  <c r="V22" i="2"/>
  <c r="Q22" i="2"/>
  <c r="P22" i="2"/>
  <c r="J22" i="2"/>
  <c r="H22" i="2"/>
  <c r="G22" i="2"/>
  <c r="C22" i="2"/>
  <c r="AG21" i="2"/>
  <c r="AD21" i="2"/>
  <c r="AA21" i="2"/>
  <c r="W21" i="2"/>
  <c r="V21" i="2"/>
  <c r="BE20" i="2"/>
  <c r="AM20" i="2"/>
  <c r="AM16" i="2"/>
  <c r="AL20" i="2"/>
  <c r="AL16" i="2"/>
  <c r="AF20" i="2"/>
  <c r="AF16" i="2"/>
  <c r="AE20" i="2"/>
  <c r="AE16" i="2"/>
  <c r="AC20" i="2"/>
  <c r="AC16" i="2"/>
  <c r="AB20" i="2"/>
  <c r="AB16" i="2"/>
  <c r="Z20" i="2"/>
  <c r="Z16" i="2"/>
  <c r="Y20" i="2"/>
  <c r="Y16" i="2"/>
  <c r="U20" i="2"/>
  <c r="BE19" i="2"/>
  <c r="AG19" i="2"/>
  <c r="AD19" i="2"/>
  <c r="AA19" i="2"/>
  <c r="W19" i="2"/>
  <c r="V19" i="2"/>
  <c r="BE18" i="2"/>
  <c r="AG18" i="2"/>
  <c r="AD18" i="2"/>
  <c r="AA18" i="2"/>
  <c r="W18" i="2"/>
  <c r="V18" i="2"/>
  <c r="AG17" i="2"/>
  <c r="AD17" i="2"/>
  <c r="AA17" i="2"/>
  <c r="W17" i="2"/>
  <c r="V17" i="2"/>
  <c r="K15" i="2"/>
  <c r="L15" i="2"/>
  <c r="I15" i="2"/>
  <c r="E15" i="5"/>
  <c r="E15" i="6"/>
  <c r="E15" i="7"/>
  <c r="E15" i="8"/>
  <c r="E15" i="9"/>
  <c r="D15" i="2"/>
  <c r="B15" i="2"/>
  <c r="BE14" i="2"/>
  <c r="K14" i="2"/>
  <c r="L14" i="2"/>
  <c r="I14" i="2"/>
  <c r="D14" i="2"/>
  <c r="B14" i="5"/>
  <c r="B14" i="6"/>
  <c r="B14" i="7"/>
  <c r="B14" i="8"/>
  <c r="B14" i="9"/>
  <c r="F13" i="14"/>
  <c r="K13" i="2"/>
  <c r="L13" i="2"/>
  <c r="I13" i="2"/>
  <c r="G13" i="4"/>
  <c r="I13" i="4"/>
  <c r="E13" i="5"/>
  <c r="E13" i="6"/>
  <c r="E13" i="7"/>
  <c r="E13" i="8"/>
  <c r="E13" i="9"/>
  <c r="D13" i="2"/>
  <c r="F12" i="14"/>
  <c r="K12" i="2"/>
  <c r="L12" i="2"/>
  <c r="I12" i="2"/>
  <c r="E12" i="2"/>
  <c r="D12" i="2"/>
  <c r="B12" i="5"/>
  <c r="B12" i="6"/>
  <c r="B12" i="7"/>
  <c r="B12" i="8"/>
  <c r="B12" i="9"/>
  <c r="AT11" i="2"/>
  <c r="Q10" i="2"/>
  <c r="P10" i="2"/>
  <c r="J10" i="2"/>
  <c r="H10" i="2"/>
  <c r="G10" i="2"/>
  <c r="C10" i="2"/>
  <c r="AR6" i="2"/>
  <c r="AR21" i="2"/>
  <c r="BG3" i="2"/>
  <c r="BB3" i="2"/>
  <c r="AH3" i="2"/>
  <c r="Y3" i="2"/>
  <c r="AJ3" i="2"/>
  <c r="N3" i="10"/>
  <c r="F3" i="2"/>
  <c r="V3" i="2"/>
  <c r="BE2" i="2"/>
  <c r="BK2" i="2"/>
  <c r="BQ2" i="2"/>
  <c r="Y2" i="2"/>
  <c r="V2" i="2"/>
  <c r="F2" i="2"/>
  <c r="D2" i="2"/>
  <c r="BO17" i="2"/>
  <c r="AC169" i="2"/>
  <c r="AA262" i="2"/>
  <c r="BQ15" i="7"/>
  <c r="U261" i="12"/>
  <c r="AD262" i="2"/>
  <c r="BQ12" i="5"/>
  <c r="BQ9" i="5"/>
  <c r="BQ14" i="5"/>
  <c r="BQ14" i="6"/>
  <c r="BQ12" i="8"/>
  <c r="BQ9" i="8"/>
  <c r="V262" i="2"/>
  <c r="AG262" i="2"/>
  <c r="BQ25" i="6"/>
  <c r="BQ25" i="7"/>
  <c r="BE7" i="12"/>
  <c r="AW19" i="10"/>
  <c r="BC5" i="10"/>
  <c r="BE3" i="10"/>
  <c r="BK3" i="10" s="1"/>
  <c r="BQ3" i="10" s="1"/>
  <c r="BN5" i="10" s="1"/>
  <c r="AW4" i="10"/>
  <c r="BH5" i="10"/>
  <c r="AJ3" i="10"/>
  <c r="W262" i="2"/>
  <c r="BQ15" i="6"/>
  <c r="BQ14" i="9"/>
  <c r="BQ28" i="8"/>
  <c r="BQ25" i="8"/>
  <c r="BQ15" i="8"/>
  <c r="BK10" i="8"/>
  <c r="BQ12" i="9"/>
  <c r="BQ9" i="9"/>
  <c r="S20" i="6"/>
  <c r="S20" i="7"/>
  <c r="S20" i="8"/>
  <c r="S20" i="9"/>
  <c r="S20" i="10"/>
  <c r="S20" i="11"/>
  <c r="S20" i="12" s="1"/>
  <c r="S20" i="13" s="1"/>
  <c r="S21" i="6"/>
  <c r="S21" i="7"/>
  <c r="S21" i="8"/>
  <c r="S21" i="9"/>
  <c r="S21" i="10"/>
  <c r="S21" i="11"/>
  <c r="S21" i="12" s="1"/>
  <c r="S21" i="13" s="1"/>
  <c r="S22" i="6"/>
  <c r="S22" i="7"/>
  <c r="S22" i="8"/>
  <c r="S22" i="9"/>
  <c r="S22" i="10"/>
  <c r="S22" i="11"/>
  <c r="S22" i="12"/>
  <c r="S22" i="13" s="1"/>
  <c r="X166" i="5"/>
  <c r="X167" i="4"/>
  <c r="S8" i="6"/>
  <c r="S8" i="7"/>
  <c r="S8" i="8"/>
  <c r="S8" i="9"/>
  <c r="S8" i="10"/>
  <c r="S8" i="11"/>
  <c r="S10" i="6"/>
  <c r="S10" i="7"/>
  <c r="S10" i="8"/>
  <c r="S10" i="9"/>
  <c r="S10" i="10"/>
  <c r="S10" i="11"/>
  <c r="S10" i="12" s="1"/>
  <c r="S10" i="13" s="1"/>
  <c r="S12" i="6"/>
  <c r="S12" i="7"/>
  <c r="S12" i="8"/>
  <c r="S12" i="9"/>
  <c r="S12" i="10"/>
  <c r="S12" i="11"/>
  <c r="S12" i="12" s="1"/>
  <c r="S12" i="13" s="1"/>
  <c r="S26" i="6"/>
  <c r="S26" i="7"/>
  <c r="S26" i="8"/>
  <c r="S26" i="9"/>
  <c r="S27" i="6"/>
  <c r="S27" i="7"/>
  <c r="S27" i="8"/>
  <c r="S27" i="9"/>
  <c r="S27" i="10"/>
  <c r="S27" i="11"/>
  <c r="S27" i="12" s="1"/>
  <c r="S27" i="13" s="1"/>
  <c r="S28" i="6"/>
  <c r="S28" i="7"/>
  <c r="S28" i="8"/>
  <c r="S28" i="9"/>
  <c r="S28" i="10"/>
  <c r="S28" i="11"/>
  <c r="S28" i="12" s="1"/>
  <c r="S28" i="13" s="1"/>
  <c r="S29" i="6"/>
  <c r="S29" i="7"/>
  <c r="S29" i="8"/>
  <c r="S29" i="9"/>
  <c r="S29" i="10"/>
  <c r="S29" i="11"/>
  <c r="S29" i="12" s="1"/>
  <c r="S29" i="13" s="1"/>
  <c r="S41" i="6"/>
  <c r="S41" i="7"/>
  <c r="S41" i="8"/>
  <c r="S41" i="9"/>
  <c r="S41" i="10"/>
  <c r="S41" i="11"/>
  <c r="S41" i="12"/>
  <c r="S41" i="13"/>
  <c r="S42" i="6"/>
  <c r="S42" i="7"/>
  <c r="S42" i="8"/>
  <c r="S42" i="9"/>
  <c r="S42" i="10"/>
  <c r="S42" i="11"/>
  <c r="S42" i="12" s="1"/>
  <c r="S42" i="13" s="1"/>
  <c r="S52" i="6"/>
  <c r="S52" i="7"/>
  <c r="S52" i="8"/>
  <c r="S52" i="9"/>
  <c r="S52" i="10"/>
  <c r="S52" i="11"/>
  <c r="S52" i="12" s="1"/>
  <c r="S52" i="13" s="1"/>
  <c r="S53" i="6"/>
  <c r="S53" i="7"/>
  <c r="S53" i="8"/>
  <c r="S53" i="9"/>
  <c r="S53" i="10"/>
  <c r="S53" i="11"/>
  <c r="S53" i="12"/>
  <c r="S53" i="13" s="1"/>
  <c r="S54" i="6"/>
  <c r="S54" i="7"/>
  <c r="S54" i="8"/>
  <c r="S54" i="9"/>
  <c r="S54" i="10"/>
  <c r="S54" i="11"/>
  <c r="S54" i="12" s="1"/>
  <c r="S54" i="13" s="1"/>
  <c r="S64" i="6"/>
  <c r="S64" i="7"/>
  <c r="S64" i="8"/>
  <c r="S64" i="9"/>
  <c r="S64" i="10"/>
  <c r="S64" i="11"/>
  <c r="S64" i="12" s="1"/>
  <c r="S64" i="13" s="1"/>
  <c r="S65" i="6"/>
  <c r="S65" i="7"/>
  <c r="S65" i="8"/>
  <c r="S65" i="9"/>
  <c r="S65" i="10"/>
  <c r="S65" i="11"/>
  <c r="S65" i="12" s="1"/>
  <c r="S65" i="13" s="1"/>
  <c r="S66" i="6"/>
  <c r="S66" i="7"/>
  <c r="S66" i="8"/>
  <c r="S66" i="9"/>
  <c r="S66" i="10"/>
  <c r="S66" i="11"/>
  <c r="S66" i="12" s="1"/>
  <c r="S66" i="13" s="1"/>
  <c r="S76" i="6"/>
  <c r="S76" i="7"/>
  <c r="S76" i="8"/>
  <c r="S76" i="9"/>
  <c r="S76" i="10"/>
  <c r="S76" i="11"/>
  <c r="S76" i="12" s="1"/>
  <c r="S76" i="13" s="1"/>
  <c r="S77" i="6"/>
  <c r="S77" i="7"/>
  <c r="S77" i="8"/>
  <c r="S77" i="9"/>
  <c r="S78" i="6"/>
  <c r="S78" i="7"/>
  <c r="S78" i="8"/>
  <c r="S78" i="9"/>
  <c r="S78" i="10"/>
  <c r="S78" i="11"/>
  <c r="S78" i="12" s="1"/>
  <c r="S78" i="13" s="1"/>
  <c r="S86" i="6"/>
  <c r="S86" i="7"/>
  <c r="S86" i="8"/>
  <c r="S86" i="9"/>
  <c r="S86" i="10"/>
  <c r="S86" i="11"/>
  <c r="S86" i="12" s="1"/>
  <c r="S86" i="13" s="1"/>
  <c r="S87" i="6"/>
  <c r="S87" i="7"/>
  <c r="S87" i="8"/>
  <c r="S87" i="9"/>
  <c r="S88" i="6"/>
  <c r="S88" i="7"/>
  <c r="S88" i="8"/>
  <c r="S88" i="9"/>
  <c r="S88" i="10"/>
  <c r="S88" i="11"/>
  <c r="S88" i="12" s="1"/>
  <c r="S88" i="13" s="1"/>
  <c r="S89" i="6"/>
  <c r="S89" i="7"/>
  <c r="S89" i="8"/>
  <c r="S89" i="9"/>
  <c r="S89" i="10"/>
  <c r="S89" i="11"/>
  <c r="S89" i="12" s="1"/>
  <c r="S89" i="13" s="1"/>
  <c r="S90" i="6"/>
  <c r="S90" i="7"/>
  <c r="S90" i="8"/>
  <c r="S90" i="9"/>
  <c r="S90" i="10"/>
  <c r="S90" i="11"/>
  <c r="S90" i="12" s="1"/>
  <c r="S90" i="13" s="1"/>
  <c r="S91" i="6"/>
  <c r="S91" i="7"/>
  <c r="S91" i="8"/>
  <c r="S91" i="9"/>
  <c r="S91" i="10"/>
  <c r="S91" i="11"/>
  <c r="S91" i="12"/>
  <c r="S91" i="13"/>
  <c r="S92" i="6"/>
  <c r="S92" i="7"/>
  <c r="S92" i="8"/>
  <c r="S92" i="9"/>
  <c r="S92" i="10"/>
  <c r="S92" i="11"/>
  <c r="S92" i="12" s="1"/>
  <c r="S92" i="13" s="1"/>
  <c r="S93" i="6"/>
  <c r="S93" i="7"/>
  <c r="S93" i="8"/>
  <c r="S93" i="9"/>
  <c r="S93" i="10"/>
  <c r="S93" i="11"/>
  <c r="S93" i="12" s="1"/>
  <c r="S93" i="13" s="1"/>
  <c r="S94" i="6"/>
  <c r="S94" i="7"/>
  <c r="S94" i="8"/>
  <c r="S94" i="9"/>
  <c r="S94" i="10"/>
  <c r="S94" i="11"/>
  <c r="S94" i="12"/>
  <c r="S94" i="13" s="1"/>
  <c r="S95" i="6"/>
  <c r="S95" i="7"/>
  <c r="S95" i="8"/>
  <c r="S95" i="9"/>
  <c r="S95" i="10"/>
  <c r="S95" i="11"/>
  <c r="S95" i="12" s="1"/>
  <c r="S95" i="13" s="1"/>
  <c r="S96" i="6"/>
  <c r="S96" i="7"/>
  <c r="S96" i="8"/>
  <c r="S96" i="9"/>
  <c r="S96" i="10"/>
  <c r="S96" i="11"/>
  <c r="S96" i="12" s="1"/>
  <c r="S96" i="13" s="1"/>
  <c r="S97" i="6"/>
  <c r="S97" i="7"/>
  <c r="S97" i="8"/>
  <c r="S97" i="9"/>
  <c r="S97" i="10"/>
  <c r="S97" i="11"/>
  <c r="S97" i="12" s="1"/>
  <c r="S97" i="13" s="1"/>
  <c r="S98" i="6"/>
  <c r="S98" i="7"/>
  <c r="S98" i="8"/>
  <c r="S98" i="9"/>
  <c r="S98" i="10"/>
  <c r="S98" i="11"/>
  <c r="S98" i="12" s="1"/>
  <c r="S98" i="13" s="1"/>
  <c r="S99" i="6"/>
  <c r="S99" i="7"/>
  <c r="S99" i="8"/>
  <c r="S99" i="9"/>
  <c r="S100" i="6"/>
  <c r="S100" i="7"/>
  <c r="S100" i="8"/>
  <c r="S100" i="9"/>
  <c r="S101" i="6"/>
  <c r="S101" i="7"/>
  <c r="S101" i="8"/>
  <c r="S101" i="9"/>
  <c r="S101" i="10"/>
  <c r="S101" i="11"/>
  <c r="S101" i="12" s="1"/>
  <c r="S101" i="13" s="1"/>
  <c r="S102" i="6"/>
  <c r="S102" i="7"/>
  <c r="S102" i="8"/>
  <c r="S102" i="9"/>
  <c r="S102" i="10"/>
  <c r="S102" i="11"/>
  <c r="S102" i="12" s="1"/>
  <c r="S102" i="13" s="1"/>
  <c r="S103" i="6"/>
  <c r="S103" i="7"/>
  <c r="S103" i="8"/>
  <c r="S103" i="9"/>
  <c r="S104" i="6"/>
  <c r="S104" i="7"/>
  <c r="S104" i="8"/>
  <c r="S105" i="6"/>
  <c r="S105" i="7"/>
  <c r="S105" i="8"/>
  <c r="S106" i="6"/>
  <c r="S106" i="7"/>
  <c r="S106" i="8"/>
  <c r="S107" i="6"/>
  <c r="S107" i="7"/>
  <c r="S107" i="8"/>
  <c r="S109" i="6"/>
  <c r="S109" i="7"/>
  <c r="S109" i="8"/>
  <c r="S109" i="9"/>
  <c r="S109" i="11"/>
  <c r="S109" i="12"/>
  <c r="S109" i="13"/>
  <c r="S110" i="6"/>
  <c r="S110" i="7"/>
  <c r="S110" i="8"/>
  <c r="S110" i="9"/>
  <c r="S111" i="6"/>
  <c r="S111" i="7"/>
  <c r="S111" i="8"/>
  <c r="S111" i="9"/>
  <c r="S111" i="11"/>
  <c r="S111" i="12"/>
  <c r="S111" i="13"/>
  <c r="S112" i="6"/>
  <c r="S112" i="7"/>
  <c r="S112" i="8"/>
  <c r="S113" i="6"/>
  <c r="S113" i="7"/>
  <c r="S113" i="8"/>
  <c r="S113" i="9"/>
  <c r="S114" i="6"/>
  <c r="S114" i="7"/>
  <c r="S114" i="8"/>
  <c r="S115" i="6"/>
  <c r="S115" i="7"/>
  <c r="S115" i="8"/>
  <c r="S115" i="9"/>
  <c r="S116" i="6"/>
  <c r="S116" i="7"/>
  <c r="S116" i="8"/>
  <c r="S116" i="9"/>
  <c r="S117" i="6"/>
  <c r="S117" i="7"/>
  <c r="S117" i="8"/>
  <c r="S117" i="9"/>
  <c r="S117" i="10"/>
  <c r="S118" i="6"/>
  <c r="S118" i="7"/>
  <c r="S118" i="8"/>
  <c r="S118" i="9"/>
  <c r="S119" i="6"/>
  <c r="S119" i="7"/>
  <c r="S119" i="8"/>
  <c r="S119" i="9"/>
  <c r="S119" i="11"/>
  <c r="S119" i="12"/>
  <c r="S119" i="13"/>
  <c r="S120" i="6"/>
  <c r="S120" i="7"/>
  <c r="S120" i="8"/>
  <c r="S120" i="9"/>
  <c r="S121" i="6"/>
  <c r="S121" i="7"/>
  <c r="S121" i="8"/>
  <c r="S121" i="9"/>
  <c r="S121" i="10"/>
  <c r="S158" i="8"/>
  <c r="S158" i="9"/>
  <c r="S160" i="8"/>
  <c r="S160" i="9"/>
  <c r="S160" i="11"/>
  <c r="S162" i="8"/>
  <c r="S162" i="9"/>
  <c r="S164" i="8"/>
  <c r="S164" i="9"/>
  <c r="S164" i="11"/>
  <c r="S166" i="6"/>
  <c r="S166" i="7"/>
  <c r="S166" i="8"/>
  <c r="S166" i="9"/>
  <c r="S168" i="6"/>
  <c r="S168" i="7"/>
  <c r="S168" i="8"/>
  <c r="S168" i="9"/>
  <c r="S168" i="11"/>
  <c r="S170" i="6"/>
  <c r="S170" i="7"/>
  <c r="S170" i="8"/>
  <c r="S170" i="9"/>
  <c r="S172" i="6"/>
  <c r="S172" i="7"/>
  <c r="S172" i="8"/>
  <c r="S172" i="9"/>
  <c r="S172" i="11"/>
  <c r="S172" i="12"/>
  <c r="S172" i="13"/>
  <c r="S174" i="6"/>
  <c r="S174" i="7"/>
  <c r="S174" i="8"/>
  <c r="S174" i="9"/>
  <c r="S174" i="11"/>
  <c r="S176" i="6"/>
  <c r="S176" i="7"/>
  <c r="S176" i="8"/>
  <c r="S176" i="9"/>
  <c r="S178" i="6"/>
  <c r="S178" i="7"/>
  <c r="S178" i="8"/>
  <c r="S178" i="9"/>
  <c r="S178" i="11"/>
  <c r="S180" i="6"/>
  <c r="S180" i="7"/>
  <c r="S180" i="8"/>
  <c r="S180" i="9"/>
  <c r="S180" i="11"/>
  <c r="S180" i="12"/>
  <c r="S180" i="13"/>
  <c r="S182" i="6"/>
  <c r="S182" i="7"/>
  <c r="S182" i="8"/>
  <c r="S182" i="9"/>
  <c r="S184" i="6"/>
  <c r="S184" i="7"/>
  <c r="S184" i="8"/>
  <c r="S184" i="9"/>
  <c r="S184" i="11"/>
  <c r="S186" i="6"/>
  <c r="S186" i="7"/>
  <c r="S186" i="8"/>
  <c r="S186" i="9"/>
  <c r="S186" i="11"/>
  <c r="S189" i="6"/>
  <c r="S189" i="7"/>
  <c r="S189" i="8"/>
  <c r="S189" i="9"/>
  <c r="S189" i="11"/>
  <c r="S189" i="12"/>
  <c r="S189" i="13"/>
  <c r="S194" i="6"/>
  <c r="S194" i="7"/>
  <c r="S194" i="8"/>
  <c r="S194" i="9"/>
  <c r="S194" i="11"/>
  <c r="S196" i="6"/>
  <c r="S196" i="7"/>
  <c r="S196" i="8"/>
  <c r="S196" i="9"/>
  <c r="S198" i="6"/>
  <c r="S198" i="7"/>
  <c r="S198" i="8"/>
  <c r="S198" i="9"/>
  <c r="S198" i="11"/>
  <c r="S200" i="6"/>
  <c r="S200" i="7"/>
  <c r="S200" i="8"/>
  <c r="S200" i="9"/>
  <c r="S200" i="11"/>
  <c r="S200" i="12"/>
  <c r="S200" i="13"/>
  <c r="S202" i="6"/>
  <c r="S202" i="7"/>
  <c r="S202" i="8"/>
  <c r="S202" i="9"/>
  <c r="S202" i="11"/>
  <c r="S204" i="6"/>
  <c r="S204" i="7"/>
  <c r="S204" i="8"/>
  <c r="S204" i="9"/>
  <c r="S204" i="11"/>
  <c r="S206" i="6"/>
  <c r="S206" i="7"/>
  <c r="S206" i="8"/>
  <c r="S206" i="12"/>
  <c r="S206" i="13"/>
  <c r="S208" i="6"/>
  <c r="S208" i="7"/>
  <c r="S208" i="8"/>
  <c r="S208" i="9"/>
  <c r="S208" i="11"/>
  <c r="S210" i="6"/>
  <c r="S210" i="7"/>
  <c r="S210" i="8"/>
  <c r="S210" i="9"/>
  <c r="S210" i="11"/>
  <c r="S223" i="6"/>
  <c r="S223" i="7"/>
  <c r="S223" i="8"/>
  <c r="S223" i="9"/>
  <c r="S225" i="6"/>
  <c r="S225" i="7"/>
  <c r="S225" i="8"/>
  <c r="S225" i="9"/>
  <c r="S227" i="6"/>
  <c r="S227" i="7"/>
  <c r="S227" i="8"/>
  <c r="S227" i="9"/>
  <c r="S229" i="6"/>
  <c r="S229" i="7"/>
  <c r="S229" i="8"/>
  <c r="S229" i="9"/>
  <c r="S229" i="11"/>
  <c r="S231" i="6"/>
  <c r="S231" i="7"/>
  <c r="S231" i="8"/>
  <c r="S231" i="9"/>
  <c r="S231" i="11"/>
  <c r="S233" i="6"/>
  <c r="S233" i="7"/>
  <c r="S233" i="8"/>
  <c r="S233" i="9"/>
  <c r="S233" i="11"/>
  <c r="S233" i="12"/>
  <c r="S233" i="13"/>
  <c r="S235" i="6"/>
  <c r="S235" i="7"/>
  <c r="S235" i="8"/>
  <c r="S235" i="9"/>
  <c r="S235" i="11"/>
  <c r="S239" i="6"/>
  <c r="S239" i="7"/>
  <c r="S239" i="8"/>
  <c r="S239" i="9"/>
  <c r="S239" i="11"/>
  <c r="S243" i="6"/>
  <c r="S243" i="7"/>
  <c r="S243" i="8"/>
  <c r="S243" i="9"/>
  <c r="S246" i="6"/>
  <c r="S246" i="7"/>
  <c r="S246" i="8"/>
  <c r="S246" i="9"/>
  <c r="S246" i="11"/>
  <c r="S250" i="6"/>
  <c r="S250" i="7"/>
  <c r="S250" i="8"/>
  <c r="S250" i="9"/>
  <c r="S250" i="11"/>
  <c r="S253" i="6"/>
  <c r="S253" i="7"/>
  <c r="S253" i="8"/>
  <c r="S253" i="9"/>
  <c r="S255" i="6"/>
  <c r="S255" i="7"/>
  <c r="S255" i="8"/>
  <c r="S255" i="9"/>
  <c r="S255" i="11"/>
  <c r="AF233" i="6"/>
  <c r="AL168" i="7"/>
  <c r="AF209" i="7"/>
  <c r="AF208" i="7"/>
  <c r="AF233" i="7"/>
  <c r="U261" i="8"/>
  <c r="S16" i="6"/>
  <c r="S16" i="7"/>
  <c r="S16" i="8"/>
  <c r="S16" i="9"/>
  <c r="S17" i="6"/>
  <c r="S17" i="7"/>
  <c r="S17" i="8"/>
  <c r="S17" i="9"/>
  <c r="S17" i="10"/>
  <c r="S17" i="11"/>
  <c r="S17" i="12" s="1"/>
  <c r="S17" i="13" s="1"/>
  <c r="S24" i="6"/>
  <c r="S24" i="7"/>
  <c r="S24" i="8"/>
  <c r="S24" i="9"/>
  <c r="S24" i="10"/>
  <c r="S24" i="11"/>
  <c r="S24" i="12" s="1"/>
  <c r="S24" i="13" s="1"/>
  <c r="S25" i="6"/>
  <c r="S25" i="7"/>
  <c r="S25" i="8"/>
  <c r="S25" i="9"/>
  <c r="S25" i="10"/>
  <c r="S25" i="11"/>
  <c r="S25" i="12" s="1"/>
  <c r="S25" i="13" s="1"/>
  <c r="S34" i="6"/>
  <c r="S34" i="7"/>
  <c r="S34" i="8"/>
  <c r="S34" i="9"/>
  <c r="S34" i="10"/>
  <c r="S34" i="11"/>
  <c r="S34" i="12" s="1"/>
  <c r="S34" i="13" s="1"/>
  <c r="S35" i="6"/>
  <c r="S35" i="7"/>
  <c r="S35" i="8"/>
  <c r="S35" i="9"/>
  <c r="S35" i="10"/>
  <c r="S35" i="11"/>
  <c r="S35" i="12" s="1"/>
  <c r="S35" i="13" s="1"/>
  <c r="S36" i="6"/>
  <c r="S36" i="7"/>
  <c r="S36" i="8"/>
  <c r="S36" i="9"/>
  <c r="S36" i="10"/>
  <c r="S36" i="11"/>
  <c r="S36" i="12" s="1"/>
  <c r="S36" i="13" s="1"/>
  <c r="S37" i="6"/>
  <c r="S37" i="7"/>
  <c r="S37" i="8"/>
  <c r="S37" i="9"/>
  <c r="S37" i="10"/>
  <c r="S37" i="11"/>
  <c r="S37" i="12" s="1"/>
  <c r="S37" i="13" s="1"/>
  <c r="S38" i="6"/>
  <c r="S38" i="7"/>
  <c r="S38" i="8"/>
  <c r="S38" i="9"/>
  <c r="S38" i="10"/>
  <c r="S38" i="11"/>
  <c r="S38" i="12" s="1"/>
  <c r="S38" i="13" s="1"/>
  <c r="S39" i="6"/>
  <c r="S39" i="7"/>
  <c r="S39" i="8"/>
  <c r="S39" i="9"/>
  <c r="S39" i="10"/>
  <c r="S39" i="11"/>
  <c r="S39" i="12" s="1"/>
  <c r="S39" i="13" s="1"/>
  <c r="S40" i="6"/>
  <c r="S40" i="7"/>
  <c r="S40" i="8"/>
  <c r="S40" i="9"/>
  <c r="S40" i="10"/>
  <c r="S40" i="11"/>
  <c r="S40" i="12" s="1"/>
  <c r="S40" i="13" s="1"/>
  <c r="S49" i="6"/>
  <c r="S49" i="7"/>
  <c r="S49" i="8"/>
  <c r="S49" i="9"/>
  <c r="S49" i="10"/>
  <c r="S49" i="11"/>
  <c r="S49" i="12" s="1"/>
  <c r="S49" i="13" s="1"/>
  <c r="S50" i="6"/>
  <c r="S50" i="7"/>
  <c r="S50" i="8"/>
  <c r="S50" i="9"/>
  <c r="S50" i="10"/>
  <c r="S50" i="11"/>
  <c r="S50" i="12" s="1"/>
  <c r="S50" i="13" s="1"/>
  <c r="S51" i="6"/>
  <c r="S51" i="7"/>
  <c r="S51" i="8"/>
  <c r="S51" i="9"/>
  <c r="S51" i="10"/>
  <c r="S51" i="11"/>
  <c r="S51" i="12" s="1"/>
  <c r="S51" i="13" s="1"/>
  <c r="S61" i="6"/>
  <c r="S61" i="7"/>
  <c r="S61" i="8"/>
  <c r="S61" i="9"/>
  <c r="S61" i="10"/>
  <c r="S61" i="11"/>
  <c r="S61" i="12"/>
  <c r="S61" i="13" s="1"/>
  <c r="S62" i="6"/>
  <c r="S62" i="7"/>
  <c r="S62" i="8"/>
  <c r="S62" i="9"/>
  <c r="S62" i="10"/>
  <c r="S62" i="11"/>
  <c r="S62" i="12" s="1"/>
  <c r="S62" i="13" s="1"/>
  <c r="S63" i="6"/>
  <c r="S63" i="7"/>
  <c r="S63" i="8"/>
  <c r="S63" i="9"/>
  <c r="S73" i="6"/>
  <c r="S73" i="7"/>
  <c r="S73" i="8"/>
  <c r="S73" i="9"/>
  <c r="S73" i="10"/>
  <c r="S73" i="11"/>
  <c r="S73" i="12"/>
  <c r="S73" i="13" s="1"/>
  <c r="S74" i="6"/>
  <c r="S74" i="7"/>
  <c r="S74" i="8"/>
  <c r="S74" i="9"/>
  <c r="S74" i="10"/>
  <c r="S74" i="11"/>
  <c r="S74" i="12" s="1"/>
  <c r="S74" i="13" s="1"/>
  <c r="S75" i="6"/>
  <c r="S75" i="7"/>
  <c r="S75" i="8"/>
  <c r="S75" i="9"/>
  <c r="S75" i="10"/>
  <c r="S75" i="11"/>
  <c r="S75" i="12" s="1"/>
  <c r="S75" i="13" s="1"/>
  <c r="S125" i="6"/>
  <c r="S125" i="7"/>
  <c r="S125" i="8"/>
  <c r="S125" i="9"/>
  <c r="S125" i="11"/>
  <c r="S127" i="6"/>
  <c r="S127" i="7"/>
  <c r="S127" i="8"/>
  <c r="S127" i="9"/>
  <c r="S127" i="11"/>
  <c r="S129" i="6"/>
  <c r="S129" i="7"/>
  <c r="S129" i="8"/>
  <c r="S129" i="9"/>
  <c r="S129" i="11"/>
  <c r="S131" i="6"/>
  <c r="S131" i="7"/>
  <c r="S131" i="8"/>
  <c r="S131" i="9"/>
  <c r="S133" i="6"/>
  <c r="S133" i="7"/>
  <c r="S133" i="8"/>
  <c r="S133" i="9"/>
  <c r="S133" i="11"/>
  <c r="S135" i="6"/>
  <c r="S135" i="7"/>
  <c r="S135" i="8"/>
  <c r="S135" i="9"/>
  <c r="S135" i="11"/>
  <c r="S135" i="12"/>
  <c r="S135" i="13"/>
  <c r="S137" i="6"/>
  <c r="S137" i="7"/>
  <c r="S137" i="8"/>
  <c r="S137" i="9"/>
  <c r="S137" i="11"/>
  <c r="S139" i="6"/>
  <c r="S139" i="7"/>
  <c r="S139" i="8"/>
  <c r="S139" i="9"/>
  <c r="S141" i="6"/>
  <c r="S141" i="7"/>
  <c r="S141" i="8"/>
  <c r="S141" i="9"/>
  <c r="S141" i="11"/>
  <c r="S143" i="6"/>
  <c r="S143" i="7"/>
  <c r="S143" i="8"/>
  <c r="S143" i="9"/>
  <c r="S145" i="6"/>
  <c r="S145" i="7"/>
  <c r="S145" i="8"/>
  <c r="S145" i="9"/>
  <c r="S145" i="11"/>
  <c r="S147" i="6"/>
  <c r="S147" i="7"/>
  <c r="S147" i="8"/>
  <c r="S147" i="9"/>
  <c r="S149" i="6"/>
  <c r="S149" i="7"/>
  <c r="S149" i="8"/>
  <c r="S149" i="9"/>
  <c r="S149" i="11"/>
  <c r="S151" i="6"/>
  <c r="S151" i="7"/>
  <c r="S151" i="8"/>
  <c r="S151" i="9"/>
  <c r="S151" i="11"/>
  <c r="S151" i="12"/>
  <c r="S151" i="13"/>
  <c r="S153" i="6"/>
  <c r="S153" i="7"/>
  <c r="S153" i="8"/>
  <c r="S153" i="9"/>
  <c r="S153" i="11"/>
  <c r="S155" i="6"/>
  <c r="S155" i="7"/>
  <c r="S155" i="8"/>
  <c r="S155" i="9"/>
  <c r="S157" i="6"/>
  <c r="S157" i="7"/>
  <c r="S157" i="8"/>
  <c r="S157" i="9"/>
  <c r="S157" i="11"/>
  <c r="S212" i="6"/>
  <c r="S212" i="7"/>
  <c r="S212" i="8"/>
  <c r="S212" i="9"/>
  <c r="S212" i="11"/>
  <c r="S214" i="6"/>
  <c r="S214" i="7"/>
  <c r="S214" i="8"/>
  <c r="S214" i="9"/>
  <c r="S214" i="11"/>
  <c r="S216" i="6"/>
  <c r="S216" i="7"/>
  <c r="S216" i="8"/>
  <c r="S216" i="9"/>
  <c r="S218" i="6"/>
  <c r="S218" i="7"/>
  <c r="S218" i="8"/>
  <c r="S218" i="9"/>
  <c r="S218" i="11"/>
  <c r="S220" i="6"/>
  <c r="S220" i="7"/>
  <c r="S220" i="8"/>
  <c r="S220" i="9"/>
  <c r="S220" i="11"/>
  <c r="S220" i="12"/>
  <c r="S220" i="13"/>
  <c r="S236" i="6"/>
  <c r="S236" i="7"/>
  <c r="S236" i="8"/>
  <c r="S236" i="9"/>
  <c r="S236" i="11"/>
  <c r="S240" i="6"/>
  <c r="S240" i="7"/>
  <c r="S240" i="8"/>
  <c r="S240" i="9"/>
  <c r="S244" i="6"/>
  <c r="S244" i="7"/>
  <c r="S244" i="8"/>
  <c r="S244" i="9"/>
  <c r="S244" i="11"/>
  <c r="S247" i="6"/>
  <c r="S247" i="7"/>
  <c r="S247" i="8"/>
  <c r="S247" i="9"/>
  <c r="S247" i="11"/>
  <c r="S251" i="6"/>
  <c r="S251" i="7"/>
  <c r="S251" i="8"/>
  <c r="S251" i="9"/>
  <c r="S251" i="11"/>
  <c r="S251" i="12"/>
  <c r="S251" i="13"/>
  <c r="AF209" i="9"/>
  <c r="AF208" i="9"/>
  <c r="U261" i="9"/>
  <c r="S14" i="6"/>
  <c r="S14" i="7"/>
  <c r="S14" i="8"/>
  <c r="S14" i="9"/>
  <c r="S14" i="10"/>
  <c r="S14" i="11"/>
  <c r="S14" i="12" s="1"/>
  <c r="S14" i="13"/>
  <c r="S15" i="6"/>
  <c r="S15" i="7"/>
  <c r="S15" i="8"/>
  <c r="S15" i="9"/>
  <c r="S15" i="10"/>
  <c r="S15" i="11"/>
  <c r="S15" i="12"/>
  <c r="S15" i="13" s="1"/>
  <c r="S18" i="6"/>
  <c r="S18" i="7"/>
  <c r="S18" i="8"/>
  <c r="S18" i="9"/>
  <c r="S18" i="10"/>
  <c r="S18" i="11"/>
  <c r="S18" i="12"/>
  <c r="S18" i="13" s="1"/>
  <c r="S19" i="6"/>
  <c r="S19" i="7"/>
  <c r="S19" i="8"/>
  <c r="S19" i="9"/>
  <c r="S19" i="10"/>
  <c r="S19" i="11"/>
  <c r="S19" i="12" s="1"/>
  <c r="S19" i="13" s="1"/>
  <c r="S23" i="6"/>
  <c r="S23" i="7"/>
  <c r="S23" i="8"/>
  <c r="S23" i="9"/>
  <c r="S23" i="10"/>
  <c r="S23" i="11"/>
  <c r="S23" i="12"/>
  <c r="S23" i="13" s="1"/>
  <c r="S33" i="6"/>
  <c r="S33" i="7"/>
  <c r="S33" i="8"/>
  <c r="S33" i="9"/>
  <c r="S33" i="10"/>
  <c r="S33" i="11"/>
  <c r="S33" i="12"/>
  <c r="S33" i="13" s="1"/>
  <c r="S46" i="6"/>
  <c r="S46" i="7"/>
  <c r="S46" i="8"/>
  <c r="S46" i="9"/>
  <c r="S46" i="10"/>
  <c r="S46" i="11"/>
  <c r="S46" i="12" s="1"/>
  <c r="S46" i="13" s="1"/>
  <c r="S47" i="6"/>
  <c r="S47" i="7"/>
  <c r="S47" i="8"/>
  <c r="S47" i="9"/>
  <c r="S47" i="10"/>
  <c r="S47" i="11"/>
  <c r="S47" i="12"/>
  <c r="S47" i="13" s="1"/>
  <c r="S48" i="6"/>
  <c r="S48" i="7"/>
  <c r="S48" i="8"/>
  <c r="S48" i="9"/>
  <c r="S48" i="10"/>
  <c r="S48" i="11"/>
  <c r="S48" i="12" s="1"/>
  <c r="S48" i="13" s="1"/>
  <c r="S58" i="6"/>
  <c r="S58" i="7"/>
  <c r="S58" i="8"/>
  <c r="S58" i="9"/>
  <c r="S58" i="10"/>
  <c r="S58" i="11"/>
  <c r="S58" i="12" s="1"/>
  <c r="S58" i="13" s="1"/>
  <c r="S59" i="6"/>
  <c r="S59" i="7"/>
  <c r="S59" i="8"/>
  <c r="S59" i="9"/>
  <c r="S60" i="6"/>
  <c r="S60" i="7"/>
  <c r="S60" i="8"/>
  <c r="S60" i="9"/>
  <c r="S70" i="6"/>
  <c r="S70" i="7"/>
  <c r="S70" i="8"/>
  <c r="S70" i="9"/>
  <c r="S70" i="10"/>
  <c r="S70" i="11"/>
  <c r="S70" i="12" s="1"/>
  <c r="S70" i="13" s="1"/>
  <c r="S71" i="6"/>
  <c r="S71" i="7"/>
  <c r="S71" i="8"/>
  <c r="S71" i="9"/>
  <c r="S71" i="10"/>
  <c r="S71" i="11"/>
  <c r="S71" i="12"/>
  <c r="S71" i="13"/>
  <c r="S72" i="6"/>
  <c r="S72" i="7"/>
  <c r="S72" i="8"/>
  <c r="S72" i="9"/>
  <c r="S72" i="10"/>
  <c r="S72" i="11"/>
  <c r="S72" i="12" s="1"/>
  <c r="S72" i="13" s="1"/>
  <c r="S82" i="6"/>
  <c r="S82" i="7"/>
  <c r="S82" i="8"/>
  <c r="S82" i="9"/>
  <c r="S82" i="10"/>
  <c r="S82" i="11"/>
  <c r="S82" i="12"/>
  <c r="S82" i="13" s="1"/>
  <c r="S83" i="6"/>
  <c r="S83" i="7"/>
  <c r="S83" i="8"/>
  <c r="S83" i="9"/>
  <c r="S83" i="10"/>
  <c r="S83" i="11"/>
  <c r="S83" i="12"/>
  <c r="S83" i="13"/>
  <c r="S84" i="6"/>
  <c r="S84" i="7"/>
  <c r="S84" i="8"/>
  <c r="S84" i="9"/>
  <c r="S84" i="10"/>
  <c r="S84" i="11"/>
  <c r="S84" i="12"/>
  <c r="S84" i="13" s="1"/>
  <c r="S85" i="6"/>
  <c r="S85" i="7"/>
  <c r="S85" i="8"/>
  <c r="S85" i="9"/>
  <c r="S85" i="10"/>
  <c r="S85" i="11"/>
  <c r="S85" i="12"/>
  <c r="S85" i="13" s="1"/>
  <c r="S159" i="8"/>
  <c r="S159" i="9"/>
  <c r="S159" i="11"/>
  <c r="S161" i="8"/>
  <c r="S161" i="9"/>
  <c r="S161" i="11"/>
  <c r="S163" i="8"/>
  <c r="S163" i="9"/>
  <c r="S163" i="11"/>
  <c r="S165" i="6"/>
  <c r="S165" i="7"/>
  <c r="S165" i="8"/>
  <c r="S165" i="9"/>
  <c r="S165" i="11"/>
  <c r="S169" i="8"/>
  <c r="S169" i="9"/>
  <c r="S169" i="11"/>
  <c r="S169" i="6"/>
  <c r="S171" i="6"/>
  <c r="S171" i="7"/>
  <c r="S171" i="8"/>
  <c r="S171" i="9"/>
  <c r="S173" i="6"/>
  <c r="S173" i="7"/>
  <c r="S173" i="8"/>
  <c r="S173" i="9"/>
  <c r="S173" i="11"/>
  <c r="S175" i="6"/>
  <c r="S175" i="7"/>
  <c r="S175" i="8"/>
  <c r="S175" i="9"/>
  <c r="S177" i="6"/>
  <c r="S177" i="7"/>
  <c r="S177" i="8"/>
  <c r="S177" i="9"/>
  <c r="S179" i="6"/>
  <c r="S179" i="7"/>
  <c r="S179" i="9"/>
  <c r="S181" i="6"/>
  <c r="S181" i="7"/>
  <c r="S181" i="8"/>
  <c r="S181" i="9"/>
  <c r="S181" i="11"/>
  <c r="S183" i="6"/>
  <c r="S183" i="7"/>
  <c r="S183" i="8"/>
  <c r="S183" i="9"/>
  <c r="S185" i="6"/>
  <c r="S185" i="7"/>
  <c r="S185" i="8"/>
  <c r="S185" i="9"/>
  <c r="S187" i="6"/>
  <c r="S187" i="7"/>
  <c r="S187" i="8"/>
  <c r="S187" i="9"/>
  <c r="S195" i="6"/>
  <c r="S195" i="7"/>
  <c r="S195" i="8"/>
  <c r="S195" i="9"/>
  <c r="S195" i="11"/>
  <c r="S197" i="6"/>
  <c r="S197" i="7"/>
  <c r="S197" i="8"/>
  <c r="S197" i="9"/>
  <c r="S199" i="6"/>
  <c r="S199" i="7"/>
  <c r="S201" i="6"/>
  <c r="S201" i="7"/>
  <c r="S201" i="8"/>
  <c r="S201" i="9"/>
  <c r="S203" i="6"/>
  <c r="S203" i="7"/>
  <c r="S203" i="8"/>
  <c r="S203" i="9"/>
  <c r="S203" i="11"/>
  <c r="S205" i="6"/>
  <c r="S205" i="7"/>
  <c r="S205" i="8"/>
  <c r="S205" i="9"/>
  <c r="S207" i="6"/>
  <c r="S207" i="7"/>
  <c r="S207" i="8"/>
  <c r="S207" i="9"/>
  <c r="S209" i="6"/>
  <c r="S209" i="7"/>
  <c r="S209" i="8"/>
  <c r="S209" i="9"/>
  <c r="S222" i="6"/>
  <c r="S222" i="7"/>
  <c r="S222" i="8"/>
  <c r="S222" i="9"/>
  <c r="S222" i="11"/>
  <c r="S224" i="6"/>
  <c r="S224" i="7"/>
  <c r="S224" i="8"/>
  <c r="S224" i="9"/>
  <c r="S226" i="6"/>
  <c r="S226" i="7"/>
  <c r="S226" i="8"/>
  <c r="S226" i="9"/>
  <c r="S226" i="11"/>
  <c r="S228" i="6"/>
  <c r="S228" i="7"/>
  <c r="S228" i="8"/>
  <c r="S228" i="9"/>
  <c r="S230" i="6"/>
  <c r="S230" i="7"/>
  <c r="S230" i="8"/>
  <c r="S230" i="9"/>
  <c r="S230" i="11"/>
  <c r="S232" i="6"/>
  <c r="S232" i="7"/>
  <c r="S232" i="8"/>
  <c r="S232" i="9"/>
  <c r="S234" i="6"/>
  <c r="S234" i="7"/>
  <c r="S234" i="8"/>
  <c r="S234" i="9"/>
  <c r="S237" i="6"/>
  <c r="S237" i="7"/>
  <c r="S237" i="8"/>
  <c r="S237" i="9"/>
  <c r="S241" i="6"/>
  <c r="S241" i="7"/>
  <c r="S241" i="8"/>
  <c r="S241" i="9"/>
  <c r="S241" i="11"/>
  <c r="S245" i="6"/>
  <c r="S245" i="7"/>
  <c r="S245" i="8"/>
  <c r="S245" i="9"/>
  <c r="S248" i="6"/>
  <c r="S248" i="7"/>
  <c r="S248" i="8"/>
  <c r="S248" i="9"/>
  <c r="S248" i="11"/>
  <c r="S252" i="6"/>
  <c r="S252" i="7"/>
  <c r="S252" i="8"/>
  <c r="S252" i="9"/>
  <c r="S254" i="6"/>
  <c r="S254" i="7"/>
  <c r="S254" i="8"/>
  <c r="S254" i="9"/>
  <c r="S256" i="6"/>
  <c r="S256" i="7"/>
  <c r="S256" i="8"/>
  <c r="S256" i="9"/>
  <c r="BQ15" i="5"/>
  <c r="AF155" i="5"/>
  <c r="AF233" i="5"/>
  <c r="U261" i="6"/>
  <c r="AF155" i="7"/>
  <c r="U261" i="7"/>
  <c r="AF209" i="8"/>
  <c r="AF208" i="8"/>
  <c r="AF233" i="8"/>
  <c r="AF231" i="8"/>
  <c r="AF233" i="13"/>
  <c r="S30" i="6"/>
  <c r="S30" i="7"/>
  <c r="S30" i="8"/>
  <c r="S30" i="9"/>
  <c r="S30" i="10"/>
  <c r="S30" i="11"/>
  <c r="S30" i="12" s="1"/>
  <c r="S30" i="13" s="1"/>
  <c r="S31" i="6"/>
  <c r="S31" i="7"/>
  <c r="S31" i="8"/>
  <c r="S31" i="9"/>
  <c r="S31" i="10"/>
  <c r="S31" i="11"/>
  <c r="S31" i="12" s="1"/>
  <c r="S31" i="13" s="1"/>
  <c r="S32" i="6"/>
  <c r="S32" i="7"/>
  <c r="S32" i="8"/>
  <c r="S32" i="9"/>
  <c r="S32" i="10"/>
  <c r="S32" i="11"/>
  <c r="S32" i="12" s="1"/>
  <c r="S32" i="13" s="1"/>
  <c r="S43" i="6"/>
  <c r="S43" i="7"/>
  <c r="S43" i="8"/>
  <c r="S43" i="9"/>
  <c r="S43" i="10"/>
  <c r="S43" i="11"/>
  <c r="S43" i="12" s="1"/>
  <c r="S43" i="13"/>
  <c r="S44" i="6"/>
  <c r="S44" i="7"/>
  <c r="S44" i="8"/>
  <c r="S44" i="9"/>
  <c r="S44" i="10"/>
  <c r="S44" i="11"/>
  <c r="S44" i="12" s="1"/>
  <c r="S44" i="13" s="1"/>
  <c r="S45" i="6"/>
  <c r="S45" i="7"/>
  <c r="S45" i="8"/>
  <c r="S45" i="9"/>
  <c r="S45" i="10"/>
  <c r="S45" i="11"/>
  <c r="S45" i="12" s="1"/>
  <c r="S45" i="13" s="1"/>
  <c r="S55" i="6"/>
  <c r="S55" i="7"/>
  <c r="S55" i="8"/>
  <c r="S55" i="9"/>
  <c r="S55" i="10"/>
  <c r="S55" i="11"/>
  <c r="S55" i="12" s="1"/>
  <c r="S55" i="13"/>
  <c r="S56" i="6"/>
  <c r="S56" i="7"/>
  <c r="S56" i="8"/>
  <c r="S56" i="9"/>
  <c r="S56" i="10"/>
  <c r="S56" i="11"/>
  <c r="S56" i="12" s="1"/>
  <c r="S56" i="13" s="1"/>
  <c r="S57" i="6"/>
  <c r="S57" i="7"/>
  <c r="S57" i="8"/>
  <c r="S57" i="9"/>
  <c r="S57" i="10"/>
  <c r="S57" i="11"/>
  <c r="S57" i="12" s="1"/>
  <c r="S57" i="13" s="1"/>
  <c r="S67" i="6"/>
  <c r="S67" i="7"/>
  <c r="S67" i="8"/>
  <c r="S67" i="9"/>
  <c r="S67" i="10"/>
  <c r="S67" i="11"/>
  <c r="S67" i="12" s="1"/>
  <c r="S67" i="13" s="1"/>
  <c r="S68" i="6"/>
  <c r="S68" i="7"/>
  <c r="S68" i="8"/>
  <c r="S68" i="9"/>
  <c r="S68" i="10"/>
  <c r="S68" i="11"/>
  <c r="S68" i="12"/>
  <c r="S68" i="13" s="1"/>
  <c r="S69" i="6"/>
  <c r="S69" i="7"/>
  <c r="S69" i="8"/>
  <c r="S69" i="9"/>
  <c r="S69" i="10"/>
  <c r="S69" i="11"/>
  <c r="S69" i="12" s="1"/>
  <c r="S69" i="13" s="1"/>
  <c r="S79" i="6"/>
  <c r="S79" i="7"/>
  <c r="S79" i="8"/>
  <c r="S79" i="9"/>
  <c r="S79" i="10"/>
  <c r="S79" i="11"/>
  <c r="S79" i="12" s="1"/>
  <c r="S79" i="13" s="1"/>
  <c r="S80" i="6"/>
  <c r="S80" i="7"/>
  <c r="S80" i="8"/>
  <c r="S80" i="9"/>
  <c r="S80" i="10"/>
  <c r="S80" i="11"/>
  <c r="S80" i="12" s="1"/>
  <c r="S80" i="13" s="1"/>
  <c r="S81" i="6"/>
  <c r="S81" i="7"/>
  <c r="S81" i="8"/>
  <c r="S81" i="9"/>
  <c r="S81" i="10"/>
  <c r="S81" i="11"/>
  <c r="S81" i="12" s="1"/>
  <c r="S81" i="13" s="1"/>
  <c r="S122" i="6"/>
  <c r="S122" i="7"/>
  <c r="S122" i="8"/>
  <c r="S122" i="9"/>
  <c r="S123" i="6"/>
  <c r="S123" i="7"/>
  <c r="S123" i="8"/>
  <c r="S123" i="9"/>
  <c r="S123" i="10"/>
  <c r="S124" i="6"/>
  <c r="S124" i="7"/>
  <c r="S124" i="8"/>
  <c r="S124" i="9"/>
  <c r="S126" i="6"/>
  <c r="S126" i="7"/>
  <c r="S126" i="8"/>
  <c r="S126" i="9"/>
  <c r="S128" i="6"/>
  <c r="S128" i="7"/>
  <c r="S128" i="8"/>
  <c r="S128" i="9"/>
  <c r="S130" i="6"/>
  <c r="S130" i="7"/>
  <c r="S130" i="8"/>
  <c r="S130" i="9"/>
  <c r="S130" i="11"/>
  <c r="S132" i="6"/>
  <c r="S132" i="7"/>
  <c r="S132" i="8"/>
  <c r="S132" i="9"/>
  <c r="S134" i="6"/>
  <c r="S134" i="7"/>
  <c r="S134" i="8"/>
  <c r="S134" i="9"/>
  <c r="S136" i="6"/>
  <c r="S136" i="7"/>
  <c r="S136" i="8"/>
  <c r="S136" i="9"/>
  <c r="S138" i="6"/>
  <c r="S138" i="7"/>
  <c r="S138" i="8"/>
  <c r="S138" i="9"/>
  <c r="S138" i="11"/>
  <c r="S140" i="6"/>
  <c r="S140" i="7"/>
  <c r="S140" i="8"/>
  <c r="S140" i="9"/>
  <c r="S142" i="6"/>
  <c r="S142" i="7"/>
  <c r="S142" i="8"/>
  <c r="S142" i="9"/>
  <c r="S144" i="6"/>
  <c r="S144" i="7"/>
  <c r="S144" i="8"/>
  <c r="S144" i="9"/>
  <c r="S146" i="6"/>
  <c r="S146" i="7"/>
  <c r="S146" i="8"/>
  <c r="S146" i="9"/>
  <c r="S146" i="11"/>
  <c r="S148" i="6"/>
  <c r="S148" i="7"/>
  <c r="S148" i="8"/>
  <c r="S148" i="9"/>
  <c r="S150" i="6"/>
  <c r="S150" i="7"/>
  <c r="S150" i="8"/>
  <c r="S150" i="9"/>
  <c r="S152" i="6"/>
  <c r="S152" i="7"/>
  <c r="S152" i="8"/>
  <c r="S152" i="9"/>
  <c r="S154" i="6"/>
  <c r="S154" i="7"/>
  <c r="S154" i="8"/>
  <c r="S154" i="9"/>
  <c r="S154" i="11"/>
  <c r="S156" i="6"/>
  <c r="S156" i="7"/>
  <c r="S156" i="8"/>
  <c r="S156" i="9"/>
  <c r="S211" i="6"/>
  <c r="S211" i="7"/>
  <c r="S211" i="8"/>
  <c r="S211" i="9"/>
  <c r="S211" i="11"/>
  <c r="S213" i="6"/>
  <c r="S213" i="7"/>
  <c r="S213" i="8"/>
  <c r="S213" i="9"/>
  <c r="S215" i="6"/>
  <c r="S215" i="7"/>
  <c r="S215" i="8"/>
  <c r="S215" i="9"/>
  <c r="S215" i="11"/>
  <c r="S217" i="6"/>
  <c r="S217" i="7"/>
  <c r="S217" i="8"/>
  <c r="S217" i="9"/>
  <c r="S219" i="6"/>
  <c r="S219" i="7"/>
  <c r="S219" i="8"/>
  <c r="S219" i="9"/>
  <c r="S221" i="6"/>
  <c r="S221" i="7"/>
  <c r="S221" i="8"/>
  <c r="S221" i="9"/>
  <c r="S238" i="6"/>
  <c r="S238" i="7"/>
  <c r="S238" i="8"/>
  <c r="S238" i="12"/>
  <c r="S238" i="13"/>
  <c r="S242" i="6"/>
  <c r="S242" i="7"/>
  <c r="S242" i="8"/>
  <c r="S242" i="9"/>
  <c r="S249" i="6"/>
  <c r="S249" i="7"/>
  <c r="S249" i="8"/>
  <c r="S249" i="9"/>
  <c r="S193" i="6"/>
  <c r="S193" i="7"/>
  <c r="S193" i="8"/>
  <c r="S193" i="9"/>
  <c r="AF155" i="6"/>
  <c r="AF155" i="8"/>
  <c r="AF233" i="9"/>
  <c r="Q46" i="14"/>
  <c r="L46" i="14"/>
  <c r="Z43" i="6"/>
  <c r="Z14" i="6"/>
  <c r="J49" i="14"/>
  <c r="AL43" i="6"/>
  <c r="AL14" i="6"/>
  <c r="U261" i="5"/>
  <c r="AF209" i="5"/>
  <c r="AF208" i="5"/>
  <c r="I50" i="14"/>
  <c r="I46" i="14"/>
  <c r="AW12" i="2"/>
  <c r="BP17" i="2"/>
  <c r="U169" i="2"/>
  <c r="BK9" i="9"/>
  <c r="J37" i="14"/>
  <c r="AF209" i="6"/>
  <c r="AF208" i="6"/>
  <c r="I37" i="14"/>
  <c r="I128" i="2"/>
  <c r="BD21" i="2"/>
  <c r="C128" i="9"/>
  <c r="Q128" i="2"/>
  <c r="J128" i="2"/>
  <c r="G128" i="2"/>
  <c r="P128" i="2"/>
  <c r="C128" i="5"/>
  <c r="D128" i="2"/>
  <c r="C128" i="12"/>
  <c r="E128" i="2"/>
  <c r="C128" i="11"/>
  <c r="C78" i="7"/>
  <c r="U105" i="7"/>
  <c r="U104" i="7"/>
  <c r="K43" i="14"/>
  <c r="C128" i="8"/>
  <c r="C128" i="6"/>
  <c r="C128" i="7"/>
  <c r="AR12" i="3"/>
  <c r="AU12" i="3"/>
  <c r="M89" i="3"/>
  <c r="AW12" i="3"/>
  <c r="AY12" i="3"/>
  <c r="U65" i="2"/>
  <c r="U69" i="3"/>
  <c r="U65" i="3"/>
  <c r="I86" i="3"/>
  <c r="U196" i="2"/>
  <c r="U195" i="2"/>
  <c r="U193" i="2"/>
  <c r="U205" i="3"/>
  <c r="U196" i="3"/>
  <c r="U195" i="3"/>
  <c r="U193" i="3"/>
  <c r="U44" i="3"/>
  <c r="U43" i="3"/>
  <c r="U43" i="2"/>
  <c r="G92" i="3"/>
  <c r="I92" i="3"/>
  <c r="I128" i="3"/>
  <c r="AR10" i="3"/>
  <c r="AU10" i="3"/>
  <c r="M87" i="3"/>
  <c r="U104" i="2"/>
  <c r="U105" i="3"/>
  <c r="U104" i="3"/>
  <c r="U20" i="3"/>
  <c r="U16" i="3"/>
  <c r="U16" i="2"/>
  <c r="U57" i="2"/>
  <c r="U58" i="3"/>
  <c r="U57" i="3"/>
  <c r="AR11" i="3"/>
  <c r="AU11" i="3"/>
  <c r="AW11" i="3"/>
  <c r="AY11" i="3"/>
  <c r="M88" i="3"/>
  <c r="E85" i="3"/>
  <c r="E19" i="3"/>
  <c r="E17" i="3"/>
  <c r="F90" i="3"/>
  <c r="AL43" i="8"/>
  <c r="C35" i="5"/>
  <c r="C45" i="6"/>
  <c r="C45" i="8"/>
  <c r="C72" i="6"/>
  <c r="V105" i="11"/>
  <c r="V104" i="11"/>
  <c r="AL43" i="5"/>
  <c r="AL14" i="5"/>
  <c r="AM145" i="5"/>
  <c r="U170" i="6"/>
  <c r="C45" i="9"/>
  <c r="U105" i="9"/>
  <c r="U104" i="9"/>
  <c r="AF219" i="9"/>
  <c r="BQ30" i="9"/>
  <c r="BK9" i="8"/>
  <c r="AR12" i="2"/>
  <c r="AC90" i="7"/>
  <c r="AC90" i="9"/>
  <c r="AC63" i="9"/>
  <c r="U105" i="12"/>
  <c r="U104" i="12"/>
  <c r="AF90" i="7"/>
  <c r="C42" i="8"/>
  <c r="AL90" i="8"/>
  <c r="AM195" i="7"/>
  <c r="AM194" i="7"/>
  <c r="AM219" i="6"/>
  <c r="Y112" i="2"/>
  <c r="X60" i="2"/>
  <c r="AI60" i="2"/>
  <c r="F39" i="14"/>
  <c r="D22" i="2"/>
  <c r="C66" i="8"/>
  <c r="C48" i="8"/>
  <c r="Z219" i="9"/>
  <c r="Z219" i="7"/>
  <c r="BD15" i="2"/>
  <c r="U96" i="7"/>
  <c r="AL219" i="7"/>
  <c r="AL43" i="2"/>
  <c r="AL14" i="2"/>
  <c r="AM219" i="7"/>
  <c r="U44" i="8"/>
  <c r="C81" i="13"/>
  <c r="U226" i="5"/>
  <c r="AE145" i="2"/>
  <c r="X142" i="2"/>
  <c r="AI142" i="2"/>
  <c r="E57" i="2"/>
  <c r="BD20" i="2"/>
  <c r="BK10" i="12"/>
  <c r="A88" i="8"/>
  <c r="A88" i="9"/>
  <c r="A88" i="10"/>
  <c r="A88" i="11"/>
  <c r="A88" i="12" s="1"/>
  <c r="A88" i="13" s="1"/>
  <c r="AL219" i="6"/>
  <c r="AL219" i="8"/>
  <c r="Z90" i="5"/>
  <c r="Z63" i="5"/>
  <c r="L51" i="2"/>
  <c r="Z195" i="6"/>
  <c r="Z194" i="6"/>
  <c r="AM43" i="6"/>
  <c r="AM231" i="7"/>
  <c r="C32" i="8"/>
  <c r="C60" i="9"/>
  <c r="AC219" i="7"/>
  <c r="AF219" i="5"/>
  <c r="BQ30" i="5"/>
  <c r="AW11" i="2"/>
  <c r="AL219" i="5"/>
  <c r="AF219" i="6"/>
  <c r="BQ30" i="6"/>
  <c r="AM232" i="2"/>
  <c r="V114" i="2"/>
  <c r="F116" i="2"/>
  <c r="M116" i="2"/>
  <c r="AL112" i="2"/>
  <c r="K28" i="8"/>
  <c r="C45" i="5"/>
  <c r="C54" i="6"/>
  <c r="C60" i="12"/>
  <c r="C72" i="12"/>
  <c r="C42" i="11"/>
  <c r="AB220" i="2"/>
  <c r="K10" i="5"/>
  <c r="BE7" i="5"/>
  <c r="AF195" i="13"/>
  <c r="AF194" i="13" s="1"/>
  <c r="AF192" i="13" s="1"/>
  <c r="AL90" i="2"/>
  <c r="AL63" i="2"/>
  <c r="AM195" i="13"/>
  <c r="AM194" i="13" s="1"/>
  <c r="AM192" i="13" s="1"/>
  <c r="I48" i="2"/>
  <c r="AD105" i="2"/>
  <c r="AD104" i="2"/>
  <c r="X191" i="2"/>
  <c r="AJ191" i="2"/>
  <c r="U232" i="2"/>
  <c r="BK9" i="12"/>
  <c r="E60" i="2"/>
  <c r="K10" i="8"/>
  <c r="BE7" i="8"/>
  <c r="AC90" i="11"/>
  <c r="H28" i="5"/>
  <c r="H21" i="5"/>
  <c r="H19" i="5"/>
  <c r="H17" i="5"/>
  <c r="H8" i="5"/>
  <c r="AE112" i="2"/>
  <c r="AC43" i="2"/>
  <c r="AC14" i="2"/>
  <c r="AS11" i="2"/>
  <c r="AC219" i="5"/>
  <c r="AM168" i="6"/>
  <c r="AF147" i="9"/>
  <c r="AL63" i="11"/>
  <c r="X106" i="4"/>
  <c r="S108" i="9"/>
  <c r="S108" i="11"/>
  <c r="S108" i="12"/>
  <c r="S108" i="13"/>
  <c r="S108" i="10"/>
  <c r="S117" i="11"/>
  <c r="S117" i="12"/>
  <c r="S117" i="13"/>
  <c r="T122" i="10"/>
  <c r="T122" i="11"/>
  <c r="T122" i="12"/>
  <c r="T122" i="13"/>
  <c r="T123" i="10"/>
  <c r="T123" i="11"/>
  <c r="T123" i="12"/>
  <c r="T123" i="13"/>
  <c r="T124" i="10"/>
  <c r="T124" i="11"/>
  <c r="T124" i="12"/>
  <c r="T124" i="13"/>
  <c r="I12" i="14"/>
  <c r="BF12" i="10"/>
  <c r="BF12" i="13"/>
  <c r="BF12" i="9"/>
  <c r="BF12" i="12"/>
  <c r="BF12" i="8"/>
  <c r="BF12" i="11"/>
  <c r="I17" i="14"/>
  <c r="BK10" i="9"/>
  <c r="AS21" i="2"/>
  <c r="F47" i="2"/>
  <c r="M47" i="2"/>
  <c r="X134" i="2"/>
  <c r="AJ134" i="2"/>
  <c r="Y232" i="2"/>
  <c r="AE232" i="2"/>
  <c r="T104" i="9"/>
  <c r="T104" i="11"/>
  <c r="T104" i="12"/>
  <c r="T104" i="13"/>
  <c r="T104" i="10"/>
  <c r="T105" i="9"/>
  <c r="T105" i="11"/>
  <c r="T105" i="12"/>
  <c r="T105" i="13"/>
  <c r="T105" i="10"/>
  <c r="T106" i="9"/>
  <c r="T106" i="10"/>
  <c r="T106" i="11"/>
  <c r="T107" i="9"/>
  <c r="T107" i="11"/>
  <c r="T107" i="10"/>
  <c r="T110" i="10"/>
  <c r="T110" i="11"/>
  <c r="T110" i="12"/>
  <c r="T110" i="13"/>
  <c r="T112" i="9"/>
  <c r="T112" i="11"/>
  <c r="T112" i="12"/>
  <c r="T112" i="13"/>
  <c r="T112" i="10"/>
  <c r="T114" i="9"/>
  <c r="T114" i="11"/>
  <c r="T114" i="12"/>
  <c r="T114" i="13"/>
  <c r="T114" i="10"/>
  <c r="T115" i="10"/>
  <c r="T115" i="11"/>
  <c r="T115" i="12"/>
  <c r="T115" i="13"/>
  <c r="T116" i="10"/>
  <c r="T116" i="11"/>
  <c r="T116" i="12"/>
  <c r="T116" i="13"/>
  <c r="T120" i="10"/>
  <c r="T120" i="11"/>
  <c r="T120" i="12"/>
  <c r="T120" i="13"/>
  <c r="T121" i="10"/>
  <c r="T121" i="11"/>
  <c r="T121" i="12"/>
  <c r="T121" i="13"/>
  <c r="A123" i="9"/>
  <c r="A123" i="11"/>
  <c r="A123" i="12"/>
  <c r="A123" i="13"/>
  <c r="A123" i="10"/>
  <c r="A124" i="9"/>
  <c r="A124" i="11"/>
  <c r="A124" i="12"/>
  <c r="A124" i="13"/>
  <c r="A124" i="10"/>
  <c r="I11" i="14"/>
  <c r="BF11" i="10"/>
  <c r="BF11" i="8"/>
  <c r="BF11" i="12"/>
  <c r="BF11" i="11"/>
  <c r="BF11" i="13"/>
  <c r="BF11" i="9"/>
  <c r="AC43" i="8"/>
  <c r="AC14" i="8"/>
  <c r="BK14" i="8"/>
  <c r="BD14" i="2"/>
  <c r="H28" i="2"/>
  <c r="D35" i="2"/>
  <c r="Y43" i="2"/>
  <c r="AE43" i="2"/>
  <c r="AE14" i="2"/>
  <c r="W96" i="2"/>
  <c r="AC90" i="2"/>
  <c r="AM193" i="2"/>
  <c r="X201" i="2"/>
  <c r="AJ201" i="2"/>
  <c r="A104" i="9"/>
  <c r="A104" i="10"/>
  <c r="A104" i="11"/>
  <c r="A104" i="12"/>
  <c r="A104" i="13"/>
  <c r="A106" i="8"/>
  <c r="A106" i="11"/>
  <c r="A106" i="12"/>
  <c r="A106" i="13"/>
  <c r="A106" i="10"/>
  <c r="A106" i="9"/>
  <c r="A110" i="10"/>
  <c r="A110" i="11"/>
  <c r="A110" i="12"/>
  <c r="A110" i="13"/>
  <c r="A150" i="10"/>
  <c r="A152" i="10"/>
  <c r="A115" i="9"/>
  <c r="A115" i="11"/>
  <c r="A115" i="12"/>
  <c r="A115" i="13"/>
  <c r="A115" i="10"/>
  <c r="A116" i="9"/>
  <c r="A116" i="11"/>
  <c r="A116" i="12"/>
  <c r="A116" i="13"/>
  <c r="A116" i="10"/>
  <c r="A117" i="9"/>
  <c r="A117" i="11"/>
  <c r="A117" i="12"/>
  <c r="A117" i="13"/>
  <c r="A117" i="10"/>
  <c r="A118" i="9"/>
  <c r="A118" i="11"/>
  <c r="A118" i="12"/>
  <c r="A118" i="13"/>
  <c r="A118" i="10"/>
  <c r="A119" i="9"/>
  <c r="A119" i="11"/>
  <c r="A119" i="12"/>
  <c r="A119" i="13"/>
  <c r="A119" i="10"/>
  <c r="A120" i="9"/>
  <c r="A120" i="11"/>
  <c r="A120" i="12"/>
  <c r="A120" i="13"/>
  <c r="A120" i="10"/>
  <c r="A121" i="9"/>
  <c r="A121" i="11"/>
  <c r="A121" i="12"/>
  <c r="A121" i="13"/>
  <c r="A121" i="10"/>
  <c r="A122" i="9"/>
  <c r="A122" i="11"/>
  <c r="A122" i="12"/>
  <c r="A122" i="13"/>
  <c r="A122" i="10"/>
  <c r="B123" i="9"/>
  <c r="B123" i="11"/>
  <c r="B123" i="12"/>
  <c r="B123" i="13"/>
  <c r="B123" i="10"/>
  <c r="B124" i="9"/>
  <c r="B124" i="11"/>
  <c r="B124" i="12"/>
  <c r="B124" i="13"/>
  <c r="B124" i="10"/>
  <c r="I16" i="14"/>
  <c r="BF16" i="13"/>
  <c r="BF16" i="8"/>
  <c r="BF16" i="10"/>
  <c r="BF16" i="9"/>
  <c r="BF16" i="11"/>
  <c r="BF16" i="12"/>
  <c r="AM43" i="5"/>
  <c r="AM14" i="5"/>
  <c r="AF43" i="5"/>
  <c r="BQ13" i="5"/>
  <c r="BQ8" i="5"/>
  <c r="U105" i="6"/>
  <c r="U104" i="6"/>
  <c r="U174" i="6"/>
  <c r="AL43" i="7"/>
  <c r="AL14" i="7"/>
  <c r="C51" i="7"/>
  <c r="AW19" i="8"/>
  <c r="BH5" i="8"/>
  <c r="BC5" i="8"/>
  <c r="AW4" i="8"/>
  <c r="BE3" i="8"/>
  <c r="BK3" i="8"/>
  <c r="BQ3" i="8"/>
  <c r="BN5" i="8"/>
  <c r="C29" i="9"/>
  <c r="C29" i="11"/>
  <c r="F24" i="14"/>
  <c r="BE21" i="2"/>
  <c r="Q28" i="2"/>
  <c r="Q21" i="2"/>
  <c r="Q19" i="2"/>
  <c r="Q17" i="2"/>
  <c r="Q8" i="2"/>
  <c r="Z90" i="2"/>
  <c r="Z63" i="2"/>
  <c r="B104" i="9"/>
  <c r="B104" i="10"/>
  <c r="B104" i="11"/>
  <c r="B104" i="12"/>
  <c r="B104" i="13"/>
  <c r="B106" i="8"/>
  <c r="B106" i="11"/>
  <c r="B106" i="10"/>
  <c r="B106" i="9"/>
  <c r="B115" i="9"/>
  <c r="B115" i="11"/>
  <c r="B115" i="12"/>
  <c r="B115" i="13"/>
  <c r="B115" i="10"/>
  <c r="B116" i="9"/>
  <c r="B116" i="11"/>
  <c r="B116" i="12"/>
  <c r="B116" i="13"/>
  <c r="B116" i="10"/>
  <c r="B117" i="9"/>
  <c r="B117" i="11"/>
  <c r="B117" i="10"/>
  <c r="B118" i="9"/>
  <c r="B118" i="11"/>
  <c r="B118" i="12"/>
  <c r="B118" i="13"/>
  <c r="B118" i="10"/>
  <c r="B119" i="9"/>
  <c r="B119" i="11"/>
  <c r="B119" i="12"/>
  <c r="B119" i="13"/>
  <c r="B119" i="10"/>
  <c r="B120" i="9"/>
  <c r="B120" i="11"/>
  <c r="B120" i="12"/>
  <c r="B120" i="13"/>
  <c r="B120" i="10"/>
  <c r="B121" i="9"/>
  <c r="B121" i="11"/>
  <c r="B121" i="12"/>
  <c r="B121" i="13"/>
  <c r="B121" i="10"/>
  <c r="I13" i="14"/>
  <c r="BF13" i="11"/>
  <c r="BF13" i="13"/>
  <c r="BF13" i="8"/>
  <c r="BF13" i="10"/>
  <c r="BF13" i="12"/>
  <c r="BF13" i="9"/>
  <c r="C48" i="6"/>
  <c r="U196" i="7"/>
  <c r="U195" i="7"/>
  <c r="U194" i="7"/>
  <c r="U170" i="8"/>
  <c r="C25" i="9"/>
  <c r="BE7" i="11"/>
  <c r="AL43" i="11"/>
  <c r="AL14" i="11"/>
  <c r="C51" i="12"/>
  <c r="AL195" i="8"/>
  <c r="AL194" i="8"/>
  <c r="AL192" i="8"/>
  <c r="AL112" i="8"/>
  <c r="K28" i="5"/>
  <c r="K21" i="5"/>
  <c r="K19" i="5"/>
  <c r="K17" i="5"/>
  <c r="K8" i="5"/>
  <c r="D15" i="4"/>
  <c r="F15" i="4"/>
  <c r="AE18" i="4"/>
  <c r="AG18" i="4"/>
  <c r="AE18" i="5"/>
  <c r="AG18" i="5"/>
  <c r="AE18" i="6"/>
  <c r="AG18" i="6"/>
  <c r="AE18" i="7"/>
  <c r="AG18" i="7"/>
  <c r="AE18" i="8"/>
  <c r="AG18" i="8"/>
  <c r="AE18" i="9"/>
  <c r="AG18" i="9"/>
  <c r="Y22" i="4"/>
  <c r="AA22" i="4"/>
  <c r="Y22" i="5"/>
  <c r="AA22" i="5"/>
  <c r="Y22" i="6"/>
  <c r="AA22" i="6"/>
  <c r="Y22" i="7"/>
  <c r="AA22" i="7"/>
  <c r="Y22" i="8"/>
  <c r="AA22" i="8"/>
  <c r="Y22" i="9"/>
  <c r="AA22" i="9"/>
  <c r="AE23" i="4"/>
  <c r="AG23" i="4"/>
  <c r="AE23" i="5"/>
  <c r="AG23" i="5"/>
  <c r="AE23" i="6"/>
  <c r="AG23" i="6"/>
  <c r="AE23" i="7"/>
  <c r="AG23" i="7"/>
  <c r="AE23" i="8"/>
  <c r="AG23" i="8"/>
  <c r="AE23" i="9"/>
  <c r="AG23" i="9"/>
  <c r="D27" i="4"/>
  <c r="X27" i="2"/>
  <c r="AH27" i="2"/>
  <c r="Y29" i="4"/>
  <c r="AA29" i="4"/>
  <c r="Y29" i="5"/>
  <c r="AA29" i="5"/>
  <c r="Y29" i="6"/>
  <c r="AA29" i="6"/>
  <c r="Y29" i="7"/>
  <c r="AA29" i="7"/>
  <c r="Y29" i="8"/>
  <c r="AA29" i="8"/>
  <c r="Y29" i="9"/>
  <c r="AA29" i="9"/>
  <c r="BD13" i="2"/>
  <c r="E34" i="4"/>
  <c r="E34" i="5"/>
  <c r="E34" i="6"/>
  <c r="E34" i="7"/>
  <c r="Y37" i="4"/>
  <c r="AA37" i="4"/>
  <c r="Y37" i="5"/>
  <c r="AA37" i="5"/>
  <c r="Y37" i="6"/>
  <c r="AA37" i="6"/>
  <c r="Y37" i="7"/>
  <c r="AA37" i="7"/>
  <c r="Y37" i="8"/>
  <c r="AA37" i="8"/>
  <c r="Y37" i="9"/>
  <c r="AA37" i="9"/>
  <c r="G41" i="4"/>
  <c r="I41" i="4"/>
  <c r="AG45" i="4"/>
  <c r="AG50" i="4"/>
  <c r="D53" i="4"/>
  <c r="D56" i="4"/>
  <c r="D56" i="5"/>
  <c r="G59" i="4"/>
  <c r="I59" i="4"/>
  <c r="G59" i="5"/>
  <c r="I59" i="5"/>
  <c r="G59" i="6"/>
  <c r="I59" i="6"/>
  <c r="G59" i="7"/>
  <c r="I59" i="7"/>
  <c r="G59" i="8"/>
  <c r="I59" i="8"/>
  <c r="G59" i="9"/>
  <c r="I59" i="9"/>
  <c r="G61" i="4"/>
  <c r="Y61" i="4"/>
  <c r="AA61" i="4"/>
  <c r="E62" i="4"/>
  <c r="E62" i="5"/>
  <c r="E62" i="6"/>
  <c r="E62" i="7"/>
  <c r="E62" i="8"/>
  <c r="E62" i="9"/>
  <c r="E65" i="4"/>
  <c r="G68" i="4"/>
  <c r="I68" i="4"/>
  <c r="G68" i="5"/>
  <c r="I68" i="5"/>
  <c r="G68" i="6"/>
  <c r="I68" i="6"/>
  <c r="G68" i="7"/>
  <c r="I68" i="7"/>
  <c r="G68" i="8"/>
  <c r="I68" i="8"/>
  <c r="G68" i="9"/>
  <c r="I68" i="9"/>
  <c r="D72" i="2"/>
  <c r="AE73" i="4"/>
  <c r="AG73" i="4"/>
  <c r="AE73" i="5"/>
  <c r="AG73" i="5"/>
  <c r="AE73" i="6"/>
  <c r="AG73" i="6"/>
  <c r="AE73" i="7"/>
  <c r="AG73" i="7"/>
  <c r="AE73" i="8"/>
  <c r="AG73" i="8"/>
  <c r="AE73" i="9"/>
  <c r="AG73" i="9"/>
  <c r="Y80" i="4"/>
  <c r="AA80" i="4"/>
  <c r="Y80" i="5"/>
  <c r="AA80" i="5"/>
  <c r="Y80" i="6"/>
  <c r="AA80" i="6"/>
  <c r="Y80" i="7"/>
  <c r="AA80" i="7"/>
  <c r="Y80" i="8"/>
  <c r="AA80" i="8"/>
  <c r="Y80" i="9"/>
  <c r="AA80" i="9"/>
  <c r="G98" i="4"/>
  <c r="I98" i="4"/>
  <c r="G98" i="5"/>
  <c r="I98" i="5"/>
  <c r="G98" i="6"/>
  <c r="I98" i="6"/>
  <c r="G98" i="7"/>
  <c r="I98" i="7"/>
  <c r="G98" i="8"/>
  <c r="I98" i="8"/>
  <c r="G98" i="9"/>
  <c r="I98" i="9"/>
  <c r="Y98" i="4"/>
  <c r="AA98" i="4"/>
  <c r="Y98" i="5"/>
  <c r="AA98" i="5"/>
  <c r="Y98" i="6"/>
  <c r="AA98" i="6"/>
  <c r="Y98" i="7"/>
  <c r="AA98" i="7"/>
  <c r="Y98" i="8"/>
  <c r="AA98" i="8"/>
  <c r="Y98" i="9"/>
  <c r="AA98" i="9"/>
  <c r="G102" i="4"/>
  <c r="I102" i="4"/>
  <c r="G102" i="5"/>
  <c r="I102" i="5"/>
  <c r="G102" i="6"/>
  <c r="I102" i="6"/>
  <c r="D117" i="4"/>
  <c r="D117" i="5"/>
  <c r="D117" i="6"/>
  <c r="D117" i="7"/>
  <c r="G118" i="4"/>
  <c r="I118" i="4"/>
  <c r="G118" i="5"/>
  <c r="I118" i="5"/>
  <c r="G118" i="6"/>
  <c r="I118" i="6"/>
  <c r="G118" i="7"/>
  <c r="I118" i="7"/>
  <c r="G118" i="8"/>
  <c r="I118" i="8"/>
  <c r="D120" i="4"/>
  <c r="D120" i="5"/>
  <c r="G121" i="4"/>
  <c r="I121" i="4"/>
  <c r="G121" i="5"/>
  <c r="I121" i="5"/>
  <c r="G121" i="6"/>
  <c r="I121" i="6"/>
  <c r="G121" i="7"/>
  <c r="I121" i="7"/>
  <c r="G121" i="8"/>
  <c r="I121" i="8"/>
  <c r="G121" i="9"/>
  <c r="I121" i="9"/>
  <c r="G121" i="10"/>
  <c r="I121" i="10"/>
  <c r="G121" i="11" s="1"/>
  <c r="I121" i="11" s="1"/>
  <c r="Y136" i="4"/>
  <c r="AA136" i="4"/>
  <c r="Y136" i="5"/>
  <c r="AA136" i="5"/>
  <c r="Y136" i="6"/>
  <c r="AA136" i="6"/>
  <c r="Y136" i="7"/>
  <c r="AA136" i="7"/>
  <c r="Y136" i="8"/>
  <c r="AA136" i="8"/>
  <c r="Y136" i="9"/>
  <c r="AA136" i="9"/>
  <c r="V153" i="4"/>
  <c r="X153" i="4"/>
  <c r="V182" i="4"/>
  <c r="V181" i="5"/>
  <c r="V181" i="6"/>
  <c r="AE188" i="4"/>
  <c r="AG188" i="4"/>
  <c r="AE187" i="5"/>
  <c r="AG187" i="5"/>
  <c r="AE187" i="6"/>
  <c r="AG187" i="6"/>
  <c r="AE187" i="7"/>
  <c r="AG187" i="7"/>
  <c r="AE187" i="8"/>
  <c r="AG187" i="8"/>
  <c r="AE187" i="9"/>
  <c r="AG187" i="9"/>
  <c r="Y202" i="4"/>
  <c r="AA202" i="4"/>
  <c r="Y201" i="5"/>
  <c r="AA201" i="5"/>
  <c r="Y201" i="6"/>
  <c r="AA201" i="6"/>
  <c r="Y201" i="7"/>
  <c r="AA201" i="7"/>
  <c r="Y201" i="8"/>
  <c r="AA201" i="8"/>
  <c r="Y201" i="9"/>
  <c r="AA201" i="9"/>
  <c r="W203" i="4"/>
  <c r="W202" i="5"/>
  <c r="W202" i="6"/>
  <c r="W202" i="7"/>
  <c r="W202" i="8"/>
  <c r="V206" i="4"/>
  <c r="V213" i="4"/>
  <c r="Y215" i="4"/>
  <c r="AA215" i="4"/>
  <c r="AE217" i="4"/>
  <c r="AG217" i="4"/>
  <c r="AE216" i="5"/>
  <c r="AG216" i="5"/>
  <c r="AE216" i="6"/>
  <c r="AG216" i="6"/>
  <c r="AE216" i="7"/>
  <c r="AG216" i="7"/>
  <c r="AE216" i="8"/>
  <c r="AG216" i="8"/>
  <c r="AE216" i="9"/>
  <c r="AG216" i="9"/>
  <c r="W228" i="4"/>
  <c r="T28" i="10"/>
  <c r="T28" i="11"/>
  <c r="T28" i="12"/>
  <c r="T28" i="13" s="1"/>
  <c r="A33" i="10"/>
  <c r="A33" i="11"/>
  <c r="A33" i="12" s="1"/>
  <c r="A33" i="13" s="1"/>
  <c r="T42" i="10"/>
  <c r="T42" i="11"/>
  <c r="T42" i="12" s="1"/>
  <c r="T42" i="13" s="1"/>
  <c r="A45" i="10"/>
  <c r="A45" i="11"/>
  <c r="A45" i="12" s="1"/>
  <c r="A45" i="13" s="1"/>
  <c r="B48" i="10"/>
  <c r="B48" i="11"/>
  <c r="B48" i="12" s="1"/>
  <c r="B48" i="13" s="1"/>
  <c r="T54" i="10"/>
  <c r="T54" i="11"/>
  <c r="T54" i="12"/>
  <c r="T54" i="13" s="1"/>
  <c r="A58" i="10"/>
  <c r="A58" i="11"/>
  <c r="A58" i="12" s="1"/>
  <c r="A58" i="13" s="1"/>
  <c r="T64" i="10"/>
  <c r="T64" i="11"/>
  <c r="T64" i="12" s="1"/>
  <c r="T64" i="13" s="1"/>
  <c r="A68" i="10"/>
  <c r="A68" i="11"/>
  <c r="A68" i="12" s="1"/>
  <c r="A68" i="13" s="1"/>
  <c r="B71" i="10"/>
  <c r="B71" i="11"/>
  <c r="B71" i="12" s="1"/>
  <c r="B71" i="13" s="1"/>
  <c r="T76" i="10"/>
  <c r="T76" i="11"/>
  <c r="T76" i="12" s="1"/>
  <c r="T76" i="13" s="1"/>
  <c r="A80" i="10"/>
  <c r="A80" i="11"/>
  <c r="A80" i="12"/>
  <c r="A80" i="13" s="1"/>
  <c r="B83" i="10"/>
  <c r="B83" i="11"/>
  <c r="B83" i="12" s="1"/>
  <c r="B83" i="13" s="1"/>
  <c r="T87" i="10"/>
  <c r="T87" i="11"/>
  <c r="T87" i="12" s="1"/>
  <c r="T87" i="13" s="1"/>
  <c r="T89" i="10"/>
  <c r="T89" i="11"/>
  <c r="T89" i="12" s="1"/>
  <c r="T89" i="13" s="1"/>
  <c r="T92" i="10"/>
  <c r="T92" i="11"/>
  <c r="T92" i="12"/>
  <c r="T92" i="13"/>
  <c r="T95" i="10"/>
  <c r="T95" i="11"/>
  <c r="T95" i="12" s="1"/>
  <c r="T95" i="13" s="1"/>
  <c r="T98" i="10"/>
  <c r="T98" i="11"/>
  <c r="T98" i="12" s="1"/>
  <c r="T98" i="13" s="1"/>
  <c r="T101" i="10"/>
  <c r="T101" i="11"/>
  <c r="T101" i="12" s="1"/>
  <c r="T101" i="13" s="1"/>
  <c r="T109" i="10"/>
  <c r="T111" i="12"/>
  <c r="T111" i="13"/>
  <c r="T111" i="10"/>
  <c r="T109" i="12"/>
  <c r="T109" i="13"/>
  <c r="T117" i="12"/>
  <c r="T117" i="13"/>
  <c r="T117" i="10"/>
  <c r="T119" i="12"/>
  <c r="T119" i="13"/>
  <c r="T119" i="10"/>
  <c r="B12" i="10"/>
  <c r="B12" i="11"/>
  <c r="B12" i="12" s="1"/>
  <c r="B12" i="13" s="1"/>
  <c r="AX12" i="2"/>
  <c r="B14" i="10"/>
  <c r="B14" i="11"/>
  <c r="B14" i="12"/>
  <c r="B14" i="13" s="1"/>
  <c r="E15" i="10"/>
  <c r="E15" i="11" s="1"/>
  <c r="E15" i="12" s="1"/>
  <c r="E15" i="13" s="1"/>
  <c r="BF15" i="4"/>
  <c r="BF15" i="7"/>
  <c r="F15" i="14"/>
  <c r="BF18" i="4"/>
  <c r="V20" i="2"/>
  <c r="V16" i="2"/>
  <c r="E22" i="2"/>
  <c r="AE24" i="4"/>
  <c r="AG24" i="4"/>
  <c r="AE24" i="5"/>
  <c r="AG24" i="5"/>
  <c r="AE24" i="6"/>
  <c r="AG24" i="6"/>
  <c r="AE24" i="7"/>
  <c r="AG24" i="7"/>
  <c r="AE24" i="8"/>
  <c r="AG24" i="8"/>
  <c r="AE24" i="9"/>
  <c r="AG24" i="9"/>
  <c r="AE28" i="4"/>
  <c r="AG28" i="4"/>
  <c r="AE28" i="5"/>
  <c r="AG28" i="5"/>
  <c r="AE28" i="6"/>
  <c r="AG28" i="6"/>
  <c r="AE28" i="7"/>
  <c r="AG28" i="7"/>
  <c r="AE28" i="8"/>
  <c r="AG28" i="8"/>
  <c r="AE28" i="9"/>
  <c r="AG28" i="9"/>
  <c r="F31" i="2"/>
  <c r="M31" i="2"/>
  <c r="AE31" i="4"/>
  <c r="AG31" i="4"/>
  <c r="AE31" i="5"/>
  <c r="AG31" i="5"/>
  <c r="AE31" i="6"/>
  <c r="AG31" i="6"/>
  <c r="AE31" i="7"/>
  <c r="AG31" i="7"/>
  <c r="AE31" i="8"/>
  <c r="AG31" i="8"/>
  <c r="AE31" i="9"/>
  <c r="AG31" i="9"/>
  <c r="V36" i="4"/>
  <c r="G38" i="4"/>
  <c r="I38" i="4"/>
  <c r="G38" i="5"/>
  <c r="I38" i="5"/>
  <c r="G38" i="6"/>
  <c r="I38" i="6"/>
  <c r="G38" i="7"/>
  <c r="I38" i="7"/>
  <c r="G38" i="8"/>
  <c r="I38" i="8"/>
  <c r="G38" i="9"/>
  <c r="I38" i="9"/>
  <c r="Y38" i="4"/>
  <c r="AA38" i="4"/>
  <c r="Y38" i="5"/>
  <c r="AA38" i="5"/>
  <c r="Y38" i="6"/>
  <c r="AA38" i="6"/>
  <c r="Y38" i="7"/>
  <c r="AA38" i="7"/>
  <c r="Y38" i="8"/>
  <c r="AA38" i="8"/>
  <c r="Y38" i="9"/>
  <c r="AA38" i="9"/>
  <c r="W39" i="4"/>
  <c r="W39" i="5"/>
  <c r="W39" i="6"/>
  <c r="W39" i="7"/>
  <c r="W39" i="8"/>
  <c r="V40" i="4"/>
  <c r="AE40" i="4"/>
  <c r="AG40" i="4"/>
  <c r="AE40" i="5"/>
  <c r="AG40" i="5"/>
  <c r="AE40" i="6"/>
  <c r="AG40" i="6"/>
  <c r="AE40" i="7"/>
  <c r="AG40" i="7"/>
  <c r="AE40" i="8"/>
  <c r="AG40" i="8"/>
  <c r="AE40" i="9"/>
  <c r="AG40" i="9"/>
  <c r="BD17" i="2"/>
  <c r="I42" i="2"/>
  <c r="AR10" i="2"/>
  <c r="L45" i="2"/>
  <c r="AE48" i="4"/>
  <c r="AG48" i="4"/>
  <c r="AE48" i="5"/>
  <c r="AG48" i="5"/>
  <c r="AE48" i="6"/>
  <c r="AG48" i="6"/>
  <c r="AE48" i="7"/>
  <c r="AG48" i="7"/>
  <c r="AE48" i="8"/>
  <c r="AG48" i="8"/>
  <c r="AE48" i="9"/>
  <c r="AG48" i="9"/>
  <c r="Z43" i="2"/>
  <c r="Z14" i="2"/>
  <c r="AF43" i="2"/>
  <c r="AF14" i="2"/>
  <c r="E50" i="4"/>
  <c r="E50" i="5"/>
  <c r="E50" i="6"/>
  <c r="E50" i="7"/>
  <c r="E50" i="8"/>
  <c r="E50" i="9"/>
  <c r="X51" i="4"/>
  <c r="Y52" i="4"/>
  <c r="AA52" i="4"/>
  <c r="Y52" i="5"/>
  <c r="AA52" i="5"/>
  <c r="Y52" i="6"/>
  <c r="AE53" i="4"/>
  <c r="AG53" i="4"/>
  <c r="AE53" i="5"/>
  <c r="AG53" i="5"/>
  <c r="AE53" i="6"/>
  <c r="AG53" i="6"/>
  <c r="AE53" i="7"/>
  <c r="AG53" i="7"/>
  <c r="AE53" i="8"/>
  <c r="AG53" i="8"/>
  <c r="AE53" i="9"/>
  <c r="AG53" i="9"/>
  <c r="AE54" i="4"/>
  <c r="AG54" i="4"/>
  <c r="AE54" i="5"/>
  <c r="AG54" i="5"/>
  <c r="AE54" i="6"/>
  <c r="AG54" i="6"/>
  <c r="AE54" i="7"/>
  <c r="AG54" i="7"/>
  <c r="AE54" i="8"/>
  <c r="AG54" i="8"/>
  <c r="AE54" i="9"/>
  <c r="AG54" i="9"/>
  <c r="Y55" i="4"/>
  <c r="AA55" i="4"/>
  <c r="Y55" i="5"/>
  <c r="AA55" i="5"/>
  <c r="Y55" i="6"/>
  <c r="AA55" i="6"/>
  <c r="Y55" i="7"/>
  <c r="AA55" i="7"/>
  <c r="Y55" i="8"/>
  <c r="AA55" i="8"/>
  <c r="Y55" i="9"/>
  <c r="AA55" i="9"/>
  <c r="E56" i="4"/>
  <c r="E56" i="5"/>
  <c r="E56" i="6"/>
  <c r="E56" i="7"/>
  <c r="E56" i="8"/>
  <c r="E56" i="9"/>
  <c r="W58" i="2"/>
  <c r="W57" i="2"/>
  <c r="Y66" i="4"/>
  <c r="AA66" i="4"/>
  <c r="D66" i="2"/>
  <c r="D71" i="4"/>
  <c r="AE71" i="4"/>
  <c r="AG71" i="4"/>
  <c r="AE71" i="5"/>
  <c r="AG71" i="5"/>
  <c r="AE71" i="6"/>
  <c r="AG71" i="6"/>
  <c r="AE71" i="7"/>
  <c r="AG71" i="7"/>
  <c r="AE71" i="8"/>
  <c r="AG71" i="8"/>
  <c r="AE71" i="9"/>
  <c r="AG71" i="9"/>
  <c r="D74" i="4"/>
  <c r="D74" i="5"/>
  <c r="D74" i="6"/>
  <c r="I78" i="2"/>
  <c r="AE85" i="4"/>
  <c r="AG85" i="4"/>
  <c r="AE85" i="5"/>
  <c r="AG85" i="5"/>
  <c r="AE85" i="6"/>
  <c r="AG85" i="6"/>
  <c r="AE85" i="7"/>
  <c r="AG85" i="7"/>
  <c r="AE85" i="8"/>
  <c r="AG85" i="8"/>
  <c r="AE85" i="9"/>
  <c r="AG85" i="9"/>
  <c r="G96" i="4"/>
  <c r="I96" i="4"/>
  <c r="G96" i="5"/>
  <c r="I96" i="5"/>
  <c r="G96" i="6"/>
  <c r="I96" i="6"/>
  <c r="AE101" i="4"/>
  <c r="AG101" i="4"/>
  <c r="AE101" i="5"/>
  <c r="AG101" i="5"/>
  <c r="AE101" i="6"/>
  <c r="AG101" i="6"/>
  <c r="AE101" i="7"/>
  <c r="AG101" i="7"/>
  <c r="AE101" i="8"/>
  <c r="AG101" i="8"/>
  <c r="AE101" i="9"/>
  <c r="AG101" i="9"/>
  <c r="G116" i="4"/>
  <c r="I116" i="4"/>
  <c r="G116" i="5"/>
  <c r="I116" i="5"/>
  <c r="G116" i="6"/>
  <c r="I116" i="6"/>
  <c r="G116" i="7"/>
  <c r="I116" i="7"/>
  <c r="G116" i="8"/>
  <c r="I116" i="8"/>
  <c r="E117" i="4"/>
  <c r="E117" i="5"/>
  <c r="W117" i="4"/>
  <c r="W117" i="5"/>
  <c r="W117" i="6"/>
  <c r="W117" i="7"/>
  <c r="W117" i="8"/>
  <c r="Y119" i="4"/>
  <c r="AA119" i="4"/>
  <c r="Y119" i="5"/>
  <c r="AA119" i="5"/>
  <c r="Y119" i="6"/>
  <c r="AA119" i="6"/>
  <c r="Y119" i="7"/>
  <c r="AA119" i="7"/>
  <c r="Y119" i="8"/>
  <c r="AA119" i="8"/>
  <c r="E120" i="4"/>
  <c r="E120" i="5"/>
  <c r="E120" i="6"/>
  <c r="E120" i="7"/>
  <c r="E120" i="8"/>
  <c r="E123" i="4"/>
  <c r="E123" i="5"/>
  <c r="E123" i="6"/>
  <c r="E123" i="7"/>
  <c r="E123" i="8"/>
  <c r="D124" i="4"/>
  <c r="W127" i="4"/>
  <c r="W127" i="5"/>
  <c r="W127" i="6"/>
  <c r="W127" i="7"/>
  <c r="W127" i="8"/>
  <c r="V132" i="4"/>
  <c r="V132" i="5"/>
  <c r="Y137" i="4"/>
  <c r="AA137" i="4"/>
  <c r="Y137" i="5"/>
  <c r="AA137" i="5"/>
  <c r="Y137" i="6"/>
  <c r="AA137" i="6"/>
  <c r="Y137" i="7"/>
  <c r="AA137" i="7"/>
  <c r="Y137" i="8"/>
  <c r="AA137" i="8"/>
  <c r="Y137" i="9"/>
  <c r="AA137" i="9"/>
  <c r="Y142" i="4"/>
  <c r="Y148" i="4"/>
  <c r="AA148" i="4"/>
  <c r="Y152" i="4"/>
  <c r="AA152" i="4"/>
  <c r="Y152" i="5"/>
  <c r="AA152" i="5"/>
  <c r="Y152" i="6"/>
  <c r="AA152" i="6"/>
  <c r="Y152" i="7"/>
  <c r="AA152" i="7"/>
  <c r="Y152" i="8"/>
  <c r="AA152" i="8"/>
  <c r="Y152" i="9"/>
  <c r="AA152" i="9"/>
  <c r="Y172" i="4"/>
  <c r="Y177" i="4"/>
  <c r="AA177" i="4"/>
  <c r="Y176" i="5"/>
  <c r="AA176" i="5"/>
  <c r="Y181" i="4"/>
  <c r="AA181" i="4"/>
  <c r="V190" i="4"/>
  <c r="V189" i="5"/>
  <c r="AE190" i="4"/>
  <c r="AG190" i="4"/>
  <c r="AE189" i="5"/>
  <c r="AG189" i="5"/>
  <c r="Y200" i="4"/>
  <c r="AA200" i="4"/>
  <c r="Y199" i="5"/>
  <c r="AA199" i="5"/>
  <c r="Y199" i="6"/>
  <c r="AA199" i="6"/>
  <c r="Y199" i="7"/>
  <c r="AA199" i="7"/>
  <c r="Y199" i="8"/>
  <c r="AA199" i="8"/>
  <c r="Y199" i="9"/>
  <c r="AA199" i="9"/>
  <c r="W201" i="4"/>
  <c r="W200" i="5"/>
  <c r="W200" i="6"/>
  <c r="W200" i="7"/>
  <c r="W200" i="8"/>
  <c r="Y203" i="4"/>
  <c r="AA203" i="4"/>
  <c r="Y202" i="5"/>
  <c r="AA202" i="5"/>
  <c r="Y202" i="6"/>
  <c r="AA202" i="6"/>
  <c r="Y202" i="7"/>
  <c r="AA202" i="7"/>
  <c r="Y202" i="8"/>
  <c r="AA202" i="8"/>
  <c r="Y202" i="9"/>
  <c r="AA202" i="9"/>
  <c r="AG205" i="2"/>
  <c r="W206" i="4"/>
  <c r="W205" i="4"/>
  <c r="AE207" i="4"/>
  <c r="AG207" i="4"/>
  <c r="AE206" i="5"/>
  <c r="AG206" i="5"/>
  <c r="AE206" i="6"/>
  <c r="AG206" i="6"/>
  <c r="AE206" i="7"/>
  <c r="W213" i="4"/>
  <c r="W212" i="5"/>
  <c r="W212" i="6"/>
  <c r="W212" i="7"/>
  <c r="W212" i="8"/>
  <c r="V225" i="4"/>
  <c r="AE225" i="4"/>
  <c r="AG225" i="4"/>
  <c r="AE224" i="5"/>
  <c r="AG224" i="5"/>
  <c r="AE224" i="6"/>
  <c r="AG224" i="6"/>
  <c r="W229" i="4"/>
  <c r="W228" i="5"/>
  <c r="W228" i="6"/>
  <c r="W228" i="7"/>
  <c r="W228" i="8"/>
  <c r="AF232" i="2"/>
  <c r="AE237" i="4"/>
  <c r="AG237" i="4"/>
  <c r="AE236" i="5"/>
  <c r="AG236" i="5"/>
  <c r="AE236" i="6"/>
  <c r="AG236" i="6"/>
  <c r="AE236" i="7"/>
  <c r="AG236" i="7"/>
  <c r="AE236" i="8"/>
  <c r="AG236" i="8"/>
  <c r="AE236" i="9"/>
  <c r="AG236" i="9"/>
  <c r="Y239" i="4"/>
  <c r="AA239" i="4"/>
  <c r="Y238" i="5"/>
  <c r="AA238" i="5"/>
  <c r="Y238" i="6"/>
  <c r="AA238" i="6"/>
  <c r="Y238" i="7"/>
  <c r="AA238" i="7"/>
  <c r="Y238" i="8"/>
  <c r="AA238" i="8"/>
  <c r="Y238" i="9"/>
  <c r="AA238" i="9"/>
  <c r="W240" i="4"/>
  <c r="W239" i="5"/>
  <c r="W239" i="6"/>
  <c r="W239" i="7"/>
  <c r="W239" i="8"/>
  <c r="W249" i="4"/>
  <c r="W248" i="5"/>
  <c r="AE250" i="4"/>
  <c r="AG250" i="4"/>
  <c r="AE249" i="5"/>
  <c r="AG249" i="5"/>
  <c r="AE249" i="6"/>
  <c r="AG249" i="6"/>
  <c r="AE249" i="7"/>
  <c r="AG249" i="7"/>
  <c r="AE249" i="8"/>
  <c r="AG249" i="8"/>
  <c r="AE249" i="9"/>
  <c r="AG249" i="9"/>
  <c r="Y252" i="4"/>
  <c r="AA252" i="4"/>
  <c r="Y251" i="5"/>
  <c r="AA251" i="5"/>
  <c r="Y251" i="6"/>
  <c r="AA251" i="6"/>
  <c r="Y251" i="7"/>
  <c r="AA251" i="7"/>
  <c r="Y251" i="8"/>
  <c r="AA251" i="8"/>
  <c r="Y251" i="9"/>
  <c r="AA251" i="9"/>
  <c r="A10" i="10"/>
  <c r="A10" i="11"/>
  <c r="A10" i="12" s="1"/>
  <c r="A10" i="13" s="1"/>
  <c r="B20" i="10"/>
  <c r="B20" i="11"/>
  <c r="B20" i="12" s="1"/>
  <c r="B20" i="13" s="1"/>
  <c r="A27" i="10"/>
  <c r="A27" i="11"/>
  <c r="A27" i="12" s="1"/>
  <c r="A27" i="13" s="1"/>
  <c r="A30" i="10"/>
  <c r="A30" i="11"/>
  <c r="A30" i="12" s="1"/>
  <c r="A30" i="13" s="1"/>
  <c r="T36" i="10"/>
  <c r="T36" i="11"/>
  <c r="T36" i="12" s="1"/>
  <c r="T36" i="13" s="1"/>
  <c r="T39" i="10"/>
  <c r="T39" i="11"/>
  <c r="T39" i="12" s="1"/>
  <c r="T39" i="13" s="1"/>
  <c r="A43" i="10"/>
  <c r="A43" i="11"/>
  <c r="A43" i="12" s="1"/>
  <c r="A43" i="13" s="1"/>
  <c r="T51" i="10"/>
  <c r="T51" i="11"/>
  <c r="T51" i="12" s="1"/>
  <c r="T51" i="13" s="1"/>
  <c r="A55" i="10"/>
  <c r="A55" i="11"/>
  <c r="A55" i="12" s="1"/>
  <c r="A55" i="13" s="1"/>
  <c r="T62" i="10"/>
  <c r="T62" i="11"/>
  <c r="T62" i="12" s="1"/>
  <c r="T62" i="13" s="1"/>
  <c r="A66" i="10"/>
  <c r="A66" i="11"/>
  <c r="A66" i="12" s="1"/>
  <c r="A66" i="13" s="1"/>
  <c r="T74" i="10"/>
  <c r="T74" i="11"/>
  <c r="T74" i="12" s="1"/>
  <c r="T74" i="13" s="1"/>
  <c r="A77" i="10"/>
  <c r="A77" i="11"/>
  <c r="A77" i="12"/>
  <c r="A77" i="13"/>
  <c r="A79" i="10"/>
  <c r="A79" i="11"/>
  <c r="A79" i="12" s="1"/>
  <c r="A79" i="13" s="1"/>
  <c r="B81" i="10"/>
  <c r="B81" i="11"/>
  <c r="B81" i="12" s="1"/>
  <c r="B81" i="13" s="1"/>
  <c r="A90" i="10"/>
  <c r="A90" i="11"/>
  <c r="A90" i="12" s="1"/>
  <c r="A90" i="13" s="1"/>
  <c r="A92" i="10"/>
  <c r="A92" i="11"/>
  <c r="A92" i="12" s="1"/>
  <c r="A92" i="13" s="1"/>
  <c r="A94" i="10"/>
  <c r="A94" i="11"/>
  <c r="A94" i="12" s="1"/>
  <c r="A94" i="13" s="1"/>
  <c r="A99" i="10"/>
  <c r="A99" i="11"/>
  <c r="A99" i="12"/>
  <c r="A99" i="13" s="1"/>
  <c r="A102" i="10"/>
  <c r="A102" i="11"/>
  <c r="A102" i="12" s="1"/>
  <c r="A102" i="13" s="1"/>
  <c r="A105" i="10"/>
  <c r="A103" i="12"/>
  <c r="A103" i="13"/>
  <c r="A108" i="12"/>
  <c r="A108" i="13"/>
  <c r="A108" i="10"/>
  <c r="A111" i="12"/>
  <c r="A111" i="13"/>
  <c r="A111" i="10"/>
  <c r="A113" i="12"/>
  <c r="A113" i="13"/>
  <c r="A113" i="10"/>
  <c r="T125" i="10"/>
  <c r="T125" i="12"/>
  <c r="T125" i="13"/>
  <c r="T127" i="10"/>
  <c r="T127" i="12"/>
  <c r="T127" i="13"/>
  <c r="T129" i="10"/>
  <c r="T129" i="12"/>
  <c r="T129" i="13"/>
  <c r="T131" i="10"/>
  <c r="T131" i="12"/>
  <c r="T131" i="13"/>
  <c r="T133" i="10"/>
  <c r="T133" i="12"/>
  <c r="T133" i="13"/>
  <c r="T137" i="10"/>
  <c r="T137" i="12"/>
  <c r="T137" i="13"/>
  <c r="T141" i="10"/>
  <c r="T141" i="12"/>
  <c r="T141" i="13"/>
  <c r="T145" i="10"/>
  <c r="T145" i="12"/>
  <c r="T145" i="13"/>
  <c r="T147" i="10"/>
  <c r="T147" i="12"/>
  <c r="T147" i="13"/>
  <c r="T149" i="10"/>
  <c r="T149" i="12"/>
  <c r="T149" i="13"/>
  <c r="T151" i="10"/>
  <c r="T151" i="12"/>
  <c r="T151" i="13"/>
  <c r="T153" i="10"/>
  <c r="T153" i="12"/>
  <c r="T153" i="13"/>
  <c r="T155" i="10"/>
  <c r="T155" i="12"/>
  <c r="T155" i="13"/>
  <c r="T157" i="10"/>
  <c r="T157" i="12"/>
  <c r="T157" i="13"/>
  <c r="S167" i="10"/>
  <c r="S167" i="12"/>
  <c r="S167" i="13"/>
  <c r="S190" i="10"/>
  <c r="S190" i="12"/>
  <c r="S190" i="13"/>
  <c r="T212" i="10"/>
  <c r="T212" i="12"/>
  <c r="T212" i="13"/>
  <c r="T214" i="10"/>
  <c r="T214" i="12"/>
  <c r="T214" i="13"/>
  <c r="T216" i="10"/>
  <c r="T216" i="12"/>
  <c r="T216" i="13"/>
  <c r="T218" i="10"/>
  <c r="T218" i="12"/>
  <c r="T218" i="13"/>
  <c r="T220" i="10"/>
  <c r="T220" i="12"/>
  <c r="T220" i="13"/>
  <c r="AM63" i="5"/>
  <c r="AM168" i="5"/>
  <c r="T237" i="10"/>
  <c r="T237" i="12"/>
  <c r="M11" i="14"/>
  <c r="M13" i="14"/>
  <c r="M15" i="14"/>
  <c r="M17" i="14"/>
  <c r="M22" i="14"/>
  <c r="Z90" i="11"/>
  <c r="AM90" i="11"/>
  <c r="AM63" i="11"/>
  <c r="T251" i="12"/>
  <c r="T251" i="13"/>
  <c r="T251" i="10"/>
  <c r="T17" i="10"/>
  <c r="T17" i="11"/>
  <c r="T17" i="12" s="1"/>
  <c r="T17" i="13" s="1"/>
  <c r="B21" i="10"/>
  <c r="B21" i="11"/>
  <c r="B21" i="12" s="1"/>
  <c r="B21" i="13" s="1"/>
  <c r="T24" i="10"/>
  <c r="T24" i="11"/>
  <c r="T24" i="12" s="1"/>
  <c r="T24" i="13" s="1"/>
  <c r="A28" i="10"/>
  <c r="A28" i="11"/>
  <c r="A28" i="12" s="1"/>
  <c r="A28" i="13" s="1"/>
  <c r="B31" i="10"/>
  <c r="B31" i="11"/>
  <c r="B31" i="12" s="1"/>
  <c r="B31" i="13" s="1"/>
  <c r="T34" i="10"/>
  <c r="T34" i="11"/>
  <c r="T34" i="12" s="1"/>
  <c r="T34" i="13" s="1"/>
  <c r="T37" i="10"/>
  <c r="T37" i="11"/>
  <c r="T37" i="12" s="1"/>
  <c r="T37" i="13" s="1"/>
  <c r="T40" i="10"/>
  <c r="T40" i="11"/>
  <c r="T40" i="12" s="1"/>
  <c r="T40" i="13"/>
  <c r="B44" i="10"/>
  <c r="B44" i="11"/>
  <c r="B44" i="12" s="1"/>
  <c r="B44" i="13" s="1"/>
  <c r="T49" i="10"/>
  <c r="T49" i="11"/>
  <c r="T49" i="12" s="1"/>
  <c r="T49" i="13" s="1"/>
  <c r="A53" i="10"/>
  <c r="A53" i="11"/>
  <c r="A53" i="12" s="1"/>
  <c r="A53" i="13" s="1"/>
  <c r="B57" i="10"/>
  <c r="B57" i="11"/>
  <c r="B57" i="12" s="1"/>
  <c r="B57" i="13" s="1"/>
  <c r="T63" i="10"/>
  <c r="T63" i="11"/>
  <c r="T63" i="12" s="1"/>
  <c r="T63" i="13" s="1"/>
  <c r="A67" i="10"/>
  <c r="A67" i="11"/>
  <c r="A67" i="12" s="1"/>
  <c r="A67" i="13"/>
  <c r="T73" i="10"/>
  <c r="T73" i="11"/>
  <c r="T73" i="12" s="1"/>
  <c r="T73" i="13" s="1"/>
  <c r="A98" i="10"/>
  <c r="A98" i="11"/>
  <c r="A98" i="12" s="1"/>
  <c r="A98" i="13" s="1"/>
  <c r="A101" i="10"/>
  <c r="A101" i="11"/>
  <c r="A101" i="12"/>
  <c r="A101" i="13" s="1"/>
  <c r="A107" i="10"/>
  <c r="A105" i="12"/>
  <c r="A105" i="13"/>
  <c r="T135" i="10"/>
  <c r="T135" i="12"/>
  <c r="T135" i="13"/>
  <c r="D14" i="4"/>
  <c r="F14" i="4"/>
  <c r="AE17" i="4"/>
  <c r="AG17" i="4"/>
  <c r="X21" i="2"/>
  <c r="AI21" i="2"/>
  <c r="BD12" i="2"/>
  <c r="F26" i="4"/>
  <c r="AE29" i="4"/>
  <c r="AG29" i="4"/>
  <c r="AE29" i="5"/>
  <c r="AG29" i="5"/>
  <c r="AE29" i="6"/>
  <c r="AG29" i="6"/>
  <c r="AE29" i="7"/>
  <c r="AG29" i="7"/>
  <c r="AE29" i="8"/>
  <c r="AG29" i="8"/>
  <c r="AE29" i="9"/>
  <c r="AG29" i="9"/>
  <c r="Y30" i="4"/>
  <c r="AA30" i="4"/>
  <c r="Y30" i="5"/>
  <c r="AA30" i="5"/>
  <c r="Y30" i="6"/>
  <c r="AA30" i="6"/>
  <c r="Y30" i="7"/>
  <c r="AA30" i="7"/>
  <c r="Y30" i="8"/>
  <c r="AA30" i="8"/>
  <c r="Y30" i="9"/>
  <c r="AA30" i="9"/>
  <c r="V37" i="4"/>
  <c r="V37" i="5"/>
  <c r="V37" i="6"/>
  <c r="V37" i="7"/>
  <c r="V37" i="8"/>
  <c r="G39" i="4"/>
  <c r="I39" i="4"/>
  <c r="G39" i="5"/>
  <c r="I39" i="5"/>
  <c r="G39" i="6"/>
  <c r="I39" i="6"/>
  <c r="G39" i="7"/>
  <c r="I39" i="7"/>
  <c r="G39" i="8"/>
  <c r="I39" i="8"/>
  <c r="G39" i="9"/>
  <c r="I39" i="9"/>
  <c r="AE41" i="4"/>
  <c r="AG41" i="4"/>
  <c r="AE41" i="5"/>
  <c r="AG41" i="5"/>
  <c r="AE41" i="6"/>
  <c r="AG41" i="6"/>
  <c r="AE41" i="7"/>
  <c r="AG41" i="7"/>
  <c r="AE41" i="8"/>
  <c r="AG41" i="8"/>
  <c r="AE41" i="9"/>
  <c r="AG41" i="9"/>
  <c r="D45" i="2"/>
  <c r="X46" i="2"/>
  <c r="G47" i="4"/>
  <c r="I47" i="4"/>
  <c r="G47" i="5"/>
  <c r="I47" i="5"/>
  <c r="G47" i="6"/>
  <c r="I47" i="6"/>
  <c r="G47" i="7"/>
  <c r="I47" i="7"/>
  <c r="G47" i="8"/>
  <c r="I47" i="8"/>
  <c r="G47" i="9"/>
  <c r="I47" i="9"/>
  <c r="Y47" i="4"/>
  <c r="AA47" i="4"/>
  <c r="Y47" i="5"/>
  <c r="AA47" i="5"/>
  <c r="Y47" i="6"/>
  <c r="AA47" i="6"/>
  <c r="Y47" i="7"/>
  <c r="AA47" i="7"/>
  <c r="Y47" i="8"/>
  <c r="AA47" i="8"/>
  <c r="Y47" i="9"/>
  <c r="AA47" i="9"/>
  <c r="AB43" i="2"/>
  <c r="G50" i="4"/>
  <c r="I50" i="4"/>
  <c r="G50" i="5"/>
  <c r="I50" i="5"/>
  <c r="G50" i="6"/>
  <c r="I50" i="6"/>
  <c r="G50" i="7"/>
  <c r="I50" i="7"/>
  <c r="G50" i="8"/>
  <c r="I50" i="8"/>
  <c r="G50" i="9"/>
  <c r="I50" i="9"/>
  <c r="Y50" i="4"/>
  <c r="G53" i="4"/>
  <c r="I53" i="4"/>
  <c r="G53" i="5"/>
  <c r="I53" i="5"/>
  <c r="G53" i="6"/>
  <c r="I53" i="6"/>
  <c r="G53" i="7"/>
  <c r="I53" i="7"/>
  <c r="G53" i="8"/>
  <c r="I53" i="8"/>
  <c r="G53" i="9"/>
  <c r="I53" i="9"/>
  <c r="X53" i="2"/>
  <c r="AI53" i="2"/>
  <c r="G56" i="4"/>
  <c r="I56" i="4"/>
  <c r="G56" i="5"/>
  <c r="I56" i="5"/>
  <c r="G56" i="6"/>
  <c r="I56" i="6"/>
  <c r="D57" i="2"/>
  <c r="X59" i="4"/>
  <c r="Y60" i="4"/>
  <c r="AA60" i="4"/>
  <c r="Y60" i="5"/>
  <c r="AA60" i="5"/>
  <c r="Y60" i="6"/>
  <c r="AA60" i="6"/>
  <c r="Y60" i="7"/>
  <c r="AA60" i="7"/>
  <c r="Y60" i="8"/>
  <c r="AA60" i="8"/>
  <c r="Y60" i="9"/>
  <c r="AA60" i="9"/>
  <c r="AE61" i="4"/>
  <c r="AG61" i="4"/>
  <c r="AE61" i="5"/>
  <c r="AG61" i="5"/>
  <c r="AE61" i="6"/>
  <c r="AG61" i="6"/>
  <c r="AE61" i="7"/>
  <c r="AG61" i="7"/>
  <c r="AE61" i="8"/>
  <c r="AG61" i="8"/>
  <c r="AE61" i="9"/>
  <c r="AG61" i="9"/>
  <c r="W67" i="4"/>
  <c r="W67" i="5"/>
  <c r="W67" i="6"/>
  <c r="W67" i="7"/>
  <c r="W67" i="8"/>
  <c r="F68" i="2"/>
  <c r="N68" i="2"/>
  <c r="X68" i="2"/>
  <c r="AI68" i="2"/>
  <c r="AE68" i="4"/>
  <c r="AG68" i="4"/>
  <c r="AE68" i="5"/>
  <c r="AG68" i="5"/>
  <c r="AE68" i="6"/>
  <c r="AG68" i="6"/>
  <c r="AE68" i="7"/>
  <c r="AG68" i="7"/>
  <c r="AE68" i="8"/>
  <c r="AG68" i="8"/>
  <c r="AE68" i="9"/>
  <c r="AG68" i="9"/>
  <c r="G70" i="4"/>
  <c r="I70" i="4"/>
  <c r="Y70" i="4"/>
  <c r="E71" i="4"/>
  <c r="E71" i="5"/>
  <c r="E71" i="6"/>
  <c r="E71" i="7"/>
  <c r="E71" i="8"/>
  <c r="E71" i="9"/>
  <c r="W71" i="4"/>
  <c r="W71" i="5"/>
  <c r="W71" i="6"/>
  <c r="W71" i="7"/>
  <c r="W71" i="8"/>
  <c r="AE72" i="4"/>
  <c r="AG72" i="4"/>
  <c r="AE72" i="5"/>
  <c r="AG72" i="5"/>
  <c r="AE72" i="6"/>
  <c r="AG72" i="6"/>
  <c r="AE72" i="7"/>
  <c r="AG72" i="7"/>
  <c r="AE72" i="8"/>
  <c r="AG72" i="8"/>
  <c r="AE72" i="9"/>
  <c r="AG72" i="9"/>
  <c r="Y73" i="4"/>
  <c r="AA73" i="4"/>
  <c r="Y73" i="5"/>
  <c r="AA73" i="5"/>
  <c r="Y73" i="6"/>
  <c r="AA73" i="6"/>
  <c r="Y73" i="7"/>
  <c r="AA73" i="7"/>
  <c r="Y73" i="8"/>
  <c r="AA73" i="8"/>
  <c r="Y73" i="9"/>
  <c r="AA73" i="9"/>
  <c r="E74" i="4"/>
  <c r="E74" i="5"/>
  <c r="E74" i="6"/>
  <c r="E74" i="7"/>
  <c r="E74" i="8"/>
  <c r="E74" i="9"/>
  <c r="V74" i="4"/>
  <c r="V74" i="5"/>
  <c r="V74" i="6"/>
  <c r="AE74" i="4"/>
  <c r="AG74" i="4"/>
  <c r="AE74" i="5"/>
  <c r="AG74" i="5"/>
  <c r="AE74" i="6"/>
  <c r="AG74" i="6"/>
  <c r="AE74" i="7"/>
  <c r="AG74" i="7"/>
  <c r="AE74" i="8"/>
  <c r="AG74" i="8"/>
  <c r="AE74" i="9"/>
  <c r="AG74" i="9"/>
  <c r="AE75" i="4"/>
  <c r="AG75" i="4"/>
  <c r="AE75" i="5"/>
  <c r="AG75" i="5"/>
  <c r="AE75" i="6"/>
  <c r="AG75" i="6"/>
  <c r="AE75" i="7"/>
  <c r="AG75" i="7"/>
  <c r="AE75" i="8"/>
  <c r="AG75" i="8"/>
  <c r="AE75" i="9"/>
  <c r="AG75" i="9"/>
  <c r="Y76" i="4"/>
  <c r="AA76" i="4"/>
  <c r="Y76" i="5"/>
  <c r="AA76" i="5"/>
  <c r="Y76" i="6"/>
  <c r="AA76" i="6"/>
  <c r="Y76" i="7"/>
  <c r="AA76" i="7"/>
  <c r="Y76" i="8"/>
  <c r="AA76" i="8"/>
  <c r="Y76" i="9"/>
  <c r="AA76" i="9"/>
  <c r="E77" i="4"/>
  <c r="E77" i="5"/>
  <c r="E77" i="6"/>
  <c r="E77" i="7"/>
  <c r="E77" i="8"/>
  <c r="E77" i="9"/>
  <c r="W77" i="4"/>
  <c r="W77" i="5"/>
  <c r="W77" i="6"/>
  <c r="W77" i="7"/>
  <c r="W77" i="8"/>
  <c r="V78" i="4"/>
  <c r="AE78" i="4"/>
  <c r="AG78" i="4"/>
  <c r="AE78" i="5"/>
  <c r="AG78" i="5"/>
  <c r="AE78" i="6"/>
  <c r="AG78" i="6"/>
  <c r="AE78" i="7"/>
  <c r="AG78" i="7"/>
  <c r="AE78" i="8"/>
  <c r="AG78" i="8"/>
  <c r="AE78" i="9"/>
  <c r="AG78" i="9"/>
  <c r="F79" i="2"/>
  <c r="W79" i="4"/>
  <c r="W79" i="5"/>
  <c r="W79" i="6"/>
  <c r="W79" i="7"/>
  <c r="W79" i="8"/>
  <c r="D80" i="4"/>
  <c r="V80" i="4"/>
  <c r="V80" i="5"/>
  <c r="AE80" i="4"/>
  <c r="AG80" i="4"/>
  <c r="AE80" i="5"/>
  <c r="AG80" i="5"/>
  <c r="AE80" i="6"/>
  <c r="AG80" i="6"/>
  <c r="AE80" i="7"/>
  <c r="AG80" i="7"/>
  <c r="AE80" i="8"/>
  <c r="AG80" i="8"/>
  <c r="AE80" i="9"/>
  <c r="AG80" i="9"/>
  <c r="V81" i="4"/>
  <c r="X81" i="4"/>
  <c r="G83" i="4"/>
  <c r="I83" i="4"/>
  <c r="G83" i="5"/>
  <c r="I83" i="5"/>
  <c r="G83" i="6"/>
  <c r="I83" i="6"/>
  <c r="G83" i="7"/>
  <c r="I83" i="7"/>
  <c r="G83" i="8"/>
  <c r="I83" i="8"/>
  <c r="G83" i="9"/>
  <c r="I83" i="9"/>
  <c r="D85" i="2"/>
  <c r="W85" i="4"/>
  <c r="W85" i="5"/>
  <c r="W85" i="6"/>
  <c r="W85" i="7"/>
  <c r="W85" i="8"/>
  <c r="AE86" i="4"/>
  <c r="AG86" i="4"/>
  <c r="AE86" i="5"/>
  <c r="AG86" i="5"/>
  <c r="AE86" i="6"/>
  <c r="AG86" i="6"/>
  <c r="AE86" i="7"/>
  <c r="AG86" i="7"/>
  <c r="AE86" i="8"/>
  <c r="AG86" i="8"/>
  <c r="AE86" i="9"/>
  <c r="AG86" i="9"/>
  <c r="G88" i="4"/>
  <c r="I88" i="4"/>
  <c r="G88" i="5"/>
  <c r="I88" i="5"/>
  <c r="Y88" i="4"/>
  <c r="AA88" i="4"/>
  <c r="Y88" i="5"/>
  <c r="AA88" i="5"/>
  <c r="Y88" i="6"/>
  <c r="AA88" i="6"/>
  <c r="Y88" i="7"/>
  <c r="AA88" i="7"/>
  <c r="Y88" i="8"/>
  <c r="AA88" i="8"/>
  <c r="Y88" i="9"/>
  <c r="E90" i="4"/>
  <c r="E90" i="5"/>
  <c r="E90" i="6"/>
  <c r="E90" i="7"/>
  <c r="E90" i="8"/>
  <c r="E90" i="9"/>
  <c r="Y93" i="4"/>
  <c r="AA93" i="4"/>
  <c r="Y93" i="5"/>
  <c r="AA93" i="5"/>
  <c r="Y93" i="6"/>
  <c r="AA93" i="6"/>
  <c r="Y93" i="7"/>
  <c r="AA93" i="7"/>
  <c r="Y93" i="8"/>
  <c r="AA93" i="8"/>
  <c r="Y93" i="9"/>
  <c r="AA93" i="9"/>
  <c r="X94" i="2"/>
  <c r="AH94" i="2"/>
  <c r="AE95" i="4"/>
  <c r="AG95" i="4"/>
  <c r="AE95" i="5"/>
  <c r="AG95" i="5"/>
  <c r="AE95" i="6"/>
  <c r="AG95" i="6"/>
  <c r="AE95" i="7"/>
  <c r="AG95" i="7"/>
  <c r="AE95" i="8"/>
  <c r="AG95" i="8"/>
  <c r="AE95" i="9"/>
  <c r="AG95" i="9"/>
  <c r="AE98" i="4"/>
  <c r="AG98" i="4"/>
  <c r="AE98" i="5"/>
  <c r="AG98" i="5"/>
  <c r="AE98" i="6"/>
  <c r="AG98" i="6"/>
  <c r="AE98" i="7"/>
  <c r="AG98" i="7"/>
  <c r="AE98" i="8"/>
  <c r="AG98" i="8"/>
  <c r="AE98" i="9"/>
  <c r="AG98" i="9"/>
  <c r="G100" i="4"/>
  <c r="I100" i="4"/>
  <c r="G100" i="5"/>
  <c r="I100" i="5"/>
  <c r="G100" i="6"/>
  <c r="I100" i="6"/>
  <c r="G100" i="7"/>
  <c r="I100" i="7"/>
  <c r="G100" i="8"/>
  <c r="I100" i="8"/>
  <c r="G100" i="9"/>
  <c r="I100" i="9"/>
  <c r="D102" i="4"/>
  <c r="D102" i="5"/>
  <c r="D102" i="6"/>
  <c r="D102" i="7"/>
  <c r="AE102" i="4"/>
  <c r="AG102" i="4"/>
  <c r="AE102" i="5"/>
  <c r="AG102" i="5"/>
  <c r="AE102" i="6"/>
  <c r="AG102" i="6"/>
  <c r="AE102" i="7"/>
  <c r="AG102" i="7"/>
  <c r="AE102" i="8"/>
  <c r="AG102" i="8"/>
  <c r="AE102" i="9"/>
  <c r="AG102" i="9"/>
  <c r="AE107" i="4"/>
  <c r="AG107" i="4"/>
  <c r="AE107" i="5"/>
  <c r="AG107" i="5"/>
  <c r="AE107" i="6"/>
  <c r="AG107" i="6"/>
  <c r="AE107" i="7"/>
  <c r="AG107" i="7"/>
  <c r="AE107" i="8"/>
  <c r="G109" i="4"/>
  <c r="I109" i="4"/>
  <c r="G109" i="5"/>
  <c r="I109" i="5"/>
  <c r="G109" i="6"/>
  <c r="I109" i="6"/>
  <c r="G109" i="7"/>
  <c r="I109" i="7"/>
  <c r="F110" i="2"/>
  <c r="M110" i="2"/>
  <c r="E115" i="4"/>
  <c r="W115" i="4"/>
  <c r="X115" i="4"/>
  <c r="D116" i="4"/>
  <c r="D116" i="5"/>
  <c r="G117" i="4"/>
  <c r="I117" i="4"/>
  <c r="G117" i="5"/>
  <c r="I117" i="5"/>
  <c r="G117" i="6"/>
  <c r="I117" i="6"/>
  <c r="G117" i="7"/>
  <c r="I117" i="7"/>
  <c r="G117" i="8"/>
  <c r="I117" i="8"/>
  <c r="Y117" i="4"/>
  <c r="AA117" i="4"/>
  <c r="Y117" i="5"/>
  <c r="AA117" i="5"/>
  <c r="Y117" i="6"/>
  <c r="AA117" i="6"/>
  <c r="Y117" i="7"/>
  <c r="AA117" i="7"/>
  <c r="Y117" i="8"/>
  <c r="AA117" i="8"/>
  <c r="E118" i="4"/>
  <c r="E118" i="5"/>
  <c r="E118" i="6"/>
  <c r="E118" i="7"/>
  <c r="E118" i="8"/>
  <c r="F120" i="2"/>
  <c r="M120" i="2"/>
  <c r="W120" i="4"/>
  <c r="W120" i="5"/>
  <c r="W120" i="6"/>
  <c r="W120" i="7"/>
  <c r="W120" i="8"/>
  <c r="G123" i="4"/>
  <c r="I123" i="4"/>
  <c r="G123" i="5"/>
  <c r="I123" i="5"/>
  <c r="G123" i="6"/>
  <c r="I123" i="6"/>
  <c r="G123" i="7"/>
  <c r="I123" i="7"/>
  <c r="G123" i="8"/>
  <c r="I123" i="8"/>
  <c r="G123" i="9"/>
  <c r="I123" i="9"/>
  <c r="G123" i="10"/>
  <c r="I123" i="10"/>
  <c r="G123" i="11" s="1"/>
  <c r="I123" i="11" s="1"/>
  <c r="BP19" i="4"/>
  <c r="Y127" i="4"/>
  <c r="AA127" i="4"/>
  <c r="Y127" i="5"/>
  <c r="AA127" i="5"/>
  <c r="Y127" i="6"/>
  <c r="AA127" i="6"/>
  <c r="Y127" i="7"/>
  <c r="AA127" i="7"/>
  <c r="Y127" i="8"/>
  <c r="AA127" i="8"/>
  <c r="Y127" i="9"/>
  <c r="AA127" i="9"/>
  <c r="W132" i="4"/>
  <c r="W132" i="5"/>
  <c r="W132" i="6"/>
  <c r="W132" i="7"/>
  <c r="W132" i="8"/>
  <c r="Y134" i="4"/>
  <c r="AA134" i="4"/>
  <c r="Y134" i="5"/>
  <c r="AA134" i="5"/>
  <c r="Y134" i="6"/>
  <c r="AA134" i="6"/>
  <c r="Y134" i="7"/>
  <c r="AA134" i="7"/>
  <c r="Y134" i="8"/>
  <c r="AA134" i="8"/>
  <c r="Y134" i="9"/>
  <c r="AA134" i="9"/>
  <c r="W135" i="4"/>
  <c r="W135" i="5"/>
  <c r="W135" i="6"/>
  <c r="W135" i="7"/>
  <c r="W135" i="8"/>
  <c r="V136" i="4"/>
  <c r="V136" i="5"/>
  <c r="V136" i="6"/>
  <c r="V136" i="7"/>
  <c r="Y138" i="4"/>
  <c r="AA138" i="4"/>
  <c r="Y138" i="5"/>
  <c r="AA138" i="5"/>
  <c r="Y138" i="6"/>
  <c r="AA138" i="6"/>
  <c r="Y138" i="7"/>
  <c r="AA138" i="7"/>
  <c r="Y138" i="8"/>
  <c r="AA138" i="8"/>
  <c r="Y138" i="9"/>
  <c r="AA138" i="9"/>
  <c r="V142" i="4"/>
  <c r="W150" i="4"/>
  <c r="V151" i="4"/>
  <c r="V151" i="5"/>
  <c r="V151" i="6"/>
  <c r="Y153" i="4"/>
  <c r="AA153" i="4"/>
  <c r="X159" i="2"/>
  <c r="AH159" i="2"/>
  <c r="V176" i="4"/>
  <c r="X176" i="4"/>
  <c r="BN23" i="4"/>
  <c r="Y178" i="4"/>
  <c r="AA178" i="4"/>
  <c r="Y177" i="5"/>
  <c r="AA177" i="5"/>
  <c r="Y177" i="6"/>
  <c r="AA177" i="6"/>
  <c r="Y177" i="7"/>
  <c r="AA177" i="7"/>
  <c r="Y177" i="8"/>
  <c r="AA177" i="8"/>
  <c r="Y177" i="9"/>
  <c r="AA177" i="9"/>
  <c r="AE180" i="4"/>
  <c r="AG180" i="4"/>
  <c r="AE179" i="5"/>
  <c r="AG179" i="5"/>
  <c r="AE179" i="6"/>
  <c r="AG179" i="6"/>
  <c r="AE179" i="7"/>
  <c r="AG179" i="7"/>
  <c r="AE179" i="8"/>
  <c r="AG179" i="8"/>
  <c r="AE179" i="9"/>
  <c r="AG179" i="9"/>
  <c r="Y182" i="4"/>
  <c r="AA182" i="4"/>
  <c r="Y181" i="5"/>
  <c r="AA181" i="5"/>
  <c r="Y181" i="6"/>
  <c r="AA181" i="6"/>
  <c r="Y181" i="7"/>
  <c r="AA181" i="7"/>
  <c r="Y181" i="8"/>
  <c r="AA181" i="8"/>
  <c r="Y181" i="9"/>
  <c r="AA181" i="9"/>
  <c r="V185" i="4"/>
  <c r="X185" i="4"/>
  <c r="AE185" i="4"/>
  <c r="W190" i="4"/>
  <c r="W189" i="5"/>
  <c r="AF196" i="2"/>
  <c r="V202" i="4"/>
  <c r="Y204" i="4"/>
  <c r="AA204" i="4"/>
  <c r="Y203" i="5"/>
  <c r="AA203" i="5"/>
  <c r="Y203" i="6"/>
  <c r="AA203" i="6"/>
  <c r="Y203" i="7"/>
  <c r="AA203" i="7"/>
  <c r="Y203" i="8"/>
  <c r="AA203" i="8"/>
  <c r="Y203" i="9"/>
  <c r="AA203" i="9"/>
  <c r="W205" i="2"/>
  <c r="V215" i="4"/>
  <c r="AE215" i="4"/>
  <c r="AG215" i="4"/>
  <c r="AE214" i="5"/>
  <c r="AG214" i="5"/>
  <c r="AE214" i="6"/>
  <c r="AG214" i="6"/>
  <c r="AE214" i="7"/>
  <c r="AG214" i="7"/>
  <c r="AE214" i="8"/>
  <c r="AG214" i="8"/>
  <c r="AE214" i="9"/>
  <c r="AG214" i="9"/>
  <c r="Y217" i="4"/>
  <c r="AA217" i="4"/>
  <c r="Y216" i="5"/>
  <c r="AA216" i="5"/>
  <c r="Y216" i="6"/>
  <c r="AA216" i="6"/>
  <c r="Y216" i="7"/>
  <c r="AA216" i="7"/>
  <c r="Y216" i="8"/>
  <c r="AA216" i="8"/>
  <c r="Y216" i="9"/>
  <c r="AA216" i="9"/>
  <c r="Y224" i="4"/>
  <c r="AA224" i="4"/>
  <c r="AM220" i="2"/>
  <c r="Y229" i="4"/>
  <c r="AA229" i="4"/>
  <c r="Y228" i="5"/>
  <c r="AA228" i="5"/>
  <c r="Y228" i="6"/>
  <c r="AA228" i="6"/>
  <c r="Y228" i="7"/>
  <c r="AA228" i="7"/>
  <c r="Y228" i="8"/>
  <c r="AA228" i="8"/>
  <c r="Y228" i="9"/>
  <c r="AA228" i="9"/>
  <c r="AB232" i="2"/>
  <c r="AE238" i="4"/>
  <c r="AG238" i="4"/>
  <c r="AE237" i="5"/>
  <c r="AG237" i="5"/>
  <c r="AE237" i="6"/>
  <c r="AG237" i="6"/>
  <c r="AE237" i="7"/>
  <c r="AG237" i="7"/>
  <c r="AE237" i="8"/>
  <c r="AG237" i="8"/>
  <c r="AE237" i="9"/>
  <c r="AG237" i="9"/>
  <c r="Y240" i="4"/>
  <c r="AA240" i="4"/>
  <c r="Y239" i="5"/>
  <c r="AA239" i="5"/>
  <c r="Y239" i="6"/>
  <c r="AA239" i="6"/>
  <c r="Y239" i="7"/>
  <c r="AA239" i="7"/>
  <c r="Y239" i="8"/>
  <c r="AA239" i="8"/>
  <c r="Y239" i="9"/>
  <c r="AA239" i="9"/>
  <c r="Y245" i="4"/>
  <c r="AA245" i="4"/>
  <c r="Y244" i="5"/>
  <c r="AA244" i="5"/>
  <c r="Y244" i="6"/>
  <c r="AA244" i="6"/>
  <c r="Y244" i="7"/>
  <c r="AA244" i="7"/>
  <c r="Y244" i="8"/>
  <c r="AA244" i="8"/>
  <c r="Y244" i="9"/>
  <c r="AA244" i="9"/>
  <c r="W246" i="4"/>
  <c r="W245" i="5"/>
  <c r="W245" i="6"/>
  <c r="W245" i="7"/>
  <c r="W245" i="8"/>
  <c r="V247" i="4"/>
  <c r="AE247" i="4"/>
  <c r="AG247" i="4"/>
  <c r="AE246" i="5"/>
  <c r="AG246" i="5"/>
  <c r="AE246" i="6"/>
  <c r="AG246" i="6"/>
  <c r="AE246" i="7"/>
  <c r="AG246" i="7"/>
  <c r="AE246" i="8"/>
  <c r="AG246" i="8"/>
  <c r="AE246" i="9"/>
  <c r="AG246" i="9"/>
  <c r="Y249" i="4"/>
  <c r="AA249" i="4"/>
  <c r="Y248" i="5"/>
  <c r="AA248" i="5"/>
  <c r="Y248" i="6"/>
  <c r="AA248" i="6"/>
  <c r="Y248" i="7"/>
  <c r="AA248" i="7"/>
  <c r="Y248" i="8"/>
  <c r="AA248" i="8"/>
  <c r="Y248" i="9"/>
  <c r="AA248" i="9"/>
  <c r="W250" i="4"/>
  <c r="AE251" i="4"/>
  <c r="AG251" i="4"/>
  <c r="AE250" i="5"/>
  <c r="AG250" i="5"/>
  <c r="AE250" i="6"/>
  <c r="AG250" i="6"/>
  <c r="AE250" i="7"/>
  <c r="AG250" i="7"/>
  <c r="AE250" i="8"/>
  <c r="AG250" i="8"/>
  <c r="AE250" i="9"/>
  <c r="AG250" i="9"/>
  <c r="Y253" i="4"/>
  <c r="AA253" i="4"/>
  <c r="Y252" i="5"/>
  <c r="AA252" i="5"/>
  <c r="Y252" i="6"/>
  <c r="AA252" i="6"/>
  <c r="Y252" i="7"/>
  <c r="AA252" i="7"/>
  <c r="Y252" i="8"/>
  <c r="AA252" i="8"/>
  <c r="Y252" i="9"/>
  <c r="AA252" i="9"/>
  <c r="W254" i="4"/>
  <c r="W253" i="5"/>
  <c r="W253" i="6"/>
  <c r="W253" i="7"/>
  <c r="W253" i="8"/>
  <c r="V255" i="4"/>
  <c r="AE255" i="4"/>
  <c r="AG255" i="4"/>
  <c r="AE254" i="5"/>
  <c r="AG254" i="5"/>
  <c r="AE254" i="6"/>
  <c r="AG254" i="6"/>
  <c r="AE254" i="7"/>
  <c r="AG254" i="7"/>
  <c r="AE254" i="8"/>
  <c r="AG254" i="8"/>
  <c r="AE254" i="9"/>
  <c r="AG254" i="9"/>
  <c r="B8" i="10"/>
  <c r="B8" i="11"/>
  <c r="B8" i="12" s="1"/>
  <c r="B8" i="13" s="1"/>
  <c r="B10" i="10"/>
  <c r="B10" i="11"/>
  <c r="B10" i="12" s="1"/>
  <c r="B10" i="13" s="1"/>
  <c r="A12" i="10"/>
  <c r="A12" i="11"/>
  <c r="A12" i="12"/>
  <c r="A12" i="13" s="1"/>
  <c r="A13" i="10"/>
  <c r="A13" i="11"/>
  <c r="A13" i="12"/>
  <c r="A13" i="13" s="1"/>
  <c r="T14" i="10"/>
  <c r="T14" i="11"/>
  <c r="T14" i="12" s="1"/>
  <c r="T14" i="13" s="1"/>
  <c r="A16" i="10"/>
  <c r="A16" i="11"/>
  <c r="A16" i="12" s="1"/>
  <c r="A16" i="13" s="1"/>
  <c r="A17" i="10"/>
  <c r="A17" i="11"/>
  <c r="A17" i="12" s="1"/>
  <c r="A17" i="13" s="1"/>
  <c r="T18" i="10"/>
  <c r="T18" i="11"/>
  <c r="T18" i="12"/>
  <c r="T18" i="13" s="1"/>
  <c r="T19" i="10"/>
  <c r="T19" i="11"/>
  <c r="T19" i="12" s="1"/>
  <c r="T19" i="13" s="1"/>
  <c r="T23" i="10"/>
  <c r="T23" i="11"/>
  <c r="T23" i="12" s="1"/>
  <c r="T23" i="13" s="1"/>
  <c r="A25" i="10"/>
  <c r="A25" i="11"/>
  <c r="A25" i="12" s="1"/>
  <c r="A25" i="13" s="1"/>
  <c r="A26" i="10"/>
  <c r="A26" i="11"/>
  <c r="A26" i="12" s="1"/>
  <c r="A26" i="13" s="1"/>
  <c r="B27" i="10"/>
  <c r="B27" i="11"/>
  <c r="B27" i="12"/>
  <c r="B27" i="13" s="1"/>
  <c r="B28" i="10"/>
  <c r="B28" i="11"/>
  <c r="B28" i="12" s="1"/>
  <c r="B28" i="13" s="1"/>
  <c r="B29" i="10"/>
  <c r="B29" i="11"/>
  <c r="B29" i="12" s="1"/>
  <c r="B29" i="13" s="1"/>
  <c r="A34" i="10"/>
  <c r="A34" i="11"/>
  <c r="A34" i="12" s="1"/>
  <c r="A34" i="13" s="1"/>
  <c r="A35" i="10"/>
  <c r="A35" i="11"/>
  <c r="A35" i="12" s="1"/>
  <c r="A35" i="13" s="1"/>
  <c r="A37" i="10"/>
  <c r="A37" i="11"/>
  <c r="A37" i="12" s="1"/>
  <c r="A37" i="13" s="1"/>
  <c r="A38" i="10"/>
  <c r="A38" i="11"/>
  <c r="A38" i="12"/>
  <c r="A38" i="13" s="1"/>
  <c r="A39" i="10"/>
  <c r="A39" i="11"/>
  <c r="A39" i="12" s="1"/>
  <c r="A40" i="10"/>
  <c r="A40" i="11"/>
  <c r="A40" i="12" s="1"/>
  <c r="A40" i="13" s="1"/>
  <c r="A41" i="10"/>
  <c r="A41" i="11"/>
  <c r="A41" i="12" s="1"/>
  <c r="A41" i="13" s="1"/>
  <c r="B42" i="10"/>
  <c r="B42" i="11"/>
  <c r="B42" i="12"/>
  <c r="B42" i="13"/>
  <c r="T46" i="10"/>
  <c r="T46" i="11"/>
  <c r="T46" i="12" s="1"/>
  <c r="T46" i="13" s="1"/>
  <c r="T47" i="10"/>
  <c r="T47" i="11"/>
  <c r="T47" i="12" s="1"/>
  <c r="T47" i="13" s="1"/>
  <c r="T48" i="10"/>
  <c r="T48" i="11"/>
  <c r="T48" i="12" s="1"/>
  <c r="T48" i="13" s="1"/>
  <c r="A50" i="10"/>
  <c r="A50" i="11"/>
  <c r="A50" i="12" s="1"/>
  <c r="A50" i="13" s="1"/>
  <c r="A51" i="10"/>
  <c r="A51" i="11"/>
  <c r="A51" i="12"/>
  <c r="A51" i="13"/>
  <c r="A52" i="10"/>
  <c r="A52" i="11"/>
  <c r="A52" i="12" s="1"/>
  <c r="A52" i="13" s="1"/>
  <c r="B53" i="10"/>
  <c r="B53" i="11"/>
  <c r="B53" i="12" s="1"/>
  <c r="B53" i="13" s="1"/>
  <c r="B54" i="10"/>
  <c r="B54" i="11"/>
  <c r="B54" i="12" s="1"/>
  <c r="B54" i="13" s="1"/>
  <c r="T58" i="10"/>
  <c r="T58" i="11"/>
  <c r="T58" i="12" s="1"/>
  <c r="T58" i="13" s="1"/>
  <c r="T59" i="11"/>
  <c r="T59" i="12" s="1"/>
  <c r="T59" i="13" s="1"/>
  <c r="T60" i="11"/>
  <c r="T60" i="12" s="1"/>
  <c r="T60" i="13" s="1"/>
  <c r="A62" i="10"/>
  <c r="A62" i="11"/>
  <c r="A62" i="12" s="1"/>
  <c r="A62" i="13" s="1"/>
  <c r="A63" i="10"/>
  <c r="A63" i="11"/>
  <c r="A63" i="12" s="1"/>
  <c r="A63" i="13" s="1"/>
  <c r="A64" i="10"/>
  <c r="A64" i="11"/>
  <c r="A64" i="12" s="1"/>
  <c r="A64" i="13" s="1"/>
  <c r="B65" i="10"/>
  <c r="B65" i="11"/>
  <c r="B65" i="12" s="1"/>
  <c r="B65" i="13" s="1"/>
  <c r="B66" i="10"/>
  <c r="B66" i="11"/>
  <c r="B66" i="12" s="1"/>
  <c r="B66" i="13" s="1"/>
  <c r="T70" i="10"/>
  <c r="T70" i="11"/>
  <c r="T70" i="12" s="1"/>
  <c r="T70" i="13" s="1"/>
  <c r="T71" i="10"/>
  <c r="T71" i="11"/>
  <c r="T71" i="12" s="1"/>
  <c r="T71" i="13" s="1"/>
  <c r="T72" i="10"/>
  <c r="T72" i="11"/>
  <c r="T72" i="12" s="1"/>
  <c r="T72" i="13" s="1"/>
  <c r="A74" i="10"/>
  <c r="A74" i="11"/>
  <c r="A74" i="12" s="1"/>
  <c r="A74" i="13" s="1"/>
  <c r="A75" i="10"/>
  <c r="A75" i="11"/>
  <c r="A75" i="12" s="1"/>
  <c r="A75" i="13" s="1"/>
  <c r="A76" i="10"/>
  <c r="A76" i="11"/>
  <c r="A76" i="12"/>
  <c r="A76" i="13" s="1"/>
  <c r="B77" i="10"/>
  <c r="B77" i="11"/>
  <c r="B77" i="12" s="1"/>
  <c r="B77" i="13" s="1"/>
  <c r="B78" i="10"/>
  <c r="B78" i="11"/>
  <c r="B78" i="12" s="1"/>
  <c r="B78" i="13" s="1"/>
  <c r="T82" i="10"/>
  <c r="T82" i="11"/>
  <c r="T82" i="12" s="1"/>
  <c r="T82" i="13" s="1"/>
  <c r="T83" i="10"/>
  <c r="T83" i="11"/>
  <c r="T83" i="12" s="1"/>
  <c r="T83" i="13" s="1"/>
  <c r="T84" i="10"/>
  <c r="T84" i="11"/>
  <c r="T84" i="12" s="1"/>
  <c r="T84" i="13" s="1"/>
  <c r="T85" i="10"/>
  <c r="T85" i="11"/>
  <c r="T85" i="12" s="1"/>
  <c r="T85" i="13"/>
  <c r="B87" i="10"/>
  <c r="B87" i="11"/>
  <c r="B87" i="12" s="1"/>
  <c r="B87" i="13" s="1"/>
  <c r="B88" i="10"/>
  <c r="B88" i="11"/>
  <c r="B88" i="12" s="1"/>
  <c r="B88" i="13" s="1"/>
  <c r="B89" i="10"/>
  <c r="B89" i="11"/>
  <c r="B89" i="12" s="1"/>
  <c r="B89" i="13" s="1"/>
  <c r="B90" i="10"/>
  <c r="B90" i="11"/>
  <c r="B90" i="12" s="1"/>
  <c r="B90" i="13" s="1"/>
  <c r="B91" i="10"/>
  <c r="B91" i="11"/>
  <c r="B91" i="12" s="1"/>
  <c r="B91" i="13" s="1"/>
  <c r="B92" i="10"/>
  <c r="B92" i="11"/>
  <c r="B92" i="12" s="1"/>
  <c r="B92" i="13" s="1"/>
  <c r="B93" i="10"/>
  <c r="B93" i="11"/>
  <c r="B93" i="12" s="1"/>
  <c r="B93" i="13" s="1"/>
  <c r="B94" i="10"/>
  <c r="B94" i="11"/>
  <c r="B94" i="12" s="1"/>
  <c r="B94" i="13" s="1"/>
  <c r="B95" i="10"/>
  <c r="B95" i="11"/>
  <c r="B95" i="12" s="1"/>
  <c r="B95" i="13" s="1"/>
  <c r="B98" i="10"/>
  <c r="B98" i="11"/>
  <c r="B98" i="12" s="1"/>
  <c r="B98" i="13"/>
  <c r="B99" i="10"/>
  <c r="B99" i="11"/>
  <c r="B99" i="12" s="1"/>
  <c r="B99" i="13" s="1"/>
  <c r="B100" i="10"/>
  <c r="B100" i="11"/>
  <c r="B100" i="12" s="1"/>
  <c r="B100" i="13" s="1"/>
  <c r="B101" i="10"/>
  <c r="B101" i="11"/>
  <c r="B101" i="12" s="1"/>
  <c r="B101" i="13" s="1"/>
  <c r="B102" i="10"/>
  <c r="B102" i="11"/>
  <c r="B102" i="12"/>
  <c r="B102" i="13" s="1"/>
  <c r="B105" i="10"/>
  <c r="B103" i="12"/>
  <c r="B107" i="10"/>
  <c r="B105" i="12"/>
  <c r="B105" i="13"/>
  <c r="B108" i="10"/>
  <c r="B109" i="10"/>
  <c r="B107" i="12"/>
  <c r="B107" i="13"/>
  <c r="B110" i="10"/>
  <c r="B108" i="12"/>
  <c r="B108" i="13"/>
  <c r="B111" i="10"/>
  <c r="B109" i="12"/>
  <c r="B109" i="13"/>
  <c r="B112" i="12"/>
  <c r="B112" i="13"/>
  <c r="B150" i="10"/>
  <c r="B113" i="12"/>
  <c r="B113" i="13"/>
  <c r="B113" i="10"/>
  <c r="B114" i="12"/>
  <c r="B114" i="13"/>
  <c r="B152" i="10"/>
  <c r="B110" i="12"/>
  <c r="B110" i="13"/>
  <c r="B111" i="12"/>
  <c r="B111" i="13"/>
  <c r="T158" i="10"/>
  <c r="T158" i="12"/>
  <c r="T158" i="13"/>
  <c r="T160" i="10"/>
  <c r="T160" i="12"/>
  <c r="T160" i="13"/>
  <c r="T162" i="10"/>
  <c r="T162" i="12"/>
  <c r="T162" i="13"/>
  <c r="T164" i="10"/>
  <c r="T164" i="12"/>
  <c r="T164" i="13"/>
  <c r="T166" i="10"/>
  <c r="T166" i="12"/>
  <c r="T166" i="13"/>
  <c r="T167" i="10"/>
  <c r="T167" i="12"/>
  <c r="T167" i="13"/>
  <c r="T169" i="10"/>
  <c r="T169" i="12"/>
  <c r="T169" i="13"/>
  <c r="T171" i="10"/>
  <c r="T171" i="12"/>
  <c r="T171" i="13"/>
  <c r="T173" i="10"/>
  <c r="T173" i="12"/>
  <c r="T173" i="13"/>
  <c r="T175" i="10"/>
  <c r="T175" i="12"/>
  <c r="T175" i="13"/>
  <c r="T177" i="10"/>
  <c r="T177" i="12"/>
  <c r="T177" i="13"/>
  <c r="T179" i="10"/>
  <c r="T179" i="12"/>
  <c r="T179" i="13"/>
  <c r="T183" i="10"/>
  <c r="T183" i="12"/>
  <c r="T183" i="13"/>
  <c r="T185" i="10"/>
  <c r="T185" i="12"/>
  <c r="T185" i="13"/>
  <c r="T187" i="10"/>
  <c r="T187" i="12"/>
  <c r="T187" i="13"/>
  <c r="T195" i="10"/>
  <c r="T195" i="12"/>
  <c r="T195" i="13"/>
  <c r="T197" i="10"/>
  <c r="T197" i="12"/>
  <c r="T197" i="13"/>
  <c r="T201" i="10"/>
  <c r="T201" i="12"/>
  <c r="T201" i="13"/>
  <c r="T203" i="10"/>
  <c r="T203" i="12"/>
  <c r="T203" i="13"/>
  <c r="T205" i="10"/>
  <c r="T205" i="12"/>
  <c r="T205" i="13"/>
  <c r="T207" i="10"/>
  <c r="T207" i="12"/>
  <c r="T207" i="13"/>
  <c r="T209" i="10"/>
  <c r="T209" i="12"/>
  <c r="T209" i="13"/>
  <c r="T222" i="10"/>
  <c r="T222" i="12"/>
  <c r="T222" i="13"/>
  <c r="T226" i="10"/>
  <c r="T226" i="12"/>
  <c r="T226" i="13"/>
  <c r="T228" i="10"/>
  <c r="T228" i="12"/>
  <c r="T228" i="13"/>
  <c r="T230" i="10"/>
  <c r="T230" i="12"/>
  <c r="T230" i="13"/>
  <c r="T232" i="10"/>
  <c r="T232" i="12"/>
  <c r="T232" i="13"/>
  <c r="T245" i="10"/>
  <c r="T245" i="12"/>
  <c r="T245" i="13"/>
  <c r="T252" i="10"/>
  <c r="T252" i="12"/>
  <c r="T252" i="13"/>
  <c r="T254" i="10"/>
  <c r="T254" i="12"/>
  <c r="T254" i="13"/>
  <c r="T256" i="10"/>
  <c r="T256" i="12"/>
  <c r="T256" i="13"/>
  <c r="P28" i="5"/>
  <c r="P21" i="5"/>
  <c r="P19" i="5"/>
  <c r="P17" i="5"/>
  <c r="P8" i="5"/>
  <c r="AL145" i="5"/>
  <c r="K10" i="6"/>
  <c r="BE7" i="6"/>
  <c r="AC90" i="6"/>
  <c r="AC63" i="6"/>
  <c r="AC90" i="8"/>
  <c r="AC63" i="8"/>
  <c r="AM112" i="8"/>
  <c r="AC43" i="11"/>
  <c r="AC14" i="11"/>
  <c r="U226" i="12"/>
  <c r="Z231" i="12"/>
  <c r="T250" i="10"/>
  <c r="T250" i="12"/>
  <c r="T250" i="13"/>
  <c r="AE25" i="4"/>
  <c r="AG25" i="4"/>
  <c r="AE25" i="5"/>
  <c r="AG25" i="5"/>
  <c r="AE25" i="6"/>
  <c r="AG25" i="6"/>
  <c r="AE25" i="7"/>
  <c r="AG25" i="7"/>
  <c r="AE25" i="8"/>
  <c r="AG25" i="8"/>
  <c r="AE25" i="9"/>
  <c r="AG25" i="9"/>
  <c r="Y26" i="4"/>
  <c r="AA26" i="4"/>
  <c r="Y26" i="5"/>
  <c r="AA26" i="5"/>
  <c r="Y26" i="6"/>
  <c r="AA26" i="6"/>
  <c r="Y26" i="7"/>
  <c r="AA26" i="7"/>
  <c r="Y26" i="8"/>
  <c r="AA26" i="8"/>
  <c r="Y26" i="9"/>
  <c r="AA26" i="9"/>
  <c r="AE27" i="4"/>
  <c r="AG27" i="4"/>
  <c r="AE27" i="5"/>
  <c r="AG27" i="5"/>
  <c r="AE27" i="6"/>
  <c r="AG27" i="6"/>
  <c r="AE27" i="7"/>
  <c r="AG27" i="7"/>
  <c r="AE27" i="8"/>
  <c r="AG27" i="8"/>
  <c r="AE27" i="9"/>
  <c r="AG27" i="9"/>
  <c r="AE30" i="4"/>
  <c r="AG30" i="4"/>
  <c r="AE30" i="5"/>
  <c r="AG30" i="5"/>
  <c r="AE30" i="6"/>
  <c r="AG30" i="6"/>
  <c r="AE30" i="7"/>
  <c r="AG30" i="7"/>
  <c r="AE30" i="8"/>
  <c r="AG30" i="8"/>
  <c r="AE30" i="9"/>
  <c r="AG30" i="9"/>
  <c r="L29" i="2"/>
  <c r="AE32" i="4"/>
  <c r="AG32" i="4"/>
  <c r="AE32" i="5"/>
  <c r="AG32" i="5"/>
  <c r="AE32" i="6"/>
  <c r="AG32" i="6"/>
  <c r="AE32" i="7"/>
  <c r="AG32" i="7"/>
  <c r="AE32" i="8"/>
  <c r="AG32" i="8"/>
  <c r="AE32" i="9"/>
  <c r="AG32" i="9"/>
  <c r="AE39" i="4"/>
  <c r="AG39" i="4"/>
  <c r="AE39" i="5"/>
  <c r="AG39" i="5"/>
  <c r="AE39" i="6"/>
  <c r="AG39" i="6"/>
  <c r="AE39" i="7"/>
  <c r="AG39" i="7"/>
  <c r="AE39" i="8"/>
  <c r="AG39" i="8"/>
  <c r="AE39" i="9"/>
  <c r="AG39" i="9"/>
  <c r="X45" i="4"/>
  <c r="AE47" i="4"/>
  <c r="AG47" i="4"/>
  <c r="AE47" i="5"/>
  <c r="AG47" i="5"/>
  <c r="AE47" i="6"/>
  <c r="AG47" i="6"/>
  <c r="AE47" i="7"/>
  <c r="AG47" i="7"/>
  <c r="AE47" i="8"/>
  <c r="AG47" i="8"/>
  <c r="AE47" i="9"/>
  <c r="AG47" i="9"/>
  <c r="D50" i="4"/>
  <c r="D50" i="5"/>
  <c r="D50" i="6"/>
  <c r="X50" i="4"/>
  <c r="AE60" i="4"/>
  <c r="AG60" i="4"/>
  <c r="AE60" i="5"/>
  <c r="AG60" i="5"/>
  <c r="AE60" i="6"/>
  <c r="AG60" i="6"/>
  <c r="AE60" i="7"/>
  <c r="AG60" i="7"/>
  <c r="AE60" i="8"/>
  <c r="AG60" i="8"/>
  <c r="AE60" i="9"/>
  <c r="AG60" i="9"/>
  <c r="Y68" i="4"/>
  <c r="AA68" i="4"/>
  <c r="Y68" i="5"/>
  <c r="AA68" i="5"/>
  <c r="Y68" i="6"/>
  <c r="AA68" i="6"/>
  <c r="Y68" i="7"/>
  <c r="AA68" i="7"/>
  <c r="Y68" i="8"/>
  <c r="AA68" i="8"/>
  <c r="Y68" i="9"/>
  <c r="AA68" i="9"/>
  <c r="X70" i="2"/>
  <c r="AI70" i="2"/>
  <c r="Y72" i="4"/>
  <c r="AA72" i="4"/>
  <c r="Y72" i="5"/>
  <c r="AA72" i="5"/>
  <c r="Y72" i="6"/>
  <c r="AA72" i="6"/>
  <c r="Y72" i="7"/>
  <c r="AA72" i="7"/>
  <c r="Y72" i="8"/>
  <c r="AA72" i="8"/>
  <c r="Y72" i="9"/>
  <c r="AA72" i="9"/>
  <c r="V73" i="4"/>
  <c r="Y74" i="4"/>
  <c r="AA74" i="4"/>
  <c r="Y74" i="5"/>
  <c r="AA74" i="5"/>
  <c r="Y74" i="6"/>
  <c r="AA74" i="6"/>
  <c r="Y74" i="7"/>
  <c r="AA74" i="7"/>
  <c r="Y74" i="8"/>
  <c r="AA74" i="8"/>
  <c r="Y74" i="9"/>
  <c r="AA74" i="9"/>
  <c r="Y86" i="4"/>
  <c r="AA86" i="4"/>
  <c r="Y86" i="5"/>
  <c r="AA86" i="5"/>
  <c r="Y86" i="6"/>
  <c r="AA86" i="6"/>
  <c r="Y86" i="7"/>
  <c r="AA86" i="7"/>
  <c r="Y86" i="8"/>
  <c r="AA86" i="8"/>
  <c r="Y86" i="9"/>
  <c r="AA86" i="9"/>
  <c r="AE88" i="4"/>
  <c r="AG88" i="4"/>
  <c r="AE88" i="5"/>
  <c r="AG88" i="5"/>
  <c r="AE88" i="6"/>
  <c r="AG88" i="6"/>
  <c r="AE88" i="7"/>
  <c r="AG88" i="7"/>
  <c r="AE88" i="8"/>
  <c r="AG88" i="8"/>
  <c r="AE88" i="9"/>
  <c r="AE100" i="4"/>
  <c r="AG100" i="4"/>
  <c r="AE100" i="5"/>
  <c r="AG100" i="5"/>
  <c r="AE100" i="6"/>
  <c r="AG100" i="6"/>
  <c r="AE100" i="7"/>
  <c r="AG100" i="7"/>
  <c r="AE100" i="8"/>
  <c r="AG100" i="8"/>
  <c r="AE100" i="9"/>
  <c r="AG100" i="9"/>
  <c r="Y102" i="4"/>
  <c r="AA102" i="4"/>
  <c r="Y102" i="5"/>
  <c r="AA102" i="5"/>
  <c r="Y102" i="6"/>
  <c r="AA102" i="6"/>
  <c r="Y102" i="7"/>
  <c r="AA102" i="7"/>
  <c r="Y102" i="8"/>
  <c r="AA102" i="8"/>
  <c r="Y102" i="9"/>
  <c r="AA102" i="9"/>
  <c r="Y121" i="4"/>
  <c r="AA121" i="4"/>
  <c r="Y121" i="5"/>
  <c r="AA121" i="5"/>
  <c r="Y121" i="6"/>
  <c r="AA121" i="6"/>
  <c r="Y121" i="7"/>
  <c r="AA121" i="7"/>
  <c r="Y121" i="8"/>
  <c r="AA121" i="8"/>
  <c r="Y129" i="4"/>
  <c r="AA129" i="4"/>
  <c r="Y129" i="5"/>
  <c r="AA129" i="5"/>
  <c r="Y129" i="6"/>
  <c r="AA129" i="6"/>
  <c r="Y129" i="7"/>
  <c r="AA129" i="7"/>
  <c r="Y129" i="8"/>
  <c r="AA129" i="8"/>
  <c r="Y129" i="9"/>
  <c r="AA129" i="9"/>
  <c r="W134" i="4"/>
  <c r="W134" i="5"/>
  <c r="W134" i="6"/>
  <c r="W134" i="7"/>
  <c r="W134" i="8"/>
  <c r="W137" i="4"/>
  <c r="W137" i="5"/>
  <c r="W137" i="6"/>
  <c r="W137" i="7"/>
  <c r="W137" i="8"/>
  <c r="W152" i="4"/>
  <c r="W152" i="5"/>
  <c r="W152" i="6"/>
  <c r="W152" i="7"/>
  <c r="W152" i="8"/>
  <c r="W172" i="4"/>
  <c r="BO23" i="2"/>
  <c r="AE178" i="4"/>
  <c r="AG178" i="4"/>
  <c r="AE177" i="5"/>
  <c r="AG177" i="5"/>
  <c r="AE177" i="6"/>
  <c r="AG177" i="6"/>
  <c r="AE177" i="7"/>
  <c r="AG177" i="7"/>
  <c r="AE177" i="8"/>
  <c r="AG177" i="8"/>
  <c r="AE177" i="9"/>
  <c r="AG177" i="9"/>
  <c r="W181" i="4"/>
  <c r="W180" i="5"/>
  <c r="W180" i="6"/>
  <c r="W180" i="7"/>
  <c r="W180" i="8"/>
  <c r="Y199" i="4"/>
  <c r="AA199" i="4"/>
  <c r="Y198" i="5"/>
  <c r="AA198" i="5"/>
  <c r="Y198" i="6"/>
  <c r="AA198" i="6"/>
  <c r="Y198" i="7"/>
  <c r="AA198" i="7"/>
  <c r="Y198" i="8"/>
  <c r="AA198" i="8"/>
  <c r="Y198" i="9"/>
  <c r="AA198" i="9"/>
  <c r="AE213" i="4"/>
  <c r="AG213" i="4"/>
  <c r="AE212" i="5"/>
  <c r="AG212" i="5"/>
  <c r="AE212" i="6"/>
  <c r="AG212" i="6"/>
  <c r="AE212" i="7"/>
  <c r="AG212" i="7"/>
  <c r="AE212" i="8"/>
  <c r="AG212" i="8"/>
  <c r="AE212" i="9"/>
  <c r="AG212" i="9"/>
  <c r="W216" i="4"/>
  <c r="W215" i="5"/>
  <c r="W215" i="6"/>
  <c r="W215" i="7"/>
  <c r="W215" i="8"/>
  <c r="W223" i="4"/>
  <c r="V229" i="4"/>
  <c r="V236" i="4"/>
  <c r="Y238" i="4"/>
  <c r="AA238" i="4"/>
  <c r="Y237" i="5"/>
  <c r="AA237" i="5"/>
  <c r="Y237" i="6"/>
  <c r="AA237" i="6"/>
  <c r="Y237" i="7"/>
  <c r="AA237" i="7"/>
  <c r="Y237" i="8"/>
  <c r="AA237" i="8"/>
  <c r="Y237" i="9"/>
  <c r="AA237" i="9"/>
  <c r="W239" i="4"/>
  <c r="W238" i="5"/>
  <c r="W238" i="6"/>
  <c r="W238" i="7"/>
  <c r="W238" i="8"/>
  <c r="AE240" i="4"/>
  <c r="AG240" i="4"/>
  <c r="AE239" i="5"/>
  <c r="AG239" i="5"/>
  <c r="AE239" i="6"/>
  <c r="AG239" i="6"/>
  <c r="AE239" i="7"/>
  <c r="AG239" i="7"/>
  <c r="AE239" i="8"/>
  <c r="AG239" i="8"/>
  <c r="AE239" i="9"/>
  <c r="AG239" i="9"/>
  <c r="W244" i="4"/>
  <c r="X244" i="4"/>
  <c r="AE245" i="4"/>
  <c r="AG245" i="4"/>
  <c r="AE244" i="5"/>
  <c r="AG244" i="5"/>
  <c r="AE244" i="6"/>
  <c r="AG244" i="6"/>
  <c r="AE244" i="7"/>
  <c r="AG244" i="7"/>
  <c r="AE244" i="8"/>
  <c r="AG244" i="8"/>
  <c r="AE244" i="9"/>
  <c r="AG244" i="9"/>
  <c r="Y247" i="4"/>
  <c r="AA247" i="4"/>
  <c r="Y246" i="5"/>
  <c r="AA246" i="5"/>
  <c r="Y246" i="6"/>
  <c r="AA246" i="6"/>
  <c r="Y246" i="7"/>
  <c r="AA246" i="7"/>
  <c r="Y246" i="8"/>
  <c r="AA246" i="8"/>
  <c r="Y246" i="9"/>
  <c r="AA246" i="9"/>
  <c r="W248" i="4"/>
  <c r="W247" i="5"/>
  <c r="W247" i="6"/>
  <c r="W247" i="7"/>
  <c r="W247" i="8"/>
  <c r="V249" i="4"/>
  <c r="AE249" i="4"/>
  <c r="AG249" i="4"/>
  <c r="AE248" i="5"/>
  <c r="AG248" i="5"/>
  <c r="AE248" i="6"/>
  <c r="AG248" i="6"/>
  <c r="AE248" i="7"/>
  <c r="AG248" i="7"/>
  <c r="AE248" i="8"/>
  <c r="AG248" i="8"/>
  <c r="AE248" i="9"/>
  <c r="AG248" i="9"/>
  <c r="Y251" i="4"/>
  <c r="AA251" i="4"/>
  <c r="Y250" i="5"/>
  <c r="AA250" i="5"/>
  <c r="Y250" i="6"/>
  <c r="AA250" i="6"/>
  <c r="Y250" i="7"/>
  <c r="AA250" i="7"/>
  <c r="Y250" i="8"/>
  <c r="AA250" i="8"/>
  <c r="Y250" i="9"/>
  <c r="AA250" i="9"/>
  <c r="W252" i="4"/>
  <c r="W251" i="5"/>
  <c r="W251" i="6"/>
  <c r="W251" i="7"/>
  <c r="W251" i="8"/>
  <c r="AE253" i="4"/>
  <c r="AG253" i="4"/>
  <c r="AE252" i="5"/>
  <c r="AG252" i="5"/>
  <c r="AE252" i="6"/>
  <c r="AG252" i="6"/>
  <c r="AE252" i="7"/>
  <c r="AG252" i="7"/>
  <c r="AE252" i="8"/>
  <c r="AG252" i="8"/>
  <c r="AE252" i="9"/>
  <c r="AG252" i="9"/>
  <c r="Y255" i="4"/>
  <c r="AA255" i="4"/>
  <c r="T8" i="10"/>
  <c r="T8" i="11"/>
  <c r="T12" i="10"/>
  <c r="T12" i="11"/>
  <c r="T12" i="12" s="1"/>
  <c r="T12" i="13" s="1"/>
  <c r="A15" i="10"/>
  <c r="A15" i="11"/>
  <c r="A15" i="12" s="1"/>
  <c r="A15" i="13" s="1"/>
  <c r="B19" i="10"/>
  <c r="B19" i="11"/>
  <c r="B19" i="12"/>
  <c r="B19" i="13" s="1"/>
  <c r="A21" i="10"/>
  <c r="A21" i="11"/>
  <c r="A21" i="12" s="1"/>
  <c r="A21" i="13" s="1"/>
  <c r="A23" i="10"/>
  <c r="A23" i="11"/>
  <c r="A23" i="12" s="1"/>
  <c r="A23" i="13" s="1"/>
  <c r="T27" i="10"/>
  <c r="T27" i="11"/>
  <c r="T27" i="12"/>
  <c r="T27" i="13" s="1"/>
  <c r="A31" i="10"/>
  <c r="A31" i="11"/>
  <c r="A31" i="12" s="1"/>
  <c r="A31" i="13" s="1"/>
  <c r="T41" i="9"/>
  <c r="T41" i="10"/>
  <c r="T41" i="11"/>
  <c r="T41" i="12" s="1"/>
  <c r="T41" i="13" s="1"/>
  <c r="A46" i="10"/>
  <c r="A46" i="11"/>
  <c r="A46" i="12"/>
  <c r="A46" i="13" s="1"/>
  <c r="T52" i="10"/>
  <c r="T52" i="11"/>
  <c r="T52" i="12"/>
  <c r="T52" i="13"/>
  <c r="A56" i="10"/>
  <c r="A56" i="11"/>
  <c r="A56" i="12" s="1"/>
  <c r="A56" i="13" s="1"/>
  <c r="B59" i="10"/>
  <c r="B59" i="11"/>
  <c r="B59" i="12" s="1"/>
  <c r="B59" i="13" s="1"/>
  <c r="T65" i="10"/>
  <c r="T65" i="11"/>
  <c r="T65" i="12" s="1"/>
  <c r="T65" i="13" s="1"/>
  <c r="A69" i="10"/>
  <c r="A69" i="11"/>
  <c r="A69" i="12" s="1"/>
  <c r="A69" i="13" s="1"/>
  <c r="B72" i="10"/>
  <c r="B72" i="11"/>
  <c r="B72" i="12" s="1"/>
  <c r="B72" i="13" s="1"/>
  <c r="T78" i="10"/>
  <c r="T78" i="11"/>
  <c r="T78" i="12" s="1"/>
  <c r="T78" i="13" s="1"/>
  <c r="A81" i="10"/>
  <c r="A81" i="11"/>
  <c r="A81" i="12" s="1"/>
  <c r="A81" i="13" s="1"/>
  <c r="B84" i="10"/>
  <c r="B84" i="11"/>
  <c r="B84" i="12" s="1"/>
  <c r="B84" i="13" s="1"/>
  <c r="T86" i="10"/>
  <c r="T86" i="11"/>
  <c r="T86" i="12" s="1"/>
  <c r="T86" i="13" s="1"/>
  <c r="T90" i="10"/>
  <c r="T90" i="11"/>
  <c r="T90" i="12" s="1"/>
  <c r="T90" i="13" s="1"/>
  <c r="T93" i="10"/>
  <c r="T93" i="11"/>
  <c r="T93" i="12" s="1"/>
  <c r="T93" i="13" s="1"/>
  <c r="T96" i="10"/>
  <c r="T96" i="11"/>
  <c r="T96" i="12" s="1"/>
  <c r="T96" i="13" s="1"/>
  <c r="T99" i="10"/>
  <c r="T99" i="11"/>
  <c r="T99" i="12" s="1"/>
  <c r="T99" i="13" s="1"/>
  <c r="V67" i="4"/>
  <c r="AE67" i="4"/>
  <c r="AG67" i="4"/>
  <c r="AE67" i="5"/>
  <c r="AG67" i="5"/>
  <c r="AE67" i="6"/>
  <c r="AG67" i="6"/>
  <c r="AE67" i="7"/>
  <c r="AG67" i="7"/>
  <c r="AE67" i="8"/>
  <c r="AG67" i="8"/>
  <c r="AE67" i="9"/>
  <c r="AG67" i="9"/>
  <c r="W70" i="4"/>
  <c r="V71" i="4"/>
  <c r="V71" i="5"/>
  <c r="W73" i="4"/>
  <c r="W73" i="5"/>
  <c r="W73" i="6"/>
  <c r="W73" i="7"/>
  <c r="W73" i="8"/>
  <c r="W76" i="4"/>
  <c r="W76" i="5"/>
  <c r="W76" i="6"/>
  <c r="W76" i="7"/>
  <c r="W76" i="8"/>
  <c r="AE77" i="4"/>
  <c r="AG77" i="4"/>
  <c r="AE77" i="5"/>
  <c r="AG77" i="5"/>
  <c r="AE77" i="6"/>
  <c r="AG77" i="6"/>
  <c r="AE77" i="7"/>
  <c r="AG77" i="7"/>
  <c r="AE77" i="8"/>
  <c r="AG77" i="8"/>
  <c r="AE77" i="9"/>
  <c r="AG77" i="9"/>
  <c r="AE79" i="4"/>
  <c r="AG79" i="4"/>
  <c r="AE79" i="5"/>
  <c r="AG79" i="5"/>
  <c r="AE79" i="6"/>
  <c r="AG79" i="6"/>
  <c r="AE79" i="7"/>
  <c r="AG79" i="7"/>
  <c r="AE79" i="8"/>
  <c r="AG79" i="8"/>
  <c r="AE79" i="9"/>
  <c r="AG79" i="9"/>
  <c r="Y87" i="4"/>
  <c r="AA87" i="4"/>
  <c r="Y87" i="5"/>
  <c r="AA87" i="5"/>
  <c r="Y87" i="6"/>
  <c r="AA87" i="6"/>
  <c r="Y87" i="7"/>
  <c r="AA87" i="7"/>
  <c r="Y87" i="8"/>
  <c r="AA87" i="8"/>
  <c r="Y87" i="9"/>
  <c r="AA87" i="9"/>
  <c r="AE94" i="4"/>
  <c r="AG94" i="4"/>
  <c r="X97" i="4"/>
  <c r="Y99" i="4"/>
  <c r="AA99" i="4"/>
  <c r="Y99" i="5"/>
  <c r="AA99" i="5"/>
  <c r="Y99" i="6"/>
  <c r="AA99" i="6"/>
  <c r="Y99" i="7"/>
  <c r="AA99" i="7"/>
  <c r="Y99" i="8"/>
  <c r="AA99" i="8"/>
  <c r="Y99" i="9"/>
  <c r="AA99" i="9"/>
  <c r="AB107" i="4"/>
  <c r="AD107" i="4"/>
  <c r="AB107" i="5"/>
  <c r="AD107" i="5"/>
  <c r="AB107" i="6"/>
  <c r="AD107" i="6"/>
  <c r="AB107" i="7"/>
  <c r="AD107" i="7"/>
  <c r="AB107" i="8"/>
  <c r="G108" i="4"/>
  <c r="I108" i="4"/>
  <c r="G108" i="5"/>
  <c r="I108" i="5"/>
  <c r="G108" i="6"/>
  <c r="I108" i="6"/>
  <c r="G108" i="7"/>
  <c r="I108" i="7"/>
  <c r="G108" i="8"/>
  <c r="I108" i="8"/>
  <c r="G108" i="9"/>
  <c r="I108" i="9"/>
  <c r="Y108" i="4"/>
  <c r="AA108" i="4"/>
  <c r="Y108" i="5"/>
  <c r="AA108" i="5"/>
  <c r="Y108" i="6"/>
  <c r="AA108" i="6"/>
  <c r="Y108" i="7"/>
  <c r="AA108" i="7"/>
  <c r="Y108" i="8"/>
  <c r="AA108" i="8"/>
  <c r="D115" i="4"/>
  <c r="Y116" i="4"/>
  <c r="AA116" i="4"/>
  <c r="Y116" i="5"/>
  <c r="AA116" i="5"/>
  <c r="Y116" i="6"/>
  <c r="AA116" i="6"/>
  <c r="Y116" i="7"/>
  <c r="AA116" i="7"/>
  <c r="Y116" i="8"/>
  <c r="AA116" i="8"/>
  <c r="D118" i="4"/>
  <c r="D118" i="5"/>
  <c r="G119" i="4"/>
  <c r="I119" i="4"/>
  <c r="G119" i="5"/>
  <c r="I119" i="5"/>
  <c r="G119" i="6"/>
  <c r="I119" i="6"/>
  <c r="G119" i="7"/>
  <c r="I119" i="7"/>
  <c r="G119" i="8"/>
  <c r="I119" i="8"/>
  <c r="G119" i="9"/>
  <c r="I119" i="9"/>
  <c r="G119" i="10"/>
  <c r="I119" i="10"/>
  <c r="G119" i="11" s="1"/>
  <c r="I119" i="11" s="1"/>
  <c r="G119" i="12" s="1"/>
  <c r="I119" i="12" s="1"/>
  <c r="G119" i="13" s="1"/>
  <c r="V120" i="4"/>
  <c r="V120" i="5"/>
  <c r="V124" i="4"/>
  <c r="Y126" i="4"/>
  <c r="AA126" i="4"/>
  <c r="BO19" i="4"/>
  <c r="Y130" i="4"/>
  <c r="AA130" i="4"/>
  <c r="Y130" i="5"/>
  <c r="AA130" i="5"/>
  <c r="Y130" i="6"/>
  <c r="AA130" i="6"/>
  <c r="Y130" i="7"/>
  <c r="AA130" i="7"/>
  <c r="Y130" i="8"/>
  <c r="AA130" i="8"/>
  <c r="Y130" i="9"/>
  <c r="AA130" i="9"/>
  <c r="W131" i="4"/>
  <c r="W131" i="5"/>
  <c r="W131" i="6"/>
  <c r="W131" i="7"/>
  <c r="W131" i="8"/>
  <c r="W138" i="4"/>
  <c r="W138" i="5"/>
  <c r="W138" i="6"/>
  <c r="W138" i="7"/>
  <c r="W138" i="8"/>
  <c r="W143" i="4"/>
  <c r="V150" i="4"/>
  <c r="BP23" i="2"/>
  <c r="AE179" i="4"/>
  <c r="AG179" i="4"/>
  <c r="AE178" i="5"/>
  <c r="AG178" i="5"/>
  <c r="AE178" i="6"/>
  <c r="AG178" i="6"/>
  <c r="AE178" i="7"/>
  <c r="AG178" i="7"/>
  <c r="AE178" i="8"/>
  <c r="AG178" i="8"/>
  <c r="AE178" i="9"/>
  <c r="AG178" i="9"/>
  <c r="V198" i="4"/>
  <c r="V207" i="4"/>
  <c r="X207" i="4"/>
  <c r="AE214" i="4"/>
  <c r="AG214" i="4"/>
  <c r="AE213" i="5"/>
  <c r="AG213" i="5"/>
  <c r="AE213" i="6"/>
  <c r="AG213" i="6"/>
  <c r="AE213" i="7"/>
  <c r="AG213" i="7"/>
  <c r="AE213" i="8"/>
  <c r="AG213" i="8"/>
  <c r="AE213" i="9"/>
  <c r="AG213" i="9"/>
  <c r="Y216" i="4"/>
  <c r="AA216" i="4"/>
  <c r="Y215" i="5"/>
  <c r="AA215" i="5"/>
  <c r="Y215" i="6"/>
  <c r="AA215" i="6"/>
  <c r="Y215" i="7"/>
  <c r="AA215" i="7"/>
  <c r="Y215" i="8"/>
  <c r="AA215" i="8"/>
  <c r="Y215" i="9"/>
  <c r="AA215" i="9"/>
  <c r="W217" i="4"/>
  <c r="W216" i="5"/>
  <c r="W216" i="6"/>
  <c r="W216" i="7"/>
  <c r="W216" i="8"/>
  <c r="V218" i="4"/>
  <c r="W236" i="4"/>
  <c r="V241" i="4"/>
  <c r="AE241" i="4"/>
  <c r="AG241" i="4"/>
  <c r="AE240" i="5"/>
  <c r="AG240" i="5"/>
  <c r="AE240" i="6"/>
  <c r="AG240" i="6"/>
  <c r="AE240" i="7"/>
  <c r="AG240" i="7"/>
  <c r="AE240" i="8"/>
  <c r="AG240" i="8"/>
  <c r="AE240" i="9"/>
  <c r="AG240" i="9"/>
  <c r="AE246" i="4"/>
  <c r="AG246" i="4"/>
  <c r="AE245" i="5"/>
  <c r="AG245" i="5"/>
  <c r="AE245" i="6"/>
  <c r="AG245" i="6"/>
  <c r="AE245" i="7"/>
  <c r="AG245" i="7"/>
  <c r="AE245" i="8"/>
  <c r="AG245" i="8"/>
  <c r="AE245" i="9"/>
  <c r="AG245" i="9"/>
  <c r="Y248" i="4"/>
  <c r="AA248" i="4"/>
  <c r="Y247" i="5"/>
  <c r="AA247" i="5"/>
  <c r="Y247" i="6"/>
  <c r="AA247" i="6"/>
  <c r="Y247" i="7"/>
  <c r="AA247" i="7"/>
  <c r="Y247" i="8"/>
  <c r="AA247" i="8"/>
  <c r="Y247" i="9"/>
  <c r="AA247" i="9"/>
  <c r="W253" i="4"/>
  <c r="W252" i="5"/>
  <c r="W252" i="6"/>
  <c r="W252" i="7"/>
  <c r="W252" i="8"/>
  <c r="AE254" i="4"/>
  <c r="AG254" i="4"/>
  <c r="AE253" i="5"/>
  <c r="AG253" i="5"/>
  <c r="AE253" i="6"/>
  <c r="AG253" i="6"/>
  <c r="AE253" i="7"/>
  <c r="AG253" i="7"/>
  <c r="AE253" i="8"/>
  <c r="AG253" i="8"/>
  <c r="AE253" i="9"/>
  <c r="AG253" i="9"/>
  <c r="Y256" i="4"/>
  <c r="A8" i="10"/>
  <c r="A8" i="11"/>
  <c r="A8" i="12"/>
  <c r="A8" i="13" s="1"/>
  <c r="T16" i="10"/>
  <c r="T16" i="11"/>
  <c r="T16" i="12" s="1"/>
  <c r="T16" i="13" s="1"/>
  <c r="B22" i="10"/>
  <c r="B22" i="11"/>
  <c r="B22" i="12"/>
  <c r="B22" i="13" s="1"/>
  <c r="T25" i="10"/>
  <c r="T25" i="11"/>
  <c r="T25" i="12" s="1"/>
  <c r="T25" i="13" s="1"/>
  <c r="A29" i="10"/>
  <c r="A29" i="11"/>
  <c r="A29" i="12" s="1"/>
  <c r="A29" i="13" s="1"/>
  <c r="B32" i="10"/>
  <c r="B32" i="11"/>
  <c r="B32" i="12"/>
  <c r="B32" i="13" s="1"/>
  <c r="T35" i="10"/>
  <c r="T35" i="11"/>
  <c r="T35" i="12" s="1"/>
  <c r="T35" i="13" s="1"/>
  <c r="T38" i="10"/>
  <c r="T38" i="11"/>
  <c r="T38" i="12" s="1"/>
  <c r="T38" i="13" s="1"/>
  <c r="A42" i="10"/>
  <c r="A42" i="11"/>
  <c r="A42" i="12" s="1"/>
  <c r="A42" i="13" s="1"/>
  <c r="B45" i="10"/>
  <c r="B45" i="11"/>
  <c r="B45" i="12"/>
  <c r="B45" i="13" s="1"/>
  <c r="T50" i="10"/>
  <c r="T50" i="11"/>
  <c r="T50" i="12" s="1"/>
  <c r="T50" i="13" s="1"/>
  <c r="A54" i="10"/>
  <c r="A54" i="11"/>
  <c r="A54" i="12" s="1"/>
  <c r="A54" i="13" s="1"/>
  <c r="B56" i="10"/>
  <c r="B56" i="11"/>
  <c r="B56" i="12" s="1"/>
  <c r="B56" i="13" s="1"/>
  <c r="A65" i="10"/>
  <c r="A65" i="11"/>
  <c r="A65" i="12" s="1"/>
  <c r="A65" i="13" s="1"/>
  <c r="B69" i="10"/>
  <c r="B69" i="11"/>
  <c r="B69" i="12" s="1"/>
  <c r="B69" i="13" s="1"/>
  <c r="T75" i="10"/>
  <c r="T75" i="11"/>
  <c r="T75" i="12" s="1"/>
  <c r="T75" i="13" s="1"/>
  <c r="A78" i="10"/>
  <c r="A78" i="11"/>
  <c r="A78" i="12" s="1"/>
  <c r="A78" i="13" s="1"/>
  <c r="B80" i="10"/>
  <c r="B80" i="11"/>
  <c r="B80" i="12" s="1"/>
  <c r="B80" i="13" s="1"/>
  <c r="A87" i="10"/>
  <c r="A87" i="11"/>
  <c r="A87" i="12" s="1"/>
  <c r="A87" i="13" s="1"/>
  <c r="A89" i="10"/>
  <c r="A89" i="11"/>
  <c r="A89" i="12"/>
  <c r="A89" i="13" s="1"/>
  <c r="A91" i="10"/>
  <c r="A91" i="11"/>
  <c r="A91" i="12"/>
  <c r="A91" i="13" s="1"/>
  <c r="A93" i="10"/>
  <c r="A93" i="11"/>
  <c r="A93" i="12" s="1"/>
  <c r="A93" i="13" s="1"/>
  <c r="A95" i="10"/>
  <c r="A95" i="11"/>
  <c r="A95" i="12" s="1"/>
  <c r="A95" i="13" s="1"/>
  <c r="A100" i="10"/>
  <c r="A100" i="11"/>
  <c r="A100" i="12" s="1"/>
  <c r="A100" i="13" s="1"/>
  <c r="A109" i="12"/>
  <c r="A109" i="13"/>
  <c r="A109" i="10"/>
  <c r="A107" i="12"/>
  <c r="A107" i="13"/>
  <c r="T139" i="10"/>
  <c r="T139" i="12"/>
  <c r="T139" i="13"/>
  <c r="D12" i="4"/>
  <c r="F14" i="14"/>
  <c r="F10" i="14"/>
  <c r="BF14" i="4"/>
  <c r="BF14" i="7"/>
  <c r="BE10" i="2"/>
  <c r="Y18" i="4"/>
  <c r="AA18" i="4"/>
  <c r="AE19" i="4"/>
  <c r="AG19" i="4"/>
  <c r="AE19" i="5"/>
  <c r="AG19" i="5"/>
  <c r="AE19" i="6"/>
  <c r="AG19" i="6"/>
  <c r="AE19" i="7"/>
  <c r="AG19" i="7"/>
  <c r="AE19" i="8"/>
  <c r="AG19" i="8"/>
  <c r="AE19" i="9"/>
  <c r="AG19" i="9"/>
  <c r="Y23" i="4"/>
  <c r="AA23" i="4"/>
  <c r="Y23" i="5"/>
  <c r="AA23" i="5"/>
  <c r="Y23" i="6"/>
  <c r="AA23" i="6"/>
  <c r="Y23" i="7"/>
  <c r="AA23" i="7"/>
  <c r="Y23" i="8"/>
  <c r="AA23" i="8"/>
  <c r="Y23" i="9"/>
  <c r="AA23" i="9"/>
  <c r="E24" i="4"/>
  <c r="E24" i="5"/>
  <c r="E24" i="6"/>
  <c r="E24" i="7"/>
  <c r="E24" i="8"/>
  <c r="E24" i="9"/>
  <c r="Y25" i="4"/>
  <c r="AA25" i="4"/>
  <c r="Y25" i="5"/>
  <c r="AA25" i="5"/>
  <c r="Y25" i="6"/>
  <c r="AA25" i="6"/>
  <c r="Y25" i="7"/>
  <c r="AA25" i="7"/>
  <c r="Y25" i="8"/>
  <c r="AA25" i="8"/>
  <c r="Y25" i="9"/>
  <c r="AA25" i="9"/>
  <c r="AE26" i="4"/>
  <c r="AG26" i="4"/>
  <c r="AE26" i="5"/>
  <c r="AG26" i="5"/>
  <c r="AE26" i="6"/>
  <c r="AG26" i="6"/>
  <c r="AE26" i="7"/>
  <c r="AG26" i="7"/>
  <c r="AE26" i="8"/>
  <c r="AG26" i="8"/>
  <c r="AE26" i="9"/>
  <c r="AG26" i="9"/>
  <c r="Y27" i="4"/>
  <c r="AA27" i="4"/>
  <c r="Y27" i="5"/>
  <c r="AA27" i="5"/>
  <c r="Y27" i="6"/>
  <c r="AA27" i="6"/>
  <c r="Y27" i="7"/>
  <c r="AA27" i="7"/>
  <c r="Y27" i="8"/>
  <c r="AA27" i="8"/>
  <c r="Y27" i="9"/>
  <c r="AA27" i="9"/>
  <c r="X29" i="2"/>
  <c r="AH29" i="2"/>
  <c r="Y32" i="4"/>
  <c r="AA32" i="4"/>
  <c r="Y32" i="5"/>
  <c r="AA32" i="5"/>
  <c r="Y32" i="6"/>
  <c r="AA32" i="6"/>
  <c r="Y32" i="7"/>
  <c r="AA32" i="7"/>
  <c r="Y32" i="8"/>
  <c r="AA32" i="8"/>
  <c r="Y32" i="9"/>
  <c r="AA32" i="9"/>
  <c r="D37" i="4"/>
  <c r="D37" i="5"/>
  <c r="AE37" i="4"/>
  <c r="AG37" i="4"/>
  <c r="AE37" i="5"/>
  <c r="AG37" i="5"/>
  <c r="AE37" i="6"/>
  <c r="AG37" i="6"/>
  <c r="AE37" i="7"/>
  <c r="AG37" i="7"/>
  <c r="AE37" i="8"/>
  <c r="AG37" i="8"/>
  <c r="AE37" i="9"/>
  <c r="AG37" i="9"/>
  <c r="W40" i="4"/>
  <c r="W40" i="5"/>
  <c r="W40" i="6"/>
  <c r="W40" i="7"/>
  <c r="W40" i="8"/>
  <c r="V41" i="4"/>
  <c r="V41" i="5"/>
  <c r="V41" i="6"/>
  <c r="V41" i="7"/>
  <c r="V41" i="8"/>
  <c r="E12" i="4"/>
  <c r="E10" i="4"/>
  <c r="AS12" i="2"/>
  <c r="F13" i="2"/>
  <c r="M13" i="2"/>
  <c r="AX13" i="2"/>
  <c r="G14" i="4"/>
  <c r="I14" i="4"/>
  <c r="G14" i="5"/>
  <c r="I14" i="5"/>
  <c r="G14" i="6"/>
  <c r="I14" i="6"/>
  <c r="X17" i="2"/>
  <c r="AI17" i="2"/>
  <c r="BP11" i="2"/>
  <c r="F22" i="14"/>
  <c r="BF19" i="4"/>
  <c r="BF19" i="7"/>
  <c r="BQ12" i="2"/>
  <c r="F35" i="14"/>
  <c r="F32" i="14"/>
  <c r="BF20" i="4"/>
  <c r="BF20" i="7"/>
  <c r="F23" i="14"/>
  <c r="G24" i="4"/>
  <c r="I24" i="4"/>
  <c r="G24" i="5"/>
  <c r="I24" i="5"/>
  <c r="Y24" i="4"/>
  <c r="AA24" i="4"/>
  <c r="Y24" i="5"/>
  <c r="AA24" i="5"/>
  <c r="Y24" i="6"/>
  <c r="AA24" i="6"/>
  <c r="Y24" i="7"/>
  <c r="AA24" i="7"/>
  <c r="Y24" i="8"/>
  <c r="AA24" i="8"/>
  <c r="Y24" i="9"/>
  <c r="AA24" i="9"/>
  <c r="Y28" i="4"/>
  <c r="AA28" i="4"/>
  <c r="Y28" i="5"/>
  <c r="AA28" i="5"/>
  <c r="Y28" i="6"/>
  <c r="AA28" i="6"/>
  <c r="Y28" i="7"/>
  <c r="AA28" i="7"/>
  <c r="Y28" i="8"/>
  <c r="AA28" i="8"/>
  <c r="Y28" i="9"/>
  <c r="AA28" i="9"/>
  <c r="D29" i="2"/>
  <c r="G31" i="4"/>
  <c r="I31" i="4"/>
  <c r="G31" i="5"/>
  <c r="I31" i="5"/>
  <c r="G31" i="6"/>
  <c r="I31" i="6"/>
  <c r="G31" i="7"/>
  <c r="I31" i="7"/>
  <c r="G31" i="8"/>
  <c r="I31" i="8"/>
  <c r="G31" i="9"/>
  <c r="I31" i="9"/>
  <c r="Y31" i="4"/>
  <c r="AA31" i="4"/>
  <c r="Y31" i="5"/>
  <c r="AA31" i="5"/>
  <c r="Y31" i="6"/>
  <c r="AA31" i="6"/>
  <c r="Y31" i="7"/>
  <c r="AA31" i="7"/>
  <c r="Y31" i="8"/>
  <c r="AA31" i="8"/>
  <c r="Y31" i="9"/>
  <c r="AA31" i="9"/>
  <c r="G28" i="2"/>
  <c r="G21" i="2"/>
  <c r="G19" i="2"/>
  <c r="G17" i="2"/>
  <c r="G8" i="2"/>
  <c r="D34" i="4"/>
  <c r="I35" i="2"/>
  <c r="Y36" i="4"/>
  <c r="V38" i="4"/>
  <c r="V38" i="5"/>
  <c r="V38" i="6"/>
  <c r="AE38" i="4"/>
  <c r="AG38" i="4"/>
  <c r="AE38" i="5"/>
  <c r="AG38" i="5"/>
  <c r="AE38" i="6"/>
  <c r="AG38" i="6"/>
  <c r="AE38" i="7"/>
  <c r="AG38" i="7"/>
  <c r="AE38" i="8"/>
  <c r="AG38" i="8"/>
  <c r="AE38" i="9"/>
  <c r="AG38" i="9"/>
  <c r="G40" i="4"/>
  <c r="I40" i="4"/>
  <c r="G40" i="5"/>
  <c r="I40" i="5"/>
  <c r="G40" i="6"/>
  <c r="I40" i="6"/>
  <c r="G40" i="7"/>
  <c r="I40" i="7"/>
  <c r="G40" i="8"/>
  <c r="I40" i="8"/>
  <c r="G40" i="9"/>
  <c r="I40" i="9"/>
  <c r="Y40" i="4"/>
  <c r="AA40" i="4"/>
  <c r="Y40" i="5"/>
  <c r="AA40" i="5"/>
  <c r="Y40" i="6"/>
  <c r="AA40" i="6"/>
  <c r="Y40" i="7"/>
  <c r="AA40" i="7"/>
  <c r="Y40" i="8"/>
  <c r="AA40" i="8"/>
  <c r="Y40" i="9"/>
  <c r="AA40" i="9"/>
  <c r="D42" i="2"/>
  <c r="D44" i="4"/>
  <c r="I45" i="2"/>
  <c r="D47" i="4"/>
  <c r="D47" i="5"/>
  <c r="D47" i="6"/>
  <c r="D48" i="2"/>
  <c r="Y53" i="4"/>
  <c r="AA53" i="4"/>
  <c r="Y54" i="4"/>
  <c r="AA54" i="4"/>
  <c r="Y54" i="5"/>
  <c r="AA54" i="5"/>
  <c r="Y54" i="6"/>
  <c r="AA54" i="6"/>
  <c r="Y54" i="7"/>
  <c r="AA54" i="7"/>
  <c r="Y54" i="8"/>
  <c r="AA54" i="8"/>
  <c r="Y54" i="9"/>
  <c r="AA54" i="9"/>
  <c r="D62" i="4"/>
  <c r="D62" i="5"/>
  <c r="D62" i="6"/>
  <c r="D62" i="7"/>
  <c r="F64" i="2"/>
  <c r="BC14" i="2"/>
  <c r="E72" i="2"/>
  <c r="W72" i="4"/>
  <c r="W72" i="5"/>
  <c r="W72" i="6"/>
  <c r="W72" i="7"/>
  <c r="W72" i="8"/>
  <c r="F74" i="2"/>
  <c r="M74" i="2"/>
  <c r="W75" i="4"/>
  <c r="W75" i="5"/>
  <c r="W75" i="6"/>
  <c r="W75" i="7"/>
  <c r="W75" i="8"/>
  <c r="Y77" i="4"/>
  <c r="AA77" i="4"/>
  <c r="Y77" i="5"/>
  <c r="AA77" i="5"/>
  <c r="Y77" i="6"/>
  <c r="AA77" i="6"/>
  <c r="Y77" i="7"/>
  <c r="AA77" i="7"/>
  <c r="Y77" i="8"/>
  <c r="AA77" i="8"/>
  <c r="Y77" i="9"/>
  <c r="AA77" i="9"/>
  <c r="E78" i="2"/>
  <c r="W78" i="4"/>
  <c r="W78" i="5"/>
  <c r="W78" i="6"/>
  <c r="W78" i="7"/>
  <c r="W78" i="8"/>
  <c r="Y79" i="4"/>
  <c r="AA79" i="4"/>
  <c r="Y79" i="5"/>
  <c r="AA79" i="5"/>
  <c r="Y79" i="6"/>
  <c r="AA79" i="6"/>
  <c r="Y79" i="7"/>
  <c r="AA79" i="7"/>
  <c r="Y79" i="8"/>
  <c r="AA79" i="8"/>
  <c r="Y79" i="9"/>
  <c r="AA79" i="9"/>
  <c r="E80" i="4"/>
  <c r="E80" i="5"/>
  <c r="E80" i="6"/>
  <c r="E80" i="7"/>
  <c r="E80" i="8"/>
  <c r="E80" i="9"/>
  <c r="W80" i="4"/>
  <c r="W80" i="5"/>
  <c r="W80" i="6"/>
  <c r="W80" i="7"/>
  <c r="W80" i="8"/>
  <c r="C81" i="10"/>
  <c r="C21" i="10"/>
  <c r="C19" i="10" s="1"/>
  <c r="C17" i="10" s="1"/>
  <c r="C8" i="10" s="1"/>
  <c r="C126" i="10" s="1"/>
  <c r="C130" i="10" s="1"/>
  <c r="C81" i="4"/>
  <c r="C21" i="4"/>
  <c r="C19" i="4"/>
  <c r="C17" i="4"/>
  <c r="U258" i="4"/>
  <c r="V87" i="4"/>
  <c r="V87" i="5"/>
  <c r="AE87" i="4"/>
  <c r="AG87" i="4"/>
  <c r="AE87" i="5"/>
  <c r="AG87" i="5"/>
  <c r="AE87" i="6"/>
  <c r="AG87" i="6"/>
  <c r="AE87" i="7"/>
  <c r="AG87" i="7"/>
  <c r="AE87" i="8"/>
  <c r="AG87" i="8"/>
  <c r="AE87" i="9"/>
  <c r="AG87" i="9"/>
  <c r="G89" i="4"/>
  <c r="I89" i="4"/>
  <c r="G90" i="4"/>
  <c r="I90" i="4"/>
  <c r="G90" i="5"/>
  <c r="I90" i="5"/>
  <c r="Y90" i="2"/>
  <c r="Y63" i="2"/>
  <c r="D92" i="4"/>
  <c r="D92" i="5"/>
  <c r="AE92" i="4"/>
  <c r="Y94" i="4"/>
  <c r="AA94" i="4"/>
  <c r="Y94" i="5"/>
  <c r="AA94" i="5"/>
  <c r="Y94" i="6"/>
  <c r="AA94" i="6"/>
  <c r="Y94" i="7"/>
  <c r="AA94" i="7"/>
  <c r="Y94" i="8"/>
  <c r="AA94" i="8"/>
  <c r="Y94" i="9"/>
  <c r="AA94" i="9"/>
  <c r="U90" i="2"/>
  <c r="U63" i="2"/>
  <c r="AE99" i="4"/>
  <c r="AG99" i="4"/>
  <c r="G101" i="4"/>
  <c r="I101" i="4"/>
  <c r="G101" i="5"/>
  <c r="I101" i="5"/>
  <c r="G101" i="6"/>
  <c r="I101" i="6"/>
  <c r="G101" i="7"/>
  <c r="I101" i="7"/>
  <c r="G101" i="8"/>
  <c r="I101" i="8"/>
  <c r="G101" i="9"/>
  <c r="I101" i="9"/>
  <c r="Y101" i="4"/>
  <c r="AA101" i="4"/>
  <c r="Y101" i="5"/>
  <c r="AA101" i="5"/>
  <c r="Y101" i="6"/>
  <c r="AA101" i="6"/>
  <c r="Y101" i="7"/>
  <c r="AA101" i="7"/>
  <c r="Y101" i="8"/>
  <c r="AA101" i="8"/>
  <c r="Y101" i="9"/>
  <c r="AA101" i="9"/>
  <c r="W105" i="2"/>
  <c r="W104" i="2"/>
  <c r="AE108" i="4"/>
  <c r="AG108" i="4"/>
  <c r="AE108" i="5"/>
  <c r="AG108" i="5"/>
  <c r="AE108" i="6"/>
  <c r="AG108" i="6"/>
  <c r="AE108" i="7"/>
  <c r="AG108" i="7"/>
  <c r="AE108" i="8"/>
  <c r="G110" i="4"/>
  <c r="I110" i="4"/>
  <c r="G110" i="5"/>
  <c r="I110" i="5"/>
  <c r="G110" i="6"/>
  <c r="I110" i="6"/>
  <c r="G110" i="7"/>
  <c r="I110" i="7"/>
  <c r="G110" i="8"/>
  <c r="I110" i="8"/>
  <c r="G110" i="9"/>
  <c r="I110" i="9"/>
  <c r="G110" i="10"/>
  <c r="I110" i="10"/>
  <c r="G110" i="11" s="1"/>
  <c r="I110" i="11" s="1"/>
  <c r="G111" i="4"/>
  <c r="I111" i="4"/>
  <c r="G111" i="5"/>
  <c r="I111" i="5"/>
  <c r="G111" i="6"/>
  <c r="I111" i="6"/>
  <c r="G111" i="7"/>
  <c r="I111" i="7"/>
  <c r="G111" i="8"/>
  <c r="I111" i="8"/>
  <c r="G111" i="9"/>
  <c r="I111" i="9"/>
  <c r="G111" i="10"/>
  <c r="I111" i="10"/>
  <c r="G111" i="11" s="1"/>
  <c r="I111" i="11" s="1"/>
  <c r="G111" i="12" s="1"/>
  <c r="I111" i="12" s="1"/>
  <c r="G111" i="13" s="1"/>
  <c r="V116" i="4"/>
  <c r="V116" i="5"/>
  <c r="F118" i="2"/>
  <c r="M118" i="2"/>
  <c r="W118" i="4"/>
  <c r="W118" i="5"/>
  <c r="W118" i="6"/>
  <c r="W118" i="7"/>
  <c r="W118" i="8"/>
  <c r="G120" i="4"/>
  <c r="I120" i="4"/>
  <c r="G120" i="5"/>
  <c r="I120" i="5"/>
  <c r="G120" i="6"/>
  <c r="I120" i="6"/>
  <c r="G120" i="7"/>
  <c r="I120" i="7"/>
  <c r="G120" i="8"/>
  <c r="I120" i="8"/>
  <c r="G120" i="9"/>
  <c r="I120" i="9"/>
  <c r="G120" i="10"/>
  <c r="I120" i="10"/>
  <c r="G120" i="11" s="1"/>
  <c r="I120" i="11" s="1"/>
  <c r="G120" i="12" s="1"/>
  <c r="I120" i="12" s="1"/>
  <c r="G120" i="13" s="1"/>
  <c r="Y120" i="4"/>
  <c r="AA120" i="4"/>
  <c r="Y120" i="5"/>
  <c r="AA120" i="5"/>
  <c r="Y120" i="6"/>
  <c r="AA120" i="6"/>
  <c r="Y120" i="7"/>
  <c r="AA120" i="7"/>
  <c r="Y120" i="8"/>
  <c r="AA120" i="8"/>
  <c r="E121" i="4"/>
  <c r="E121" i="5"/>
  <c r="E121" i="6"/>
  <c r="E121" i="7"/>
  <c r="E121" i="8"/>
  <c r="B122" i="4"/>
  <c r="B122" i="5"/>
  <c r="B122" i="6"/>
  <c r="B122" i="7"/>
  <c r="B122" i="8"/>
  <c r="W125" i="4"/>
  <c r="W125" i="5"/>
  <c r="W125" i="6"/>
  <c r="W125" i="7"/>
  <c r="W125" i="8"/>
  <c r="V126" i="4"/>
  <c r="Y128" i="4"/>
  <c r="AA128" i="4"/>
  <c r="Y128" i="5"/>
  <c r="AA128" i="5"/>
  <c r="Y128" i="6"/>
  <c r="AA128" i="6"/>
  <c r="Y128" i="7"/>
  <c r="AA128" i="7"/>
  <c r="Y128" i="8"/>
  <c r="AA128" i="8"/>
  <c r="Y128" i="9"/>
  <c r="AA128" i="9"/>
  <c r="W129" i="4"/>
  <c r="W129" i="5"/>
  <c r="W129" i="6"/>
  <c r="W129" i="7"/>
  <c r="W129" i="8"/>
  <c r="V130" i="4"/>
  <c r="V130" i="5"/>
  <c r="Y132" i="4"/>
  <c r="AA132" i="4"/>
  <c r="Y132" i="5"/>
  <c r="AA132" i="5"/>
  <c r="Y132" i="6"/>
  <c r="AA132" i="6"/>
  <c r="Y132" i="7"/>
  <c r="AA132" i="7"/>
  <c r="Y132" i="8"/>
  <c r="AA132" i="8"/>
  <c r="Y132" i="9"/>
  <c r="AA132" i="9"/>
  <c r="W133" i="4"/>
  <c r="W133" i="5"/>
  <c r="W133" i="6"/>
  <c r="W133" i="7"/>
  <c r="W133" i="8"/>
  <c r="V134" i="4"/>
  <c r="V134" i="5"/>
  <c r="Y135" i="4"/>
  <c r="AA135" i="4"/>
  <c r="Y135" i="5"/>
  <c r="AA135" i="5"/>
  <c r="Y135" i="6"/>
  <c r="AA135" i="6"/>
  <c r="Y135" i="7"/>
  <c r="AA135" i="7"/>
  <c r="Y135" i="8"/>
  <c r="AA135" i="8"/>
  <c r="Y135" i="9"/>
  <c r="AA135" i="9"/>
  <c r="Y139" i="4"/>
  <c r="AA139" i="4"/>
  <c r="Y139" i="5"/>
  <c r="AA139" i="5"/>
  <c r="Y139" i="6"/>
  <c r="AA139" i="6"/>
  <c r="Y139" i="7"/>
  <c r="AA139" i="7"/>
  <c r="Y139" i="8"/>
  <c r="AA139" i="8"/>
  <c r="Y139" i="9"/>
  <c r="AA139" i="9"/>
  <c r="W142" i="4"/>
  <c r="V148" i="4"/>
  <c r="V148" i="5"/>
  <c r="AB145" i="2"/>
  <c r="Y150" i="4"/>
  <c r="V152" i="4"/>
  <c r="V152" i="5"/>
  <c r="V152" i="6"/>
  <c r="V172" i="4"/>
  <c r="V177" i="4"/>
  <c r="V176" i="5"/>
  <c r="V176" i="6"/>
  <c r="V176" i="7"/>
  <c r="Y179" i="4"/>
  <c r="AA179" i="4"/>
  <c r="Y178" i="5"/>
  <c r="AA178" i="5"/>
  <c r="Y178" i="6"/>
  <c r="AA178" i="6"/>
  <c r="Y178" i="7"/>
  <c r="AA178" i="7"/>
  <c r="Y178" i="8"/>
  <c r="AA178" i="8"/>
  <c r="Y178" i="9"/>
  <c r="AA178" i="9"/>
  <c r="W180" i="4"/>
  <c r="W179" i="5"/>
  <c r="W179" i="6"/>
  <c r="W179" i="7"/>
  <c r="W179" i="8"/>
  <c r="AE181" i="4"/>
  <c r="AG181" i="4"/>
  <c r="AE180" i="5"/>
  <c r="AG180" i="5"/>
  <c r="AE180" i="6"/>
  <c r="AG180" i="6"/>
  <c r="AE180" i="7"/>
  <c r="AG180" i="7"/>
  <c r="AE180" i="8"/>
  <c r="AG180" i="8"/>
  <c r="AE180" i="9"/>
  <c r="AG180" i="9"/>
  <c r="V187" i="4"/>
  <c r="AE191" i="4"/>
  <c r="AG191" i="4"/>
  <c r="AE190" i="5"/>
  <c r="AG190" i="5"/>
  <c r="AE190" i="6"/>
  <c r="AG190" i="6"/>
  <c r="AE190" i="7"/>
  <c r="AG190" i="7"/>
  <c r="AE190" i="8"/>
  <c r="AG190" i="8"/>
  <c r="AE190" i="9"/>
  <c r="AG190" i="9"/>
  <c r="V200" i="4"/>
  <c r="Y201" i="4"/>
  <c r="AA201" i="4"/>
  <c r="Y200" i="5"/>
  <c r="AA200" i="5"/>
  <c r="Y200" i="6"/>
  <c r="AA200" i="6"/>
  <c r="Y200" i="7"/>
  <c r="AA200" i="7"/>
  <c r="Y200" i="8"/>
  <c r="AA200" i="8"/>
  <c r="Y200" i="9"/>
  <c r="AA200" i="9"/>
  <c r="Y196" i="2"/>
  <c r="Y195" i="2"/>
  <c r="Y193" i="2"/>
  <c r="AE196" i="2"/>
  <c r="AE195" i="2"/>
  <c r="AE193" i="2"/>
  <c r="Y207" i="4"/>
  <c r="AA207" i="4"/>
  <c r="Y206" i="5"/>
  <c r="AA206" i="5"/>
  <c r="Y206" i="6"/>
  <c r="AA206" i="6"/>
  <c r="Y206" i="7"/>
  <c r="AA206" i="7"/>
  <c r="Y206" i="8"/>
  <c r="AA206" i="8"/>
  <c r="Y206" i="9"/>
  <c r="AA206" i="9"/>
  <c r="V212" i="4"/>
  <c r="Y214" i="4"/>
  <c r="AA214" i="4"/>
  <c r="Y213" i="5"/>
  <c r="AA213" i="5"/>
  <c r="Y213" i="6"/>
  <c r="AA213" i="6"/>
  <c r="Y213" i="7"/>
  <c r="AA213" i="7"/>
  <c r="Y213" i="8"/>
  <c r="AA213" i="8"/>
  <c r="Y213" i="9"/>
  <c r="AA213" i="9"/>
  <c r="AE216" i="4"/>
  <c r="AG216" i="4"/>
  <c r="AE215" i="5"/>
  <c r="AG215" i="5"/>
  <c r="AE215" i="6"/>
  <c r="AG215" i="6"/>
  <c r="AE215" i="7"/>
  <c r="AG215" i="7"/>
  <c r="AE215" i="8"/>
  <c r="AG215" i="8"/>
  <c r="AE215" i="9"/>
  <c r="AG215" i="9"/>
  <c r="V223" i="4"/>
  <c r="AE223" i="4"/>
  <c r="Y225" i="4"/>
  <c r="AA225" i="4"/>
  <c r="Y224" i="5"/>
  <c r="AA224" i="5"/>
  <c r="Y224" i="6"/>
  <c r="AA224" i="6"/>
  <c r="V228" i="4"/>
  <c r="W237" i="5"/>
  <c r="W237" i="6"/>
  <c r="W237" i="7"/>
  <c r="W237" i="8"/>
  <c r="V239" i="4"/>
  <c r="AE239" i="4"/>
  <c r="AG239" i="4"/>
  <c r="AE238" i="5"/>
  <c r="AG238" i="5"/>
  <c r="AE238" i="6"/>
  <c r="AG238" i="6"/>
  <c r="AE238" i="7"/>
  <c r="AG238" i="7"/>
  <c r="AE238" i="8"/>
  <c r="AG238" i="8"/>
  <c r="AE238" i="9"/>
  <c r="AG238" i="9"/>
  <c r="Y241" i="4"/>
  <c r="AA241" i="4"/>
  <c r="Y240" i="5"/>
  <c r="AA240" i="5"/>
  <c r="Y240" i="6"/>
  <c r="AA240" i="6"/>
  <c r="Y240" i="7"/>
  <c r="AA240" i="7"/>
  <c r="Y240" i="8"/>
  <c r="AA240" i="8"/>
  <c r="Y240" i="9"/>
  <c r="AA240" i="9"/>
  <c r="V248" i="4"/>
  <c r="AE248" i="4"/>
  <c r="AG248" i="4"/>
  <c r="AE247" i="5"/>
  <c r="AG247" i="5"/>
  <c r="AE247" i="6"/>
  <c r="AG247" i="6"/>
  <c r="AE247" i="7"/>
  <c r="AG247" i="7"/>
  <c r="AE247" i="8"/>
  <c r="AG247" i="8"/>
  <c r="AE247" i="9"/>
  <c r="AG247" i="9"/>
  <c r="Y250" i="4"/>
  <c r="AA250" i="4"/>
  <c r="Y249" i="5"/>
  <c r="AA249" i="5"/>
  <c r="Y249" i="6"/>
  <c r="AA249" i="6"/>
  <c r="Y249" i="7"/>
  <c r="AA249" i="7"/>
  <c r="Y249" i="8"/>
  <c r="AA249" i="8"/>
  <c r="Y249" i="9"/>
  <c r="AA249" i="9"/>
  <c r="V252" i="4"/>
  <c r="AE252" i="4"/>
  <c r="AG252" i="4"/>
  <c r="AE251" i="5"/>
  <c r="AG251" i="5"/>
  <c r="AE251" i="6"/>
  <c r="AG251" i="6"/>
  <c r="AE251" i="7"/>
  <c r="AG251" i="7"/>
  <c r="AE251" i="8"/>
  <c r="AG251" i="8"/>
  <c r="AE251" i="9"/>
  <c r="AG251" i="9"/>
  <c r="Y254" i="4"/>
  <c r="V256" i="4"/>
  <c r="AE256" i="4"/>
  <c r="B16" i="10"/>
  <c r="B16" i="11"/>
  <c r="B16" i="12" s="1"/>
  <c r="B16" i="13" s="1"/>
  <c r="B17" i="10"/>
  <c r="B17" i="11"/>
  <c r="B17" i="12" s="1"/>
  <c r="B17" i="13" s="1"/>
  <c r="A18" i="10"/>
  <c r="A18" i="11"/>
  <c r="A18" i="12" s="1"/>
  <c r="A18" i="13" s="1"/>
  <c r="A19" i="10"/>
  <c r="A19" i="11"/>
  <c r="A19" i="12"/>
  <c r="A19" i="13" s="1"/>
  <c r="T20" i="10"/>
  <c r="T20" i="11"/>
  <c r="T20" i="12"/>
  <c r="T20" i="13" s="1"/>
  <c r="T21" i="10"/>
  <c r="T21" i="11"/>
  <c r="T21" i="12" s="1"/>
  <c r="T21" i="13" s="1"/>
  <c r="T22" i="10"/>
  <c r="T22" i="11"/>
  <c r="T22" i="12"/>
  <c r="T22" i="13"/>
  <c r="A24" i="10"/>
  <c r="A24" i="11"/>
  <c r="A24" i="12" s="1"/>
  <c r="A24" i="13" s="1"/>
  <c r="B25" i="10"/>
  <c r="B25" i="11"/>
  <c r="B25" i="12" s="1"/>
  <c r="B25" i="13" s="1"/>
  <c r="S26" i="10"/>
  <c r="S26" i="11"/>
  <c r="S26" i="12"/>
  <c r="S26" i="13" s="1"/>
  <c r="T30" i="10"/>
  <c r="T30" i="11"/>
  <c r="T30" i="12" s="1"/>
  <c r="T30" i="13" s="1"/>
  <c r="T31" i="10"/>
  <c r="T31" i="11"/>
  <c r="T31" i="12"/>
  <c r="T31" i="13"/>
  <c r="T32" i="10"/>
  <c r="T32" i="11"/>
  <c r="T32" i="12" s="1"/>
  <c r="T32" i="13" s="1"/>
  <c r="B34" i="10"/>
  <c r="B34" i="11"/>
  <c r="B34" i="12"/>
  <c r="B34" i="13" s="1"/>
  <c r="B35" i="10"/>
  <c r="B35" i="11"/>
  <c r="B35" i="12" s="1"/>
  <c r="B35" i="13" s="1"/>
  <c r="A36" i="10"/>
  <c r="A36" i="11"/>
  <c r="A36" i="12" s="1"/>
  <c r="A36" i="13" s="1"/>
  <c r="B37" i="10"/>
  <c r="B37" i="11"/>
  <c r="B37" i="12" s="1"/>
  <c r="B37" i="13" s="1"/>
  <c r="B38" i="10"/>
  <c r="B38" i="11"/>
  <c r="B38" i="12" s="1"/>
  <c r="B38" i="13" s="1"/>
  <c r="B39" i="10"/>
  <c r="B39" i="11"/>
  <c r="B39" i="12"/>
  <c r="B39" i="13" s="1"/>
  <c r="B40" i="10"/>
  <c r="B40" i="11"/>
  <c r="B40" i="12" s="1"/>
  <c r="B40" i="13" s="1"/>
  <c r="T43" i="10"/>
  <c r="T43" i="11"/>
  <c r="T43" i="12" s="1"/>
  <c r="T43" i="13" s="1"/>
  <c r="T44" i="10"/>
  <c r="T44" i="11"/>
  <c r="T44" i="12" s="1"/>
  <c r="T44" i="13" s="1"/>
  <c r="T45" i="10"/>
  <c r="T45" i="11"/>
  <c r="T45" i="12" s="1"/>
  <c r="T45" i="13" s="1"/>
  <c r="A47" i="10"/>
  <c r="A47" i="11"/>
  <c r="A47" i="12" s="1"/>
  <c r="A47" i="13" s="1"/>
  <c r="A48" i="10"/>
  <c r="A48" i="11"/>
  <c r="A48" i="12"/>
  <c r="A48" i="13"/>
  <c r="A49" i="10"/>
  <c r="A49" i="11"/>
  <c r="A49" i="12" s="1"/>
  <c r="A49" i="13" s="1"/>
  <c r="B50" i="10"/>
  <c r="B50" i="11"/>
  <c r="B50" i="12" s="1"/>
  <c r="B50" i="13" s="1"/>
  <c r="B51" i="10"/>
  <c r="B51" i="11"/>
  <c r="B51" i="12" s="1"/>
  <c r="B51" i="13" s="1"/>
  <c r="T55" i="10"/>
  <c r="T55" i="11"/>
  <c r="T55" i="12"/>
  <c r="T55" i="13" s="1"/>
  <c r="T56" i="10"/>
  <c r="T56" i="11"/>
  <c r="T56" i="12"/>
  <c r="T56" i="13" s="1"/>
  <c r="T57" i="10"/>
  <c r="T57" i="11"/>
  <c r="T57" i="12" s="1"/>
  <c r="T57" i="13" s="1"/>
  <c r="A59" i="10"/>
  <c r="A59" i="11"/>
  <c r="A59" i="12"/>
  <c r="A59" i="13"/>
  <c r="A60" i="10"/>
  <c r="A60" i="11"/>
  <c r="A60" i="12" s="1"/>
  <c r="A60" i="13" s="1"/>
  <c r="A61" i="10"/>
  <c r="A61" i="11"/>
  <c r="A61" i="12" s="1"/>
  <c r="A61" i="13" s="1"/>
  <c r="B62" i="10"/>
  <c r="B62" i="11"/>
  <c r="B62" i="12"/>
  <c r="B62" i="13"/>
  <c r="B63" i="10"/>
  <c r="B63" i="11"/>
  <c r="B63" i="12" s="1"/>
  <c r="B63" i="13" s="1"/>
  <c r="T67" i="10"/>
  <c r="T67" i="11"/>
  <c r="T67" i="12"/>
  <c r="T67" i="13" s="1"/>
  <c r="T68" i="10"/>
  <c r="T68" i="11"/>
  <c r="T68" i="12" s="1"/>
  <c r="T68" i="13" s="1"/>
  <c r="T69" i="10"/>
  <c r="T69" i="11"/>
  <c r="T69" i="12"/>
  <c r="T69" i="13" s="1"/>
  <c r="A71" i="10"/>
  <c r="A71" i="11"/>
  <c r="A71" i="12" s="1"/>
  <c r="A71" i="13" s="1"/>
  <c r="A72" i="10"/>
  <c r="A72" i="11"/>
  <c r="A72" i="12" s="1"/>
  <c r="A72" i="13" s="1"/>
  <c r="A73" i="10"/>
  <c r="A73" i="11"/>
  <c r="A73" i="12"/>
  <c r="A73" i="13"/>
  <c r="B74" i="10"/>
  <c r="B74" i="11"/>
  <c r="B74" i="12" s="1"/>
  <c r="B74" i="13" s="1"/>
  <c r="B75" i="10"/>
  <c r="B75" i="11"/>
  <c r="B75" i="12"/>
  <c r="B75" i="13" s="1"/>
  <c r="S77" i="10"/>
  <c r="S77" i="11"/>
  <c r="S77" i="12" s="1"/>
  <c r="S77" i="13" s="1"/>
  <c r="T79" i="10"/>
  <c r="T79" i="11"/>
  <c r="T79" i="12" s="1"/>
  <c r="T79" i="13" s="1"/>
  <c r="T80" i="10"/>
  <c r="T80" i="11"/>
  <c r="T80" i="12" s="1"/>
  <c r="T80" i="13" s="1"/>
  <c r="T81" i="10"/>
  <c r="T81" i="11"/>
  <c r="T81" i="12" s="1"/>
  <c r="T81" i="13" s="1"/>
  <c r="A83" i="10"/>
  <c r="A83" i="11"/>
  <c r="A83" i="12"/>
  <c r="A83" i="13" s="1"/>
  <c r="A84" i="10"/>
  <c r="A84" i="11"/>
  <c r="A84" i="12" s="1"/>
  <c r="A84" i="13" s="1"/>
  <c r="A85" i="10"/>
  <c r="A85" i="11"/>
  <c r="A85" i="12" s="1"/>
  <c r="A85" i="13" s="1"/>
  <c r="S87" i="10"/>
  <c r="S87" i="11"/>
  <c r="S87" i="12" s="1"/>
  <c r="S87" i="13" s="1"/>
  <c r="S99" i="10"/>
  <c r="S99" i="11"/>
  <c r="S99" i="12" s="1"/>
  <c r="S99" i="13" s="1"/>
  <c r="S100" i="10"/>
  <c r="S100" i="11"/>
  <c r="S100" i="12" s="1"/>
  <c r="S100" i="13" s="1"/>
  <c r="S103" i="12"/>
  <c r="S103" i="13"/>
  <c r="S113" i="12"/>
  <c r="S113" i="13"/>
  <c r="T126" i="10"/>
  <c r="T126" i="12"/>
  <c r="T126" i="13"/>
  <c r="T128" i="10"/>
  <c r="T128" i="12"/>
  <c r="T128" i="13"/>
  <c r="T132" i="10"/>
  <c r="T132" i="12"/>
  <c r="T132" i="13"/>
  <c r="T134" i="12"/>
  <c r="T134" i="13"/>
  <c r="T134" i="10"/>
  <c r="T136" i="10"/>
  <c r="T136" i="12"/>
  <c r="T136" i="13"/>
  <c r="T138" i="10"/>
  <c r="T138" i="12"/>
  <c r="T138" i="13"/>
  <c r="T140" i="10"/>
  <c r="T140" i="12"/>
  <c r="T140" i="13"/>
  <c r="T142" i="12"/>
  <c r="T142" i="13"/>
  <c r="T142" i="10"/>
  <c r="T144" i="10"/>
  <c r="T144" i="12"/>
  <c r="T144" i="13"/>
  <c r="T146" i="10"/>
  <c r="T146" i="12"/>
  <c r="T146" i="13"/>
  <c r="T148" i="10"/>
  <c r="T148" i="12"/>
  <c r="T148" i="13"/>
  <c r="T150" i="12"/>
  <c r="T150" i="13"/>
  <c r="T150" i="10"/>
  <c r="T152" i="10"/>
  <c r="T152" i="12"/>
  <c r="T152" i="13"/>
  <c r="T154" i="10"/>
  <c r="T154" i="12"/>
  <c r="T154" i="13"/>
  <c r="T156" i="10"/>
  <c r="T156" i="12"/>
  <c r="T156" i="13"/>
  <c r="S163" i="10"/>
  <c r="S163" i="12"/>
  <c r="S163" i="13"/>
  <c r="S165" i="12"/>
  <c r="S165" i="13"/>
  <c r="S165" i="10"/>
  <c r="S186" i="10"/>
  <c r="S186" i="12"/>
  <c r="S186" i="13"/>
  <c r="S189" i="10"/>
  <c r="S202" i="10"/>
  <c r="S202" i="12"/>
  <c r="S202" i="13"/>
  <c r="S210" i="12"/>
  <c r="S210" i="13"/>
  <c r="T211" i="10"/>
  <c r="T211" i="12"/>
  <c r="T211" i="13"/>
  <c r="T213" i="10"/>
  <c r="T213" i="12"/>
  <c r="T213" i="13"/>
  <c r="T215" i="10"/>
  <c r="T215" i="12"/>
  <c r="T215" i="13"/>
  <c r="T217" i="12"/>
  <c r="T217" i="13"/>
  <c r="T217" i="10"/>
  <c r="T219" i="10"/>
  <c r="T219" i="12"/>
  <c r="T219" i="13"/>
  <c r="T221" i="10"/>
  <c r="T221" i="12"/>
  <c r="T221" i="13"/>
  <c r="S229" i="10"/>
  <c r="S229" i="12"/>
  <c r="S229" i="13"/>
  <c r="S233" i="10"/>
  <c r="S246" i="12"/>
  <c r="S246" i="13"/>
  <c r="T191" i="12"/>
  <c r="T193" i="13"/>
  <c r="T193" i="10"/>
  <c r="Q28" i="5"/>
  <c r="Q21" i="5"/>
  <c r="Q19" i="5"/>
  <c r="Q17" i="5"/>
  <c r="Q8" i="5"/>
  <c r="C48" i="5"/>
  <c r="C57" i="5"/>
  <c r="C66" i="5"/>
  <c r="AL195" i="5"/>
  <c r="AL194" i="5"/>
  <c r="AL192" i="5"/>
  <c r="AL231" i="5"/>
  <c r="T236" i="12"/>
  <c r="T236" i="13"/>
  <c r="T236" i="10"/>
  <c r="C29" i="6"/>
  <c r="K28" i="6"/>
  <c r="Q28" i="6"/>
  <c r="Q21" i="6"/>
  <c r="Q19" i="6"/>
  <c r="Q17" i="6"/>
  <c r="Q8" i="6"/>
  <c r="C42" i="6"/>
  <c r="U91" i="6"/>
  <c r="AF90" i="6"/>
  <c r="AF63" i="6"/>
  <c r="AM112" i="6"/>
  <c r="AM145" i="6"/>
  <c r="Q28" i="8"/>
  <c r="Q21" i="8"/>
  <c r="Q19" i="8"/>
  <c r="Q17" i="8"/>
  <c r="Q8" i="8"/>
  <c r="L37" i="14"/>
  <c r="AF43" i="8"/>
  <c r="BQ13" i="8"/>
  <c r="BQ8" i="8"/>
  <c r="AF90" i="8"/>
  <c r="AF63" i="8"/>
  <c r="M12" i="14"/>
  <c r="M14" i="14"/>
  <c r="M16" i="14"/>
  <c r="Z43" i="9"/>
  <c r="Z14" i="9"/>
  <c r="AF195" i="9"/>
  <c r="AM43" i="11"/>
  <c r="AM14" i="11"/>
  <c r="AF43" i="11"/>
  <c r="BQ8" i="11"/>
  <c r="BQ7" i="11"/>
  <c r="BQ32" i="11"/>
  <c r="T246" i="10"/>
  <c r="T246" i="12"/>
  <c r="T246" i="13"/>
  <c r="E13" i="10"/>
  <c r="E13" i="11" s="1"/>
  <c r="E13" i="12" s="1"/>
  <c r="E13" i="13" s="1"/>
  <c r="Y17" i="4"/>
  <c r="AA17" i="4"/>
  <c r="Y19" i="4"/>
  <c r="AA19" i="4"/>
  <c r="Y19" i="5"/>
  <c r="AA19" i="5"/>
  <c r="Y19" i="6"/>
  <c r="AA19" i="6"/>
  <c r="Y19" i="7"/>
  <c r="AA19" i="7"/>
  <c r="Y19" i="8"/>
  <c r="AA19" i="8"/>
  <c r="Y19" i="9"/>
  <c r="AA19" i="9"/>
  <c r="BD11" i="2"/>
  <c r="G37" i="4"/>
  <c r="I37" i="4"/>
  <c r="W38" i="4"/>
  <c r="W38" i="5"/>
  <c r="W38" i="6"/>
  <c r="W38" i="7"/>
  <c r="W38" i="8"/>
  <c r="Y75" i="4"/>
  <c r="AA75" i="4"/>
  <c r="Y75" i="5"/>
  <c r="AA75" i="5"/>
  <c r="Y75" i="6"/>
  <c r="AA75" i="6"/>
  <c r="Y75" i="7"/>
  <c r="AA75" i="7"/>
  <c r="Y75" i="8"/>
  <c r="AA75" i="8"/>
  <c r="Y75" i="9"/>
  <c r="AA75" i="9"/>
  <c r="AE76" i="4"/>
  <c r="AG76" i="4"/>
  <c r="AE76" i="5"/>
  <c r="AG76" i="5"/>
  <c r="AE76" i="6"/>
  <c r="AG76" i="6"/>
  <c r="AE76" i="7"/>
  <c r="AG76" i="7"/>
  <c r="AE76" i="8"/>
  <c r="AG76" i="8"/>
  <c r="AE76" i="9"/>
  <c r="AG76" i="9"/>
  <c r="Y78" i="4"/>
  <c r="AA78" i="4"/>
  <c r="Y78" i="5"/>
  <c r="AA78" i="5"/>
  <c r="Y78" i="6"/>
  <c r="AA78" i="6"/>
  <c r="Y78" i="7"/>
  <c r="AA78" i="7"/>
  <c r="Y78" i="8"/>
  <c r="AA78" i="8"/>
  <c r="Y78" i="9"/>
  <c r="AA78" i="9"/>
  <c r="V84" i="4"/>
  <c r="G91" i="4"/>
  <c r="I91" i="4"/>
  <c r="G91" i="5"/>
  <c r="I91" i="5"/>
  <c r="G91" i="6"/>
  <c r="I91" i="6"/>
  <c r="G91" i="7"/>
  <c r="I91" i="7"/>
  <c r="G91" i="8"/>
  <c r="I91" i="8"/>
  <c r="G91" i="9"/>
  <c r="I91" i="9"/>
  <c r="D123" i="4"/>
  <c r="W126" i="4"/>
  <c r="W126" i="5"/>
  <c r="W126" i="6"/>
  <c r="W126" i="7"/>
  <c r="W126" i="8"/>
  <c r="W130" i="4"/>
  <c r="W130" i="5"/>
  <c r="W130" i="6"/>
  <c r="W130" i="7"/>
  <c r="W130" i="8"/>
  <c r="Y133" i="4"/>
  <c r="AA133" i="4"/>
  <c r="Y133" i="5"/>
  <c r="AA133" i="5"/>
  <c r="Y133" i="6"/>
  <c r="AA133" i="6"/>
  <c r="Y133" i="7"/>
  <c r="AA133" i="7"/>
  <c r="Y133" i="8"/>
  <c r="AA133" i="8"/>
  <c r="Y133" i="9"/>
  <c r="AA133" i="9"/>
  <c r="W148" i="4"/>
  <c r="W148" i="5"/>
  <c r="W148" i="6"/>
  <c r="W148" i="7"/>
  <c r="W148" i="8"/>
  <c r="AE173" i="4"/>
  <c r="AG173" i="4"/>
  <c r="Y180" i="4"/>
  <c r="AA180" i="4"/>
  <c r="Y179" i="5"/>
  <c r="AA179" i="5"/>
  <c r="Y179" i="6"/>
  <c r="AA179" i="6"/>
  <c r="Y179" i="7"/>
  <c r="AA179" i="7"/>
  <c r="Y179" i="8"/>
  <c r="AA179" i="8"/>
  <c r="Y179" i="9"/>
  <c r="AA179" i="9"/>
  <c r="AE182" i="4"/>
  <c r="AG182" i="4"/>
  <c r="AE181" i="5"/>
  <c r="AG181" i="5"/>
  <c r="AE181" i="6"/>
  <c r="AG181" i="6"/>
  <c r="AE181" i="7"/>
  <c r="AG181" i="7"/>
  <c r="AE181" i="8"/>
  <c r="AG181" i="8"/>
  <c r="AE181" i="9"/>
  <c r="AG181" i="9"/>
  <c r="W200" i="4"/>
  <c r="W199" i="5"/>
  <c r="W199" i="6"/>
  <c r="W199" i="7"/>
  <c r="W199" i="8"/>
  <c r="W212" i="4"/>
  <c r="V217" i="4"/>
  <c r="AE229" i="4"/>
  <c r="AG229" i="4"/>
  <c r="AE228" i="5"/>
  <c r="AG228" i="5"/>
  <c r="AE228" i="6"/>
  <c r="AG228" i="6"/>
  <c r="AE228" i="7"/>
  <c r="AG228" i="7"/>
  <c r="AE228" i="8"/>
  <c r="AG228" i="8"/>
  <c r="AE228" i="9"/>
  <c r="AG228" i="9"/>
  <c r="T10" i="10"/>
  <c r="T10" i="11"/>
  <c r="T10" i="12" s="1"/>
  <c r="T10" i="13" s="1"/>
  <c r="A14" i="10"/>
  <c r="A14" i="11"/>
  <c r="A14" i="12" s="1"/>
  <c r="A14" i="13" s="1"/>
  <c r="S16" i="10"/>
  <c r="S16" i="11"/>
  <c r="S16" i="12" s="1"/>
  <c r="S16" i="13" s="1"/>
  <c r="B18" i="10"/>
  <c r="B18" i="11"/>
  <c r="B18" i="12" s="1"/>
  <c r="B18" i="13" s="1"/>
  <c r="A20" i="10"/>
  <c r="A20" i="11"/>
  <c r="A20" i="12"/>
  <c r="A20" i="13" s="1"/>
  <c r="A22" i="10"/>
  <c r="A22" i="11"/>
  <c r="A22" i="12" s="1"/>
  <c r="A22" i="13" s="1"/>
  <c r="T26" i="10"/>
  <c r="T26" i="11"/>
  <c r="T26" i="12" s="1"/>
  <c r="T26" i="13" s="1"/>
  <c r="T29" i="10"/>
  <c r="T29" i="11"/>
  <c r="T29" i="12"/>
  <c r="T29" i="13" s="1"/>
  <c r="A32" i="10"/>
  <c r="A32" i="11"/>
  <c r="A32" i="12"/>
  <c r="A32" i="13"/>
  <c r="A44" i="10"/>
  <c r="A44" i="11"/>
  <c r="A44" i="12"/>
  <c r="A44" i="13" s="1"/>
  <c r="B47" i="10"/>
  <c r="B47" i="11"/>
  <c r="B47" i="12" s="1"/>
  <c r="B47" i="13" s="1"/>
  <c r="T53" i="10"/>
  <c r="T53" i="11"/>
  <c r="T53" i="12"/>
  <c r="T53" i="13" s="1"/>
  <c r="A57" i="10"/>
  <c r="A57" i="11"/>
  <c r="A57" i="12" s="1"/>
  <c r="A57" i="13" s="1"/>
  <c r="B60" i="10"/>
  <c r="B60" i="11"/>
  <c r="B60" i="12"/>
  <c r="B60" i="13"/>
  <c r="S63" i="10"/>
  <c r="S63" i="11"/>
  <c r="S63" i="12"/>
  <c r="S63" i="13" s="1"/>
  <c r="T66" i="10"/>
  <c r="T66" i="11"/>
  <c r="T66" i="12" s="1"/>
  <c r="T66" i="13" s="1"/>
  <c r="A70" i="10"/>
  <c r="A70" i="11"/>
  <c r="A70" i="12" s="1"/>
  <c r="A70" i="13" s="1"/>
  <c r="T77" i="10"/>
  <c r="T77" i="11"/>
  <c r="T77" i="12" s="1"/>
  <c r="T77" i="13" s="1"/>
  <c r="A82" i="10"/>
  <c r="A82" i="11"/>
  <c r="A82" i="12"/>
  <c r="A82" i="13" s="1"/>
  <c r="B85" i="10"/>
  <c r="B85" i="11"/>
  <c r="B85" i="12" s="1"/>
  <c r="B85" i="13" s="1"/>
  <c r="T88" i="10"/>
  <c r="T88" i="11"/>
  <c r="T88" i="12" s="1"/>
  <c r="T88" i="13" s="1"/>
  <c r="T91" i="10"/>
  <c r="T91" i="11"/>
  <c r="T91" i="12" s="1"/>
  <c r="T91" i="13" s="1"/>
  <c r="T94" i="10"/>
  <c r="T94" i="11"/>
  <c r="T94" i="12"/>
  <c r="T94" i="13" s="1"/>
  <c r="T97" i="10"/>
  <c r="T97" i="11"/>
  <c r="T97" i="12" s="1"/>
  <c r="T97" i="13" s="1"/>
  <c r="T100" i="10"/>
  <c r="T100" i="11"/>
  <c r="T100" i="12"/>
  <c r="T100" i="13" s="1"/>
  <c r="T118" i="12"/>
  <c r="T118" i="13"/>
  <c r="T118" i="10"/>
  <c r="T113" i="12"/>
  <c r="T113" i="13"/>
  <c r="S125" i="10"/>
  <c r="S125" i="12"/>
  <c r="S125" i="13"/>
  <c r="S129" i="12"/>
  <c r="S129" i="13"/>
  <c r="S133" i="10"/>
  <c r="S133" i="12"/>
  <c r="S133" i="13"/>
  <c r="S137" i="10"/>
  <c r="S137" i="12"/>
  <c r="S137" i="13"/>
  <c r="S157" i="10"/>
  <c r="S157" i="12"/>
  <c r="S157" i="13"/>
  <c r="T159" i="10"/>
  <c r="T159" i="12"/>
  <c r="T159" i="13"/>
  <c r="T161" i="12"/>
  <c r="T161" i="13"/>
  <c r="T161" i="10"/>
  <c r="T163" i="10"/>
  <c r="T163" i="12"/>
  <c r="T163" i="13"/>
  <c r="T165" i="12"/>
  <c r="T165" i="13"/>
  <c r="T165" i="10"/>
  <c r="T168" i="12"/>
  <c r="T168" i="13"/>
  <c r="T168" i="10"/>
  <c r="T170" i="10"/>
  <c r="T170" i="12"/>
  <c r="T170" i="13"/>
  <c r="T174" i="10"/>
  <c r="T174" i="12"/>
  <c r="T174" i="13"/>
  <c r="T176" i="10"/>
  <c r="T176" i="12"/>
  <c r="T176" i="13"/>
  <c r="T178" i="12"/>
  <c r="T178" i="13"/>
  <c r="T178" i="10"/>
  <c r="T180" i="10"/>
  <c r="T180" i="12"/>
  <c r="T180" i="13"/>
  <c r="T182" i="12"/>
  <c r="T182" i="13"/>
  <c r="T182" i="10"/>
  <c r="T184" i="10"/>
  <c r="T184" i="12"/>
  <c r="T184" i="13"/>
  <c r="T186" i="12"/>
  <c r="T186" i="13"/>
  <c r="T186" i="10"/>
  <c r="T189" i="10"/>
  <c r="T189" i="12"/>
  <c r="T189" i="13"/>
  <c r="T194" i="10"/>
  <c r="T194" i="12"/>
  <c r="T194" i="13"/>
  <c r="T196" i="10"/>
  <c r="T196" i="12"/>
  <c r="T196" i="13"/>
  <c r="T198" i="12"/>
  <c r="T198" i="13"/>
  <c r="T198" i="10"/>
  <c r="T200" i="10"/>
  <c r="T200" i="12"/>
  <c r="T200" i="13"/>
  <c r="T202" i="12"/>
  <c r="T202" i="13"/>
  <c r="T202" i="10"/>
  <c r="T204" i="10"/>
  <c r="T204" i="12"/>
  <c r="T204" i="13"/>
  <c r="T206" i="12"/>
  <c r="T206" i="13"/>
  <c r="T206" i="10"/>
  <c r="T210" i="10"/>
  <c r="T210" i="12"/>
  <c r="T210" i="13"/>
  <c r="S214" i="10"/>
  <c r="S214" i="12"/>
  <c r="S214" i="13"/>
  <c r="T223" i="10"/>
  <c r="T223" i="12"/>
  <c r="T223" i="13"/>
  <c r="T225" i="12"/>
  <c r="T225" i="13"/>
  <c r="T225" i="10"/>
  <c r="T227" i="10"/>
  <c r="T227" i="12"/>
  <c r="T227" i="13"/>
  <c r="T231" i="10"/>
  <c r="T231" i="12"/>
  <c r="T231" i="13"/>
  <c r="T233" i="10"/>
  <c r="T233" i="12"/>
  <c r="T233" i="13"/>
  <c r="S236" i="12"/>
  <c r="S236" i="13"/>
  <c r="S244" i="12"/>
  <c r="S244" i="13"/>
  <c r="S244" i="10"/>
  <c r="S247" i="10"/>
  <c r="S247" i="12"/>
  <c r="S247" i="13"/>
  <c r="T253" i="10"/>
  <c r="T253" i="12"/>
  <c r="T253" i="13"/>
  <c r="I35" i="14"/>
  <c r="I32" i="14"/>
  <c r="C29" i="5"/>
  <c r="Z43" i="5"/>
  <c r="Z14" i="5"/>
  <c r="B86" i="10"/>
  <c r="B86" i="11"/>
  <c r="B86" i="12" s="1"/>
  <c r="B86" i="13" s="1"/>
  <c r="AM195" i="5"/>
  <c r="AM194" i="5"/>
  <c r="AM192" i="5"/>
  <c r="Z219" i="5"/>
  <c r="AM219" i="5"/>
  <c r="AM231" i="5"/>
  <c r="T244" i="12"/>
  <c r="T244" i="13"/>
  <c r="T244" i="10"/>
  <c r="C35" i="6"/>
  <c r="C75" i="6"/>
  <c r="C25" i="7"/>
  <c r="H28" i="8"/>
  <c r="H21" i="8"/>
  <c r="H19" i="8"/>
  <c r="C72" i="8"/>
  <c r="C78" i="8"/>
  <c r="AL145" i="8"/>
  <c r="U210" i="8"/>
  <c r="U209" i="8"/>
  <c r="U208" i="8"/>
  <c r="H52" i="14"/>
  <c r="AE201" i="5"/>
  <c r="AG201" i="5"/>
  <c r="AE201" i="6"/>
  <c r="AG201" i="6"/>
  <c r="AE201" i="7"/>
  <c r="AG201" i="7"/>
  <c r="AE201" i="8"/>
  <c r="AG201" i="8"/>
  <c r="AE201" i="9"/>
  <c r="AG201" i="9"/>
  <c r="AE202" i="5"/>
  <c r="AG202" i="5"/>
  <c r="AE202" i="6"/>
  <c r="AG202" i="6"/>
  <c r="AE202" i="7"/>
  <c r="AG202" i="7"/>
  <c r="AE202" i="8"/>
  <c r="AG202" i="8"/>
  <c r="AE202" i="9"/>
  <c r="AG202" i="9"/>
  <c r="AE203" i="5"/>
  <c r="AG203" i="5"/>
  <c r="AE203" i="6"/>
  <c r="AG203" i="6"/>
  <c r="AE203" i="7"/>
  <c r="AG203" i="7"/>
  <c r="AE203" i="8"/>
  <c r="AG203" i="8"/>
  <c r="AE203" i="9"/>
  <c r="AG203" i="9"/>
  <c r="AE199" i="5"/>
  <c r="AG199" i="5"/>
  <c r="AE199" i="6"/>
  <c r="AG199" i="6"/>
  <c r="AE199" i="7"/>
  <c r="AG199" i="7"/>
  <c r="AE199" i="8"/>
  <c r="AG199" i="8"/>
  <c r="AE199" i="9"/>
  <c r="AG199" i="9"/>
  <c r="AE198" i="5"/>
  <c r="AG198" i="5"/>
  <c r="AE198" i="6"/>
  <c r="AG198" i="6"/>
  <c r="AE198" i="7"/>
  <c r="AG198" i="7"/>
  <c r="AE198" i="8"/>
  <c r="AG198" i="8"/>
  <c r="AE198" i="9"/>
  <c r="AG198" i="9"/>
  <c r="Z220" i="2"/>
  <c r="BQ14" i="2"/>
  <c r="F37" i="14"/>
  <c r="AF147" i="2"/>
  <c r="U185" i="12"/>
  <c r="U183" i="12"/>
  <c r="T255" i="7"/>
  <c r="T255" i="8"/>
  <c r="T255" i="9"/>
  <c r="T255" i="11"/>
  <c r="T229" i="7"/>
  <c r="T229" i="8"/>
  <c r="T229" i="9"/>
  <c r="T229" i="11"/>
  <c r="T224" i="7"/>
  <c r="T224" i="8"/>
  <c r="T224" i="9"/>
  <c r="T224" i="11"/>
  <c r="T190" i="7"/>
  <c r="T190" i="8"/>
  <c r="T190" i="9"/>
  <c r="T190" i="11"/>
  <c r="T181" i="7"/>
  <c r="T181" i="8"/>
  <c r="T181" i="9"/>
  <c r="T181" i="11"/>
  <c r="T172" i="7"/>
  <c r="T172" i="8"/>
  <c r="T172" i="9"/>
  <c r="T172" i="11"/>
  <c r="T143" i="7"/>
  <c r="T143" i="8"/>
  <c r="T143" i="9"/>
  <c r="T143" i="11"/>
  <c r="T130" i="7"/>
  <c r="T130" i="8"/>
  <c r="T130" i="9"/>
  <c r="T130" i="11"/>
  <c r="T108" i="7"/>
  <c r="T108" i="8"/>
  <c r="T102" i="7"/>
  <c r="T102" i="8"/>
  <c r="T102" i="9"/>
  <c r="T61" i="7"/>
  <c r="T61" i="8"/>
  <c r="T61" i="9"/>
  <c r="U58" i="9"/>
  <c r="U57" i="9"/>
  <c r="U44" i="5"/>
  <c r="C51" i="5"/>
  <c r="C66" i="7"/>
  <c r="C69" i="6"/>
  <c r="C63" i="5"/>
  <c r="AF147" i="13"/>
  <c r="P43" i="14"/>
  <c r="Q28" i="12"/>
  <c r="Q21" i="12"/>
  <c r="T103" i="12"/>
  <c r="T103" i="13"/>
  <c r="A112" i="12"/>
  <c r="A112" i="13"/>
  <c r="A114" i="12"/>
  <c r="A114" i="13"/>
  <c r="C10" i="11"/>
  <c r="Z195" i="9"/>
  <c r="Z194" i="9"/>
  <c r="Z192" i="9"/>
  <c r="M41" i="14"/>
  <c r="M39" i="14"/>
  <c r="M35" i="14"/>
  <c r="M32" i="14"/>
  <c r="L41" i="14"/>
  <c r="AF147" i="8"/>
  <c r="L35" i="14"/>
  <c r="L32" i="14"/>
  <c r="L10" i="14"/>
  <c r="L9" i="14"/>
  <c r="AF147" i="7"/>
  <c r="AF147" i="6"/>
  <c r="AL112" i="6"/>
  <c r="J35" i="14"/>
  <c r="J32" i="14"/>
  <c r="AL112" i="5"/>
  <c r="I41" i="14"/>
  <c r="AF147" i="5"/>
  <c r="I39" i="14"/>
  <c r="I43" i="14"/>
  <c r="H41" i="14"/>
  <c r="H37" i="14"/>
  <c r="H36" i="14"/>
  <c r="H35" i="14"/>
  <c r="H32" i="14"/>
  <c r="H10" i="14"/>
  <c r="H9" i="14"/>
  <c r="G51" i="14"/>
  <c r="G48" i="14"/>
  <c r="G36" i="14"/>
  <c r="G35" i="14"/>
  <c r="G32" i="14"/>
  <c r="G10" i="14"/>
  <c r="G9" i="14"/>
  <c r="BP26" i="2"/>
  <c r="BO26" i="2"/>
  <c r="AF155" i="2"/>
  <c r="BO19" i="2"/>
  <c r="BP19" i="2"/>
  <c r="AE55" i="5"/>
  <c r="AG55" i="5"/>
  <c r="AE55" i="6"/>
  <c r="AG55" i="6"/>
  <c r="AE55" i="7"/>
  <c r="AG55" i="7"/>
  <c r="AE55" i="8"/>
  <c r="AG55" i="8"/>
  <c r="AE55" i="9"/>
  <c r="AG55" i="9"/>
  <c r="BP31" i="2"/>
  <c r="BJ15" i="2"/>
  <c r="BO31" i="2"/>
  <c r="BI15" i="2"/>
  <c r="BP10" i="2"/>
  <c r="BO11" i="2"/>
  <c r="BO10" i="2"/>
  <c r="U234" i="13"/>
  <c r="U233" i="13" s="1"/>
  <c r="U231" i="13" s="1"/>
  <c r="U185" i="7"/>
  <c r="U183" i="7"/>
  <c r="U149" i="5"/>
  <c r="U147" i="5"/>
  <c r="U58" i="5"/>
  <c r="U57" i="5"/>
  <c r="U58" i="6"/>
  <c r="U57" i="6"/>
  <c r="I22" i="2"/>
  <c r="AR7" i="2"/>
  <c r="I10" i="2"/>
  <c r="BD7" i="2"/>
  <c r="C78" i="5"/>
  <c r="C78" i="9"/>
  <c r="C69" i="5"/>
  <c r="C63" i="6"/>
  <c r="C60" i="11"/>
  <c r="C54" i="5"/>
  <c r="C25" i="6"/>
  <c r="C22" i="8"/>
  <c r="P22" i="14"/>
  <c r="C51" i="13"/>
  <c r="C75" i="13"/>
  <c r="C66" i="13"/>
  <c r="C72" i="13"/>
  <c r="P28" i="13"/>
  <c r="AF43" i="13"/>
  <c r="C42" i="13"/>
  <c r="AL43" i="13"/>
  <c r="Q40" i="14"/>
  <c r="Z195" i="12"/>
  <c r="Z194" i="12"/>
  <c r="Z192" i="12"/>
  <c r="P41" i="14"/>
  <c r="AM43" i="7"/>
  <c r="AM14" i="7"/>
  <c r="AM112" i="7"/>
  <c r="AM110" i="7"/>
  <c r="AL231" i="7"/>
  <c r="Q28" i="7"/>
  <c r="Q21" i="7"/>
  <c r="Q19" i="7"/>
  <c r="Q17" i="7"/>
  <c r="Q8" i="7"/>
  <c r="AL192" i="7"/>
  <c r="Z43" i="7"/>
  <c r="Z14" i="7"/>
  <c r="G102" i="7"/>
  <c r="I102" i="7"/>
  <c r="G102" i="8"/>
  <c r="I102" i="8"/>
  <c r="G102" i="9"/>
  <c r="I102" i="9"/>
  <c r="C42" i="5"/>
  <c r="C94" i="6"/>
  <c r="C48" i="13"/>
  <c r="C48" i="11"/>
  <c r="C54" i="13"/>
  <c r="G56" i="7"/>
  <c r="I56" i="7"/>
  <c r="G56" i="8"/>
  <c r="I56" i="8"/>
  <c r="G56" i="9"/>
  <c r="I56" i="9"/>
  <c r="U83" i="12"/>
  <c r="U226" i="6"/>
  <c r="C78" i="11"/>
  <c r="D3" i="2"/>
  <c r="C10" i="9"/>
  <c r="C63" i="12"/>
  <c r="C69" i="13"/>
  <c r="U83" i="9"/>
  <c r="Z195" i="7"/>
  <c r="Z194" i="7"/>
  <c r="Z192" i="7"/>
  <c r="Z231" i="7"/>
  <c r="AC43" i="7"/>
  <c r="AC14" i="7"/>
  <c r="AF195" i="6"/>
  <c r="U210" i="12"/>
  <c r="U209" i="12"/>
  <c r="U208" i="12"/>
  <c r="U141" i="13"/>
  <c r="U49" i="5"/>
  <c r="C113" i="7"/>
  <c r="C32" i="5"/>
  <c r="U20" i="7"/>
  <c r="U16" i="7"/>
  <c r="U170" i="12"/>
  <c r="U226" i="13"/>
  <c r="U242" i="6"/>
  <c r="U157" i="13"/>
  <c r="U155" i="13"/>
  <c r="C25" i="5"/>
  <c r="C25" i="13"/>
  <c r="U44" i="7"/>
  <c r="C35" i="11"/>
  <c r="C32" i="12"/>
  <c r="AF195" i="5"/>
  <c r="BQ25" i="5"/>
  <c r="Z145" i="5"/>
  <c r="AC145" i="5"/>
  <c r="A86" i="6"/>
  <c r="A86" i="7"/>
  <c r="A86" i="8"/>
  <c r="A86" i="9"/>
  <c r="G77" i="5"/>
  <c r="I77" i="5"/>
  <c r="Z90" i="12"/>
  <c r="Z63" i="12"/>
  <c r="AC231" i="9"/>
  <c r="AF168" i="9"/>
  <c r="BQ24" i="9"/>
  <c r="BQ22" i="9"/>
  <c r="AC112" i="9"/>
  <c r="AC231" i="8"/>
  <c r="AC195" i="8"/>
  <c r="AC194" i="8"/>
  <c r="AC192" i="8"/>
  <c r="Z112" i="7"/>
  <c r="AM231" i="6"/>
  <c r="AF231" i="6"/>
  <c r="J52" i="14"/>
  <c r="Z231" i="6"/>
  <c r="AC195" i="6"/>
  <c r="AC194" i="6"/>
  <c r="AC192" i="6"/>
  <c r="Z145" i="6"/>
  <c r="Z112" i="6"/>
  <c r="Z90" i="6"/>
  <c r="Z63" i="6"/>
  <c r="AF43" i="6"/>
  <c r="AC43" i="6"/>
  <c r="AC14" i="6"/>
  <c r="AF112" i="5"/>
  <c r="BK15" i="5"/>
  <c r="AF63" i="5"/>
  <c r="AL63" i="5"/>
  <c r="AC231" i="5"/>
  <c r="Z231" i="5"/>
  <c r="AC195" i="5"/>
  <c r="AC194" i="5"/>
  <c r="AC192" i="5"/>
  <c r="Z195" i="5"/>
  <c r="Z194" i="5"/>
  <c r="Z192" i="5"/>
  <c r="AC112" i="5"/>
  <c r="AC43" i="5"/>
  <c r="AC14" i="5"/>
  <c r="C104" i="7"/>
  <c r="Z196" i="2"/>
  <c r="Z195" i="2"/>
  <c r="Z193" i="2"/>
  <c r="Z169" i="2"/>
  <c r="AH128" i="2"/>
  <c r="AG114" i="2"/>
  <c r="AG58" i="2"/>
  <c r="AG57" i="2"/>
  <c r="AJ21" i="2"/>
  <c r="AC145" i="2"/>
  <c r="Z145" i="2"/>
  <c r="AA58" i="2"/>
  <c r="AA57" i="2"/>
  <c r="U149" i="7"/>
  <c r="U147" i="7"/>
  <c r="U234" i="7"/>
  <c r="U233" i="7"/>
  <c r="U234" i="5"/>
  <c r="U233" i="5"/>
  <c r="E10" i="2"/>
  <c r="F12" i="2"/>
  <c r="N12" i="2"/>
  <c r="U149" i="13"/>
  <c r="U147" i="13" s="1"/>
  <c r="U145" i="13" s="1"/>
  <c r="U123" i="6"/>
  <c r="U170" i="7"/>
  <c r="U123" i="13"/>
  <c r="U35" i="7"/>
  <c r="U35" i="5"/>
  <c r="U83" i="5"/>
  <c r="U49" i="9"/>
  <c r="U49" i="12"/>
  <c r="L66" i="2"/>
  <c r="L78" i="2"/>
  <c r="N79" i="2"/>
  <c r="L63" i="2"/>
  <c r="K10" i="2"/>
  <c r="I75" i="2"/>
  <c r="I72" i="2"/>
  <c r="C94" i="11"/>
  <c r="C69" i="9"/>
  <c r="C69" i="12"/>
  <c r="C66" i="6"/>
  <c r="C54" i="12"/>
  <c r="C54" i="7"/>
  <c r="C54" i="9"/>
  <c r="C32" i="6"/>
  <c r="C32" i="9"/>
  <c r="C60" i="5"/>
  <c r="C60" i="7"/>
  <c r="C57" i="8"/>
  <c r="C57" i="6"/>
  <c r="C63" i="13"/>
  <c r="C63" i="8"/>
  <c r="C63" i="9"/>
  <c r="C22" i="5"/>
  <c r="C22" i="11"/>
  <c r="C22" i="12"/>
  <c r="BE3" i="5"/>
  <c r="BK3" i="5"/>
  <c r="BQ3" i="5"/>
  <c r="BN5" i="5"/>
  <c r="C94" i="13"/>
  <c r="C78" i="13"/>
  <c r="C75" i="7"/>
  <c r="C75" i="8"/>
  <c r="C72" i="9"/>
  <c r="C72" i="11"/>
  <c r="C69" i="11"/>
  <c r="C57" i="9"/>
  <c r="C32" i="13"/>
  <c r="C22" i="6"/>
  <c r="C22" i="7"/>
  <c r="C10" i="5"/>
  <c r="C10" i="12"/>
  <c r="C10" i="13"/>
  <c r="U196" i="12"/>
  <c r="U195" i="12"/>
  <c r="U194" i="12"/>
  <c r="U174" i="5"/>
  <c r="U174" i="12"/>
  <c r="U157" i="6"/>
  <c r="U155" i="6"/>
  <c r="U157" i="9"/>
  <c r="U155" i="9"/>
  <c r="U149" i="9"/>
  <c r="U147" i="9"/>
  <c r="U114" i="5"/>
  <c r="U105" i="5"/>
  <c r="U104" i="5"/>
  <c r="U96" i="13"/>
  <c r="U90" i="13" s="1"/>
  <c r="U69" i="5"/>
  <c r="U65" i="5"/>
  <c r="U69" i="8"/>
  <c r="U65" i="8"/>
  <c r="U58" i="7"/>
  <c r="U57" i="7"/>
  <c r="U49" i="7"/>
  <c r="U20" i="9"/>
  <c r="U16" i="9"/>
  <c r="K28" i="13"/>
  <c r="Z112" i="13"/>
  <c r="Z168" i="12"/>
  <c r="Z112" i="12"/>
  <c r="Z43" i="12"/>
  <c r="Z14" i="12"/>
  <c r="K28" i="12"/>
  <c r="K21" i="12" s="1"/>
  <c r="K19" i="12" s="1"/>
  <c r="K17" i="12" s="1"/>
  <c r="H28" i="12"/>
  <c r="H21" i="12"/>
  <c r="H19" i="12" s="1"/>
  <c r="H17" i="12" s="1"/>
  <c r="Z43" i="11"/>
  <c r="Z14" i="11"/>
  <c r="K28" i="9"/>
  <c r="K21" i="9"/>
  <c r="K19" i="9"/>
  <c r="K17" i="9"/>
  <c r="K8" i="9"/>
  <c r="Z168" i="9"/>
  <c r="AC145" i="9"/>
  <c r="AF112" i="9"/>
  <c r="Z90" i="9"/>
  <c r="Z63" i="9"/>
  <c r="AC43" i="9"/>
  <c r="AC14" i="9"/>
  <c r="AM145" i="8"/>
  <c r="AF195" i="8"/>
  <c r="Z112" i="8"/>
  <c r="AL231" i="6"/>
  <c r="L25" i="2"/>
  <c r="AS8" i="2"/>
  <c r="AX8" i="2"/>
  <c r="AA211" i="2"/>
  <c r="AA210" i="2"/>
  <c r="AA209" i="2"/>
  <c r="BO27" i="2"/>
  <c r="V213" i="5"/>
  <c r="V213" i="6"/>
  <c r="V213" i="7"/>
  <c r="V213" i="8"/>
  <c r="X214" i="2"/>
  <c r="AJ214" i="2"/>
  <c r="AD235" i="2"/>
  <c r="AD234" i="2"/>
  <c r="E14" i="5"/>
  <c r="E14" i="6"/>
  <c r="E14" i="7"/>
  <c r="E14" i="8"/>
  <c r="E14" i="9"/>
  <c r="F15" i="2"/>
  <c r="N15" i="2"/>
  <c r="I25" i="2"/>
  <c r="AR8" i="2"/>
  <c r="Y14" i="2"/>
  <c r="F14" i="2"/>
  <c r="N14" i="2"/>
  <c r="AD20" i="2"/>
  <c r="AD16" i="2"/>
  <c r="AG20" i="2"/>
  <c r="AG16" i="2"/>
  <c r="F24" i="2"/>
  <c r="L24" i="2"/>
  <c r="L128" i="2"/>
  <c r="H25" i="2"/>
  <c r="X30" i="2"/>
  <c r="AJ30" i="2"/>
  <c r="F33" i="2"/>
  <c r="E35" i="2"/>
  <c r="AA35" i="2"/>
  <c r="E48" i="2"/>
  <c r="F49" i="2"/>
  <c r="N49" i="2"/>
  <c r="V49" i="2"/>
  <c r="X50" i="2"/>
  <c r="AH50" i="2"/>
  <c r="D54" i="2"/>
  <c r="X54" i="2"/>
  <c r="AH54" i="2"/>
  <c r="X55" i="2"/>
  <c r="AJ55" i="2"/>
  <c r="I57" i="2"/>
  <c r="I60" i="2"/>
  <c r="I66" i="2"/>
  <c r="L69" i="2"/>
  <c r="V69" i="2"/>
  <c r="V65" i="2"/>
  <c r="F71" i="2"/>
  <c r="M71" i="2"/>
  <c r="X73" i="2"/>
  <c r="AH73" i="2"/>
  <c r="E75" i="2"/>
  <c r="F76" i="2"/>
  <c r="M76" i="2"/>
  <c r="L85" i="2"/>
  <c r="F87" i="2"/>
  <c r="M87" i="2"/>
  <c r="F89" i="2"/>
  <c r="M89" i="2"/>
  <c r="AB90" i="2"/>
  <c r="AB63" i="2"/>
  <c r="AF90" i="2"/>
  <c r="AF63" i="2"/>
  <c r="AE110" i="2"/>
  <c r="W114" i="2"/>
  <c r="AC112" i="2"/>
  <c r="E113" i="2"/>
  <c r="F123" i="2"/>
  <c r="N123" i="2"/>
  <c r="X124" i="2"/>
  <c r="X126" i="2"/>
  <c r="BN19" i="2"/>
  <c r="X138" i="2"/>
  <c r="AJ138" i="2"/>
  <c r="AG141" i="2"/>
  <c r="X153" i="2"/>
  <c r="AJ153" i="2"/>
  <c r="AA157" i="2"/>
  <c r="AA155" i="2"/>
  <c r="X163" i="2"/>
  <c r="AH163" i="2"/>
  <c r="W211" i="2"/>
  <c r="W210" i="2"/>
  <c r="W209" i="2"/>
  <c r="AE229" i="5"/>
  <c r="AG229" i="5"/>
  <c r="AE229" i="6"/>
  <c r="AG229" i="6"/>
  <c r="AE229" i="7"/>
  <c r="AG229" i="7"/>
  <c r="AE229" i="8"/>
  <c r="AG229" i="8"/>
  <c r="AE229" i="9"/>
  <c r="AG229" i="9"/>
  <c r="AG227" i="2"/>
  <c r="V236" i="5"/>
  <c r="V236" i="6"/>
  <c r="V236" i="7"/>
  <c r="X237" i="2"/>
  <c r="AH237" i="2"/>
  <c r="V235" i="2"/>
  <c r="V234" i="2"/>
  <c r="AD243" i="2"/>
  <c r="X249" i="2"/>
  <c r="AJ249" i="2"/>
  <c r="BK9" i="5"/>
  <c r="AR11" i="2"/>
  <c r="AS6" i="2"/>
  <c r="BD18" i="2"/>
  <c r="X26" i="2"/>
  <c r="AI26" i="2"/>
  <c r="D25" i="2"/>
  <c r="J28" i="2"/>
  <c r="J21" i="2"/>
  <c r="J19" i="2"/>
  <c r="J17" i="2"/>
  <c r="J8" i="2"/>
  <c r="L35" i="2"/>
  <c r="W35" i="2"/>
  <c r="AG35" i="2"/>
  <c r="F36" i="2"/>
  <c r="N36" i="2"/>
  <c r="V35" i="2"/>
  <c r="F40" i="2"/>
  <c r="N40" i="2"/>
  <c r="X40" i="2"/>
  <c r="AJ40" i="2"/>
  <c r="F44" i="2"/>
  <c r="N44" i="2"/>
  <c r="AG44" i="2"/>
  <c r="E45" i="2"/>
  <c r="X45" i="2"/>
  <c r="AJ45" i="2"/>
  <c r="F46" i="2"/>
  <c r="M46" i="2"/>
  <c r="AD49" i="2"/>
  <c r="AA49" i="2"/>
  <c r="D51" i="2"/>
  <c r="X51" i="2"/>
  <c r="AH51" i="2"/>
  <c r="AG49" i="2"/>
  <c r="X52" i="2"/>
  <c r="AJ52" i="2"/>
  <c r="L54" i="2"/>
  <c r="V58" i="2"/>
  <c r="V57" i="2"/>
  <c r="AD58" i="2"/>
  <c r="AD57" i="2"/>
  <c r="D69" i="2"/>
  <c r="AD69" i="2"/>
  <c r="AD65" i="2"/>
  <c r="F70" i="2"/>
  <c r="F73" i="2"/>
  <c r="M73" i="2"/>
  <c r="F80" i="2"/>
  <c r="N80" i="2"/>
  <c r="I81" i="2"/>
  <c r="AG83" i="2"/>
  <c r="F91" i="2"/>
  <c r="M91" i="2"/>
  <c r="V91" i="2"/>
  <c r="X92" i="2"/>
  <c r="AJ92" i="2"/>
  <c r="I94" i="2"/>
  <c r="X95" i="2"/>
  <c r="AH95" i="2"/>
  <c r="AD96" i="2"/>
  <c r="I113" i="2"/>
  <c r="AR15" i="2"/>
  <c r="AW15" i="2"/>
  <c r="AD114" i="2"/>
  <c r="F115" i="2"/>
  <c r="N115" i="2"/>
  <c r="F117" i="2"/>
  <c r="M117" i="2"/>
  <c r="F119" i="2"/>
  <c r="N119" i="2"/>
  <c r="F121" i="2"/>
  <c r="M121" i="2"/>
  <c r="Z112" i="2"/>
  <c r="AF112" i="2"/>
  <c r="AA141" i="2"/>
  <c r="BO20" i="2"/>
  <c r="Y145" i="2"/>
  <c r="Y110" i="2"/>
  <c r="W178" i="5"/>
  <c r="W178" i="6"/>
  <c r="W178" i="7"/>
  <c r="W178" i="8"/>
  <c r="X179" i="2"/>
  <c r="AJ179" i="2"/>
  <c r="AA227" i="2"/>
  <c r="W227" i="2"/>
  <c r="X230" i="2"/>
  <c r="AJ230" i="2"/>
  <c r="W244" i="5"/>
  <c r="W244" i="6"/>
  <c r="W244" i="7"/>
  <c r="W244" i="8"/>
  <c r="X245" i="2"/>
  <c r="AJ245" i="2"/>
  <c r="F38" i="2"/>
  <c r="M38" i="2"/>
  <c r="X19" i="2"/>
  <c r="AJ19" i="2"/>
  <c r="F23" i="2"/>
  <c r="BC12" i="2"/>
  <c r="X23" i="2"/>
  <c r="AJ23" i="2"/>
  <c r="F26" i="2"/>
  <c r="N26" i="2"/>
  <c r="X28" i="2"/>
  <c r="AH28" i="2"/>
  <c r="C28" i="2"/>
  <c r="P28" i="2"/>
  <c r="P21" i="2"/>
  <c r="P19" i="2"/>
  <c r="P17" i="2"/>
  <c r="P8" i="2"/>
  <c r="I32" i="2"/>
  <c r="X33" i="2"/>
  <c r="D32" i="2"/>
  <c r="F37" i="2"/>
  <c r="N37" i="2"/>
  <c r="X37" i="2"/>
  <c r="AI37" i="2"/>
  <c r="F41" i="2"/>
  <c r="M41" i="2"/>
  <c r="X41" i="2"/>
  <c r="AI41" i="2"/>
  <c r="W44" i="2"/>
  <c r="AA44" i="2"/>
  <c r="X47" i="2"/>
  <c r="AJ47" i="2"/>
  <c r="W49" i="2"/>
  <c r="D63" i="2"/>
  <c r="AM63" i="2"/>
  <c r="F67" i="2"/>
  <c r="N67" i="2"/>
  <c r="X67" i="2"/>
  <c r="AJ67" i="2"/>
  <c r="E69" i="2"/>
  <c r="X74" i="2"/>
  <c r="AH74" i="2"/>
  <c r="F77" i="2"/>
  <c r="N77" i="2"/>
  <c r="E81" i="2"/>
  <c r="F82" i="2"/>
  <c r="N82" i="2"/>
  <c r="W83" i="2"/>
  <c r="AC63" i="2"/>
  <c r="X84" i="2"/>
  <c r="AH84" i="2"/>
  <c r="F86" i="2"/>
  <c r="F88" i="2"/>
  <c r="M88" i="2"/>
  <c r="AD91" i="2"/>
  <c r="V96" i="2"/>
  <c r="AA96" i="2"/>
  <c r="AE90" i="2"/>
  <c r="AE63" i="2"/>
  <c r="V105" i="2"/>
  <c r="V104" i="2"/>
  <c r="AA105" i="2"/>
  <c r="AA104" i="2"/>
  <c r="X130" i="2"/>
  <c r="AJ130" i="2"/>
  <c r="V243" i="2"/>
  <c r="B68" i="7"/>
  <c r="B68" i="8"/>
  <c r="B68" i="9"/>
  <c r="AC63" i="5"/>
  <c r="AC168" i="5"/>
  <c r="Y169" i="2"/>
  <c r="AB196" i="2"/>
  <c r="AB195" i="2"/>
  <c r="AB193" i="2"/>
  <c r="AC196" i="2"/>
  <c r="AC195" i="2"/>
  <c r="AC193" i="2"/>
  <c r="AL196" i="2"/>
  <c r="AL195" i="2"/>
  <c r="AL193" i="2"/>
  <c r="U220" i="2"/>
  <c r="AC232" i="2"/>
  <c r="AL232" i="2"/>
  <c r="C104" i="5"/>
  <c r="C113" i="5"/>
  <c r="Z112" i="5"/>
  <c r="AM112" i="5"/>
  <c r="AF168" i="5"/>
  <c r="BQ24" i="5"/>
  <c r="BQ22" i="5"/>
  <c r="P28" i="6"/>
  <c r="P21" i="6"/>
  <c r="P19" i="6"/>
  <c r="P17" i="6"/>
  <c r="P8" i="6"/>
  <c r="BK15" i="6"/>
  <c r="H28" i="6"/>
  <c r="H21" i="6"/>
  <c r="H19" i="6"/>
  <c r="H17" i="6"/>
  <c r="U185" i="6"/>
  <c r="U183" i="6"/>
  <c r="AM192" i="6"/>
  <c r="AC231" i="6"/>
  <c r="U234" i="6"/>
  <c r="U233" i="6"/>
  <c r="C32" i="7"/>
  <c r="AM192" i="7"/>
  <c r="AL14" i="8"/>
  <c r="Z43" i="8"/>
  <c r="Z14" i="8"/>
  <c r="AM43" i="8"/>
  <c r="AM14" i="8"/>
  <c r="AC168" i="8"/>
  <c r="AE220" i="2"/>
  <c r="U20" i="5"/>
  <c r="U16" i="5"/>
  <c r="C10" i="7"/>
  <c r="C29" i="7"/>
  <c r="C57" i="7"/>
  <c r="Z90" i="8"/>
  <c r="Z63" i="8"/>
  <c r="AM90" i="8"/>
  <c r="AM63" i="8"/>
  <c r="AC168" i="9"/>
  <c r="AB112" i="2"/>
  <c r="AB110" i="2"/>
  <c r="W157" i="2"/>
  <c r="W155" i="2"/>
  <c r="AL145" i="2"/>
  <c r="X167" i="2"/>
  <c r="AI167" i="2"/>
  <c r="AB169" i="2"/>
  <c r="AL169" i="2"/>
  <c r="AE169" i="2"/>
  <c r="AA205" i="2"/>
  <c r="X218" i="2"/>
  <c r="AF220" i="2"/>
  <c r="Y220" i="2"/>
  <c r="AC220" i="2"/>
  <c r="AL220" i="2"/>
  <c r="Z232" i="2"/>
  <c r="X241" i="2"/>
  <c r="AJ241" i="2"/>
  <c r="X253" i="2"/>
  <c r="AH253" i="2"/>
  <c r="AT21" i="5"/>
  <c r="AT6" i="5"/>
  <c r="C72" i="5"/>
  <c r="U185" i="5"/>
  <c r="U183" i="5"/>
  <c r="U196" i="5"/>
  <c r="U195" i="5"/>
  <c r="U194" i="5"/>
  <c r="U44" i="6"/>
  <c r="U83" i="6"/>
  <c r="U221" i="6"/>
  <c r="H28" i="7"/>
  <c r="H21" i="7"/>
  <c r="C94" i="7"/>
  <c r="U141" i="7"/>
  <c r="N53" i="14"/>
  <c r="C78" i="6"/>
  <c r="AL63" i="6"/>
  <c r="U96" i="6"/>
  <c r="AM63" i="6"/>
  <c r="U141" i="6"/>
  <c r="U149" i="6"/>
  <c r="U147" i="6"/>
  <c r="AL195" i="6"/>
  <c r="AL194" i="6"/>
  <c r="AL192" i="6"/>
  <c r="C35" i="7"/>
  <c r="U123" i="7"/>
  <c r="Z168" i="7"/>
  <c r="AC168" i="7"/>
  <c r="U58" i="8"/>
  <c r="U57" i="8"/>
  <c r="AC145" i="8"/>
  <c r="AF168" i="8"/>
  <c r="BQ24" i="8"/>
  <c r="BQ22" i="8"/>
  <c r="U226" i="8"/>
  <c r="Z231" i="8"/>
  <c r="AM231" i="8"/>
  <c r="C22" i="9"/>
  <c r="H28" i="9"/>
  <c r="H21" i="9"/>
  <c r="H19" i="9"/>
  <c r="H17" i="9"/>
  <c r="H8" i="9"/>
  <c r="AF43" i="9"/>
  <c r="U44" i="9"/>
  <c r="AF90" i="9"/>
  <c r="AF63" i="9"/>
  <c r="C94" i="5"/>
  <c r="AF231" i="5"/>
  <c r="AC112" i="6"/>
  <c r="Z168" i="6"/>
  <c r="U210" i="6"/>
  <c r="U209" i="6"/>
  <c r="U208" i="6"/>
  <c r="K10" i="7"/>
  <c r="BE7" i="7"/>
  <c r="P28" i="7"/>
  <c r="P21" i="7"/>
  <c r="P19" i="7"/>
  <c r="P17" i="7"/>
  <c r="P8" i="7"/>
  <c r="C35" i="8"/>
  <c r="C85" i="8"/>
  <c r="AC112" i="8"/>
  <c r="AL168" i="8"/>
  <c r="U174" i="8"/>
  <c r="Z195" i="8"/>
  <c r="Z194" i="8"/>
  <c r="Z192" i="8"/>
  <c r="AM195" i="8"/>
  <c r="AM194" i="8"/>
  <c r="AM192" i="8"/>
  <c r="U49" i="13"/>
  <c r="U69" i="13"/>
  <c r="AL112" i="13"/>
  <c r="Z90" i="7"/>
  <c r="Z63" i="7"/>
  <c r="AM90" i="7"/>
  <c r="AM63" i="7"/>
  <c r="P28" i="8"/>
  <c r="P21" i="8"/>
  <c r="P19" i="8"/>
  <c r="P17" i="8"/>
  <c r="P8" i="8"/>
  <c r="U49" i="8"/>
  <c r="C54" i="8"/>
  <c r="AL63" i="8"/>
  <c r="Z168" i="8"/>
  <c r="AM168" i="8"/>
  <c r="P28" i="9"/>
  <c r="P21" i="9"/>
  <c r="P19" i="9"/>
  <c r="P17" i="9"/>
  <c r="P8" i="9"/>
  <c r="C35" i="9"/>
  <c r="Z112" i="9"/>
  <c r="Z145" i="9"/>
  <c r="C32" i="11"/>
  <c r="AF231" i="9"/>
  <c r="P28" i="11"/>
  <c r="P21" i="11"/>
  <c r="P19" i="11"/>
  <c r="P17" i="11"/>
  <c r="K28" i="11"/>
  <c r="K21" i="11"/>
  <c r="K19" i="11"/>
  <c r="K17" i="11"/>
  <c r="Q28" i="11"/>
  <c r="Q21" i="11"/>
  <c r="Q19" i="11"/>
  <c r="Q17" i="11"/>
  <c r="Z219" i="12"/>
  <c r="C113" i="13"/>
  <c r="Q28" i="9"/>
  <c r="Q21" i="9"/>
  <c r="Q19" i="9"/>
  <c r="Q17" i="9"/>
  <c r="Q8" i="9"/>
  <c r="C51" i="9"/>
  <c r="AC195" i="9"/>
  <c r="AC194" i="9"/>
  <c r="AC192" i="9"/>
  <c r="AC219" i="9"/>
  <c r="Z231" i="9"/>
  <c r="C63" i="11"/>
  <c r="P28" i="12"/>
  <c r="P21" i="12"/>
  <c r="P19" i="12"/>
  <c r="P17" i="12"/>
  <c r="P8" i="12"/>
  <c r="U58" i="12"/>
  <c r="U57" i="12"/>
  <c r="P50" i="14"/>
  <c r="H28" i="11"/>
  <c r="H21" i="11"/>
  <c r="H19" i="11"/>
  <c r="H17" i="11"/>
  <c r="AF90" i="11"/>
  <c r="C60" i="13"/>
  <c r="C104" i="13"/>
  <c r="U114" i="13"/>
  <c r="R44" i="14"/>
  <c r="C66" i="11"/>
  <c r="C35" i="12"/>
  <c r="U58" i="13"/>
  <c r="U57" i="13" s="1"/>
  <c r="U170" i="13"/>
  <c r="U221" i="13"/>
  <c r="R20" i="14"/>
  <c r="Q28" i="13"/>
  <c r="AL195" i="13"/>
  <c r="AL194" i="13" s="1"/>
  <c r="AL192" i="13" s="1"/>
  <c r="Z168" i="5"/>
  <c r="K17" i="14"/>
  <c r="K10" i="14"/>
  <c r="K9" i="14"/>
  <c r="AF231" i="7"/>
  <c r="AC231" i="7"/>
  <c r="AC195" i="7"/>
  <c r="AC194" i="7"/>
  <c r="AC192" i="7"/>
  <c r="AL112" i="7"/>
  <c r="AL110" i="7"/>
  <c r="K28" i="7"/>
  <c r="K21" i="7"/>
  <c r="AF195" i="7"/>
  <c r="AC145" i="7"/>
  <c r="Z145" i="7"/>
  <c r="AF112" i="7"/>
  <c r="AC112" i="7"/>
  <c r="AC63" i="7"/>
  <c r="AF43" i="7"/>
  <c r="BQ13" i="7"/>
  <c r="BQ8" i="7"/>
  <c r="BQ7" i="7"/>
  <c r="BQ32" i="7"/>
  <c r="D14" i="5"/>
  <c r="AB14" i="2"/>
  <c r="Y66" i="5"/>
  <c r="AA66" i="5"/>
  <c r="Y66" i="6"/>
  <c r="AA66" i="6"/>
  <c r="Y66" i="7"/>
  <c r="AA66" i="7"/>
  <c r="Y66" i="8"/>
  <c r="AA66" i="8"/>
  <c r="Y66" i="9"/>
  <c r="AA66" i="9"/>
  <c r="AX9" i="2"/>
  <c r="L10" i="2"/>
  <c r="N13" i="2"/>
  <c r="L32" i="2"/>
  <c r="D53" i="5"/>
  <c r="G65" i="5"/>
  <c r="I65" i="5"/>
  <c r="G65" i="6"/>
  <c r="I65" i="6"/>
  <c r="W66" i="5"/>
  <c r="W66" i="6"/>
  <c r="W66" i="7"/>
  <c r="W66" i="8"/>
  <c r="AJ29" i="2"/>
  <c r="G34" i="5"/>
  <c r="I34" i="5"/>
  <c r="G34" i="6"/>
  <c r="I34" i="6"/>
  <c r="AH46" i="2"/>
  <c r="AI46" i="2"/>
  <c r="AJ46" i="2"/>
  <c r="AF169" i="2"/>
  <c r="BQ24" i="2"/>
  <c r="BF11" i="7"/>
  <c r="N118" i="2"/>
  <c r="AH134" i="2"/>
  <c r="B13" i="5"/>
  <c r="B13" i="6"/>
  <c r="B13" i="7"/>
  <c r="B13" i="8"/>
  <c r="B13" i="9"/>
  <c r="Y46" i="5"/>
  <c r="AA46" i="5"/>
  <c r="Y46" i="6"/>
  <c r="AA46" i="6"/>
  <c r="Y46" i="7"/>
  <c r="AA46" i="7"/>
  <c r="Y46" i="8"/>
  <c r="AA46" i="8"/>
  <c r="Y46" i="9"/>
  <c r="AA46" i="9"/>
  <c r="AW7" i="2"/>
  <c r="AW8" i="2"/>
  <c r="AW9" i="2"/>
  <c r="D10" i="2"/>
  <c r="AW10" i="2"/>
  <c r="BK15" i="2"/>
  <c r="BL15" i="4"/>
  <c r="BD19" i="2"/>
  <c r="W20" i="2"/>
  <c r="W16" i="2"/>
  <c r="AA20" i="2"/>
  <c r="AA16" i="2"/>
  <c r="AT21" i="2"/>
  <c r="X22" i="2"/>
  <c r="AR22" i="2"/>
  <c r="X24" i="2"/>
  <c r="X25" i="2"/>
  <c r="E29" i="2"/>
  <c r="I29" i="2"/>
  <c r="F30" i="2"/>
  <c r="X31" i="2"/>
  <c r="K32" i="2"/>
  <c r="K28" i="2"/>
  <c r="K21" i="2"/>
  <c r="K19" i="2"/>
  <c r="K17" i="2"/>
  <c r="X32" i="2"/>
  <c r="V44" i="2"/>
  <c r="AD44" i="2"/>
  <c r="F50" i="2"/>
  <c r="E51" i="2"/>
  <c r="I51" i="2"/>
  <c r="F52" i="2"/>
  <c r="F53" i="2"/>
  <c r="E54" i="2"/>
  <c r="I54" i="2"/>
  <c r="F55" i="2"/>
  <c r="F56" i="2"/>
  <c r="F58" i="2"/>
  <c r="X59" i="2"/>
  <c r="D60" i="2"/>
  <c r="L60" i="2"/>
  <c r="X61" i="2"/>
  <c r="E63" i="2"/>
  <c r="I63" i="2"/>
  <c r="F65" i="2"/>
  <c r="X66" i="2"/>
  <c r="W69" i="2"/>
  <c r="W65" i="2"/>
  <c r="AA69" i="2"/>
  <c r="AA65" i="2"/>
  <c r="V83" i="2"/>
  <c r="AD83" i="2"/>
  <c r="AI84" i="2"/>
  <c r="E85" i="2"/>
  <c r="I85" i="2"/>
  <c r="AG91" i="2"/>
  <c r="F92" i="2"/>
  <c r="X93" i="2"/>
  <c r="D94" i="2"/>
  <c r="L94" i="2"/>
  <c r="F95" i="2"/>
  <c r="F96" i="2"/>
  <c r="X97" i="2"/>
  <c r="X98" i="2"/>
  <c r="X99" i="2"/>
  <c r="X100" i="2"/>
  <c r="X101" i="2"/>
  <c r="X102" i="2"/>
  <c r="D104" i="2"/>
  <c r="H104" i="2"/>
  <c r="L104" i="2"/>
  <c r="F111" i="2"/>
  <c r="V119" i="5"/>
  <c r="V119" i="6"/>
  <c r="F122" i="2"/>
  <c r="AG123" i="2"/>
  <c r="F124" i="2"/>
  <c r="X125" i="2"/>
  <c r="X127" i="2"/>
  <c r="AI128" i="2"/>
  <c r="X129" i="2"/>
  <c r="X131" i="2"/>
  <c r="AI134" i="2"/>
  <c r="X135" i="2"/>
  <c r="X139" i="2"/>
  <c r="V141" i="2"/>
  <c r="AD141" i="2"/>
  <c r="BP20" i="2"/>
  <c r="X143" i="2"/>
  <c r="AG149" i="2"/>
  <c r="AG147" i="2"/>
  <c r="X150" i="2"/>
  <c r="X160" i="2"/>
  <c r="X164" i="2"/>
  <c r="AG171" i="2"/>
  <c r="X172" i="2"/>
  <c r="AG175" i="2"/>
  <c r="X176" i="2"/>
  <c r="BN23" i="2"/>
  <c r="X180" i="2"/>
  <c r="AG186" i="2"/>
  <c r="AG184" i="2"/>
  <c r="X187" i="2"/>
  <c r="AG197" i="2"/>
  <c r="AG196" i="2"/>
  <c r="AG195" i="2"/>
  <c r="X198" i="2"/>
  <c r="BN26" i="2"/>
  <c r="AI201" i="2"/>
  <c r="X202" i="2"/>
  <c r="X215" i="2"/>
  <c r="AG222" i="2"/>
  <c r="X223" i="2"/>
  <c r="W235" i="2"/>
  <c r="W234" i="2"/>
  <c r="AA235" i="2"/>
  <c r="AA234" i="2"/>
  <c r="X238" i="2"/>
  <c r="W243" i="2"/>
  <c r="AA243" i="2"/>
  <c r="AI245" i="2"/>
  <c r="X246" i="2"/>
  <c r="X250" i="2"/>
  <c r="X254" i="2"/>
  <c r="AE22" i="5"/>
  <c r="AG22" i="5"/>
  <c r="AE22" i="6"/>
  <c r="AG22" i="6"/>
  <c r="AE22" i="7"/>
  <c r="AG22" i="7"/>
  <c r="AE22" i="8"/>
  <c r="AG22" i="8"/>
  <c r="AE22" i="9"/>
  <c r="AG22" i="9"/>
  <c r="BF13" i="7"/>
  <c r="AH241" i="2"/>
  <c r="BC5" i="2"/>
  <c r="AX10" i="2"/>
  <c r="AW13" i="2"/>
  <c r="F27" i="2"/>
  <c r="F34" i="2"/>
  <c r="F43" i="2"/>
  <c r="AJ53" i="2"/>
  <c r="AJ60" i="2"/>
  <c r="C81" i="12"/>
  <c r="C81" i="11"/>
  <c r="C81" i="9"/>
  <c r="C81" i="8"/>
  <c r="C81" i="7"/>
  <c r="C81" i="6"/>
  <c r="C81" i="5"/>
  <c r="X81" i="2"/>
  <c r="E94" i="2"/>
  <c r="AG96" i="2"/>
  <c r="F97" i="2"/>
  <c r="F98" i="2"/>
  <c r="F99" i="2"/>
  <c r="F100" i="2"/>
  <c r="F101" i="2"/>
  <c r="F102" i="2"/>
  <c r="E104" i="2"/>
  <c r="I104" i="2"/>
  <c r="F105" i="2"/>
  <c r="X106" i="2"/>
  <c r="X107" i="2"/>
  <c r="X108" i="2"/>
  <c r="AA114" i="2"/>
  <c r="D119" i="5"/>
  <c r="D119" i="6"/>
  <c r="V123" i="2"/>
  <c r="AD123" i="2"/>
  <c r="V128" i="5"/>
  <c r="AJ128" i="2"/>
  <c r="X132" i="2"/>
  <c r="X136" i="2"/>
  <c r="W141" i="2"/>
  <c r="AJ142" i="2"/>
  <c r="X148" i="2"/>
  <c r="V149" i="2"/>
  <c r="V147" i="2"/>
  <c r="AD149" i="2"/>
  <c r="AD147" i="2"/>
  <c r="X151" i="2"/>
  <c r="AG157" i="2"/>
  <c r="AG155" i="2"/>
  <c r="X161" i="2"/>
  <c r="X165" i="2"/>
  <c r="V171" i="2"/>
  <c r="AD171" i="2"/>
  <c r="X173" i="2"/>
  <c r="V175" i="2"/>
  <c r="AD175" i="2"/>
  <c r="X177" i="2"/>
  <c r="X181" i="2"/>
  <c r="X185" i="2"/>
  <c r="V186" i="2"/>
  <c r="V184" i="2"/>
  <c r="AD186" i="2"/>
  <c r="AD184" i="2"/>
  <c r="X188" i="2"/>
  <c r="V197" i="2"/>
  <c r="AD197" i="2"/>
  <c r="X199" i="2"/>
  <c r="X203" i="2"/>
  <c r="X206" i="2"/>
  <c r="AG211" i="2"/>
  <c r="AG210" i="2"/>
  <c r="AG209" i="2"/>
  <c r="AS29" i="2"/>
  <c r="AX29" i="2"/>
  <c r="X212" i="2"/>
  <c r="X216" i="2"/>
  <c r="V222" i="2"/>
  <c r="AD222" i="2"/>
  <c r="X224" i="2"/>
  <c r="X228" i="2"/>
  <c r="X239" i="2"/>
  <c r="X247" i="2"/>
  <c r="X251" i="2"/>
  <c r="X255" i="2"/>
  <c r="N110" i="2"/>
  <c r="N120" i="2"/>
  <c r="BE3" i="2"/>
  <c r="BK3" i="2"/>
  <c r="BQ3" i="2"/>
  <c r="BN5" i="2"/>
  <c r="X18" i="2"/>
  <c r="AS22" i="2"/>
  <c r="X36" i="2"/>
  <c r="X38" i="2"/>
  <c r="X39" i="2"/>
  <c r="L42" i="2"/>
  <c r="AS10" i="2"/>
  <c r="X48" i="2"/>
  <c r="F59" i="2"/>
  <c r="F61" i="2"/>
  <c r="F62" i="2"/>
  <c r="X72" i="2"/>
  <c r="X75" i="2"/>
  <c r="X78" i="2"/>
  <c r="AA83" i="2"/>
  <c r="AW4" i="2"/>
  <c r="BH5" i="2"/>
  <c r="AT6" i="2"/>
  <c r="AX11" i="2"/>
  <c r="BF12" i="7"/>
  <c r="BF16" i="7"/>
  <c r="AW19" i="2"/>
  <c r="E25" i="2"/>
  <c r="E32" i="2"/>
  <c r="AD35" i="2"/>
  <c r="F39" i="2"/>
  <c r="E42" i="2"/>
  <c r="L48" i="2"/>
  <c r="L57" i="2"/>
  <c r="E66" i="2"/>
  <c r="I69" i="2"/>
  <c r="AG69" i="2"/>
  <c r="AG65" i="2"/>
  <c r="X71" i="2"/>
  <c r="L72" i="2"/>
  <c r="D75" i="2"/>
  <c r="L75" i="2"/>
  <c r="X76" i="2"/>
  <c r="X77" i="2"/>
  <c r="D78" i="2"/>
  <c r="M79" i="2"/>
  <c r="X79" i="2"/>
  <c r="X80" i="2"/>
  <c r="D81" i="2"/>
  <c r="L81" i="2"/>
  <c r="F83" i="2"/>
  <c r="X85" i="2"/>
  <c r="X86" i="2"/>
  <c r="X87" i="2"/>
  <c r="X88" i="2"/>
  <c r="F90" i="2"/>
  <c r="W91" i="2"/>
  <c r="AA91" i="2"/>
  <c r="G97" i="5"/>
  <c r="I97" i="5"/>
  <c r="G97" i="6"/>
  <c r="I97" i="6"/>
  <c r="G99" i="5"/>
  <c r="I99" i="5"/>
  <c r="G99" i="6"/>
  <c r="I99" i="6"/>
  <c r="AG105" i="2"/>
  <c r="AG104" i="2"/>
  <c r="F106" i="2"/>
  <c r="F107" i="2"/>
  <c r="F108" i="2"/>
  <c r="F109" i="2"/>
  <c r="D111" i="5"/>
  <c r="D111" i="6"/>
  <c r="D113" i="2"/>
  <c r="L113" i="2"/>
  <c r="AS15" i="2"/>
  <c r="AX15" i="2"/>
  <c r="X115" i="2"/>
  <c r="X116" i="2"/>
  <c r="X117" i="2"/>
  <c r="X118" i="2"/>
  <c r="X119" i="2"/>
  <c r="X120" i="2"/>
  <c r="X121" i="2"/>
  <c r="W123" i="2"/>
  <c r="AA123" i="2"/>
  <c r="D124" i="5"/>
  <c r="X133" i="2"/>
  <c r="X137" i="2"/>
  <c r="W149" i="2"/>
  <c r="W147" i="2"/>
  <c r="AA149" i="2"/>
  <c r="AA147" i="2"/>
  <c r="X152" i="2"/>
  <c r="X156" i="2"/>
  <c r="V157" i="2"/>
  <c r="V155" i="2"/>
  <c r="AD157" i="2"/>
  <c r="AD155" i="2"/>
  <c r="X158" i="2"/>
  <c r="X162" i="2"/>
  <c r="X166" i="2"/>
  <c r="W171" i="2"/>
  <c r="AA171" i="2"/>
  <c r="W175" i="2"/>
  <c r="AA175" i="2"/>
  <c r="X178" i="2"/>
  <c r="X182" i="2"/>
  <c r="W186" i="2"/>
  <c r="W184" i="2"/>
  <c r="AA186" i="2"/>
  <c r="AA184" i="2"/>
  <c r="X190" i="2"/>
  <c r="W197" i="2"/>
  <c r="AA197" i="2"/>
  <c r="X200" i="2"/>
  <c r="X204" i="2"/>
  <c r="V205" i="2"/>
  <c r="AD205" i="2"/>
  <c r="V211" i="2"/>
  <c r="V210" i="2"/>
  <c r="V209" i="2"/>
  <c r="AD211" i="2"/>
  <c r="AD210" i="2"/>
  <c r="AD209" i="2"/>
  <c r="BP27" i="2"/>
  <c r="X213" i="2"/>
  <c r="X217" i="2"/>
  <c r="W222" i="2"/>
  <c r="AA222" i="2"/>
  <c r="X225" i="2"/>
  <c r="V227" i="2"/>
  <c r="AD227" i="2"/>
  <c r="X229" i="2"/>
  <c r="AG235" i="2"/>
  <c r="AG234" i="2"/>
  <c r="X236" i="2"/>
  <c r="X240" i="2"/>
  <c r="AG243" i="2"/>
  <c r="X244" i="2"/>
  <c r="X248" i="2"/>
  <c r="X252" i="2"/>
  <c r="X256" i="2"/>
  <c r="B41" i="6"/>
  <c r="B41" i="7"/>
  <c r="B41" i="8"/>
  <c r="B41" i="9"/>
  <c r="B41" i="5"/>
  <c r="AJ3" i="5"/>
  <c r="C75" i="5"/>
  <c r="C85" i="5"/>
  <c r="U96" i="5"/>
  <c r="U123" i="5"/>
  <c r="U170" i="5"/>
  <c r="Z192" i="6"/>
  <c r="BC5" i="5"/>
  <c r="AR21" i="5"/>
  <c r="U157" i="5"/>
  <c r="U155" i="5"/>
  <c r="BH5" i="5"/>
  <c r="AS21" i="5"/>
  <c r="U91" i="5"/>
  <c r="U141" i="5"/>
  <c r="AL168" i="5"/>
  <c r="U221" i="5"/>
  <c r="AW4" i="5"/>
  <c r="AW19" i="7"/>
  <c r="BH5" i="7"/>
  <c r="BE3" i="7"/>
  <c r="BK3" i="7"/>
  <c r="BQ3" i="7"/>
  <c r="BN5" i="7"/>
  <c r="BC5" i="7"/>
  <c r="AT21" i="7"/>
  <c r="AT6" i="7"/>
  <c r="AS21" i="7"/>
  <c r="AS6" i="7"/>
  <c r="C69" i="7"/>
  <c r="C72" i="7"/>
  <c r="U20" i="8"/>
  <c r="U16" i="8"/>
  <c r="U91" i="8"/>
  <c r="BH5" i="6"/>
  <c r="BE3" i="6"/>
  <c r="BK3" i="6"/>
  <c r="BQ3" i="6"/>
  <c r="BN5" i="6"/>
  <c r="U35" i="6"/>
  <c r="BK9" i="6"/>
  <c r="C85" i="6"/>
  <c r="C104" i="6"/>
  <c r="U114" i="6"/>
  <c r="AC168" i="6"/>
  <c r="AL168" i="6"/>
  <c r="U196" i="6"/>
  <c r="U195" i="6"/>
  <c r="U194" i="6"/>
  <c r="AW4" i="7"/>
  <c r="U69" i="7"/>
  <c r="U65" i="7"/>
  <c r="U157" i="7"/>
  <c r="U155" i="7"/>
  <c r="U105" i="8"/>
  <c r="U104" i="8"/>
  <c r="U114" i="8"/>
  <c r="U185" i="8"/>
  <c r="U183" i="8"/>
  <c r="U210" i="5"/>
  <c r="U209" i="5"/>
  <c r="U208" i="5"/>
  <c r="U242" i="5"/>
  <c r="AW4" i="6"/>
  <c r="AS21" i="6"/>
  <c r="AT6" i="6"/>
  <c r="C10" i="6"/>
  <c r="U20" i="6"/>
  <c r="U16" i="6"/>
  <c r="AT21" i="6"/>
  <c r="C51" i="6"/>
  <c r="U69" i="6"/>
  <c r="U65" i="6"/>
  <c r="C113" i="6"/>
  <c r="AF112" i="6"/>
  <c r="AF168" i="6"/>
  <c r="BQ24" i="6"/>
  <c r="BQ22" i="6"/>
  <c r="AR21" i="7"/>
  <c r="C42" i="7"/>
  <c r="C45" i="7"/>
  <c r="C48" i="7"/>
  <c r="C63" i="7"/>
  <c r="AF63" i="7"/>
  <c r="U114" i="7"/>
  <c r="C10" i="8"/>
  <c r="U123" i="8"/>
  <c r="AS6" i="6"/>
  <c r="AM14" i="6"/>
  <c r="AW19" i="6"/>
  <c r="U49" i="6"/>
  <c r="C60" i="6"/>
  <c r="AC145" i="6"/>
  <c r="AL145" i="6"/>
  <c r="BK15" i="7"/>
  <c r="AL63" i="7"/>
  <c r="U83" i="7"/>
  <c r="U91" i="7"/>
  <c r="AF168" i="7"/>
  <c r="BQ24" i="7"/>
  <c r="BQ22" i="7"/>
  <c r="U221" i="7"/>
  <c r="C51" i="8"/>
  <c r="C94" i="8"/>
  <c r="C113" i="8"/>
  <c r="U149" i="8"/>
  <c r="U147" i="8"/>
  <c r="U196" i="8"/>
  <c r="U195" i="8"/>
  <c r="U194" i="8"/>
  <c r="AL231" i="8"/>
  <c r="C85" i="7"/>
  <c r="K21" i="8"/>
  <c r="K19" i="8"/>
  <c r="K17" i="8"/>
  <c r="C60" i="8"/>
  <c r="U96" i="8"/>
  <c r="C104" i="8"/>
  <c r="U35" i="9"/>
  <c r="U174" i="7"/>
  <c r="U210" i="7"/>
  <c r="U209" i="7"/>
  <c r="U208" i="7"/>
  <c r="AF219" i="7"/>
  <c r="BQ30" i="7"/>
  <c r="U226" i="7"/>
  <c r="U242" i="7"/>
  <c r="C25" i="8"/>
  <c r="C29" i="8"/>
  <c r="U35" i="8"/>
  <c r="C69" i="8"/>
  <c r="U83" i="8"/>
  <c r="AF112" i="8"/>
  <c r="U157" i="8"/>
  <c r="U155" i="8"/>
  <c r="U141" i="8"/>
  <c r="U221" i="8"/>
  <c r="Z145" i="8"/>
  <c r="U234" i="8"/>
  <c r="U233" i="8"/>
  <c r="U242" i="8"/>
  <c r="U141" i="9"/>
  <c r="U234" i="9"/>
  <c r="U233" i="9"/>
  <c r="C48" i="9"/>
  <c r="C66" i="9"/>
  <c r="C75" i="9"/>
  <c r="C85" i="9"/>
  <c r="U96" i="9"/>
  <c r="U123" i="9"/>
  <c r="U204" i="9"/>
  <c r="U210" i="9"/>
  <c r="U209" i="9"/>
  <c r="U208" i="9"/>
  <c r="C42" i="9"/>
  <c r="U69" i="9"/>
  <c r="U65" i="9"/>
  <c r="C113" i="9"/>
  <c r="U114" i="9"/>
  <c r="U174" i="9"/>
  <c r="U221" i="9"/>
  <c r="U226" i="9"/>
  <c r="U91" i="9"/>
  <c r="C94" i="9"/>
  <c r="C104" i="9"/>
  <c r="U196" i="9"/>
  <c r="U170" i="9"/>
  <c r="U185" i="9"/>
  <c r="U183" i="9"/>
  <c r="U242" i="9"/>
  <c r="C54" i="11"/>
  <c r="C25" i="11"/>
  <c r="C75" i="11"/>
  <c r="O15" i="14"/>
  <c r="O10" i="14"/>
  <c r="O9" i="14"/>
  <c r="C45" i="11"/>
  <c r="C51" i="11"/>
  <c r="C57" i="11"/>
  <c r="C85" i="11"/>
  <c r="P46" i="14"/>
  <c r="U20" i="12"/>
  <c r="U16" i="12"/>
  <c r="P35" i="14"/>
  <c r="P32" i="14"/>
  <c r="U123" i="12"/>
  <c r="U149" i="12"/>
  <c r="U147" i="12"/>
  <c r="P15" i="14"/>
  <c r="C25" i="12"/>
  <c r="C45" i="12"/>
  <c r="C29" i="12"/>
  <c r="U35" i="12"/>
  <c r="U44" i="12"/>
  <c r="C57" i="12"/>
  <c r="C94" i="12"/>
  <c r="P17" i="14"/>
  <c r="P10" i="14" s="1"/>
  <c r="P9" i="14" s="1"/>
  <c r="P25" i="14" s="1"/>
  <c r="P56" i="14" s="1"/>
  <c r="P49" i="14"/>
  <c r="U69" i="12"/>
  <c r="U65" i="12"/>
  <c r="C75" i="12"/>
  <c r="U114" i="12"/>
  <c r="Z145" i="12"/>
  <c r="U157" i="12"/>
  <c r="U155" i="12"/>
  <c r="P12" i="14"/>
  <c r="P14" i="14"/>
  <c r="P37" i="14"/>
  <c r="P16" i="14"/>
  <c r="C42" i="12"/>
  <c r="C48" i="12"/>
  <c r="C66" i="12"/>
  <c r="C78" i="12"/>
  <c r="C85" i="12"/>
  <c r="C113" i="12"/>
  <c r="U141" i="12"/>
  <c r="U91" i="12"/>
  <c r="U96" i="12"/>
  <c r="C104" i="12"/>
  <c r="U221" i="12"/>
  <c r="U234" i="12"/>
  <c r="U233" i="12"/>
  <c r="U242" i="12"/>
  <c r="AJ3" i="13"/>
  <c r="C35" i="13"/>
  <c r="U35" i="13"/>
  <c r="U44" i="13"/>
  <c r="C45" i="13"/>
  <c r="C22" i="13"/>
  <c r="C29" i="13"/>
  <c r="U91" i="13"/>
  <c r="U174" i="13"/>
  <c r="U196" i="13"/>
  <c r="U210" i="13"/>
  <c r="U209" i="13" s="1"/>
  <c r="U208" i="13" s="1"/>
  <c r="AM219" i="13"/>
  <c r="U242" i="13"/>
  <c r="R21" i="14"/>
  <c r="S227" i="11"/>
  <c r="S227" i="10"/>
  <c r="S227" i="12"/>
  <c r="S227" i="13"/>
  <c r="S104" i="9"/>
  <c r="S104" i="11"/>
  <c r="S104" i="12"/>
  <c r="S104" i="13"/>
  <c r="S254" i="11"/>
  <c r="S254" i="10"/>
  <c r="S254" i="12"/>
  <c r="S254" i="13"/>
  <c r="S155" i="11"/>
  <c r="S155" i="12"/>
  <c r="S155" i="13"/>
  <c r="S155" i="10"/>
  <c r="S143" i="11"/>
  <c r="S143" i="10"/>
  <c r="S143" i="12"/>
  <c r="S143" i="13"/>
  <c r="S60" i="10"/>
  <c r="S60" i="11"/>
  <c r="S60" i="12" s="1"/>
  <c r="S60" i="13" s="1"/>
  <c r="BO10" i="4"/>
  <c r="W90" i="2"/>
  <c r="AJ237" i="2"/>
  <c r="N74" i="2"/>
  <c r="AH70" i="2"/>
  <c r="AI45" i="2"/>
  <c r="AI33" i="2"/>
  <c r="X262" i="2"/>
  <c r="S173" i="10"/>
  <c r="S173" i="12"/>
  <c r="S173" i="13"/>
  <c r="BQ7" i="5"/>
  <c r="S59" i="10"/>
  <c r="S59" i="11"/>
  <c r="S59" i="12" s="1"/>
  <c r="S59" i="13"/>
  <c r="BQ13" i="6"/>
  <c r="BQ8" i="6"/>
  <c r="BQ7" i="6"/>
  <c r="BQ32" i="6"/>
  <c r="BQ25" i="2"/>
  <c r="BQ28" i="2"/>
  <c r="S222" i="10"/>
  <c r="S222" i="12"/>
  <c r="S222" i="13"/>
  <c r="S199" i="9"/>
  <c r="S199" i="11"/>
  <c r="S199" i="8"/>
  <c r="BQ7" i="8"/>
  <c r="BQ32" i="8"/>
  <c r="S250" i="10"/>
  <c r="S250" i="12"/>
  <c r="S250" i="13"/>
  <c r="S127" i="10"/>
  <c r="S127" i="12"/>
  <c r="S127" i="13"/>
  <c r="S236" i="10"/>
  <c r="S169" i="10"/>
  <c r="S169" i="12"/>
  <c r="S169" i="13"/>
  <c r="S153" i="10"/>
  <c r="S153" i="12"/>
  <c r="S153" i="13"/>
  <c r="S218" i="10"/>
  <c r="S218" i="12"/>
  <c r="S218" i="13"/>
  <c r="BQ13" i="9"/>
  <c r="BQ8" i="9"/>
  <c r="BQ7" i="9"/>
  <c r="BQ32" i="9"/>
  <c r="S212" i="10"/>
  <c r="S212" i="12"/>
  <c r="S212" i="13"/>
  <c r="S141" i="10"/>
  <c r="S141" i="12"/>
  <c r="S141" i="13"/>
  <c r="S194" i="10"/>
  <c r="S194" i="12"/>
  <c r="S194" i="13"/>
  <c r="S178" i="10"/>
  <c r="S178" i="12"/>
  <c r="S178" i="13"/>
  <c r="S109" i="10"/>
  <c r="S195" i="10"/>
  <c r="S195" i="12"/>
  <c r="S195" i="13"/>
  <c r="S208" i="10"/>
  <c r="S208" i="12"/>
  <c r="S208" i="13"/>
  <c r="S215" i="10"/>
  <c r="S215" i="12"/>
  <c r="S215" i="13"/>
  <c r="S130" i="10"/>
  <c r="S130" i="12"/>
  <c r="S130" i="13"/>
  <c r="S241" i="10"/>
  <c r="S241" i="12"/>
  <c r="S241" i="13"/>
  <c r="S164" i="10"/>
  <c r="S164" i="12"/>
  <c r="S164" i="13"/>
  <c r="S196" i="11"/>
  <c r="S196" i="10"/>
  <c r="S249" i="11"/>
  <c r="S249" i="10"/>
  <c r="S142" i="11"/>
  <c r="S142" i="10"/>
  <c r="S207" i="11"/>
  <c r="S207" i="10"/>
  <c r="S240" i="11"/>
  <c r="S240" i="10"/>
  <c r="S147" i="11"/>
  <c r="S147" i="12"/>
  <c r="S147" i="13"/>
  <c r="S147" i="10"/>
  <c r="S115" i="10"/>
  <c r="S115" i="11"/>
  <c r="S115" i="12"/>
  <c r="S115" i="13"/>
  <c r="S150" i="11"/>
  <c r="S150" i="10"/>
  <c r="S177" i="11"/>
  <c r="S177" i="10"/>
  <c r="S219" i="11"/>
  <c r="S219" i="10"/>
  <c r="S134" i="11"/>
  <c r="S134" i="10"/>
  <c r="S216" i="11"/>
  <c r="S216" i="12"/>
  <c r="S216" i="13"/>
  <c r="S216" i="10"/>
  <c r="S139" i="11"/>
  <c r="S139" i="12"/>
  <c r="S139" i="13"/>
  <c r="S139" i="10"/>
  <c r="S223" i="11"/>
  <c r="S223" i="10"/>
  <c r="S223" i="13"/>
  <c r="S176" i="11"/>
  <c r="S176" i="10"/>
  <c r="S243" i="11"/>
  <c r="S243" i="10"/>
  <c r="S126" i="11"/>
  <c r="S126" i="10"/>
  <c r="S234" i="11"/>
  <c r="S234" i="10"/>
  <c r="S185" i="11"/>
  <c r="S185" i="10"/>
  <c r="S131" i="11"/>
  <c r="S131" i="10"/>
  <c r="S106" i="9"/>
  <c r="S106" i="11"/>
  <c r="S106" i="12"/>
  <c r="S106" i="13"/>
  <c r="S106" i="10"/>
  <c r="S180" i="10"/>
  <c r="S174" i="10"/>
  <c r="S174" i="12"/>
  <c r="S174" i="13"/>
  <c r="S135" i="10"/>
  <c r="S239" i="10"/>
  <c r="S239" i="12"/>
  <c r="S239" i="13"/>
  <c r="S210" i="10"/>
  <c r="S200" i="10"/>
  <c r="X248" i="4"/>
  <c r="S146" i="10"/>
  <c r="S146" i="12"/>
  <c r="S146" i="13"/>
  <c r="S230" i="10"/>
  <c r="S230" i="12"/>
  <c r="S230" i="13"/>
  <c r="S121" i="11"/>
  <c r="S121" i="12"/>
  <c r="S121" i="13"/>
  <c r="K41" i="14"/>
  <c r="S119" i="10"/>
  <c r="S151" i="10"/>
  <c r="S168" i="10"/>
  <c r="S168" i="12"/>
  <c r="S168" i="13"/>
  <c r="S123" i="11"/>
  <c r="S123" i="12"/>
  <c r="S123" i="13"/>
  <c r="S251" i="10"/>
  <c r="S255" i="10"/>
  <c r="S255" i="12"/>
  <c r="S255" i="13"/>
  <c r="S145" i="10"/>
  <c r="S145" i="12"/>
  <c r="S145" i="13"/>
  <c r="S211" i="10"/>
  <c r="S211" i="12"/>
  <c r="S211" i="13"/>
  <c r="S154" i="10"/>
  <c r="S154" i="12"/>
  <c r="S154" i="13"/>
  <c r="S138" i="10"/>
  <c r="S138" i="12"/>
  <c r="S138" i="13"/>
  <c r="S248" i="10"/>
  <c r="S248" i="12"/>
  <c r="S248" i="13"/>
  <c r="S226" i="10"/>
  <c r="S226" i="12"/>
  <c r="S226" i="13"/>
  <c r="S203" i="10"/>
  <c r="S203" i="12"/>
  <c r="S203" i="13"/>
  <c r="S104" i="10"/>
  <c r="S231" i="10"/>
  <c r="S231" i="12"/>
  <c r="S231" i="13"/>
  <c r="S184" i="10"/>
  <c r="S184" i="12"/>
  <c r="S184" i="13"/>
  <c r="S159" i="10"/>
  <c r="S159" i="12"/>
  <c r="S159" i="13"/>
  <c r="S111" i="10"/>
  <c r="S220" i="10"/>
  <c r="S149" i="10"/>
  <c r="S149" i="12"/>
  <c r="S149" i="13"/>
  <c r="S129" i="10"/>
  <c r="S246" i="10"/>
  <c r="S235" i="10"/>
  <c r="S235" i="12"/>
  <c r="S235" i="13"/>
  <c r="S204" i="10"/>
  <c r="S204" i="12"/>
  <c r="S204" i="13"/>
  <c r="S198" i="10"/>
  <c r="S198" i="12"/>
  <c r="S198" i="13"/>
  <c r="S172" i="10"/>
  <c r="S199" i="10"/>
  <c r="S199" i="12"/>
  <c r="S199" i="13"/>
  <c r="S181" i="10"/>
  <c r="S181" i="12"/>
  <c r="S181" i="13"/>
  <c r="S161" i="10"/>
  <c r="S161" i="12"/>
  <c r="S161" i="13"/>
  <c r="S160" i="10"/>
  <c r="S160" i="12"/>
  <c r="S160" i="13"/>
  <c r="S242" i="11"/>
  <c r="S242" i="10"/>
  <c r="S156" i="11"/>
  <c r="S156" i="10"/>
  <c r="S140" i="11"/>
  <c r="S140" i="10"/>
  <c r="S124" i="11"/>
  <c r="S124" i="12"/>
  <c r="S124" i="13"/>
  <c r="S124" i="10"/>
  <c r="S252" i="11"/>
  <c r="S252" i="10"/>
  <c r="S228" i="11"/>
  <c r="S228" i="10"/>
  <c r="S201" i="11"/>
  <c r="S201" i="10"/>
  <c r="S179" i="11"/>
  <c r="S179" i="10"/>
  <c r="S170" i="11"/>
  <c r="S170" i="10"/>
  <c r="S120" i="11"/>
  <c r="S120" i="12"/>
  <c r="S120" i="13"/>
  <c r="S120" i="10"/>
  <c r="S112" i="11"/>
  <c r="S112" i="12"/>
  <c r="S112" i="13"/>
  <c r="S112" i="10"/>
  <c r="S112" i="9"/>
  <c r="S193" i="11"/>
  <c r="S193" i="10"/>
  <c r="S213" i="11"/>
  <c r="S213" i="10"/>
  <c r="S144" i="11"/>
  <c r="S144" i="10"/>
  <c r="S128" i="11"/>
  <c r="S128" i="10"/>
  <c r="S256" i="11"/>
  <c r="S256" i="10"/>
  <c r="S232" i="11"/>
  <c r="S232" i="10"/>
  <c r="S205" i="11"/>
  <c r="S205" i="10"/>
  <c r="S183" i="11"/>
  <c r="S183" i="10"/>
  <c r="S158" i="11"/>
  <c r="S158" i="10"/>
  <c r="S114" i="10"/>
  <c r="S114" i="9"/>
  <c r="S114" i="11"/>
  <c r="S114" i="12"/>
  <c r="S114" i="13"/>
  <c r="S105" i="9"/>
  <c r="S105" i="11"/>
  <c r="S105" i="12"/>
  <c r="S105" i="13"/>
  <c r="S105" i="10"/>
  <c r="N41" i="2"/>
  <c r="S217" i="11"/>
  <c r="S217" i="10"/>
  <c r="S148" i="11"/>
  <c r="S148" i="10"/>
  <c r="S132" i="11"/>
  <c r="S132" i="10"/>
  <c r="S237" i="11"/>
  <c r="S237" i="10"/>
  <c r="S209" i="11"/>
  <c r="S209" i="10"/>
  <c r="S187" i="11"/>
  <c r="S187" i="10"/>
  <c r="S171" i="11"/>
  <c r="S171" i="10"/>
  <c r="S225" i="11"/>
  <c r="S225" i="12"/>
  <c r="S225" i="13"/>
  <c r="S225" i="10"/>
  <c r="S162" i="11"/>
  <c r="S162" i="10"/>
  <c r="S116" i="11"/>
  <c r="S116" i="12"/>
  <c r="S116" i="13"/>
  <c r="S116" i="10"/>
  <c r="S107" i="9"/>
  <c r="S107" i="11"/>
  <c r="S107" i="12"/>
  <c r="S107" i="13"/>
  <c r="S107" i="10"/>
  <c r="AI237" i="2"/>
  <c r="AI28" i="2"/>
  <c r="AF14" i="8"/>
  <c r="AF12" i="8"/>
  <c r="S221" i="11"/>
  <c r="S221" i="10"/>
  <c r="S152" i="11"/>
  <c r="S152" i="10"/>
  <c r="S136" i="11"/>
  <c r="S136" i="10"/>
  <c r="S122" i="11"/>
  <c r="S122" i="12"/>
  <c r="S122" i="13"/>
  <c r="S122" i="10"/>
  <c r="S245" i="11"/>
  <c r="S245" i="10"/>
  <c r="S224" i="11"/>
  <c r="S224" i="10"/>
  <c r="S197" i="11"/>
  <c r="S197" i="10"/>
  <c r="S175" i="11"/>
  <c r="S175" i="10"/>
  <c r="S253" i="11"/>
  <c r="S253" i="10"/>
  <c r="S182" i="11"/>
  <c r="S182" i="10"/>
  <c r="S166" i="11"/>
  <c r="S166" i="10"/>
  <c r="S118" i="11"/>
  <c r="S118" i="12"/>
  <c r="S118" i="13"/>
  <c r="S118" i="10"/>
  <c r="S110" i="10"/>
  <c r="S110" i="11"/>
  <c r="S110" i="12"/>
  <c r="S110" i="13"/>
  <c r="BK14" i="5"/>
  <c r="J53" i="14"/>
  <c r="Y176" i="6"/>
  <c r="AA176" i="6"/>
  <c r="BO23" i="6"/>
  <c r="BO23" i="5"/>
  <c r="J41" i="14"/>
  <c r="BP23" i="6"/>
  <c r="BP23" i="5"/>
  <c r="BP10" i="4"/>
  <c r="BK14" i="9"/>
  <c r="AI166" i="5"/>
  <c r="K8" i="8"/>
  <c r="AM110" i="8"/>
  <c r="U43" i="8"/>
  <c r="U14" i="8"/>
  <c r="U90" i="7"/>
  <c r="J50" i="14"/>
  <c r="AL110" i="5"/>
  <c r="I49" i="14"/>
  <c r="F123" i="4"/>
  <c r="Y254" i="5"/>
  <c r="AA254" i="5"/>
  <c r="Y223" i="5"/>
  <c r="AA223" i="5"/>
  <c r="Y180" i="5"/>
  <c r="AA180" i="5"/>
  <c r="M123" i="2"/>
  <c r="X149" i="2"/>
  <c r="BN16" i="2"/>
  <c r="N116" i="2"/>
  <c r="U219" i="5"/>
  <c r="AJ68" i="2"/>
  <c r="D28" i="2"/>
  <c r="W196" i="2"/>
  <c r="W195" i="2"/>
  <c r="W193" i="2"/>
  <c r="M49" i="2"/>
  <c r="AJ94" i="2"/>
  <c r="AI241" i="2"/>
  <c r="AH201" i="2"/>
  <c r="AJ70" i="2"/>
  <c r="M68" i="2"/>
  <c r="AH33" i="2"/>
  <c r="BN31" i="2"/>
  <c r="AH53" i="2"/>
  <c r="AF145" i="9"/>
  <c r="M37" i="14"/>
  <c r="I52" i="14"/>
  <c r="J43" i="14"/>
  <c r="AA256" i="4"/>
  <c r="W189" i="6"/>
  <c r="W189" i="7"/>
  <c r="W189" i="8"/>
  <c r="W189" i="9"/>
  <c r="W189" i="10"/>
  <c r="W189" i="11" s="1"/>
  <c r="W189" i="12" s="1"/>
  <c r="W188" i="6"/>
  <c r="W188" i="7"/>
  <c r="W188" i="8"/>
  <c r="W188" i="9"/>
  <c r="W188" i="10"/>
  <c r="W188" i="11"/>
  <c r="W188" i="12"/>
  <c r="W188" i="13" s="1"/>
  <c r="AE189" i="6"/>
  <c r="AG189" i="6"/>
  <c r="AE189" i="7"/>
  <c r="AG189" i="7"/>
  <c r="AE189" i="8"/>
  <c r="AG189" i="8"/>
  <c r="AE189" i="9"/>
  <c r="AG189" i="9"/>
  <c r="AE189" i="10"/>
  <c r="AG189" i="10"/>
  <c r="AE189" i="11" s="1"/>
  <c r="AG189" i="11" s="1"/>
  <c r="AE188" i="6"/>
  <c r="AG188" i="6"/>
  <c r="AE188" i="7"/>
  <c r="AG188" i="7"/>
  <c r="AE188" i="8"/>
  <c r="AG188" i="8"/>
  <c r="AE188" i="9"/>
  <c r="AG188" i="9"/>
  <c r="AE188" i="10"/>
  <c r="AG188" i="10"/>
  <c r="AE188" i="11" s="1"/>
  <c r="AG188" i="11" s="1"/>
  <c r="AE188" i="12" s="1"/>
  <c r="AG188" i="12" s="1"/>
  <c r="AE188" i="13" s="1"/>
  <c r="AG188" i="13" s="1"/>
  <c r="AG256" i="4"/>
  <c r="V189" i="6"/>
  <c r="V189" i="7"/>
  <c r="V189" i="8"/>
  <c r="V188" i="6"/>
  <c r="V188" i="7"/>
  <c r="F128" i="2"/>
  <c r="BQ29" i="2"/>
  <c r="BK13" i="2"/>
  <c r="BL13" i="4"/>
  <c r="AJ84" i="2"/>
  <c r="N47" i="2"/>
  <c r="AI29" i="2"/>
  <c r="AH68" i="2"/>
  <c r="AJ27" i="2"/>
  <c r="AJ41" i="2"/>
  <c r="P126" i="2"/>
  <c r="P130" i="2"/>
  <c r="U219" i="12"/>
  <c r="AH21" i="2"/>
  <c r="AI27" i="2"/>
  <c r="BQ30" i="2"/>
  <c r="F53" i="14"/>
  <c r="M45" i="2"/>
  <c r="BN17" i="2"/>
  <c r="G126" i="2"/>
  <c r="G130" i="2"/>
  <c r="J126" i="2"/>
  <c r="J130" i="2"/>
  <c r="BP18" i="2"/>
  <c r="U14" i="2"/>
  <c r="U12" i="2"/>
  <c r="U10" i="2"/>
  <c r="U8" i="2"/>
  <c r="U260" i="2"/>
  <c r="U264" i="2"/>
  <c r="BO18" i="2"/>
  <c r="BP16" i="2"/>
  <c r="Q126" i="2"/>
  <c r="Q130" i="2"/>
  <c r="BO16" i="2"/>
  <c r="K37" i="14"/>
  <c r="K50" i="14"/>
  <c r="K53" i="14"/>
  <c r="BK13" i="7"/>
  <c r="AM110" i="5"/>
  <c r="AG88" i="9"/>
  <c r="AE88" i="10"/>
  <c r="AA88" i="9"/>
  <c r="Y88" i="10"/>
  <c r="Z12" i="5"/>
  <c r="AF14" i="5"/>
  <c r="AF12" i="5"/>
  <c r="AL12" i="6"/>
  <c r="E8" i="3"/>
  <c r="W258" i="3"/>
  <c r="M92" i="3"/>
  <c r="I85" i="3"/>
  <c r="BD17" i="3"/>
  <c r="BD10" i="3"/>
  <c r="BD9" i="3"/>
  <c r="BD8" i="3"/>
  <c r="BD22" i="3"/>
  <c r="M86" i="3"/>
  <c r="AH245" i="2"/>
  <c r="G92" i="4"/>
  <c r="I92" i="4"/>
  <c r="U63" i="3"/>
  <c r="AM8" i="2"/>
  <c r="I10" i="14"/>
  <c r="I9" i="14"/>
  <c r="M90" i="3"/>
  <c r="F85" i="3"/>
  <c r="F19" i="3"/>
  <c r="BC17" i="3"/>
  <c r="BC10" i="3"/>
  <c r="BC9" i="3"/>
  <c r="BC8" i="3"/>
  <c r="BC22" i="3"/>
  <c r="N90" i="3"/>
  <c r="N85" i="3"/>
  <c r="N19" i="3"/>
  <c r="N17" i="3"/>
  <c r="AQ13" i="3"/>
  <c r="U14" i="3"/>
  <c r="G85" i="3"/>
  <c r="G19" i="3"/>
  <c r="G17" i="3"/>
  <c r="X32" i="4"/>
  <c r="AJ32" i="4"/>
  <c r="X99" i="4"/>
  <c r="AI99" i="4"/>
  <c r="F55" i="4"/>
  <c r="AA254" i="4"/>
  <c r="B106" i="12"/>
  <c r="B106" i="13"/>
  <c r="M44" i="2"/>
  <c r="U168" i="6"/>
  <c r="AI191" i="2"/>
  <c r="AH191" i="2"/>
  <c r="AJ218" i="2"/>
  <c r="AL110" i="2"/>
  <c r="AF195" i="2"/>
  <c r="AF193" i="2"/>
  <c r="BQ9" i="2"/>
  <c r="C21" i="2"/>
  <c r="C19" i="2"/>
  <c r="C17" i="2"/>
  <c r="C8" i="2"/>
  <c r="C126" i="2"/>
  <c r="C130" i="2"/>
  <c r="F45" i="2"/>
  <c r="AH40" i="2"/>
  <c r="X141" i="2"/>
  <c r="BN20" i="2"/>
  <c r="AH142" i="2"/>
  <c r="AH17" i="2"/>
  <c r="AL12" i="11"/>
  <c r="K35" i="14"/>
  <c r="K32" i="14"/>
  <c r="BK14" i="6"/>
  <c r="BD10" i="2"/>
  <c r="BD9" i="2"/>
  <c r="BD8" i="2"/>
  <c r="BD22" i="2"/>
  <c r="AH60" i="2"/>
  <c r="AQ22" i="2"/>
  <c r="AV22" i="2"/>
  <c r="AJ17" i="2"/>
  <c r="AJ37" i="2"/>
  <c r="AI40" i="2"/>
  <c r="X71" i="4"/>
  <c r="AI71" i="4"/>
  <c r="X249" i="4"/>
  <c r="AH249" i="4"/>
  <c r="F40" i="4"/>
  <c r="N40" i="4"/>
  <c r="AJ159" i="2"/>
  <c r="K8" i="2"/>
  <c r="K126" i="2"/>
  <c r="K130" i="2"/>
  <c r="AL110" i="8"/>
  <c r="D123" i="5"/>
  <c r="F123" i="5"/>
  <c r="AI94" i="2"/>
  <c r="N31" i="2"/>
  <c r="M64" i="2"/>
  <c r="AH37" i="2"/>
  <c r="X30" i="4"/>
  <c r="AJ30" i="4"/>
  <c r="AM12" i="11"/>
  <c r="AM110" i="6"/>
  <c r="F34" i="4"/>
  <c r="M34" i="4"/>
  <c r="E32" i="4"/>
  <c r="F106" i="4"/>
  <c r="N106" i="4"/>
  <c r="F78" i="2"/>
  <c r="N78" i="2"/>
  <c r="AM12" i="6"/>
  <c r="M77" i="2"/>
  <c r="M75" i="2"/>
  <c r="N64" i="2"/>
  <c r="V248" i="5"/>
  <c r="V248" i="6"/>
  <c r="V248" i="7"/>
  <c r="X120" i="4"/>
  <c r="AJ120" i="4"/>
  <c r="X229" i="4"/>
  <c r="AH229" i="4"/>
  <c r="AE12" i="2"/>
  <c r="AE10" i="2"/>
  <c r="AE8" i="2"/>
  <c r="AE260" i="2"/>
  <c r="AE264" i="2"/>
  <c r="M36" i="2"/>
  <c r="AH230" i="2"/>
  <c r="AA220" i="2"/>
  <c r="E72" i="4"/>
  <c r="U219" i="8"/>
  <c r="N91" i="2"/>
  <c r="F30" i="4"/>
  <c r="BK9" i="2"/>
  <c r="BL9" i="4"/>
  <c r="M82" i="2"/>
  <c r="U192" i="8"/>
  <c r="I28" i="2"/>
  <c r="I21" i="2"/>
  <c r="I19" i="2"/>
  <c r="U90" i="6"/>
  <c r="U63" i="6"/>
  <c r="AF145" i="7"/>
  <c r="AF110" i="7"/>
  <c r="X19" i="4"/>
  <c r="AI19" i="4"/>
  <c r="X166" i="4"/>
  <c r="AH166" i="4"/>
  <c r="V112" i="2"/>
  <c r="AH45" i="2"/>
  <c r="F118" i="4"/>
  <c r="N118" i="4"/>
  <c r="F62" i="4"/>
  <c r="N62" i="4"/>
  <c r="X23" i="4"/>
  <c r="AI23" i="4"/>
  <c r="X217" i="4"/>
  <c r="AH217" i="4"/>
  <c r="X67" i="4"/>
  <c r="AJ67" i="4"/>
  <c r="V81" i="5"/>
  <c r="V81" i="6"/>
  <c r="D15" i="5"/>
  <c r="D15" i="6"/>
  <c r="D15" i="7"/>
  <c r="D15" i="8"/>
  <c r="X92" i="4"/>
  <c r="AH153" i="2"/>
  <c r="AI159" i="2"/>
  <c r="L28" i="2"/>
  <c r="AS9" i="2"/>
  <c r="N38" i="2"/>
  <c r="F81" i="2"/>
  <c r="X241" i="4"/>
  <c r="AI241" i="4"/>
  <c r="N76" i="2"/>
  <c r="N75" i="2"/>
  <c r="AI138" i="2"/>
  <c r="U43" i="6"/>
  <c r="U14" i="6"/>
  <c r="F50" i="5"/>
  <c r="M50" i="5"/>
  <c r="BC15" i="2"/>
  <c r="N46" i="2"/>
  <c r="AF145" i="2"/>
  <c r="AF110" i="2"/>
  <c r="AH19" i="2"/>
  <c r="X152" i="4"/>
  <c r="AH152" i="4"/>
  <c r="C28" i="5"/>
  <c r="C21" i="5"/>
  <c r="C19" i="5"/>
  <c r="C17" i="5"/>
  <c r="C8" i="5"/>
  <c r="F90" i="4"/>
  <c r="AQ13" i="4"/>
  <c r="M12" i="2"/>
  <c r="AI230" i="2"/>
  <c r="F75" i="2"/>
  <c r="U192" i="12"/>
  <c r="AF194" i="9"/>
  <c r="AF192" i="9"/>
  <c r="W248" i="6"/>
  <c r="W248" i="7"/>
  <c r="W248" i="8"/>
  <c r="W248" i="9"/>
  <c r="W248" i="10"/>
  <c r="W248" i="11"/>
  <c r="E117" i="6"/>
  <c r="E117" i="7"/>
  <c r="E117" i="8"/>
  <c r="E117" i="9"/>
  <c r="F117" i="5"/>
  <c r="M117" i="5"/>
  <c r="AJ95" i="2"/>
  <c r="AJ73" i="2"/>
  <c r="AH47" i="2"/>
  <c r="X150" i="4"/>
  <c r="T8" i="12"/>
  <c r="T8" i="13"/>
  <c r="T107" i="12"/>
  <c r="T107" i="13"/>
  <c r="N87" i="2"/>
  <c r="U43" i="9"/>
  <c r="U14" i="9"/>
  <c r="F9" i="14"/>
  <c r="AJ28" i="2"/>
  <c r="AA90" i="2"/>
  <c r="AA63" i="2"/>
  <c r="C28" i="6"/>
  <c r="C21" i="6"/>
  <c r="C19" i="6"/>
  <c r="C17" i="6"/>
  <c r="C8" i="6"/>
  <c r="N23" i="2"/>
  <c r="S8" i="12"/>
  <c r="S8" i="13"/>
  <c r="X54" i="4"/>
  <c r="AH54" i="4"/>
  <c r="M43" i="14"/>
  <c r="M38" i="14"/>
  <c r="AR16" i="2"/>
  <c r="AW16" i="2"/>
  <c r="AY16" i="2"/>
  <c r="AF145" i="6"/>
  <c r="AF110" i="6"/>
  <c r="X161" i="6"/>
  <c r="BN11" i="2"/>
  <c r="AL110" i="6"/>
  <c r="AL10" i="6"/>
  <c r="AL8" i="6"/>
  <c r="AH138" i="2"/>
  <c r="X256" i="4"/>
  <c r="M115" i="2"/>
  <c r="V228" i="5"/>
  <c r="X228" i="5"/>
  <c r="AI163" i="2"/>
  <c r="N121" i="2"/>
  <c r="AH67" i="2"/>
  <c r="AJ51" i="2"/>
  <c r="M119" i="2"/>
  <c r="AI67" i="2"/>
  <c r="P53" i="14"/>
  <c r="AG220" i="2"/>
  <c r="U231" i="6"/>
  <c r="AI95" i="2"/>
  <c r="X239" i="4"/>
  <c r="AH239" i="4"/>
  <c r="AI19" i="2"/>
  <c r="M10" i="14"/>
  <c r="M9" i="14"/>
  <c r="E121" i="9"/>
  <c r="E121" i="10"/>
  <c r="E121" i="11"/>
  <c r="AG108" i="8"/>
  <c r="AI214" i="2"/>
  <c r="AH92" i="2"/>
  <c r="M15" i="2"/>
  <c r="BK13" i="8"/>
  <c r="AL12" i="5"/>
  <c r="G116" i="9"/>
  <c r="I116" i="9"/>
  <c r="G116" i="10"/>
  <c r="I116" i="10"/>
  <c r="G116" i="11" s="1"/>
  <c r="I116" i="11" s="1"/>
  <c r="G116" i="12" s="1"/>
  <c r="I116" i="12" s="1"/>
  <c r="G116" i="13" s="1"/>
  <c r="J117" i="9"/>
  <c r="L117" i="9"/>
  <c r="G117" i="9"/>
  <c r="I117" i="9"/>
  <c r="G117" i="10"/>
  <c r="I117" i="10"/>
  <c r="G117" i="11" s="1"/>
  <c r="I117" i="11" s="1"/>
  <c r="B122" i="9"/>
  <c r="B117" i="12"/>
  <c r="B117" i="13"/>
  <c r="B122" i="11"/>
  <c r="B122" i="12"/>
  <c r="B122" i="13"/>
  <c r="B122" i="10"/>
  <c r="Y120" i="9"/>
  <c r="AA120" i="9"/>
  <c r="Y120" i="10"/>
  <c r="AA120" i="10"/>
  <c r="Y120" i="11" s="1"/>
  <c r="AA120" i="11" s="1"/>
  <c r="Y120" i="12" s="1"/>
  <c r="AA120" i="12" s="1"/>
  <c r="Y108" i="9"/>
  <c r="AA108" i="9"/>
  <c r="Y108" i="10"/>
  <c r="AA108" i="10"/>
  <c r="Y108" i="11"/>
  <c r="Y117" i="9"/>
  <c r="AA117" i="9"/>
  <c r="Y117" i="10"/>
  <c r="AA117" i="10"/>
  <c r="Y117" i="11" s="1"/>
  <c r="AA117" i="11" s="1"/>
  <c r="Y117" i="12" s="1"/>
  <c r="AA117" i="12" s="1"/>
  <c r="Y117" i="13" s="1"/>
  <c r="AA117" i="13" s="1"/>
  <c r="E123" i="9"/>
  <c r="E123" i="10"/>
  <c r="E123" i="11"/>
  <c r="E120" i="9"/>
  <c r="E120" i="10"/>
  <c r="E120" i="11"/>
  <c r="E120" i="12" s="1"/>
  <c r="E120" i="13" s="1"/>
  <c r="AA52" i="6"/>
  <c r="Y52" i="7"/>
  <c r="AA52" i="7"/>
  <c r="Y52" i="8"/>
  <c r="AA52" i="8"/>
  <c r="Y52" i="9"/>
  <c r="AA52" i="9"/>
  <c r="Y52" i="10"/>
  <c r="AA52" i="10"/>
  <c r="Y52" i="11" s="1"/>
  <c r="AA52" i="11" s="1"/>
  <c r="Y52" i="12"/>
  <c r="AA52" i="12" s="1"/>
  <c r="Y52" i="13" s="1"/>
  <c r="AA52" i="13" s="1"/>
  <c r="BF18" i="7"/>
  <c r="BF18" i="13"/>
  <c r="BF18" i="12"/>
  <c r="BF18" i="10"/>
  <c r="BF18" i="9"/>
  <c r="BF18" i="11"/>
  <c r="BF18" i="8"/>
  <c r="BK12" i="9"/>
  <c r="AH55" i="2"/>
  <c r="F48" i="2"/>
  <c r="AI73" i="2"/>
  <c r="BK14" i="2"/>
  <c r="BL14" i="4"/>
  <c r="AJ74" i="2"/>
  <c r="AB12" i="2"/>
  <c r="AB10" i="2"/>
  <c r="AI51" i="2"/>
  <c r="BK13" i="9"/>
  <c r="U219" i="6"/>
  <c r="BL15" i="8"/>
  <c r="BL15" i="9"/>
  <c r="J118" i="9"/>
  <c r="L118" i="9"/>
  <c r="J116" i="9"/>
  <c r="L116" i="9"/>
  <c r="X252" i="4"/>
  <c r="AJ252" i="4"/>
  <c r="X134" i="4"/>
  <c r="AJ134" i="4"/>
  <c r="G124" i="4"/>
  <c r="I124" i="4"/>
  <c r="BF20" i="13"/>
  <c r="BF20" i="12"/>
  <c r="BF20" i="9"/>
  <c r="BF20" i="11"/>
  <c r="BF20" i="10"/>
  <c r="BF20" i="8"/>
  <c r="BF14" i="13"/>
  <c r="BF14" i="12"/>
  <c r="BF14" i="10"/>
  <c r="BF14" i="11"/>
  <c r="BF14" i="9"/>
  <c r="BF14" i="8"/>
  <c r="Y121" i="9"/>
  <c r="AA121" i="9"/>
  <c r="Y121" i="10"/>
  <c r="AA121" i="10"/>
  <c r="Y121" i="11" s="1"/>
  <c r="AA121" i="11" s="1"/>
  <c r="AG107" i="8"/>
  <c r="E106" i="9"/>
  <c r="BF15" i="13"/>
  <c r="BF15" i="12"/>
  <c r="BF15" i="10"/>
  <c r="BF15" i="9"/>
  <c r="BF15" i="11"/>
  <c r="BF15" i="8"/>
  <c r="L43" i="14"/>
  <c r="M50" i="14"/>
  <c r="U10" i="11"/>
  <c r="U114" i="10"/>
  <c r="F35" i="2"/>
  <c r="AJ26" i="2"/>
  <c r="M23" i="2"/>
  <c r="AF194" i="6"/>
  <c r="Y116" i="9"/>
  <c r="AA116" i="9"/>
  <c r="Y116" i="10"/>
  <c r="AA116" i="10"/>
  <c r="Y116" i="11"/>
  <c r="AA116" i="11"/>
  <c r="AD107" i="8"/>
  <c r="Y119" i="9"/>
  <c r="AA119" i="9"/>
  <c r="Y119" i="10"/>
  <c r="AA119" i="10"/>
  <c r="Y119" i="11" s="1"/>
  <c r="AA119" i="11" s="1"/>
  <c r="M53" i="14"/>
  <c r="L50" i="14"/>
  <c r="L53" i="14"/>
  <c r="BC21" i="2"/>
  <c r="P52" i="14"/>
  <c r="BK13" i="12"/>
  <c r="BK12" i="12"/>
  <c r="G118" i="9"/>
  <c r="I118" i="9"/>
  <c r="G118" i="10"/>
  <c r="I118" i="10"/>
  <c r="G118" i="11" s="1"/>
  <c r="I118" i="11" s="1"/>
  <c r="G118" i="12" s="1"/>
  <c r="I118" i="12" s="1"/>
  <c r="G118" i="13" s="1"/>
  <c r="T108" i="9"/>
  <c r="T108" i="10"/>
  <c r="T108" i="11"/>
  <c r="T108" i="12"/>
  <c r="T108" i="13"/>
  <c r="BF19" i="12"/>
  <c r="BF19" i="13"/>
  <c r="BF19" i="9"/>
  <c r="BF19" i="11"/>
  <c r="BF19" i="10"/>
  <c r="BF19" i="8"/>
  <c r="E124" i="4"/>
  <c r="F124" i="4"/>
  <c r="E118" i="9"/>
  <c r="E118" i="10"/>
  <c r="E118" i="11"/>
  <c r="H8" i="11"/>
  <c r="P8" i="11"/>
  <c r="Q8" i="11"/>
  <c r="B103" i="13"/>
  <c r="AF145" i="8"/>
  <c r="AF110" i="8"/>
  <c r="E34" i="8"/>
  <c r="AM12" i="7"/>
  <c r="AG206" i="7"/>
  <c r="AE206" i="8"/>
  <c r="AE224" i="7"/>
  <c r="AG224" i="7"/>
  <c r="Y224" i="7"/>
  <c r="AC110" i="6"/>
  <c r="G24" i="6"/>
  <c r="W148" i="9"/>
  <c r="W148" i="10"/>
  <c r="W148" i="11" s="1"/>
  <c r="W148" i="12" s="1"/>
  <c r="W148" i="13" s="1"/>
  <c r="AE181" i="10"/>
  <c r="AG181" i="10"/>
  <c r="Y78" i="10"/>
  <c r="AA78" i="10"/>
  <c r="Y78" i="11" s="1"/>
  <c r="AA78" i="11" s="1"/>
  <c r="Y78" i="12"/>
  <c r="AA78" i="12" s="1"/>
  <c r="Y78" i="13" s="1"/>
  <c r="AA78" i="13" s="1"/>
  <c r="AE228" i="10"/>
  <c r="AG228" i="10"/>
  <c r="AE228" i="11" s="1"/>
  <c r="AG228" i="11" s="1"/>
  <c r="AE228" i="12" s="1"/>
  <c r="AG228" i="12" s="1"/>
  <c r="AE228" i="13" s="1"/>
  <c r="AG228" i="13" s="1"/>
  <c r="W237" i="9"/>
  <c r="W237" i="10"/>
  <c r="W237" i="11" s="1"/>
  <c r="Y94" i="10"/>
  <c r="AA94" i="10"/>
  <c r="Y94" i="11" s="1"/>
  <c r="AA94" i="11" s="1"/>
  <c r="Y94" i="12" s="1"/>
  <c r="AA94" i="12" s="1"/>
  <c r="Y94" i="13" s="1"/>
  <c r="AA94" i="13" s="1"/>
  <c r="AE238" i="10"/>
  <c r="AG238" i="10"/>
  <c r="AE238" i="11" s="1"/>
  <c r="W199" i="9"/>
  <c r="W199" i="10"/>
  <c r="W199" i="11" s="1"/>
  <c r="X108" i="11"/>
  <c r="AE76" i="10"/>
  <c r="AG76" i="10"/>
  <c r="AE251" i="10"/>
  <c r="AG251" i="10"/>
  <c r="Y240" i="10"/>
  <c r="AA240" i="10"/>
  <c r="AE215" i="10"/>
  <c r="AG215" i="10"/>
  <c r="BC18" i="2"/>
  <c r="M86" i="2"/>
  <c r="BC16" i="2"/>
  <c r="AJ124" i="2"/>
  <c r="G40" i="10"/>
  <c r="I40" i="10"/>
  <c r="G40" i="11" s="1"/>
  <c r="I40" i="11" s="1"/>
  <c r="G40" i="12" s="1"/>
  <c r="I40" i="12" s="1"/>
  <c r="G40" i="13" s="1"/>
  <c r="G38" i="10"/>
  <c r="I38" i="10"/>
  <c r="G38" i="11" s="1"/>
  <c r="I38" i="11" s="1"/>
  <c r="G38" i="12" s="1"/>
  <c r="I38" i="12" s="1"/>
  <c r="G38" i="13" s="1"/>
  <c r="G56" i="10"/>
  <c r="I56" i="10"/>
  <c r="G56" i="11" s="1"/>
  <c r="I56" i="11" s="1"/>
  <c r="G56" i="12" s="1"/>
  <c r="I56" i="12" s="1"/>
  <c r="G56" i="13" s="1"/>
  <c r="G31" i="10"/>
  <c r="I31" i="10"/>
  <c r="G31" i="11" s="1"/>
  <c r="I31" i="11"/>
  <c r="G31" i="12" s="1"/>
  <c r="I31" i="12" s="1"/>
  <c r="G31" i="13" s="1"/>
  <c r="T143" i="10"/>
  <c r="T143" i="12"/>
  <c r="T143" i="13"/>
  <c r="T224" i="10"/>
  <c r="T224" i="12"/>
  <c r="T224" i="13"/>
  <c r="AE199" i="10"/>
  <c r="AG199" i="10"/>
  <c r="AE199" i="11" s="1"/>
  <c r="AG199" i="11" s="1"/>
  <c r="AE199" i="12" s="1"/>
  <c r="AE236" i="4"/>
  <c r="AB106" i="4"/>
  <c r="V39" i="4"/>
  <c r="V35" i="4"/>
  <c r="Y19" i="10"/>
  <c r="AA19" i="10"/>
  <c r="Y19" i="11" s="1"/>
  <c r="AA19" i="11" s="1"/>
  <c r="Y19" i="12" s="1"/>
  <c r="AA19" i="12" s="1"/>
  <c r="Y19" i="13" s="1"/>
  <c r="AA19" i="13" s="1"/>
  <c r="Y249" i="10"/>
  <c r="AA249" i="10"/>
  <c r="AE247" i="10"/>
  <c r="AG247" i="10"/>
  <c r="AE247" i="11" s="1"/>
  <c r="AG247" i="11" s="1"/>
  <c r="AE247" i="12" s="1"/>
  <c r="AG247" i="12" s="1"/>
  <c r="Y230" i="4"/>
  <c r="AA230" i="4"/>
  <c r="Y229" i="5"/>
  <c r="AA229" i="5"/>
  <c r="Y229" i="6"/>
  <c r="AA229" i="6"/>
  <c r="Y229" i="7"/>
  <c r="AA229" i="7"/>
  <c r="Y229" i="8"/>
  <c r="AA229" i="8"/>
  <c r="Y229" i="9"/>
  <c r="AA229" i="9"/>
  <c r="X223" i="4"/>
  <c r="Y213" i="10"/>
  <c r="AA213" i="10"/>
  <c r="AE212" i="4"/>
  <c r="Y206" i="10"/>
  <c r="AA206" i="10"/>
  <c r="Y200" i="10"/>
  <c r="AA200" i="10"/>
  <c r="Y200" i="11" s="1"/>
  <c r="AA200" i="11" s="1"/>
  <c r="Y200" i="12" s="1"/>
  <c r="AA200" i="12" s="1"/>
  <c r="Y200" i="13" s="1"/>
  <c r="AA200" i="13" s="1"/>
  <c r="AE190" i="10"/>
  <c r="AG190" i="10"/>
  <c r="Y178" i="10"/>
  <c r="AA178" i="10"/>
  <c r="V171" i="4"/>
  <c r="X172" i="4"/>
  <c r="Y135" i="10"/>
  <c r="AA135" i="10"/>
  <c r="Y132" i="10"/>
  <c r="AA132" i="10"/>
  <c r="W129" i="9"/>
  <c r="W129" i="10"/>
  <c r="W129" i="11" s="1"/>
  <c r="W129" i="12" s="1"/>
  <c r="W125" i="9"/>
  <c r="W125" i="10"/>
  <c r="W125" i="11" s="1"/>
  <c r="W118" i="9"/>
  <c r="W118" i="10"/>
  <c r="W118" i="11" s="1"/>
  <c r="Y115" i="4"/>
  <c r="G106" i="4"/>
  <c r="I106" i="4"/>
  <c r="G106" i="5"/>
  <c r="I106" i="5"/>
  <c r="G106" i="6"/>
  <c r="I106" i="6"/>
  <c r="G106" i="7"/>
  <c r="I106" i="7"/>
  <c r="G106" i="8"/>
  <c r="I106" i="8"/>
  <c r="G106" i="9"/>
  <c r="I106" i="9"/>
  <c r="G106" i="10"/>
  <c r="I106" i="10"/>
  <c r="G106" i="11"/>
  <c r="I106" i="11" s="1"/>
  <c r="G106" i="12" s="1"/>
  <c r="I106" i="12" s="1"/>
  <c r="G106" i="13" s="1"/>
  <c r="Y101" i="10"/>
  <c r="AA101" i="10"/>
  <c r="Y101" i="11" s="1"/>
  <c r="AA101" i="11" s="1"/>
  <c r="Y101" i="12" s="1"/>
  <c r="AA101" i="12" s="1"/>
  <c r="Y101" i="13" s="1"/>
  <c r="AA101" i="13" s="1"/>
  <c r="AG92" i="4"/>
  <c r="Y85" i="4"/>
  <c r="AA85" i="4"/>
  <c r="Y85" i="5"/>
  <c r="AA85" i="5"/>
  <c r="Y85" i="6"/>
  <c r="AA85" i="6"/>
  <c r="Y85" i="7"/>
  <c r="AA85" i="7"/>
  <c r="Y85" i="8"/>
  <c r="AA85" i="8"/>
  <c r="Y85" i="9"/>
  <c r="AA85" i="9"/>
  <c r="W78" i="9"/>
  <c r="W78" i="10"/>
  <c r="W78" i="11"/>
  <c r="D65" i="4"/>
  <c r="AE52" i="4"/>
  <c r="AG52" i="4"/>
  <c r="AE52" i="5"/>
  <c r="AG52" i="5"/>
  <c r="AE52" i="6"/>
  <c r="AG52" i="6"/>
  <c r="AE52" i="7"/>
  <c r="AG52" i="7"/>
  <c r="AE52" i="8"/>
  <c r="AG52" i="8"/>
  <c r="AE52" i="9"/>
  <c r="AG52" i="9"/>
  <c r="X41" i="8"/>
  <c r="E37" i="4"/>
  <c r="F37" i="4"/>
  <c r="AE37" i="10"/>
  <c r="AG37" i="10"/>
  <c r="E31" i="4"/>
  <c r="E31" i="5"/>
  <c r="E31" i="6"/>
  <c r="E31" i="7"/>
  <c r="E31" i="8"/>
  <c r="E31" i="9"/>
  <c r="AE19" i="10"/>
  <c r="AG19" i="10"/>
  <c r="AE19" i="11" s="1"/>
  <c r="AG19" i="11" s="1"/>
  <c r="AE19" i="12" s="1"/>
  <c r="AG19" i="12" s="1"/>
  <c r="AE19" i="13" s="1"/>
  <c r="AG19" i="13" s="1"/>
  <c r="BE9" i="2"/>
  <c r="BF10" i="4"/>
  <c r="W252" i="9"/>
  <c r="W252" i="10"/>
  <c r="W252" i="11" s="1"/>
  <c r="W252" i="12" s="1"/>
  <c r="W252" i="13" s="1"/>
  <c r="AE245" i="10"/>
  <c r="AG245" i="10"/>
  <c r="W216" i="9"/>
  <c r="W216" i="10"/>
  <c r="W216" i="11"/>
  <c r="W178" i="4"/>
  <c r="W177" i="5"/>
  <c r="W177" i="6"/>
  <c r="W177" i="7"/>
  <c r="W177" i="8"/>
  <c r="W128" i="4"/>
  <c r="Y99" i="10"/>
  <c r="AA99" i="10"/>
  <c r="Y99" i="11"/>
  <c r="AA99" i="11"/>
  <c r="Y99" i="12" s="1"/>
  <c r="AA99" i="12"/>
  <c r="Y99" i="13" s="1"/>
  <c r="AA99" i="13" s="1"/>
  <c r="AE67" i="10"/>
  <c r="AG67" i="10"/>
  <c r="AE67" i="11" s="1"/>
  <c r="V253" i="4"/>
  <c r="AE248" i="10"/>
  <c r="AG248" i="10"/>
  <c r="AE248" i="11" s="1"/>
  <c r="AG248" i="11" s="1"/>
  <c r="AE248" i="12" s="1"/>
  <c r="AG248" i="12" s="1"/>
  <c r="AE248" i="13" s="1"/>
  <c r="AG248" i="13" s="1"/>
  <c r="Y246" i="10"/>
  <c r="AA246" i="10"/>
  <c r="Y246" i="11" s="1"/>
  <c r="AA246" i="11" s="1"/>
  <c r="AE206" i="4"/>
  <c r="W119" i="4"/>
  <c r="Y102" i="10"/>
  <c r="AA102" i="10"/>
  <c r="Y102" i="11" s="1"/>
  <c r="AA102" i="11" s="1"/>
  <c r="Y102" i="12" s="1"/>
  <c r="AA102" i="12" s="1"/>
  <c r="Y102" i="13" s="1"/>
  <c r="AA102" i="13" s="1"/>
  <c r="E92" i="4"/>
  <c r="Y86" i="10"/>
  <c r="AA86" i="10"/>
  <c r="Y86" i="11"/>
  <c r="AA86" i="11" s="1"/>
  <c r="Y86" i="12" s="1"/>
  <c r="AA86" i="12" s="1"/>
  <c r="Y86" i="13" s="1"/>
  <c r="AA86" i="13" s="1"/>
  <c r="D83" i="4"/>
  <c r="D83" i="5"/>
  <c r="V70" i="4"/>
  <c r="F70" i="4"/>
  <c r="D69" i="4"/>
  <c r="AE60" i="10"/>
  <c r="AG60" i="10"/>
  <c r="Y59" i="4"/>
  <c r="Y244" i="10"/>
  <c r="AA244" i="10"/>
  <c r="Y244" i="11" s="1"/>
  <c r="AA244" i="11" s="1"/>
  <c r="Y244" i="12" s="1"/>
  <c r="AA244" i="12" s="1"/>
  <c r="Y244" i="13" s="1"/>
  <c r="AA244" i="13" s="1"/>
  <c r="Y30" i="10"/>
  <c r="AA30" i="10"/>
  <c r="Y30" i="11"/>
  <c r="AA30" i="11" s="1"/>
  <c r="Y30" i="12"/>
  <c r="AA30" i="12"/>
  <c r="Y30" i="13"/>
  <c r="AA30" i="13" s="1"/>
  <c r="W212" i="9"/>
  <c r="W212" i="10"/>
  <c r="W212" i="11"/>
  <c r="AE85" i="10"/>
  <c r="AG85" i="10"/>
  <c r="AE85" i="11" s="1"/>
  <c r="AG85" i="11" s="1"/>
  <c r="AE187" i="10"/>
  <c r="AG187" i="10"/>
  <c r="AE187" i="11" s="1"/>
  <c r="AG187" i="11" s="1"/>
  <c r="AE187" i="12" s="1"/>
  <c r="AG187" i="12" s="1"/>
  <c r="AE187" i="13" s="1"/>
  <c r="AG187" i="13" s="1"/>
  <c r="AE73" i="10"/>
  <c r="AG73" i="10"/>
  <c r="Y37" i="10"/>
  <c r="AA37" i="10"/>
  <c r="Y37" i="11" s="1"/>
  <c r="AA37" i="11"/>
  <c r="Y37" i="12" s="1"/>
  <c r="AA37" i="12" s="1"/>
  <c r="Y37" i="13" s="1"/>
  <c r="AA37" i="13" s="1"/>
  <c r="AK37" i="13" s="1"/>
  <c r="AN37" i="13" s="1"/>
  <c r="AE18" i="10"/>
  <c r="AG18" i="10"/>
  <c r="W66" i="9"/>
  <c r="W66" i="10"/>
  <c r="W66" i="11" s="1"/>
  <c r="W66" i="12" s="1"/>
  <c r="AE229" i="10"/>
  <c r="AG229" i="10"/>
  <c r="B41" i="10"/>
  <c r="B41" i="11"/>
  <c r="B41" i="12" s="1"/>
  <c r="B41" i="13" s="1"/>
  <c r="AA196" i="2"/>
  <c r="BO28" i="2"/>
  <c r="BO25" i="2"/>
  <c r="BI12" i="2"/>
  <c r="X44" i="2"/>
  <c r="AH249" i="2"/>
  <c r="AH214" i="2"/>
  <c r="F74" i="5"/>
  <c r="N74" i="5"/>
  <c r="AI253" i="2"/>
  <c r="AI92" i="2"/>
  <c r="AD43" i="2"/>
  <c r="AD14" i="2"/>
  <c r="N86" i="2"/>
  <c r="AH26" i="2"/>
  <c r="AI74" i="2"/>
  <c r="M40" i="2"/>
  <c r="C28" i="11"/>
  <c r="C21" i="11"/>
  <c r="C19" i="11"/>
  <c r="C17" i="11"/>
  <c r="W178" i="9"/>
  <c r="W178" i="10"/>
  <c r="W178" i="11" s="1"/>
  <c r="W178" i="12" s="1"/>
  <c r="W178" i="13" s="1"/>
  <c r="AX7" i="2"/>
  <c r="E14" i="10"/>
  <c r="E14" i="11" s="1"/>
  <c r="E14" i="12"/>
  <c r="E14" i="13" s="1"/>
  <c r="A86" i="10"/>
  <c r="A86" i="11"/>
  <c r="A86" i="12"/>
  <c r="A86" i="13" s="1"/>
  <c r="G100" i="10"/>
  <c r="I100" i="10"/>
  <c r="G100" i="11" s="1"/>
  <c r="I100" i="11" s="1"/>
  <c r="G100" i="12" s="1"/>
  <c r="I100" i="12"/>
  <c r="G100" i="13" s="1"/>
  <c r="G53" i="10"/>
  <c r="I53" i="10"/>
  <c r="G53" i="11" s="1"/>
  <c r="I53" i="11" s="1"/>
  <c r="G53" i="12" s="1"/>
  <c r="I53" i="12" s="1"/>
  <c r="G53" i="13" s="1"/>
  <c r="G91" i="10"/>
  <c r="I91" i="10"/>
  <c r="G91" i="11" s="1"/>
  <c r="I91" i="11" s="1"/>
  <c r="G91" i="12" s="1"/>
  <c r="I91" i="12" s="1"/>
  <c r="G91" i="13" s="1"/>
  <c r="I91" i="13"/>
  <c r="G83" i="10"/>
  <c r="I83" i="10"/>
  <c r="G83" i="11" s="1"/>
  <c r="I83" i="11" s="1"/>
  <c r="G83" i="12" s="1"/>
  <c r="I83" i="12" s="1"/>
  <c r="G83" i="13" s="1"/>
  <c r="G102" i="10"/>
  <c r="I102" i="10"/>
  <c r="G102" i="11" s="1"/>
  <c r="I102" i="11" s="1"/>
  <c r="G102" i="12" s="1"/>
  <c r="I102" i="12" s="1"/>
  <c r="G102" i="13" s="1"/>
  <c r="T172" i="12"/>
  <c r="T172" i="13"/>
  <c r="T172" i="10"/>
  <c r="T229" i="10"/>
  <c r="T229" i="12"/>
  <c r="T229" i="13"/>
  <c r="AE198" i="10"/>
  <c r="AG198" i="10"/>
  <c r="AE203" i="10"/>
  <c r="AG203" i="10"/>
  <c r="AE203" i="11" s="1"/>
  <c r="AG203" i="11" s="1"/>
  <c r="AE203" i="12" s="1"/>
  <c r="AG203" i="12" s="1"/>
  <c r="AE203" i="13" s="1"/>
  <c r="AG203" i="13" s="1"/>
  <c r="AE172" i="5"/>
  <c r="AG172" i="5"/>
  <c r="AE172" i="6"/>
  <c r="AG172" i="6"/>
  <c r="AE172" i="7"/>
  <c r="AG172" i="7"/>
  <c r="AE172" i="8"/>
  <c r="AG172" i="8"/>
  <c r="AE172" i="9"/>
  <c r="AG172" i="9"/>
  <c r="V117" i="4"/>
  <c r="G107" i="4"/>
  <c r="I107" i="4"/>
  <c r="G107" i="5"/>
  <c r="I107" i="5"/>
  <c r="G107" i="6"/>
  <c r="I107" i="6"/>
  <c r="G107" i="7"/>
  <c r="I107" i="7"/>
  <c r="G107" i="8"/>
  <c r="I107" i="8"/>
  <c r="G107" i="9"/>
  <c r="I107" i="9"/>
  <c r="G107" i="10"/>
  <c r="I107" i="10"/>
  <c r="G107" i="11" s="1"/>
  <c r="I107" i="11" s="1"/>
  <c r="G107" i="12" s="1"/>
  <c r="I107" i="12" s="1"/>
  <c r="G107" i="13" s="1"/>
  <c r="G95" i="4"/>
  <c r="G37" i="5"/>
  <c r="I37" i="5"/>
  <c r="G37" i="6"/>
  <c r="I37" i="6"/>
  <c r="G37" i="7"/>
  <c r="I37" i="7"/>
  <c r="G37" i="8"/>
  <c r="I37" i="8"/>
  <c r="G37" i="9"/>
  <c r="I37" i="9"/>
  <c r="W251" i="4"/>
  <c r="Y246" i="4"/>
  <c r="AA246" i="4"/>
  <c r="Y245" i="5"/>
  <c r="AA245" i="5"/>
  <c r="Y245" i="6"/>
  <c r="AA245" i="6"/>
  <c r="Y245" i="7"/>
  <c r="AA245" i="7"/>
  <c r="Y245" i="8"/>
  <c r="AA245" i="8"/>
  <c r="Y245" i="9"/>
  <c r="AA245" i="9"/>
  <c r="AE228" i="4"/>
  <c r="W215" i="4"/>
  <c r="W214" i="5"/>
  <c r="W214" i="6"/>
  <c r="W214" i="7"/>
  <c r="W214" i="8"/>
  <c r="W202" i="4"/>
  <c r="W201" i="5"/>
  <c r="W201" i="6"/>
  <c r="W201" i="7"/>
  <c r="W201" i="8"/>
  <c r="AE172" i="4"/>
  <c r="AA150" i="4"/>
  <c r="W136" i="4"/>
  <c r="W136" i="5"/>
  <c r="F108" i="4"/>
  <c r="E107" i="4"/>
  <c r="E107" i="5"/>
  <c r="E107" i="6"/>
  <c r="E107" i="7"/>
  <c r="E107" i="8"/>
  <c r="E107" i="9"/>
  <c r="AW13" i="4"/>
  <c r="AR13" i="4"/>
  <c r="AE87" i="10"/>
  <c r="AG87" i="10"/>
  <c r="AE87" i="11" s="1"/>
  <c r="AG87" i="11" s="1"/>
  <c r="AE87" i="12" s="1"/>
  <c r="AG87" i="12" s="1"/>
  <c r="AE87" i="13" s="1"/>
  <c r="AG87" i="13" s="1"/>
  <c r="W86" i="4"/>
  <c r="W80" i="9"/>
  <c r="W80" i="10"/>
  <c r="W80" i="11" s="1"/>
  <c r="W80" i="12" s="1"/>
  <c r="W80" i="13" s="1"/>
  <c r="Y79" i="10"/>
  <c r="AA79" i="10"/>
  <c r="Y79" i="11" s="1"/>
  <c r="AA79" i="11" s="1"/>
  <c r="Y79" i="12" s="1"/>
  <c r="AA79" i="12" s="1"/>
  <c r="Y79" i="13" s="1"/>
  <c r="AA79" i="13" s="1"/>
  <c r="W68" i="4"/>
  <c r="Y54" i="10"/>
  <c r="AA54" i="10"/>
  <c r="Y54" i="11"/>
  <c r="AA54" i="11" s="1"/>
  <c r="F52" i="4"/>
  <c r="D51" i="4"/>
  <c r="Y48" i="4"/>
  <c r="AA48" i="4"/>
  <c r="Y48" i="5"/>
  <c r="AA48" i="5"/>
  <c r="Y48" i="6"/>
  <c r="AA48" i="6"/>
  <c r="Y48" i="7"/>
  <c r="AA48" i="7"/>
  <c r="Y48" i="8"/>
  <c r="AA48" i="8"/>
  <c r="Y48" i="9"/>
  <c r="AA48" i="9"/>
  <c r="Y24" i="10"/>
  <c r="AA24" i="10"/>
  <c r="Y24" i="11" s="1"/>
  <c r="AA24" i="11" s="1"/>
  <c r="Y24" i="12" s="1"/>
  <c r="AA24" i="12" s="1"/>
  <c r="Y24" i="13" s="1"/>
  <c r="AA24" i="13" s="1"/>
  <c r="Y27" i="10"/>
  <c r="AA27" i="10"/>
  <c r="Y27" i="11"/>
  <c r="AA27" i="11"/>
  <c r="Y27" i="12" s="1"/>
  <c r="AA27" i="12" s="1"/>
  <c r="Y27" i="13" s="1"/>
  <c r="AA27" i="13"/>
  <c r="Y25" i="10"/>
  <c r="AA25" i="10"/>
  <c r="Y25" i="11" s="1"/>
  <c r="AA25" i="11" s="1"/>
  <c r="Y25" i="12" s="1"/>
  <c r="AA25" i="12" s="1"/>
  <c r="Y25" i="13" s="1"/>
  <c r="AA25" i="13" s="1"/>
  <c r="Y244" i="4"/>
  <c r="Y215" i="10"/>
  <c r="AA215" i="10"/>
  <c r="Y215" i="11" s="1"/>
  <c r="AA215" i="11" s="1"/>
  <c r="Y215" i="12" s="1"/>
  <c r="AA215" i="12" s="1"/>
  <c r="Y215" i="13" s="1"/>
  <c r="AA215" i="13" s="1"/>
  <c r="W138" i="9"/>
  <c r="W138" i="10"/>
  <c r="W138" i="11" s="1"/>
  <c r="W131" i="9"/>
  <c r="W131" i="10"/>
  <c r="W131" i="11" s="1"/>
  <c r="AB107" i="12"/>
  <c r="AD107" i="12"/>
  <c r="AB107" i="13"/>
  <c r="AD107" i="13" s="1"/>
  <c r="AE94" i="5"/>
  <c r="AG94" i="5"/>
  <c r="AE94" i="6"/>
  <c r="AG94" i="6"/>
  <c r="AE94" i="7"/>
  <c r="AG94" i="7"/>
  <c r="AE94" i="8"/>
  <c r="AG94" i="8"/>
  <c r="AE94" i="9"/>
  <c r="AG94" i="9"/>
  <c r="AE77" i="10"/>
  <c r="AG77" i="10"/>
  <c r="W76" i="9"/>
  <c r="W76" i="10"/>
  <c r="W76" i="11" s="1"/>
  <c r="W76" i="12" s="1"/>
  <c r="W76" i="13" s="1"/>
  <c r="W251" i="9"/>
  <c r="W251" i="10"/>
  <c r="W251" i="11" s="1"/>
  <c r="W251" i="12" s="1"/>
  <c r="W251" i="13" s="1"/>
  <c r="AE244" i="10"/>
  <c r="AG244" i="10"/>
  <c r="AE244" i="11" s="1"/>
  <c r="AG244" i="11" s="1"/>
  <c r="AE244" i="12" s="1"/>
  <c r="AE239" i="10"/>
  <c r="AG239" i="10"/>
  <c r="W238" i="9"/>
  <c r="X236" i="4"/>
  <c r="W180" i="9"/>
  <c r="W180" i="10"/>
  <c r="W180" i="11" s="1"/>
  <c r="W152" i="9"/>
  <c r="D122" i="4"/>
  <c r="Y118" i="4"/>
  <c r="AA118" i="4"/>
  <c r="Y107" i="4"/>
  <c r="AA107" i="4"/>
  <c r="Y107" i="5"/>
  <c r="AA107" i="5"/>
  <c r="Y107" i="6"/>
  <c r="AA107" i="6"/>
  <c r="Y107" i="7"/>
  <c r="AA107" i="7"/>
  <c r="Y107" i="8"/>
  <c r="AA107" i="8"/>
  <c r="AE100" i="10"/>
  <c r="AG100" i="10"/>
  <c r="AE100" i="11" s="1"/>
  <c r="AG100" i="11" s="1"/>
  <c r="AE100" i="12" s="1"/>
  <c r="AG100" i="12" s="1"/>
  <c r="AE100" i="13" s="1"/>
  <c r="AG100" i="13" s="1"/>
  <c r="G80" i="4"/>
  <c r="I80" i="4"/>
  <c r="G80" i="5"/>
  <c r="I80" i="5"/>
  <c r="G80" i="6"/>
  <c r="I80" i="6"/>
  <c r="G80" i="7"/>
  <c r="I80" i="7"/>
  <c r="D78" i="4"/>
  <c r="F79" i="4"/>
  <c r="F76" i="4"/>
  <c r="AJ45" i="4"/>
  <c r="AE32" i="10"/>
  <c r="AG32" i="10"/>
  <c r="AE32" i="11" s="1"/>
  <c r="AG32" i="11" s="1"/>
  <c r="AE30" i="10"/>
  <c r="AG30" i="10"/>
  <c r="AE246" i="10"/>
  <c r="AG246" i="10"/>
  <c r="AE246" i="11" s="1"/>
  <c r="AG246" i="11" s="1"/>
  <c r="AE246" i="12" s="1"/>
  <c r="AG246" i="12" s="1"/>
  <c r="AE246" i="13" s="1"/>
  <c r="AG246" i="13" s="1"/>
  <c r="AE237" i="10"/>
  <c r="AG237" i="10"/>
  <c r="AE237" i="11" s="1"/>
  <c r="AG237" i="11" s="1"/>
  <c r="AE237" i="12" s="1"/>
  <c r="AG237" i="12" s="1"/>
  <c r="AE237" i="13" s="1"/>
  <c r="AG237" i="13" s="1"/>
  <c r="Y216" i="10"/>
  <c r="AA216" i="10"/>
  <c r="Y177" i="10"/>
  <c r="AA177" i="10"/>
  <c r="Y177" i="11" s="1"/>
  <c r="Y138" i="10"/>
  <c r="AA138" i="10"/>
  <c r="W135" i="9"/>
  <c r="W132" i="9"/>
  <c r="W132" i="10"/>
  <c r="W132" i="11" s="1"/>
  <c r="AE41" i="10"/>
  <c r="AG41" i="10"/>
  <c r="AE29" i="10"/>
  <c r="AG29" i="10"/>
  <c r="AE29" i="11" s="1"/>
  <c r="W202" i="9"/>
  <c r="W202" i="10"/>
  <c r="W202" i="11"/>
  <c r="Y136" i="10"/>
  <c r="AA136" i="10"/>
  <c r="Y136" i="11" s="1"/>
  <c r="AA136" i="11" s="1"/>
  <c r="Y136" i="12" s="1"/>
  <c r="AA136" i="12" s="1"/>
  <c r="Y136" i="13" s="1"/>
  <c r="AA136" i="13" s="1"/>
  <c r="Y98" i="10"/>
  <c r="AA98" i="10"/>
  <c r="Y98" i="11"/>
  <c r="AA98" i="11"/>
  <c r="Y98" i="12" s="1"/>
  <c r="AA98" i="12" s="1"/>
  <c r="Y98" i="13" s="1"/>
  <c r="AA98" i="13" s="1"/>
  <c r="Y29" i="10"/>
  <c r="AA29" i="10"/>
  <c r="Y29" i="11" s="1"/>
  <c r="AA29" i="11" s="1"/>
  <c r="Y29" i="12" s="1"/>
  <c r="AA29" i="12" s="1"/>
  <c r="Y29" i="13" s="1"/>
  <c r="AA29" i="13" s="1"/>
  <c r="AE23" i="10"/>
  <c r="AG23" i="10"/>
  <c r="AE23" i="11" s="1"/>
  <c r="AG23" i="11" s="1"/>
  <c r="AE23" i="12" s="1"/>
  <c r="AG23" i="12" s="1"/>
  <c r="C28" i="8"/>
  <c r="C21" i="8"/>
  <c r="C19" i="8"/>
  <c r="C17" i="8"/>
  <c r="C8" i="8"/>
  <c r="X181" i="5"/>
  <c r="AH181" i="5"/>
  <c r="W112" i="2"/>
  <c r="X186" i="2"/>
  <c r="X184" i="2"/>
  <c r="BC19" i="2"/>
  <c r="F113" i="2"/>
  <c r="AQ15" i="2"/>
  <c r="AS13" i="2"/>
  <c r="V43" i="2"/>
  <c r="V14" i="2"/>
  <c r="Y46" i="10"/>
  <c r="AA46" i="10"/>
  <c r="Y46" i="11" s="1"/>
  <c r="AA46" i="11" s="1"/>
  <c r="Y46" i="12" s="1"/>
  <c r="AA46" i="12" s="1"/>
  <c r="Y46" i="13" s="1"/>
  <c r="AA46" i="13" s="1"/>
  <c r="Y66" i="10"/>
  <c r="AA66" i="10"/>
  <c r="AI47" i="2"/>
  <c r="AH41" i="2"/>
  <c r="M37" i="2"/>
  <c r="Z110" i="5"/>
  <c r="B68" i="10"/>
  <c r="B68" i="11"/>
  <c r="B68" i="12" s="1"/>
  <c r="B68" i="13"/>
  <c r="AL12" i="2"/>
  <c r="BC17" i="2"/>
  <c r="BH15" i="2"/>
  <c r="W244" i="9"/>
  <c r="W244" i="10"/>
  <c r="W244" i="11" s="1"/>
  <c r="W244" i="12" s="1"/>
  <c r="M33" i="2"/>
  <c r="BC13" i="2"/>
  <c r="G50" i="10"/>
  <c r="I50" i="10"/>
  <c r="G50" i="11"/>
  <c r="I50" i="11" s="1"/>
  <c r="G50" i="12" s="1"/>
  <c r="I50" i="12" s="1"/>
  <c r="G50" i="13" s="1"/>
  <c r="G68" i="10"/>
  <c r="I68" i="10"/>
  <c r="G68" i="11"/>
  <c r="I68" i="11" s="1"/>
  <c r="G47" i="10"/>
  <c r="I47" i="10"/>
  <c r="G47" i="11"/>
  <c r="I47" i="11" s="1"/>
  <c r="G47" i="12" s="1"/>
  <c r="I47" i="12" s="1"/>
  <c r="G47" i="13" s="1"/>
  <c r="Y198" i="10"/>
  <c r="AA198" i="10"/>
  <c r="T61" i="10"/>
  <c r="T61" i="11"/>
  <c r="T61" i="12" s="1"/>
  <c r="T61" i="13" s="1"/>
  <c r="T181" i="10"/>
  <c r="T181" i="12"/>
  <c r="T181" i="13"/>
  <c r="T255" i="10"/>
  <c r="T255" i="12"/>
  <c r="T255" i="13"/>
  <c r="AE201" i="10"/>
  <c r="AG201" i="10"/>
  <c r="V178" i="4"/>
  <c r="Y151" i="4"/>
  <c r="AA151" i="4"/>
  <c r="Y151" i="5"/>
  <c r="AA151" i="5"/>
  <c r="Y151" i="6"/>
  <c r="AA151" i="6"/>
  <c r="Y151" i="7"/>
  <c r="AA151" i="7"/>
  <c r="Y151" i="8"/>
  <c r="AA151" i="8"/>
  <c r="Y151" i="9"/>
  <c r="AA151" i="9"/>
  <c r="V143" i="4"/>
  <c r="V141" i="4"/>
  <c r="V138" i="4"/>
  <c r="AX12" i="4"/>
  <c r="AS12" i="4"/>
  <c r="AI248" i="4"/>
  <c r="AH248" i="4"/>
  <c r="AJ248" i="4"/>
  <c r="AE244" i="4"/>
  <c r="AG223" i="4"/>
  <c r="X212" i="4"/>
  <c r="X200" i="4"/>
  <c r="Y198" i="4"/>
  <c r="X187" i="4"/>
  <c r="AE180" i="10"/>
  <c r="AG180" i="10"/>
  <c r="AE180" i="11" s="1"/>
  <c r="AG180" i="11" s="1"/>
  <c r="AE180" i="12" s="1"/>
  <c r="AG180" i="12" s="1"/>
  <c r="AE180" i="13" s="1"/>
  <c r="AG180" i="13" s="1"/>
  <c r="W179" i="9"/>
  <c r="W179" i="10"/>
  <c r="W179" i="11" s="1"/>
  <c r="W179" i="12" s="1"/>
  <c r="W179" i="13" s="1"/>
  <c r="X162" i="4"/>
  <c r="AI162" i="4"/>
  <c r="W151" i="4"/>
  <c r="W151" i="5"/>
  <c r="X148" i="4"/>
  <c r="Y139" i="10"/>
  <c r="AA139" i="10"/>
  <c r="W133" i="9"/>
  <c r="W133" i="10"/>
  <c r="W133" i="11" s="1"/>
  <c r="W133" i="12" s="1"/>
  <c r="W133" i="13" s="1"/>
  <c r="X130" i="4"/>
  <c r="Y128" i="10"/>
  <c r="AA128" i="10"/>
  <c r="X126" i="4"/>
  <c r="BN19" i="4"/>
  <c r="E116" i="4"/>
  <c r="E116" i="5"/>
  <c r="E116" i="6"/>
  <c r="E116" i="7"/>
  <c r="E116" i="8"/>
  <c r="G115" i="4"/>
  <c r="E102" i="4"/>
  <c r="E102" i="5"/>
  <c r="E102" i="6"/>
  <c r="E102" i="7"/>
  <c r="E102" i="8"/>
  <c r="E102" i="9"/>
  <c r="AE99" i="5"/>
  <c r="AG99" i="5"/>
  <c r="AE99" i="6"/>
  <c r="AG99" i="6"/>
  <c r="AE99" i="7"/>
  <c r="AG99" i="7"/>
  <c r="AE99" i="8"/>
  <c r="AG99" i="8"/>
  <c r="AE99" i="9"/>
  <c r="AG99" i="9"/>
  <c r="G79" i="4"/>
  <c r="Y77" i="10"/>
  <c r="AA77" i="10"/>
  <c r="Y77" i="11" s="1"/>
  <c r="AA77" i="11" s="1"/>
  <c r="Y77" i="12" s="1"/>
  <c r="AA77" i="12" s="1"/>
  <c r="Y77" i="13" s="1"/>
  <c r="AA77" i="13" s="1"/>
  <c r="W75" i="9"/>
  <c r="W75" i="10"/>
  <c r="W75" i="11"/>
  <c r="W72" i="9"/>
  <c r="W72" i="10"/>
  <c r="W72" i="11" s="1"/>
  <c r="W72" i="12" s="1"/>
  <c r="W72" i="13" s="1"/>
  <c r="E68" i="4"/>
  <c r="AE66" i="4"/>
  <c r="AG66" i="4"/>
  <c r="AS22" i="4"/>
  <c r="E59" i="4"/>
  <c r="E57" i="4"/>
  <c r="Y53" i="5"/>
  <c r="AA53" i="5"/>
  <c r="Y53" i="6"/>
  <c r="AA53" i="6"/>
  <c r="Y53" i="7"/>
  <c r="AA53" i="7"/>
  <c r="Y53" i="8"/>
  <c r="AA53" i="8"/>
  <c r="Y53" i="9"/>
  <c r="AA53" i="9"/>
  <c r="Y40" i="10"/>
  <c r="AA40" i="10"/>
  <c r="Y40" i="11" s="1"/>
  <c r="AA40" i="11" s="1"/>
  <c r="Y40" i="12" s="1"/>
  <c r="AA40" i="12" s="1"/>
  <c r="Y40" i="13" s="1"/>
  <c r="AA40" i="13" s="1"/>
  <c r="AK40" i="13" s="1"/>
  <c r="AN40" i="13" s="1"/>
  <c r="AE38" i="10"/>
  <c r="AG38" i="10"/>
  <c r="Y31" i="10"/>
  <c r="AA31" i="10"/>
  <c r="Y31" i="11" s="1"/>
  <c r="AA31" i="11" s="1"/>
  <c r="Y31" i="12" s="1"/>
  <c r="AA31" i="12" s="1"/>
  <c r="Y31" i="13" s="1"/>
  <c r="AA31" i="13" s="1"/>
  <c r="W40" i="9"/>
  <c r="W40" i="10"/>
  <c r="W40" i="11"/>
  <c r="W40" i="12" s="1"/>
  <c r="W40" i="13" s="1"/>
  <c r="Y32" i="10"/>
  <c r="AA32" i="10"/>
  <c r="Y32" i="11"/>
  <c r="AA32" i="11" s="1"/>
  <c r="Y32" i="12" s="1"/>
  <c r="AA32" i="12" s="1"/>
  <c r="Y32" i="13" s="1"/>
  <c r="AA32" i="13" s="1"/>
  <c r="AE26" i="10"/>
  <c r="AG26" i="10"/>
  <c r="AE26" i="11" s="1"/>
  <c r="AG26" i="11" s="1"/>
  <c r="AE26" i="12" s="1"/>
  <c r="AG26" i="12" s="1"/>
  <c r="AE26" i="13" s="1"/>
  <c r="AG26" i="13" s="1"/>
  <c r="E24" i="10"/>
  <c r="E24" i="11" s="1"/>
  <c r="E24" i="12" s="1"/>
  <c r="E24" i="13" s="1"/>
  <c r="F12" i="4"/>
  <c r="AE253" i="10"/>
  <c r="AG253" i="10"/>
  <c r="Y247" i="10"/>
  <c r="AA247" i="10"/>
  <c r="Y247" i="11" s="1"/>
  <c r="AA247" i="11" s="1"/>
  <c r="Y247" i="12" s="1"/>
  <c r="AA247" i="12" s="1"/>
  <c r="Y247" i="13" s="1"/>
  <c r="AA247" i="13" s="1"/>
  <c r="W224" i="4"/>
  <c r="W223" i="5"/>
  <c r="W223" i="6"/>
  <c r="W223" i="7"/>
  <c r="W223" i="8"/>
  <c r="AI207" i="4"/>
  <c r="AJ207" i="4"/>
  <c r="AH207" i="4"/>
  <c r="V135" i="4"/>
  <c r="Y130" i="10"/>
  <c r="AA130" i="10"/>
  <c r="Y130" i="11" s="1"/>
  <c r="AA130" i="11" s="1"/>
  <c r="Y130" i="12" s="1"/>
  <c r="AA130" i="12" s="1"/>
  <c r="AI67" i="4"/>
  <c r="Y250" i="10"/>
  <c r="AA250" i="10"/>
  <c r="Y250" i="11" s="1"/>
  <c r="AA250" i="11" s="1"/>
  <c r="Y250" i="12" s="1"/>
  <c r="AA250" i="12" s="1"/>
  <c r="Y250" i="13" s="1"/>
  <c r="AA250" i="13" s="1"/>
  <c r="V245" i="4"/>
  <c r="W215" i="9"/>
  <c r="W215" i="10"/>
  <c r="W215" i="11"/>
  <c r="V201" i="4"/>
  <c r="V188" i="4"/>
  <c r="AE177" i="10"/>
  <c r="AG177" i="10"/>
  <c r="AE177" i="11" s="1"/>
  <c r="AG177" i="11" s="1"/>
  <c r="AE177" i="12" s="1"/>
  <c r="AG177" i="12" s="1"/>
  <c r="AE177" i="13" s="1"/>
  <c r="AG177" i="13" s="1"/>
  <c r="V88" i="4"/>
  <c r="Y74" i="10"/>
  <c r="AA74" i="10"/>
  <c r="Y74" i="11" s="1"/>
  <c r="AA74" i="11" s="1"/>
  <c r="Y74" i="12" s="1"/>
  <c r="AA74" i="12" s="1"/>
  <c r="Y74" i="13" s="1"/>
  <c r="AA74" i="13" s="1"/>
  <c r="Y72" i="10"/>
  <c r="AA72" i="10"/>
  <c r="Y72" i="11" s="1"/>
  <c r="AA72" i="11" s="1"/>
  <c r="Y72" i="12" s="1"/>
  <c r="AA72" i="12" s="1"/>
  <c r="Y72" i="13" s="1"/>
  <c r="AA72" i="13" s="1"/>
  <c r="Y68" i="10"/>
  <c r="AA68" i="10"/>
  <c r="Y68" i="11" s="1"/>
  <c r="AA68" i="11" s="1"/>
  <c r="Y68" i="12" s="1"/>
  <c r="AA68" i="12" s="1"/>
  <c r="Y68" i="13" s="1"/>
  <c r="AA68" i="13" s="1"/>
  <c r="AJ50" i="4"/>
  <c r="AE47" i="10"/>
  <c r="AG47" i="10"/>
  <c r="E44" i="4"/>
  <c r="E42" i="4"/>
  <c r="Y134" i="10"/>
  <c r="AA134" i="10"/>
  <c r="Y134" i="11" s="1"/>
  <c r="AA134" i="11" s="1"/>
  <c r="Y134" i="12" s="1"/>
  <c r="AA134" i="12" s="1"/>
  <c r="Y134" i="13" s="1"/>
  <c r="AA134" i="13" s="1"/>
  <c r="Y127" i="10"/>
  <c r="AA127" i="10"/>
  <c r="AE107" i="12"/>
  <c r="AG107" i="12"/>
  <c r="AE107" i="13"/>
  <c r="AG107" i="13" s="1"/>
  <c r="AG105" i="13" s="1"/>
  <c r="W79" i="9"/>
  <c r="W79" i="10"/>
  <c r="W79" i="11" s="1"/>
  <c r="W79" i="12" s="1"/>
  <c r="Y47" i="10"/>
  <c r="AA47" i="10"/>
  <c r="Y47" i="11" s="1"/>
  <c r="AA47" i="11" s="1"/>
  <c r="Y47" i="12" s="1"/>
  <c r="AA47" i="12" s="1"/>
  <c r="Y47" i="13" s="1"/>
  <c r="AA47" i="13" s="1"/>
  <c r="AE216" i="10"/>
  <c r="AG216" i="10"/>
  <c r="Y201" i="10"/>
  <c r="AA201" i="10"/>
  <c r="Y201" i="11" s="1"/>
  <c r="AA201" i="11" s="1"/>
  <c r="Y201" i="12" s="1"/>
  <c r="Y80" i="10"/>
  <c r="AA80" i="10"/>
  <c r="Y80" i="11"/>
  <c r="AA80" i="11"/>
  <c r="Y80" i="12"/>
  <c r="AA80" i="12" s="1"/>
  <c r="Y80" i="13"/>
  <c r="AA80" i="13" s="1"/>
  <c r="Y22" i="10"/>
  <c r="AA22" i="10"/>
  <c r="Y22" i="11"/>
  <c r="AA22" i="11" s="1"/>
  <c r="Y22" i="12" s="1"/>
  <c r="AA22" i="12" s="1"/>
  <c r="Y22" i="13" s="1"/>
  <c r="AA22" i="13" s="1"/>
  <c r="BC20" i="2"/>
  <c r="H21" i="2"/>
  <c r="H19" i="2"/>
  <c r="H17" i="2"/>
  <c r="H8" i="2"/>
  <c r="H126" i="2"/>
  <c r="H130" i="2"/>
  <c r="X152" i="5"/>
  <c r="AJ152" i="5"/>
  <c r="X161" i="5"/>
  <c r="AI161" i="5"/>
  <c r="W220" i="2"/>
  <c r="AJ253" i="2"/>
  <c r="AE22" i="10"/>
  <c r="AG22" i="10"/>
  <c r="AE22" i="11" s="1"/>
  <c r="AG22" i="11" s="1"/>
  <c r="AE22" i="12" s="1"/>
  <c r="AG22" i="12" s="1"/>
  <c r="AE22" i="13" s="1"/>
  <c r="AG22" i="13" s="1"/>
  <c r="AI249" i="2"/>
  <c r="AI179" i="2"/>
  <c r="B13" i="10"/>
  <c r="B13" i="11"/>
  <c r="B13" i="12"/>
  <c r="B13" i="13" s="1"/>
  <c r="N117" i="2"/>
  <c r="M26" i="2"/>
  <c r="BC11" i="2"/>
  <c r="Y228" i="10"/>
  <c r="AA228" i="10"/>
  <c r="AR13" i="2"/>
  <c r="AA43" i="2"/>
  <c r="AC110" i="2"/>
  <c r="BE7" i="2"/>
  <c r="BF7" i="4"/>
  <c r="BF7" i="7"/>
  <c r="F8" i="14"/>
  <c r="R8" i="14"/>
  <c r="G98" i="10"/>
  <c r="I98" i="10"/>
  <c r="G98" i="11" s="1"/>
  <c r="I98" i="11" s="1"/>
  <c r="G98" i="12" s="1"/>
  <c r="I98" i="12" s="1"/>
  <c r="G98" i="13" s="1"/>
  <c r="G101" i="10"/>
  <c r="I101" i="10"/>
  <c r="G101" i="11"/>
  <c r="I101" i="11" s="1"/>
  <c r="G101" i="12" s="1"/>
  <c r="I101" i="12" s="1"/>
  <c r="G101" i="13" s="1"/>
  <c r="G39" i="10"/>
  <c r="I39" i="10"/>
  <c r="G39" i="11" s="1"/>
  <c r="I39" i="11" s="1"/>
  <c r="G39" i="12" s="1"/>
  <c r="I39" i="12" s="1"/>
  <c r="G39" i="13" s="1"/>
  <c r="G108" i="10"/>
  <c r="I108" i="10"/>
  <c r="G108" i="11"/>
  <c r="I108" i="11" s="1"/>
  <c r="G108" i="12" s="1"/>
  <c r="I108" i="12" s="1"/>
  <c r="G108" i="13" s="1"/>
  <c r="G59" i="10"/>
  <c r="I59" i="10"/>
  <c r="G59" i="11" s="1"/>
  <c r="I59" i="11" s="1"/>
  <c r="G59" i="12" s="1"/>
  <c r="I59" i="12" s="1"/>
  <c r="G59" i="13" s="1"/>
  <c r="AE55" i="10"/>
  <c r="AG55" i="10"/>
  <c r="BK10" i="5"/>
  <c r="T102" i="10"/>
  <c r="T102" i="11"/>
  <c r="T102" i="12" s="1"/>
  <c r="T102" i="13" s="1"/>
  <c r="T130" i="10"/>
  <c r="T130" i="12"/>
  <c r="T130" i="13"/>
  <c r="T190" i="10"/>
  <c r="T190" i="12"/>
  <c r="T190" i="13"/>
  <c r="AE202" i="10"/>
  <c r="AG202" i="10"/>
  <c r="AE224" i="4"/>
  <c r="AG224" i="4"/>
  <c r="AE223" i="5"/>
  <c r="AG223" i="5"/>
  <c r="AE223" i="6"/>
  <c r="AG223" i="6"/>
  <c r="AE223" i="7"/>
  <c r="AG223" i="7"/>
  <c r="AE223" i="8"/>
  <c r="AG223" i="8"/>
  <c r="AE223" i="9"/>
  <c r="AG223" i="9"/>
  <c r="Y179" i="10"/>
  <c r="AA179" i="10"/>
  <c r="Y133" i="10"/>
  <c r="AA133" i="10"/>
  <c r="W130" i="9"/>
  <c r="W130" i="10"/>
  <c r="W130" i="11" s="1"/>
  <c r="W130" i="12" s="1"/>
  <c r="W130" i="13" s="1"/>
  <c r="W126" i="9"/>
  <c r="W126" i="10"/>
  <c r="W126" i="11"/>
  <c r="W126" i="12" s="1"/>
  <c r="W126" i="13" s="1"/>
  <c r="M123" i="4"/>
  <c r="N123" i="4"/>
  <c r="E119" i="4"/>
  <c r="W116" i="4"/>
  <c r="W116" i="5"/>
  <c r="W116" i="6"/>
  <c r="W116" i="7"/>
  <c r="W116" i="8"/>
  <c r="X84" i="4"/>
  <c r="Y75" i="10"/>
  <c r="AA75" i="10"/>
  <c r="Y75" i="11" s="1"/>
  <c r="AA75" i="11" s="1"/>
  <c r="Y75" i="12" s="1"/>
  <c r="AA75" i="12" s="1"/>
  <c r="Y75" i="13" s="1"/>
  <c r="AA75" i="13" s="1"/>
  <c r="W38" i="9"/>
  <c r="W38" i="10"/>
  <c r="W38" i="11" s="1"/>
  <c r="W38" i="12" s="1"/>
  <c r="W38" i="13" s="1"/>
  <c r="W255" i="4"/>
  <c r="W254" i="5"/>
  <c r="W254" i="6"/>
  <c r="W254" i="7"/>
  <c r="W254" i="8"/>
  <c r="W247" i="4"/>
  <c r="W246" i="5"/>
  <c r="W246" i="6"/>
  <c r="W246" i="7"/>
  <c r="W246" i="8"/>
  <c r="Y237" i="4"/>
  <c r="X228" i="4"/>
  <c r="V216" i="4"/>
  <c r="V203" i="4"/>
  <c r="W199" i="4"/>
  <c r="AE187" i="4"/>
  <c r="V181" i="4"/>
  <c r="AE177" i="4"/>
  <c r="AG177" i="4"/>
  <c r="AI153" i="4"/>
  <c r="V137" i="4"/>
  <c r="Y106" i="4"/>
  <c r="X98" i="4"/>
  <c r="Y97" i="4"/>
  <c r="AX11" i="4"/>
  <c r="AS11" i="4"/>
  <c r="E80" i="10"/>
  <c r="E80" i="11" s="1"/>
  <c r="E80" i="12" s="1"/>
  <c r="E80" i="13" s="1"/>
  <c r="W74" i="4"/>
  <c r="W74" i="5"/>
  <c r="W74" i="6"/>
  <c r="W74" i="7"/>
  <c r="W74" i="8"/>
  <c r="Y67" i="4"/>
  <c r="AA67" i="4"/>
  <c r="BO11" i="4"/>
  <c r="V66" i="4"/>
  <c r="W37" i="4"/>
  <c r="X37" i="4"/>
  <c r="AJ37" i="4"/>
  <c r="Y28" i="10"/>
  <c r="AA28" i="10"/>
  <c r="Y28" i="11" s="1"/>
  <c r="AA28" i="11" s="1"/>
  <c r="Y28" i="12"/>
  <c r="AA28" i="12" s="1"/>
  <c r="Y28" i="13" s="1"/>
  <c r="AA28" i="13" s="1"/>
  <c r="B15" i="4"/>
  <c r="D13" i="4"/>
  <c r="F13" i="4"/>
  <c r="Y23" i="10"/>
  <c r="AA23" i="10"/>
  <c r="Y23" i="11" s="1"/>
  <c r="AA23" i="11" s="1"/>
  <c r="Y23" i="12" s="1"/>
  <c r="AA23" i="12" s="1"/>
  <c r="Y23" i="13" s="1"/>
  <c r="AA23" i="13" s="1"/>
  <c r="G15" i="4"/>
  <c r="I15" i="4"/>
  <c r="M15" i="4"/>
  <c r="AE240" i="10"/>
  <c r="AG240" i="10"/>
  <c r="V217" i="5"/>
  <c r="AE213" i="10"/>
  <c r="AG213" i="10"/>
  <c r="W188" i="4"/>
  <c r="AE178" i="10"/>
  <c r="AG178" i="10"/>
  <c r="AE178" i="11" s="1"/>
  <c r="AG178" i="11" s="1"/>
  <c r="AE178" i="12" s="1"/>
  <c r="AG178" i="12" s="1"/>
  <c r="AE178" i="13" s="1"/>
  <c r="AG178" i="13" s="1"/>
  <c r="W173" i="4"/>
  <c r="W172" i="5"/>
  <c r="W172" i="6"/>
  <c r="W172" i="7"/>
  <c r="W172" i="8"/>
  <c r="W141" i="4"/>
  <c r="W143" i="5"/>
  <c r="W143" i="6"/>
  <c r="W143" i="7"/>
  <c r="W143" i="8"/>
  <c r="Y87" i="10"/>
  <c r="AA87" i="10"/>
  <c r="Y87" i="11" s="1"/>
  <c r="AA87" i="11" s="1"/>
  <c r="Y87" i="12" s="1"/>
  <c r="AA87" i="12" s="1"/>
  <c r="Y87" i="13" s="1"/>
  <c r="AA87" i="13" s="1"/>
  <c r="AE79" i="10"/>
  <c r="AG79" i="10"/>
  <c r="AE79" i="11" s="1"/>
  <c r="AG79" i="11" s="1"/>
  <c r="AE79" i="12" s="1"/>
  <c r="AG79" i="12" s="1"/>
  <c r="AE79" i="13" s="1"/>
  <c r="AG79" i="13" s="1"/>
  <c r="W73" i="9"/>
  <c r="W73" i="10"/>
  <c r="W73" i="11"/>
  <c r="W73" i="12" s="1"/>
  <c r="W73" i="13" s="1"/>
  <c r="AE252" i="10"/>
  <c r="AG252" i="10"/>
  <c r="AE252" i="11" s="1"/>
  <c r="AG252" i="11" s="1"/>
  <c r="AE252" i="12" s="1"/>
  <c r="AG252" i="12" s="1"/>
  <c r="AE252" i="13" s="1"/>
  <c r="AG252" i="13" s="1"/>
  <c r="W247" i="9"/>
  <c r="Y237" i="10"/>
  <c r="AA237" i="10"/>
  <c r="AE212" i="10"/>
  <c r="AG212" i="10"/>
  <c r="AE212" i="11" s="1"/>
  <c r="AG212" i="11" s="1"/>
  <c r="AE212" i="12" s="1"/>
  <c r="AG212" i="12" s="1"/>
  <c r="AE212" i="13" s="1"/>
  <c r="AG212" i="13" s="1"/>
  <c r="W137" i="9"/>
  <c r="W137" i="10"/>
  <c r="W137" i="11" s="1"/>
  <c r="W134" i="9"/>
  <c r="W134" i="10"/>
  <c r="W134" i="11"/>
  <c r="W134" i="12" s="1"/>
  <c r="W134" i="13" s="1"/>
  <c r="Y129" i="10"/>
  <c r="AA129" i="10"/>
  <c r="G105" i="4"/>
  <c r="W87" i="4"/>
  <c r="W87" i="5"/>
  <c r="W87" i="6"/>
  <c r="W87" i="7"/>
  <c r="W87" i="8"/>
  <c r="G74" i="4"/>
  <c r="I74" i="4"/>
  <c r="G74" i="5"/>
  <c r="I74" i="5"/>
  <c r="G74" i="6"/>
  <c r="I74" i="6"/>
  <c r="G74" i="7"/>
  <c r="I74" i="7"/>
  <c r="G74" i="8"/>
  <c r="I74" i="8"/>
  <c r="G74" i="9"/>
  <c r="I74" i="9"/>
  <c r="E47" i="4"/>
  <c r="E47" i="5"/>
  <c r="AE39" i="10"/>
  <c r="AG39" i="10"/>
  <c r="AE39" i="11" s="1"/>
  <c r="AG39" i="11" s="1"/>
  <c r="AE39" i="12" s="1"/>
  <c r="AG39" i="12" s="1"/>
  <c r="AE39" i="13" s="1"/>
  <c r="AG39" i="13" s="1"/>
  <c r="Y248" i="10"/>
  <c r="AA248" i="10"/>
  <c r="W245" i="9"/>
  <c r="W245" i="10"/>
  <c r="W245" i="11" s="1"/>
  <c r="W245" i="12" s="1"/>
  <c r="Y239" i="10"/>
  <c r="AA239" i="10"/>
  <c r="Y239" i="11" s="1"/>
  <c r="AA239" i="11" s="1"/>
  <c r="Y239" i="12" s="1"/>
  <c r="AA239" i="12" s="1"/>
  <c r="Y239" i="13" s="1"/>
  <c r="AA239" i="13" s="1"/>
  <c r="AE214" i="10"/>
  <c r="AG214" i="10"/>
  <c r="AE214" i="11" s="1"/>
  <c r="AG214" i="11" s="1"/>
  <c r="AE95" i="10"/>
  <c r="AG95" i="10"/>
  <c r="AE86" i="10"/>
  <c r="AG86" i="10"/>
  <c r="W85" i="9"/>
  <c r="W85" i="10"/>
  <c r="W85" i="11" s="1"/>
  <c r="W85" i="12" s="1"/>
  <c r="W85" i="13" s="1"/>
  <c r="AE80" i="10"/>
  <c r="AG80" i="10"/>
  <c r="AE80" i="11" s="1"/>
  <c r="AG80" i="11" s="1"/>
  <c r="AE80" i="12" s="1"/>
  <c r="AG80" i="12" s="1"/>
  <c r="AE80" i="13" s="1"/>
  <c r="AG80" i="13" s="1"/>
  <c r="AE61" i="10"/>
  <c r="AG61" i="10"/>
  <c r="AE61" i="11" s="1"/>
  <c r="AG61" i="11" s="1"/>
  <c r="AE61" i="12" s="1"/>
  <c r="AG61" i="12" s="1"/>
  <c r="AE61" i="13" s="1"/>
  <c r="AG61" i="13" s="1"/>
  <c r="W228" i="9"/>
  <c r="W228" i="10"/>
  <c r="W228" i="11"/>
  <c r="W228" i="12" s="1"/>
  <c r="W228" i="13" s="1"/>
  <c r="AE71" i="10"/>
  <c r="AG71" i="10"/>
  <c r="AE71" i="11" s="1"/>
  <c r="G67" i="4"/>
  <c r="AI59" i="4"/>
  <c r="V49" i="4"/>
  <c r="X52" i="4"/>
  <c r="X38" i="4"/>
  <c r="AA36" i="4"/>
  <c r="Y21" i="4"/>
  <c r="BP11" i="4"/>
  <c r="X198" i="4"/>
  <c r="BN26" i="4"/>
  <c r="X124" i="4"/>
  <c r="F115" i="4"/>
  <c r="AE106" i="4"/>
  <c r="AE97" i="4"/>
  <c r="V79" i="4"/>
  <c r="V240" i="4"/>
  <c r="V131" i="4"/>
  <c r="V127" i="4"/>
  <c r="V76" i="4"/>
  <c r="X60" i="4"/>
  <c r="X58" i="4"/>
  <c r="X21" i="4"/>
  <c r="Y206" i="4"/>
  <c r="V191" i="4"/>
  <c r="V149" i="4"/>
  <c r="V147" i="4"/>
  <c r="X151" i="4"/>
  <c r="V121" i="4"/>
  <c r="E111" i="4"/>
  <c r="Y100" i="4"/>
  <c r="AA100" i="4"/>
  <c r="Y100" i="5"/>
  <c r="AA100" i="5"/>
  <c r="Y100" i="6"/>
  <c r="AA100" i="6"/>
  <c r="Y100" i="7"/>
  <c r="AA100" i="7"/>
  <c r="Y100" i="8"/>
  <c r="AA100" i="8"/>
  <c r="Y100" i="9"/>
  <c r="AA100" i="9"/>
  <c r="F86" i="4"/>
  <c r="AI81" i="4"/>
  <c r="AH81" i="4"/>
  <c r="AJ81" i="4"/>
  <c r="X80" i="4"/>
  <c r="G76" i="4"/>
  <c r="V75" i="4"/>
  <c r="D68" i="4"/>
  <c r="D32" i="4"/>
  <c r="F33" i="4"/>
  <c r="V246" i="4"/>
  <c r="Y228" i="4"/>
  <c r="X225" i="4"/>
  <c r="F89" i="4"/>
  <c r="F71" i="4"/>
  <c r="AE51" i="4"/>
  <c r="BQ13" i="2"/>
  <c r="F36" i="14"/>
  <c r="F31" i="14"/>
  <c r="F30" i="14"/>
  <c r="G44" i="4"/>
  <c r="I44" i="4"/>
  <c r="G44" i="5"/>
  <c r="I44" i="5"/>
  <c r="G44" i="6"/>
  <c r="I44" i="6"/>
  <c r="G44" i="7"/>
  <c r="I44" i="7"/>
  <c r="G44" i="8"/>
  <c r="I44" i="8"/>
  <c r="G44" i="9"/>
  <c r="I44" i="9"/>
  <c r="X36" i="4"/>
  <c r="E27" i="4"/>
  <c r="F27" i="4"/>
  <c r="F25" i="4"/>
  <c r="AQ8" i="4"/>
  <c r="D24" i="4"/>
  <c r="E22" i="4"/>
  <c r="AR22" i="4"/>
  <c r="AW22" i="4"/>
  <c r="L10" i="4"/>
  <c r="J10" i="4"/>
  <c r="G86" i="4"/>
  <c r="E63" i="4"/>
  <c r="E48" i="4"/>
  <c r="D25" i="4"/>
  <c r="AE27" i="10"/>
  <c r="AG27" i="10"/>
  <c r="AE25" i="10"/>
  <c r="AG25" i="10"/>
  <c r="AE25" i="11" s="1"/>
  <c r="AG25" i="11" s="1"/>
  <c r="AE25" i="12" s="1"/>
  <c r="AG25" i="12" s="1"/>
  <c r="AE25" i="13" s="1"/>
  <c r="AG25" i="13" s="1"/>
  <c r="AE254" i="10"/>
  <c r="AG254" i="10"/>
  <c r="AE254" i="11" s="1"/>
  <c r="AG254" i="11" s="1"/>
  <c r="AE254" i="12" s="1"/>
  <c r="AG254" i="12" s="1"/>
  <c r="AE254" i="13" s="1"/>
  <c r="AG254" i="13" s="1"/>
  <c r="W253" i="9"/>
  <c r="V238" i="4"/>
  <c r="W214" i="4"/>
  <c r="AG185" i="4"/>
  <c r="AJ185" i="4"/>
  <c r="Y181" i="10"/>
  <c r="AA181" i="10"/>
  <c r="AE179" i="10"/>
  <c r="AG179" i="10"/>
  <c r="AE179" i="11" s="1"/>
  <c r="AG179" i="11" s="1"/>
  <c r="AE179" i="12" s="1"/>
  <c r="AG179" i="12" s="1"/>
  <c r="AE179" i="13" s="1"/>
  <c r="AG179" i="13" s="1"/>
  <c r="AE176" i="4"/>
  <c r="Y143" i="4"/>
  <c r="AA143" i="4"/>
  <c r="V129" i="4"/>
  <c r="V125" i="4"/>
  <c r="W120" i="9"/>
  <c r="V118" i="4"/>
  <c r="F105" i="4"/>
  <c r="AE98" i="10"/>
  <c r="AG98" i="10"/>
  <c r="AE98" i="11" s="1"/>
  <c r="AG98" i="11" s="1"/>
  <c r="AE98" i="12" s="1"/>
  <c r="AG98" i="12" s="1"/>
  <c r="AE98" i="13" s="1"/>
  <c r="AG98" i="13" s="1"/>
  <c r="Y93" i="10"/>
  <c r="AA93" i="10"/>
  <c r="Y93" i="11" s="1"/>
  <c r="AA93" i="11" s="1"/>
  <c r="Y93" i="12" s="1"/>
  <c r="AA93" i="12" s="1"/>
  <c r="Y93" i="13" s="1"/>
  <c r="AA93" i="13" s="1"/>
  <c r="V86" i="4"/>
  <c r="Y84" i="4"/>
  <c r="G82" i="4"/>
  <c r="X78" i="4"/>
  <c r="E77" i="10"/>
  <c r="E77" i="11" s="1"/>
  <c r="E77" i="12" s="1"/>
  <c r="E77" i="13" s="1"/>
  <c r="Y73" i="10"/>
  <c r="AA73" i="10"/>
  <c r="Y73" i="11" s="1"/>
  <c r="AA73" i="11" s="1"/>
  <c r="Y73" i="12" s="1"/>
  <c r="AA73" i="12" s="1"/>
  <c r="Y73" i="13" s="1"/>
  <c r="AA73" i="13" s="1"/>
  <c r="AE72" i="10"/>
  <c r="AG72" i="10"/>
  <c r="AE72" i="11" s="1"/>
  <c r="AG72" i="11" s="1"/>
  <c r="AE72" i="12" s="1"/>
  <c r="AG72" i="12" s="1"/>
  <c r="AE72" i="13" s="1"/>
  <c r="AG72" i="13" s="1"/>
  <c r="W71" i="9"/>
  <c r="W71" i="10"/>
  <c r="W71" i="11" s="1"/>
  <c r="AA70" i="4"/>
  <c r="AE68" i="10"/>
  <c r="AG68" i="10"/>
  <c r="AE68" i="11" s="1"/>
  <c r="AG68" i="11" s="1"/>
  <c r="Y60" i="10"/>
  <c r="AA60" i="10"/>
  <c r="Y60" i="11" s="1"/>
  <c r="AA60" i="11" s="1"/>
  <c r="Y60" i="12" s="1"/>
  <c r="AA60" i="12" s="1"/>
  <c r="Y60" i="13" s="1"/>
  <c r="AA60" i="13" s="1"/>
  <c r="G58" i="4"/>
  <c r="M14" i="4"/>
  <c r="N14" i="4"/>
  <c r="Y251" i="10"/>
  <c r="AA251" i="10"/>
  <c r="Y251" i="11" s="1"/>
  <c r="AA251" i="11" s="1"/>
  <c r="Y251" i="12" s="1"/>
  <c r="AA251" i="12" s="1"/>
  <c r="Y251" i="13" s="1"/>
  <c r="AA251" i="13" s="1"/>
  <c r="Y238" i="10"/>
  <c r="AA238" i="10"/>
  <c r="Y238" i="11"/>
  <c r="AA238" i="11" s="1"/>
  <c r="Y238" i="12" s="1"/>
  <c r="W200" i="9"/>
  <c r="W200" i="10"/>
  <c r="W200" i="11" s="1"/>
  <c r="W200" i="12" s="1"/>
  <c r="W200" i="13" s="1"/>
  <c r="AI167" i="4"/>
  <c r="X164" i="4"/>
  <c r="Y152" i="10"/>
  <c r="AA152" i="10"/>
  <c r="Y152" i="11" s="1"/>
  <c r="AA152" i="11" s="1"/>
  <c r="Y152" i="12" s="1"/>
  <c r="AA152" i="12" s="1"/>
  <c r="Y152" i="13" s="1"/>
  <c r="AA152" i="13" s="1"/>
  <c r="AA142" i="4"/>
  <c r="Y137" i="10"/>
  <c r="AA137" i="10"/>
  <c r="E83" i="4"/>
  <c r="E81" i="4"/>
  <c r="E56" i="10"/>
  <c r="E56" i="11"/>
  <c r="E56" i="12" s="1"/>
  <c r="G55" i="4"/>
  <c r="AE48" i="10"/>
  <c r="AG48" i="10"/>
  <c r="AE48" i="11" s="1"/>
  <c r="X40" i="4"/>
  <c r="W39" i="9"/>
  <c r="W39" i="10"/>
  <c r="W39" i="11" s="1"/>
  <c r="W39" i="12" s="1"/>
  <c r="W39" i="13" s="1"/>
  <c r="Y38" i="10"/>
  <c r="AA38" i="10"/>
  <c r="Y38" i="11" s="1"/>
  <c r="AA38" i="11"/>
  <c r="AE36" i="4"/>
  <c r="X28" i="4"/>
  <c r="AE24" i="10"/>
  <c r="AG24" i="10"/>
  <c r="AE24" i="11" s="1"/>
  <c r="AE21" i="4"/>
  <c r="V224" i="4"/>
  <c r="V222" i="4"/>
  <c r="W177" i="4"/>
  <c r="AS13" i="4"/>
  <c r="AX13" i="4"/>
  <c r="E65" i="5"/>
  <c r="E65" i="6"/>
  <c r="E65" i="7"/>
  <c r="E65" i="8"/>
  <c r="E65" i="9"/>
  <c r="Y61" i="5"/>
  <c r="AA61" i="5"/>
  <c r="Y61" i="6"/>
  <c r="AA61" i="6"/>
  <c r="Y61" i="7"/>
  <c r="AA61" i="7"/>
  <c r="Y61" i="8"/>
  <c r="AA61" i="8"/>
  <c r="Y61" i="9"/>
  <c r="AA61" i="9"/>
  <c r="G46" i="4"/>
  <c r="X27" i="4"/>
  <c r="AW12" i="4"/>
  <c r="AR12" i="4"/>
  <c r="C8" i="4"/>
  <c r="F38" i="4"/>
  <c r="BN10" i="2"/>
  <c r="G30" i="4"/>
  <c r="X26" i="4"/>
  <c r="V250" i="4"/>
  <c r="W204" i="4"/>
  <c r="E122" i="4"/>
  <c r="E78" i="4"/>
  <c r="D77" i="4"/>
  <c r="D75" i="4"/>
  <c r="G64" i="4"/>
  <c r="AE84" i="4"/>
  <c r="X73" i="4"/>
  <c r="G12" i="4"/>
  <c r="W249" i="5"/>
  <c r="W249" i="6"/>
  <c r="W249" i="7"/>
  <c r="W249" i="8"/>
  <c r="Y236" i="4"/>
  <c r="AA236" i="4"/>
  <c r="V199" i="4"/>
  <c r="V180" i="4"/>
  <c r="Y173" i="4"/>
  <c r="AA173" i="4"/>
  <c r="X142" i="4"/>
  <c r="D121" i="4"/>
  <c r="F95" i="4"/>
  <c r="AR11" i="4"/>
  <c r="AW11" i="4"/>
  <c r="F80" i="4"/>
  <c r="G73" i="4"/>
  <c r="V72" i="4"/>
  <c r="V68" i="4"/>
  <c r="AE59" i="4"/>
  <c r="V58" i="4"/>
  <c r="Y45" i="4"/>
  <c r="V254" i="4"/>
  <c r="Y223" i="4"/>
  <c r="AE198" i="4"/>
  <c r="X190" i="4"/>
  <c r="V179" i="4"/>
  <c r="V139" i="4"/>
  <c r="Y92" i="4"/>
  <c r="E75" i="4"/>
  <c r="F74" i="4"/>
  <c r="E69" i="4"/>
  <c r="E53" i="4"/>
  <c r="F53" i="4"/>
  <c r="F50" i="4"/>
  <c r="G49" i="4"/>
  <c r="D35" i="4"/>
  <c r="F36" i="4"/>
  <c r="D31" i="4"/>
  <c r="D31" i="5"/>
  <c r="Y214" i="5"/>
  <c r="AA214" i="5"/>
  <c r="Y214" i="6"/>
  <c r="AA214" i="6"/>
  <c r="Y214" i="7"/>
  <c r="AA214" i="7"/>
  <c r="Y214" i="8"/>
  <c r="AA214" i="8"/>
  <c r="Y214" i="9"/>
  <c r="AA214" i="9"/>
  <c r="X213" i="4"/>
  <c r="V205" i="4"/>
  <c r="X206" i="4"/>
  <c r="AJ153" i="4"/>
  <c r="AH153" i="4"/>
  <c r="F120" i="4"/>
  <c r="F117" i="4"/>
  <c r="J78" i="4"/>
  <c r="L78" i="4"/>
  <c r="AE70" i="4"/>
  <c r="E60" i="4"/>
  <c r="E54" i="4"/>
  <c r="X47" i="4"/>
  <c r="N15" i="4"/>
  <c r="Y26" i="10"/>
  <c r="AA26" i="10"/>
  <c r="Y26" i="11" s="1"/>
  <c r="AA26" i="11" s="1"/>
  <c r="Y26" i="12" s="1"/>
  <c r="AA26" i="12" s="1"/>
  <c r="Y26" i="13" s="1"/>
  <c r="AA26" i="13" s="1"/>
  <c r="Y252" i="10"/>
  <c r="AA252" i="10"/>
  <c r="AE250" i="10"/>
  <c r="AG250" i="10"/>
  <c r="W237" i="4"/>
  <c r="Y203" i="10"/>
  <c r="AA203" i="10"/>
  <c r="AI185" i="4"/>
  <c r="V133" i="4"/>
  <c r="AE102" i="10"/>
  <c r="AG102" i="10"/>
  <c r="AE102" i="11" s="1"/>
  <c r="AG102" i="11" s="1"/>
  <c r="AE102" i="12" s="1"/>
  <c r="AG102" i="12" s="1"/>
  <c r="AE102" i="13" s="1"/>
  <c r="AG102" i="13" s="1"/>
  <c r="E90" i="10"/>
  <c r="F90" i="10" s="1"/>
  <c r="AE78" i="10"/>
  <c r="AG78" i="10"/>
  <c r="W77" i="9"/>
  <c r="W77" i="10"/>
  <c r="W77" i="11" s="1"/>
  <c r="W77" i="12" s="1"/>
  <c r="Y76" i="10"/>
  <c r="AA76" i="10"/>
  <c r="Y76" i="11" s="1"/>
  <c r="AA76" i="11" s="1"/>
  <c r="Y76" i="12" s="1"/>
  <c r="AA76" i="12" s="1"/>
  <c r="Y76" i="13" s="1"/>
  <c r="AA76" i="13" s="1"/>
  <c r="AE75" i="10"/>
  <c r="AG75" i="10"/>
  <c r="AE74" i="10"/>
  <c r="AG74" i="10"/>
  <c r="AE74" i="11" s="1"/>
  <c r="AG74" i="11" s="1"/>
  <c r="E74" i="10"/>
  <c r="E71" i="10"/>
  <c r="E71" i="11"/>
  <c r="E71" i="12" s="1"/>
  <c r="E71" i="13" s="1"/>
  <c r="W67" i="9"/>
  <c r="W67" i="10"/>
  <c r="W67" i="11" s="1"/>
  <c r="F61" i="4"/>
  <c r="D60" i="4"/>
  <c r="D59" i="4"/>
  <c r="D57" i="4"/>
  <c r="AA50" i="4"/>
  <c r="F46" i="4"/>
  <c r="M40" i="4"/>
  <c r="G27" i="4"/>
  <c r="I27" i="4"/>
  <c r="G27" i="5"/>
  <c r="I27" i="5"/>
  <c r="G27" i="6"/>
  <c r="I27" i="6"/>
  <c r="G27" i="7"/>
  <c r="I27" i="7"/>
  <c r="G27" i="8"/>
  <c r="I27" i="8"/>
  <c r="G27" i="9"/>
  <c r="I27" i="9"/>
  <c r="BC11" i="4"/>
  <c r="AE249" i="10"/>
  <c r="AG249" i="10"/>
  <c r="AE249" i="11" s="1"/>
  <c r="AG249" i="11" s="1"/>
  <c r="AE249" i="12" s="1"/>
  <c r="AG249" i="12" s="1"/>
  <c r="AE249" i="13" s="1"/>
  <c r="AG249" i="13" s="1"/>
  <c r="W239" i="9"/>
  <c r="W239" i="10"/>
  <c r="W239" i="11" s="1"/>
  <c r="W239" i="12" s="1"/>
  <c r="W239" i="13" s="1"/>
  <c r="AE236" i="10"/>
  <c r="AG236" i="10"/>
  <c r="AE236" i="11" s="1"/>
  <c r="AG236" i="11" s="1"/>
  <c r="AE236" i="12" s="1"/>
  <c r="AG236" i="12" s="1"/>
  <c r="AE236" i="13" s="1"/>
  <c r="AG236" i="13" s="1"/>
  <c r="V230" i="4"/>
  <c r="V227" i="4"/>
  <c r="Y202" i="10"/>
  <c r="AA202" i="10"/>
  <c r="Y199" i="10"/>
  <c r="AA199" i="10"/>
  <c r="Y199" i="11" s="1"/>
  <c r="AA199" i="11" s="1"/>
  <c r="Y199" i="12" s="1"/>
  <c r="AA199" i="12" s="1"/>
  <c r="Y199" i="13" s="1"/>
  <c r="AA199" i="13" s="1"/>
  <c r="AA172" i="4"/>
  <c r="X132" i="4"/>
  <c r="W127" i="9"/>
  <c r="W127" i="10"/>
  <c r="W127" i="11" s="1"/>
  <c r="W127" i="12" s="1"/>
  <c r="W127" i="13" s="1"/>
  <c r="W117" i="9"/>
  <c r="D104" i="4"/>
  <c r="AE101" i="10"/>
  <c r="AG101" i="10"/>
  <c r="V85" i="4"/>
  <c r="V77" i="4"/>
  <c r="F58" i="4"/>
  <c r="Y55" i="10"/>
  <c r="AA55" i="10"/>
  <c r="Y55" i="11"/>
  <c r="AA55" i="11" s="1"/>
  <c r="Y55" i="12" s="1"/>
  <c r="AA55" i="12" s="1"/>
  <c r="Y55" i="13" s="1"/>
  <c r="AA55" i="13" s="1"/>
  <c r="AE54" i="10"/>
  <c r="AG54" i="10"/>
  <c r="AE53" i="10"/>
  <c r="AG53" i="10"/>
  <c r="G52" i="4"/>
  <c r="AI51" i="4"/>
  <c r="E50" i="10"/>
  <c r="E50" i="11" s="1"/>
  <c r="E50" i="12" s="1"/>
  <c r="E50" i="13"/>
  <c r="AE40" i="10"/>
  <c r="AG40" i="10"/>
  <c r="AE31" i="10"/>
  <c r="AG31" i="10"/>
  <c r="AE31" i="11" s="1"/>
  <c r="AG31" i="11" s="1"/>
  <c r="AE31" i="12" s="1"/>
  <c r="AG31" i="12" s="1"/>
  <c r="AE31" i="13" s="1"/>
  <c r="AG31" i="13" s="1"/>
  <c r="AE28" i="10"/>
  <c r="AG28" i="10"/>
  <c r="W227" i="4"/>
  <c r="X182" i="4"/>
  <c r="Y95" i="4"/>
  <c r="AA95" i="4"/>
  <c r="Y95" i="5"/>
  <c r="AA95" i="5"/>
  <c r="Y95" i="6"/>
  <c r="AA95" i="6"/>
  <c r="Y95" i="7"/>
  <c r="AA95" i="7"/>
  <c r="Y95" i="8"/>
  <c r="AA95" i="8"/>
  <c r="Y95" i="9"/>
  <c r="AA95" i="9"/>
  <c r="D81" i="4"/>
  <c r="F82" i="4"/>
  <c r="E62" i="10"/>
  <c r="E62" i="11"/>
  <c r="E62" i="12" s="1"/>
  <c r="E62" i="13" s="1"/>
  <c r="I61" i="4"/>
  <c r="D54" i="4"/>
  <c r="F56" i="4"/>
  <c r="AM12" i="5"/>
  <c r="AM10" i="5"/>
  <c r="AM8" i="5"/>
  <c r="X161" i="7"/>
  <c r="AH161" i="7"/>
  <c r="F62" i="6"/>
  <c r="N62" i="6"/>
  <c r="X163" i="5"/>
  <c r="AJ163" i="5"/>
  <c r="F62" i="5"/>
  <c r="N62" i="5"/>
  <c r="G89" i="5"/>
  <c r="I89" i="5"/>
  <c r="AW12" i="5"/>
  <c r="G31" i="14"/>
  <c r="G30" i="14"/>
  <c r="L22" i="2"/>
  <c r="AS7" i="2"/>
  <c r="BO30" i="2"/>
  <c r="BI14" i="2"/>
  <c r="AF12" i="2"/>
  <c r="BP14" i="2"/>
  <c r="BJ9" i="2"/>
  <c r="AG169" i="2"/>
  <c r="AS27" i="2"/>
  <c r="AX27" i="2"/>
  <c r="AI52" i="2"/>
  <c r="AH52" i="2"/>
  <c r="AH49" i="2"/>
  <c r="U168" i="8"/>
  <c r="AH218" i="2"/>
  <c r="U192" i="7"/>
  <c r="T106" i="12"/>
  <c r="T106" i="13"/>
  <c r="AJ54" i="2"/>
  <c r="AI54" i="2"/>
  <c r="U43" i="12"/>
  <c r="U14" i="12"/>
  <c r="AI55" i="2"/>
  <c r="U43" i="5"/>
  <c r="U14" i="5"/>
  <c r="AH23" i="2"/>
  <c r="F66" i="2"/>
  <c r="N39" i="14"/>
  <c r="N38" i="14" s="1"/>
  <c r="M47" i="14"/>
  <c r="M45" i="14"/>
  <c r="AF14" i="9"/>
  <c r="AF12" i="9"/>
  <c r="L51" i="14"/>
  <c r="L39" i="14"/>
  <c r="K51" i="14"/>
  <c r="BK11" i="7"/>
  <c r="K47" i="14"/>
  <c r="K45" i="14"/>
  <c r="BK10" i="7"/>
  <c r="K39" i="14"/>
  <c r="K38" i="14"/>
  <c r="BK11" i="6"/>
  <c r="J47" i="14"/>
  <c r="J45" i="14"/>
  <c r="BK10" i="6"/>
  <c r="J39" i="14"/>
  <c r="AF14" i="6"/>
  <c r="AF12" i="6"/>
  <c r="J36" i="14"/>
  <c r="J31" i="14"/>
  <c r="J30" i="14"/>
  <c r="AF194" i="5"/>
  <c r="BK11" i="5"/>
  <c r="I47" i="14"/>
  <c r="I45" i="14"/>
  <c r="AF145" i="5"/>
  <c r="AF110" i="5"/>
  <c r="I38" i="14"/>
  <c r="H51" i="14"/>
  <c r="H48" i="14"/>
  <c r="H47" i="14"/>
  <c r="H45" i="14"/>
  <c r="H39" i="14"/>
  <c r="H38" i="14"/>
  <c r="H31" i="14"/>
  <c r="H30" i="14"/>
  <c r="G47" i="14"/>
  <c r="G45" i="14"/>
  <c r="G39" i="14"/>
  <c r="G38" i="14"/>
  <c r="F47" i="14"/>
  <c r="F45" i="14"/>
  <c r="BQ22" i="2"/>
  <c r="BK11" i="2"/>
  <c r="BL11" i="4"/>
  <c r="F41" i="14"/>
  <c r="F38" i="14"/>
  <c r="BQ15" i="2"/>
  <c r="AG112" i="2"/>
  <c r="BO14" i="2"/>
  <c r="BI9" i="2"/>
  <c r="BP12" i="2"/>
  <c r="BP9" i="2"/>
  <c r="Z12" i="2"/>
  <c r="AS23" i="2"/>
  <c r="BO12" i="2"/>
  <c r="BO9" i="2"/>
  <c r="U231" i="5"/>
  <c r="AH130" i="2"/>
  <c r="AI126" i="2"/>
  <c r="AH124" i="2"/>
  <c r="M80" i="2"/>
  <c r="M72" i="2"/>
  <c r="N33" i="2"/>
  <c r="C28" i="12"/>
  <c r="C21" i="12"/>
  <c r="C19" i="12"/>
  <c r="C17" i="12"/>
  <c r="P40" i="14"/>
  <c r="AF110" i="9"/>
  <c r="AC110" i="9"/>
  <c r="Z110" i="8"/>
  <c r="AF14" i="7"/>
  <c r="AF12" i="7"/>
  <c r="Z110" i="7"/>
  <c r="U43" i="7"/>
  <c r="U14" i="7"/>
  <c r="AL12" i="7"/>
  <c r="X161" i="8"/>
  <c r="AJ161" i="8"/>
  <c r="G109" i="8"/>
  <c r="I109" i="8"/>
  <c r="G109" i="9"/>
  <c r="I109" i="9"/>
  <c r="G34" i="7"/>
  <c r="I34" i="7"/>
  <c r="G96" i="7"/>
  <c r="I96" i="7"/>
  <c r="G96" i="8"/>
  <c r="I96" i="8"/>
  <c r="G96" i="9"/>
  <c r="I96" i="9"/>
  <c r="G99" i="7"/>
  <c r="I99" i="7"/>
  <c r="G99" i="8"/>
  <c r="I99" i="8"/>
  <c r="G99" i="9"/>
  <c r="I99" i="9"/>
  <c r="G65" i="7"/>
  <c r="I65" i="7"/>
  <c r="G65" i="8"/>
  <c r="I65" i="8"/>
  <c r="G65" i="9"/>
  <c r="I65" i="9"/>
  <c r="G14" i="7"/>
  <c r="I14" i="7"/>
  <c r="G14" i="8"/>
  <c r="I14" i="8"/>
  <c r="G14" i="9"/>
  <c r="I14" i="9"/>
  <c r="G97" i="7"/>
  <c r="I97" i="7"/>
  <c r="G97" i="8"/>
  <c r="I97" i="8"/>
  <c r="G97" i="9"/>
  <c r="I97" i="9"/>
  <c r="G97" i="10"/>
  <c r="I97" i="10"/>
  <c r="BK13" i="6"/>
  <c r="AC12" i="6"/>
  <c r="G77" i="6"/>
  <c r="I77" i="6"/>
  <c r="X26" i="5"/>
  <c r="AJ26" i="5"/>
  <c r="C28" i="7"/>
  <c r="C21" i="7"/>
  <c r="C19" i="7"/>
  <c r="C17" i="7"/>
  <c r="C8" i="7"/>
  <c r="C28" i="9"/>
  <c r="C21" i="9"/>
  <c r="C19" i="9"/>
  <c r="C17" i="9"/>
  <c r="C8" i="9"/>
  <c r="X47" i="5"/>
  <c r="G13" i="5"/>
  <c r="I13" i="5"/>
  <c r="G13" i="6"/>
  <c r="I13" i="6"/>
  <c r="U168" i="12"/>
  <c r="U231" i="8"/>
  <c r="U145" i="6"/>
  <c r="X189" i="5"/>
  <c r="X47" i="6"/>
  <c r="AJ47" i="6"/>
  <c r="AC110" i="5"/>
  <c r="BL15" i="7"/>
  <c r="Z12" i="12"/>
  <c r="AF194" i="8"/>
  <c r="AF192" i="8"/>
  <c r="AC12" i="8"/>
  <c r="BK8" i="7"/>
  <c r="Z110" i="6"/>
  <c r="Z12" i="6"/>
  <c r="AC12" i="5"/>
  <c r="U231" i="7"/>
  <c r="Z110" i="2"/>
  <c r="AS24" i="2"/>
  <c r="AX24" i="2"/>
  <c r="AA145" i="2"/>
  <c r="W63" i="2"/>
  <c r="AH179" i="2"/>
  <c r="U192" i="6"/>
  <c r="AI218" i="2"/>
  <c r="U192" i="5"/>
  <c r="AJ163" i="2"/>
  <c r="AI153" i="2"/>
  <c r="U112" i="7"/>
  <c r="AI124" i="2"/>
  <c r="AH30" i="2"/>
  <c r="AI30" i="2"/>
  <c r="AI23" i="2"/>
  <c r="X20" i="2"/>
  <c r="X16" i="2"/>
  <c r="AX14" i="2"/>
  <c r="N24" i="2"/>
  <c r="M14" i="2"/>
  <c r="F10" i="2"/>
  <c r="BC7" i="2"/>
  <c r="N71" i="2"/>
  <c r="M67" i="2"/>
  <c r="M66" i="2"/>
  <c r="N73" i="2"/>
  <c r="N72" i="2"/>
  <c r="F72" i="2"/>
  <c r="M24" i="2"/>
  <c r="M22" i="2"/>
  <c r="F22" i="2"/>
  <c r="AQ7" i="2"/>
  <c r="U195" i="9"/>
  <c r="U194" i="9"/>
  <c r="U192" i="9"/>
  <c r="U168" i="7"/>
  <c r="U145" i="9"/>
  <c r="U112" i="6"/>
  <c r="AI130" i="2"/>
  <c r="AJ126" i="2"/>
  <c r="AH126" i="2"/>
  <c r="AI50" i="2"/>
  <c r="AJ50" i="2"/>
  <c r="X49" i="2"/>
  <c r="Z110" i="12"/>
  <c r="P51" i="14"/>
  <c r="P48" i="14"/>
  <c r="P39" i="14"/>
  <c r="Z110" i="9"/>
  <c r="Z12" i="9"/>
  <c r="H17" i="8"/>
  <c r="AC110" i="8"/>
  <c r="Z12" i="8"/>
  <c r="H8" i="6"/>
  <c r="K8" i="11"/>
  <c r="AZ15" i="2"/>
  <c r="U231" i="12"/>
  <c r="U90" i="12"/>
  <c r="U63" i="12"/>
  <c r="U90" i="9"/>
  <c r="U63" i="9"/>
  <c r="AG232" i="2"/>
  <c r="V145" i="2"/>
  <c r="Q39" i="14"/>
  <c r="R39" i="14" s="1"/>
  <c r="AC12" i="9"/>
  <c r="AM12" i="8"/>
  <c r="AL12" i="8"/>
  <c r="N88" i="2"/>
  <c r="AQ11" i="2"/>
  <c r="AZ11" i="2"/>
  <c r="AJ33" i="2"/>
  <c r="U168" i="9"/>
  <c r="U231" i="9"/>
  <c r="U112" i="5"/>
  <c r="AC12" i="2"/>
  <c r="V90" i="2"/>
  <c r="V63" i="2"/>
  <c r="V232" i="2"/>
  <c r="AD169" i="2"/>
  <c r="BP24" i="2"/>
  <c r="R13" i="14"/>
  <c r="D21" i="2"/>
  <c r="D19" i="2"/>
  <c r="D17" i="2"/>
  <c r="E28" i="2"/>
  <c r="E21" i="2"/>
  <c r="E19" i="2"/>
  <c r="E17" i="2"/>
  <c r="E8" i="2"/>
  <c r="E126" i="2"/>
  <c r="E130" i="2"/>
  <c r="BK13" i="5"/>
  <c r="W43" i="2"/>
  <c r="W14" i="2"/>
  <c r="AD232" i="2"/>
  <c r="R34" i="14"/>
  <c r="R14" i="14"/>
  <c r="F110" i="5"/>
  <c r="N110" i="5"/>
  <c r="V169" i="2"/>
  <c r="AW14" i="2"/>
  <c r="W232" i="2"/>
  <c r="AG90" i="2"/>
  <c r="N35" i="2"/>
  <c r="AC110" i="7"/>
  <c r="AJ167" i="2"/>
  <c r="AH167" i="2"/>
  <c r="AD90" i="2"/>
  <c r="M70" i="2"/>
  <c r="M69" i="2"/>
  <c r="F69" i="2"/>
  <c r="N70" i="2"/>
  <c r="AG43" i="2"/>
  <c r="AG14" i="2"/>
  <c r="N89" i="2"/>
  <c r="AQ12" i="2"/>
  <c r="Y12" i="2"/>
  <c r="Y10" i="2"/>
  <c r="Y258" i="2"/>
  <c r="K19" i="7"/>
  <c r="H19" i="7"/>
  <c r="AF194" i="7"/>
  <c r="AF192" i="7"/>
  <c r="Z12" i="7"/>
  <c r="AC12" i="7"/>
  <c r="AD145" i="2"/>
  <c r="AH256" i="2"/>
  <c r="AI256" i="2"/>
  <c r="AJ256" i="2"/>
  <c r="V201" i="5"/>
  <c r="AH166" i="2"/>
  <c r="AI166" i="2"/>
  <c r="AJ166" i="2"/>
  <c r="N90" i="2"/>
  <c r="M90" i="2"/>
  <c r="AH85" i="2"/>
  <c r="AJ85" i="2"/>
  <c r="AI85" i="2"/>
  <c r="E75" i="5"/>
  <c r="AJ36" i="2"/>
  <c r="AI36" i="2"/>
  <c r="AH36" i="2"/>
  <c r="X35" i="2"/>
  <c r="AJ255" i="2"/>
  <c r="AI255" i="2"/>
  <c r="AH255" i="2"/>
  <c r="AI251" i="2"/>
  <c r="AH251" i="2"/>
  <c r="AJ251" i="2"/>
  <c r="W243" i="5"/>
  <c r="AI173" i="2"/>
  <c r="AH173" i="2"/>
  <c r="AJ173" i="2"/>
  <c r="AJ61" i="2"/>
  <c r="AI61" i="2"/>
  <c r="AH61" i="2"/>
  <c r="V222" i="5"/>
  <c r="AH182" i="2"/>
  <c r="AJ182" i="2"/>
  <c r="AI182" i="2"/>
  <c r="AD112" i="2"/>
  <c r="D119" i="7"/>
  <c r="AA112" i="2"/>
  <c r="N97" i="2"/>
  <c r="M97" i="2"/>
  <c r="N34" i="2"/>
  <c r="M34" i="2"/>
  <c r="F32" i="2"/>
  <c r="X165" i="5"/>
  <c r="V74" i="7"/>
  <c r="D37" i="6"/>
  <c r="AG193" i="2"/>
  <c r="AS28" i="2"/>
  <c r="AX28" i="2"/>
  <c r="AJ187" i="2"/>
  <c r="AI187" i="2"/>
  <c r="AH187" i="2"/>
  <c r="AJ180" i="2"/>
  <c r="AI180" i="2"/>
  <c r="AH180" i="2"/>
  <c r="X175" i="2"/>
  <c r="AJ176" i="2"/>
  <c r="AI176" i="2"/>
  <c r="AH176" i="2"/>
  <c r="V120" i="6"/>
  <c r="X120" i="5"/>
  <c r="F108" i="5"/>
  <c r="AJ97" i="2"/>
  <c r="AI97" i="2"/>
  <c r="AH97" i="2"/>
  <c r="X96" i="2"/>
  <c r="M55" i="2"/>
  <c r="F54" i="2"/>
  <c r="N55" i="2"/>
  <c r="AJ31" i="2"/>
  <c r="AI31" i="2"/>
  <c r="AH31" i="2"/>
  <c r="D47" i="7"/>
  <c r="W36" i="5"/>
  <c r="U145" i="12"/>
  <c r="U219" i="9"/>
  <c r="U112" i="9"/>
  <c r="BK9" i="7"/>
  <c r="U145" i="7"/>
  <c r="U63" i="7"/>
  <c r="U90" i="5"/>
  <c r="U63" i="5"/>
  <c r="U145" i="5"/>
  <c r="U168" i="5"/>
  <c r="X38" i="5"/>
  <c r="D51" i="5"/>
  <c r="V254" i="5"/>
  <c r="V238" i="5"/>
  <c r="X132" i="5"/>
  <c r="V132" i="6"/>
  <c r="AI244" i="2"/>
  <c r="AH244" i="2"/>
  <c r="X243" i="2"/>
  <c r="AJ244" i="2"/>
  <c r="AI225" i="2"/>
  <c r="AH225" i="2"/>
  <c r="AJ225" i="2"/>
  <c r="AH217" i="2"/>
  <c r="AI217" i="2"/>
  <c r="AJ217" i="2"/>
  <c r="AH207" i="2"/>
  <c r="AI207" i="2"/>
  <c r="AJ207" i="2"/>
  <c r="AH200" i="2"/>
  <c r="AJ200" i="2"/>
  <c r="AI200" i="2"/>
  <c r="V197" i="5"/>
  <c r="AH190" i="2"/>
  <c r="AJ190" i="2"/>
  <c r="AI190" i="2"/>
  <c r="V186" i="5"/>
  <c r="V171" i="5"/>
  <c r="AH152" i="2"/>
  <c r="AJ152" i="2"/>
  <c r="AI152" i="2"/>
  <c r="V150" i="5"/>
  <c r="W142" i="5"/>
  <c r="AH137" i="2"/>
  <c r="AJ137" i="2"/>
  <c r="AI137" i="2"/>
  <c r="W124" i="5"/>
  <c r="AH121" i="2"/>
  <c r="AJ121" i="2"/>
  <c r="AI121" i="2"/>
  <c r="AI118" i="2"/>
  <c r="AH118" i="2"/>
  <c r="AJ118" i="2"/>
  <c r="N108" i="2"/>
  <c r="M108" i="2"/>
  <c r="N106" i="2"/>
  <c r="M106" i="2"/>
  <c r="D92" i="6"/>
  <c r="AH86" i="2"/>
  <c r="AI86" i="2"/>
  <c r="AJ86" i="2"/>
  <c r="X83" i="2"/>
  <c r="AH77" i="2"/>
  <c r="AI77" i="2"/>
  <c r="AJ77" i="2"/>
  <c r="AH71" i="2"/>
  <c r="AI71" i="2"/>
  <c r="AJ71" i="2"/>
  <c r="N39" i="2"/>
  <c r="M39" i="2"/>
  <c r="AX12" i="5"/>
  <c r="AS12" i="5"/>
  <c r="AJ78" i="2"/>
  <c r="AI78" i="2"/>
  <c r="AH78" i="2"/>
  <c r="F60" i="2"/>
  <c r="N61" i="2"/>
  <c r="M61" i="2"/>
  <c r="AI18" i="2"/>
  <c r="AH18" i="2"/>
  <c r="AJ18" i="2"/>
  <c r="V136" i="8"/>
  <c r="G90" i="6"/>
  <c r="I90" i="6"/>
  <c r="AW13" i="5"/>
  <c r="AR13" i="5"/>
  <c r="AI212" i="2"/>
  <c r="AH212" i="2"/>
  <c r="AJ212" i="2"/>
  <c r="X211" i="2"/>
  <c r="X210" i="2"/>
  <c r="X209" i="2"/>
  <c r="BN27" i="2"/>
  <c r="AJ165" i="2"/>
  <c r="AI165" i="2"/>
  <c r="AH165" i="2"/>
  <c r="AJ161" i="2"/>
  <c r="AI161" i="2"/>
  <c r="AH161" i="2"/>
  <c r="X157" i="2"/>
  <c r="X155" i="2"/>
  <c r="AI148" i="2"/>
  <c r="AJ148" i="2"/>
  <c r="AH148" i="2"/>
  <c r="AJ132" i="2"/>
  <c r="AI132" i="2"/>
  <c r="AH132" i="2"/>
  <c r="V128" i="6"/>
  <c r="AI106" i="2"/>
  <c r="AH106" i="2"/>
  <c r="X105" i="2"/>
  <c r="X104" i="2"/>
  <c r="AJ106" i="2"/>
  <c r="N102" i="2"/>
  <c r="M102" i="2"/>
  <c r="N98" i="2"/>
  <c r="M98" i="2"/>
  <c r="V84" i="5"/>
  <c r="W222" i="5"/>
  <c r="V41" i="9"/>
  <c r="AJ254" i="2"/>
  <c r="AI254" i="2"/>
  <c r="AH254" i="2"/>
  <c r="AJ250" i="2"/>
  <c r="AI250" i="2"/>
  <c r="AH250" i="2"/>
  <c r="AJ246" i="2"/>
  <c r="AI246" i="2"/>
  <c r="AH246" i="2"/>
  <c r="AJ238" i="2"/>
  <c r="AI238" i="2"/>
  <c r="AH238" i="2"/>
  <c r="V224" i="5"/>
  <c r="W211" i="5"/>
  <c r="V203" i="5"/>
  <c r="V199" i="5"/>
  <c r="AJ164" i="2"/>
  <c r="AI164" i="2"/>
  <c r="AH164" i="2"/>
  <c r="AJ160" i="2"/>
  <c r="AI160" i="2"/>
  <c r="AH160" i="2"/>
  <c r="V152" i="7"/>
  <c r="X152" i="6"/>
  <c r="AJ143" i="2"/>
  <c r="AJ141" i="2"/>
  <c r="AI143" i="2"/>
  <c r="AI141" i="2"/>
  <c r="AH143" i="2"/>
  <c r="AJ129" i="2"/>
  <c r="AI129" i="2"/>
  <c r="AH129" i="2"/>
  <c r="M122" i="2"/>
  <c r="N122" i="2"/>
  <c r="V115" i="5"/>
  <c r="N111" i="2"/>
  <c r="M111" i="2"/>
  <c r="F106" i="5"/>
  <c r="AJ100" i="2"/>
  <c r="AI100" i="2"/>
  <c r="AH100" i="2"/>
  <c r="M96" i="2"/>
  <c r="N96" i="2"/>
  <c r="AX13" i="5"/>
  <c r="AS13" i="5"/>
  <c r="F90" i="5"/>
  <c r="N65" i="2"/>
  <c r="M65" i="2"/>
  <c r="M58" i="2"/>
  <c r="N58" i="2"/>
  <c r="F57" i="2"/>
  <c r="AJ32" i="2"/>
  <c r="AI32" i="2"/>
  <c r="AH32" i="2"/>
  <c r="AJ25" i="2"/>
  <c r="AI25" i="2"/>
  <c r="AH25" i="2"/>
  <c r="R46" i="14"/>
  <c r="D74" i="7"/>
  <c r="F74" i="6"/>
  <c r="D53" i="6"/>
  <c r="BK12" i="2"/>
  <c r="BL12" i="4"/>
  <c r="F63" i="2"/>
  <c r="BP10" i="5"/>
  <c r="AE17" i="5"/>
  <c r="AG17" i="5"/>
  <c r="D71" i="5"/>
  <c r="Y17" i="5"/>
  <c r="AA17" i="5"/>
  <c r="BO10" i="5"/>
  <c r="V213" i="9"/>
  <c r="V213" i="10"/>
  <c r="V213" i="11" s="1"/>
  <c r="V213" i="12" s="1"/>
  <c r="V213" i="13" s="1"/>
  <c r="AI181" i="2"/>
  <c r="AH181" i="2"/>
  <c r="AJ181" i="2"/>
  <c r="X163" i="6"/>
  <c r="AI151" i="2"/>
  <c r="AH151" i="2"/>
  <c r="AJ151" i="2"/>
  <c r="V134" i="6"/>
  <c r="X134" i="5"/>
  <c r="V126" i="5"/>
  <c r="D117" i="8"/>
  <c r="AI107" i="2"/>
  <c r="AJ107" i="2"/>
  <c r="AH107" i="2"/>
  <c r="N99" i="2"/>
  <c r="M99" i="2"/>
  <c r="W197" i="5"/>
  <c r="W186" i="5"/>
  <c r="V206" i="5"/>
  <c r="W184" i="5"/>
  <c r="V116" i="6"/>
  <c r="AV15" i="2"/>
  <c r="AU15" i="2"/>
  <c r="AJ101" i="2"/>
  <c r="AI101" i="2"/>
  <c r="AH101" i="2"/>
  <c r="AJ59" i="2"/>
  <c r="AJ58" i="2"/>
  <c r="AI59" i="2"/>
  <c r="AI58" i="2"/>
  <c r="AH59" i="2"/>
  <c r="AH58" i="2"/>
  <c r="X58" i="2"/>
  <c r="X57" i="2"/>
  <c r="M53" i="2"/>
  <c r="N53" i="2"/>
  <c r="AY15" i="2"/>
  <c r="V38" i="7"/>
  <c r="X38" i="6"/>
  <c r="D14" i="6"/>
  <c r="F14" i="5"/>
  <c r="U112" i="12"/>
  <c r="U219" i="7"/>
  <c r="AI161" i="6"/>
  <c r="AH161" i="6"/>
  <c r="AJ161" i="6"/>
  <c r="U112" i="8"/>
  <c r="U90" i="8"/>
  <c r="U63" i="8"/>
  <c r="D56" i="6"/>
  <c r="F56" i="5"/>
  <c r="T33" i="5"/>
  <c r="F38" i="5"/>
  <c r="AH248" i="2"/>
  <c r="AI248" i="2"/>
  <c r="AJ248" i="2"/>
  <c r="AH236" i="2"/>
  <c r="X235" i="2"/>
  <c r="BN29" i="2"/>
  <c r="AI236" i="2"/>
  <c r="AJ236" i="2"/>
  <c r="V214" i="5"/>
  <c r="AI204" i="2"/>
  <c r="AH204" i="2"/>
  <c r="AJ204" i="2"/>
  <c r="AA169" i="2"/>
  <c r="BO24" i="2"/>
  <c r="AI158" i="2"/>
  <c r="AH158" i="2"/>
  <c r="AJ158" i="2"/>
  <c r="D124" i="6"/>
  <c r="AH120" i="2"/>
  <c r="AI120" i="2"/>
  <c r="AJ120" i="2"/>
  <c r="AH117" i="2"/>
  <c r="AJ117" i="2"/>
  <c r="AI117" i="2"/>
  <c r="D111" i="7"/>
  <c r="N107" i="2"/>
  <c r="M107" i="2"/>
  <c r="AI88" i="2"/>
  <c r="AH88" i="2"/>
  <c r="AJ88" i="2"/>
  <c r="N83" i="2"/>
  <c r="N81" i="2"/>
  <c r="M83" i="2"/>
  <c r="AH80" i="2"/>
  <c r="AI80" i="2"/>
  <c r="AJ80" i="2"/>
  <c r="AR24" i="2"/>
  <c r="AW24" i="2"/>
  <c r="F85" i="2"/>
  <c r="AI75" i="2"/>
  <c r="AJ75" i="2"/>
  <c r="AH75" i="2"/>
  <c r="N59" i="2"/>
  <c r="M59" i="2"/>
  <c r="AI39" i="2"/>
  <c r="AH39" i="2"/>
  <c r="AJ39" i="2"/>
  <c r="AX22" i="2"/>
  <c r="W150" i="5"/>
  <c r="V240" i="5"/>
  <c r="W235" i="5"/>
  <c r="AJ228" i="2"/>
  <c r="AI228" i="2"/>
  <c r="AH228" i="2"/>
  <c r="X227" i="2"/>
  <c r="AD220" i="2"/>
  <c r="BP30" i="2"/>
  <c r="AI216" i="2"/>
  <c r="AH216" i="2"/>
  <c r="AJ216" i="2"/>
  <c r="AD196" i="2"/>
  <c r="BP28" i="2"/>
  <c r="BP25" i="2"/>
  <c r="AI188" i="2"/>
  <c r="AH188" i="2"/>
  <c r="AJ188" i="2"/>
  <c r="V142" i="5"/>
  <c r="AI136" i="2"/>
  <c r="AH136" i="2"/>
  <c r="AJ136" i="2"/>
  <c r="V124" i="5"/>
  <c r="D123" i="6"/>
  <c r="D120" i="6"/>
  <c r="F120" i="5"/>
  <c r="D116" i="6"/>
  <c r="F104" i="2"/>
  <c r="N105" i="2"/>
  <c r="M105" i="2"/>
  <c r="N101" i="2"/>
  <c r="M101" i="2"/>
  <c r="F25" i="2"/>
  <c r="AQ8" i="2"/>
  <c r="M27" i="2"/>
  <c r="N27" i="2"/>
  <c r="N25" i="2"/>
  <c r="V211" i="5"/>
  <c r="V184" i="5"/>
  <c r="V78" i="5"/>
  <c r="N45" i="2"/>
  <c r="V243" i="5"/>
  <c r="V235" i="5"/>
  <c r="W227" i="5"/>
  <c r="AJ223" i="2"/>
  <c r="AI223" i="2"/>
  <c r="X222" i="2"/>
  <c r="AH223" i="2"/>
  <c r="V216" i="5"/>
  <c r="V212" i="5"/>
  <c r="AJ172" i="2"/>
  <c r="X171" i="2"/>
  <c r="AI172" i="2"/>
  <c r="AH172" i="2"/>
  <c r="X147" i="2"/>
  <c r="AJ150" i="2"/>
  <c r="AI150" i="2"/>
  <c r="AH150" i="2"/>
  <c r="V119" i="7"/>
  <c r="AJ99" i="2"/>
  <c r="AI99" i="2"/>
  <c r="AH99" i="2"/>
  <c r="AE81" i="5"/>
  <c r="V80" i="6"/>
  <c r="X80" i="5"/>
  <c r="AJ66" i="2"/>
  <c r="AI66" i="2"/>
  <c r="AH66" i="2"/>
  <c r="M56" i="2"/>
  <c r="N56" i="2"/>
  <c r="F51" i="2"/>
  <c r="N52" i="2"/>
  <c r="M52" i="2"/>
  <c r="M50" i="2"/>
  <c r="N50" i="2"/>
  <c r="N48" i="2"/>
  <c r="M30" i="2"/>
  <c r="M29" i="2"/>
  <c r="F29" i="2"/>
  <c r="N30" i="2"/>
  <c r="AJ24" i="2"/>
  <c r="AI24" i="2"/>
  <c r="AH24" i="2"/>
  <c r="AW22" i="2"/>
  <c r="N10" i="2"/>
  <c r="D8" i="2"/>
  <c r="D126" i="2"/>
  <c r="D130" i="2"/>
  <c r="W175" i="5"/>
  <c r="X69" i="2"/>
  <c r="X65" i="2"/>
  <c r="D12" i="5"/>
  <c r="V71" i="6"/>
  <c r="X71" i="5"/>
  <c r="E12" i="5"/>
  <c r="N66" i="2"/>
  <c r="Y18" i="5"/>
  <c r="AA18" i="5"/>
  <c r="F38" i="6"/>
  <c r="B24" i="5"/>
  <c r="AH229" i="2"/>
  <c r="AI229" i="2"/>
  <c r="AJ229" i="2"/>
  <c r="AH213" i="2"/>
  <c r="AI213" i="2"/>
  <c r="AJ213" i="2"/>
  <c r="AH133" i="2"/>
  <c r="AI133" i="2"/>
  <c r="AJ133" i="2"/>
  <c r="AI115" i="2"/>
  <c r="AH115" i="2"/>
  <c r="X114" i="2"/>
  <c r="AJ115" i="2"/>
  <c r="M109" i="2"/>
  <c r="N109" i="2"/>
  <c r="AI87" i="2"/>
  <c r="AH87" i="2"/>
  <c r="AJ87" i="2"/>
  <c r="W84" i="5"/>
  <c r="AI79" i="2"/>
  <c r="AH79" i="2"/>
  <c r="AJ79" i="2"/>
  <c r="AR23" i="2"/>
  <c r="N62" i="2"/>
  <c r="M62" i="2"/>
  <c r="AI48" i="2"/>
  <c r="AH48" i="2"/>
  <c r="AJ48" i="2"/>
  <c r="AJ44" i="2"/>
  <c r="W171" i="5"/>
  <c r="V148" i="6"/>
  <c r="X148" i="5"/>
  <c r="AJ239" i="2"/>
  <c r="AI239" i="2"/>
  <c r="AH239" i="2"/>
  <c r="AI203" i="2"/>
  <c r="AH203" i="2"/>
  <c r="AJ203" i="2"/>
  <c r="U145" i="8"/>
  <c r="X47" i="7"/>
  <c r="V250" i="5"/>
  <c r="V227" i="5"/>
  <c r="V205" i="5"/>
  <c r="V176" i="8"/>
  <c r="V151" i="7"/>
  <c r="AI252" i="2"/>
  <c r="AH252" i="2"/>
  <c r="AJ252" i="2"/>
  <c r="AI240" i="2"/>
  <c r="AH240" i="2"/>
  <c r="AJ240" i="2"/>
  <c r="AR29" i="2"/>
  <c r="AW29" i="2"/>
  <c r="AH178" i="2"/>
  <c r="AJ178" i="2"/>
  <c r="AI178" i="2"/>
  <c r="V175" i="5"/>
  <c r="W169" i="2"/>
  <c r="AI162" i="2"/>
  <c r="AH162" i="2"/>
  <c r="AJ162" i="2"/>
  <c r="AH156" i="2"/>
  <c r="AI156" i="2"/>
  <c r="AJ156" i="2"/>
  <c r="W145" i="2"/>
  <c r="AH119" i="2"/>
  <c r="AI119" i="2"/>
  <c r="AJ119" i="2"/>
  <c r="AH116" i="2"/>
  <c r="AI116" i="2"/>
  <c r="AJ116" i="2"/>
  <c r="E115" i="5"/>
  <c r="Y81" i="5"/>
  <c r="AH76" i="2"/>
  <c r="AI76" i="2"/>
  <c r="AJ76" i="2"/>
  <c r="F89" i="5"/>
  <c r="AX11" i="5"/>
  <c r="AS11" i="5"/>
  <c r="D80" i="5"/>
  <c r="AI72" i="2"/>
  <c r="AH72" i="2"/>
  <c r="AJ72" i="2"/>
  <c r="AJ38" i="2"/>
  <c r="AI38" i="2"/>
  <c r="AH38" i="2"/>
  <c r="D102" i="8"/>
  <c r="AJ247" i="2"/>
  <c r="AI247" i="2"/>
  <c r="AH247" i="2"/>
  <c r="V236" i="8"/>
  <c r="AI224" i="2"/>
  <c r="AH224" i="2"/>
  <c r="AJ224" i="2"/>
  <c r="V220" i="2"/>
  <c r="AJ206" i="2"/>
  <c r="AJ205" i="2"/>
  <c r="AI206" i="2"/>
  <c r="AI205" i="2"/>
  <c r="AH206" i="2"/>
  <c r="AH205" i="2"/>
  <c r="X205" i="2"/>
  <c r="AJ199" i="2"/>
  <c r="AI199" i="2"/>
  <c r="AH199" i="2"/>
  <c r="V196" i="2"/>
  <c r="V195" i="2"/>
  <c r="V193" i="2"/>
  <c r="AI185" i="2"/>
  <c r="AH185" i="2"/>
  <c r="AJ185" i="2"/>
  <c r="AI177" i="2"/>
  <c r="AJ177" i="2"/>
  <c r="AH177" i="2"/>
  <c r="V153" i="5"/>
  <c r="V130" i="6"/>
  <c r="X130" i="5"/>
  <c r="D118" i="6"/>
  <c r="F118" i="5"/>
  <c r="W115" i="5"/>
  <c r="D115" i="5"/>
  <c r="AI108" i="2"/>
  <c r="AJ108" i="2"/>
  <c r="AH108" i="2"/>
  <c r="N100" i="2"/>
  <c r="M100" i="2"/>
  <c r="AJ81" i="2"/>
  <c r="AI81" i="2"/>
  <c r="AH81" i="2"/>
  <c r="N43" i="2"/>
  <c r="N42" i="2"/>
  <c r="F42" i="2"/>
  <c r="AQ10" i="2"/>
  <c r="AZ10" i="2"/>
  <c r="M43" i="2"/>
  <c r="V246" i="5"/>
  <c r="V37" i="9"/>
  <c r="V37" i="10"/>
  <c r="V37" i="11" s="1"/>
  <c r="V37" i="12" s="1"/>
  <c r="V37" i="13" s="1"/>
  <c r="X26" i="6"/>
  <c r="V255" i="5"/>
  <c r="V251" i="5"/>
  <c r="V247" i="5"/>
  <c r="AA232" i="2"/>
  <c r="AJ215" i="2"/>
  <c r="AI215" i="2"/>
  <c r="AH215" i="2"/>
  <c r="W205" i="5"/>
  <c r="AJ202" i="2"/>
  <c r="AI202" i="2"/>
  <c r="AH202" i="2"/>
  <c r="AJ198" i="2"/>
  <c r="AI198" i="2"/>
  <c r="AH198" i="2"/>
  <c r="X197" i="2"/>
  <c r="V181" i="7"/>
  <c r="X181" i="6"/>
  <c r="AG145" i="2"/>
  <c r="AJ139" i="2"/>
  <c r="AI139" i="2"/>
  <c r="AH139" i="2"/>
  <c r="AJ135" i="2"/>
  <c r="AI135" i="2"/>
  <c r="AH135" i="2"/>
  <c r="AJ131" i="2"/>
  <c r="AI131" i="2"/>
  <c r="AH131" i="2"/>
  <c r="AJ127" i="2"/>
  <c r="AI127" i="2"/>
  <c r="AH127" i="2"/>
  <c r="X123" i="2"/>
  <c r="AJ125" i="2"/>
  <c r="AI125" i="2"/>
  <c r="AH125" i="2"/>
  <c r="M124" i="2"/>
  <c r="N124" i="2"/>
  <c r="AJ102" i="2"/>
  <c r="AI102" i="2"/>
  <c r="AH102" i="2"/>
  <c r="AJ98" i="2"/>
  <c r="AI98" i="2"/>
  <c r="AH98" i="2"/>
  <c r="F94" i="2"/>
  <c r="M95" i="2"/>
  <c r="N95" i="2"/>
  <c r="AJ93" i="2"/>
  <c r="AI93" i="2"/>
  <c r="X91" i="2"/>
  <c r="AH93" i="2"/>
  <c r="N92" i="2"/>
  <c r="M92" i="2"/>
  <c r="G88" i="6"/>
  <c r="I88" i="6"/>
  <c r="AW11" i="5"/>
  <c r="AR11" i="5"/>
  <c r="V87" i="6"/>
  <c r="X87" i="5"/>
  <c r="AJ22" i="2"/>
  <c r="AI22" i="2"/>
  <c r="AH22" i="2"/>
  <c r="D62" i="8"/>
  <c r="F62" i="7"/>
  <c r="AS16" i="2"/>
  <c r="AX16" i="2"/>
  <c r="AZ16" i="2"/>
  <c r="W70" i="5"/>
  <c r="D50" i="7"/>
  <c r="F50" i="6"/>
  <c r="AH262" i="2"/>
  <c r="AI262" i="2"/>
  <c r="X202" i="4"/>
  <c r="AJ262" i="2"/>
  <c r="AL10" i="5"/>
  <c r="AL8" i="5"/>
  <c r="C8" i="12"/>
  <c r="BK8" i="9"/>
  <c r="S179" i="12"/>
  <c r="S179" i="13"/>
  <c r="S131" i="12"/>
  <c r="S131" i="13"/>
  <c r="S234" i="12"/>
  <c r="S234" i="13"/>
  <c r="S243" i="12"/>
  <c r="S243" i="13"/>
  <c r="S219" i="12"/>
  <c r="S219" i="13"/>
  <c r="S150" i="12"/>
  <c r="S150" i="13"/>
  <c r="S207" i="12"/>
  <c r="S207" i="13"/>
  <c r="S249" i="12"/>
  <c r="S249" i="13"/>
  <c r="S183" i="12"/>
  <c r="S183" i="13"/>
  <c r="S232" i="12"/>
  <c r="S232" i="13"/>
  <c r="S128" i="12"/>
  <c r="S128" i="13"/>
  <c r="S213" i="12"/>
  <c r="S213" i="13"/>
  <c r="S142" i="12"/>
  <c r="S142" i="13"/>
  <c r="S196" i="12"/>
  <c r="S196" i="13"/>
  <c r="X30" i="5"/>
  <c r="X99" i="5"/>
  <c r="W262" i="4"/>
  <c r="S185" i="12"/>
  <c r="S185" i="13"/>
  <c r="S126" i="12"/>
  <c r="S126" i="13"/>
  <c r="S176" i="12"/>
  <c r="S176" i="13"/>
  <c r="S134" i="12"/>
  <c r="S134" i="13"/>
  <c r="S177" i="12"/>
  <c r="S177" i="13"/>
  <c r="S240" i="12"/>
  <c r="S240" i="13"/>
  <c r="X81" i="5"/>
  <c r="V262" i="4"/>
  <c r="K48" i="14"/>
  <c r="S166" i="12"/>
  <c r="S166" i="13"/>
  <c r="S253" i="12"/>
  <c r="S253" i="13"/>
  <c r="S197" i="12"/>
  <c r="S197" i="13"/>
  <c r="S245" i="12"/>
  <c r="S245" i="13"/>
  <c r="S136" i="12"/>
  <c r="S136" i="13"/>
  <c r="S221" i="12"/>
  <c r="S221" i="13"/>
  <c r="S171" i="12"/>
  <c r="S171" i="13"/>
  <c r="S209" i="12"/>
  <c r="S209" i="13"/>
  <c r="S132" i="12"/>
  <c r="S132" i="13"/>
  <c r="S217" i="12"/>
  <c r="S217" i="13"/>
  <c r="S228" i="12"/>
  <c r="S228" i="13"/>
  <c r="S156" i="12"/>
  <c r="S156" i="13"/>
  <c r="S162" i="12"/>
  <c r="S162" i="13"/>
  <c r="AH99" i="4"/>
  <c r="AJ99" i="4"/>
  <c r="X156" i="4"/>
  <c r="BQ32" i="5"/>
  <c r="M42" i="2"/>
  <c r="M48" i="2"/>
  <c r="M78" i="2"/>
  <c r="BP23" i="7"/>
  <c r="Y176" i="7"/>
  <c r="AA176" i="7"/>
  <c r="BO23" i="7"/>
  <c r="S187" i="12"/>
  <c r="S187" i="13"/>
  <c r="S237" i="12"/>
  <c r="S237" i="13"/>
  <c r="S148" i="12"/>
  <c r="S148" i="13"/>
  <c r="S170" i="12"/>
  <c r="S170" i="13"/>
  <c r="S201" i="12"/>
  <c r="S201" i="13"/>
  <c r="S252" i="12"/>
  <c r="S252" i="13"/>
  <c r="S140" i="12"/>
  <c r="S140" i="13"/>
  <c r="S242" i="12"/>
  <c r="S242" i="13"/>
  <c r="BN14" i="2"/>
  <c r="BH9" i="2"/>
  <c r="AM10" i="8"/>
  <c r="AM8" i="8"/>
  <c r="AJ167" i="4"/>
  <c r="AJ92" i="4"/>
  <c r="S182" i="12"/>
  <c r="S182" i="13"/>
  <c r="S175" i="12"/>
  <c r="S175" i="13"/>
  <c r="S224" i="12"/>
  <c r="S224" i="13"/>
  <c r="S152" i="12"/>
  <c r="S152" i="13"/>
  <c r="S158" i="12"/>
  <c r="S158" i="13"/>
  <c r="S205" i="12"/>
  <c r="S205" i="13"/>
  <c r="S256" i="12"/>
  <c r="S256" i="13"/>
  <c r="S144" i="12"/>
  <c r="S144" i="13"/>
  <c r="S191" i="12"/>
  <c r="S193" i="13"/>
  <c r="Q49" i="14"/>
  <c r="BK12" i="8"/>
  <c r="L49" i="14"/>
  <c r="L38" i="14"/>
  <c r="Y223" i="6"/>
  <c r="AA223" i="6"/>
  <c r="Y223" i="7"/>
  <c r="AA223" i="7"/>
  <c r="Y223" i="8"/>
  <c r="AA223" i="8"/>
  <c r="Y254" i="6"/>
  <c r="AA254" i="6"/>
  <c r="Y180" i="6"/>
  <c r="AA180" i="6"/>
  <c r="Y180" i="7"/>
  <c r="AA180" i="7"/>
  <c r="Y180" i="8"/>
  <c r="AA180" i="8"/>
  <c r="Y180" i="9"/>
  <c r="AA180" i="9"/>
  <c r="Y180" i="10"/>
  <c r="AA180" i="10"/>
  <c r="W123" i="4"/>
  <c r="W157" i="4"/>
  <c r="W155" i="4"/>
  <c r="AJ229" i="4"/>
  <c r="V105" i="4"/>
  <c r="V104" i="4"/>
  <c r="AJ71" i="4"/>
  <c r="AJ189" i="5"/>
  <c r="AF192" i="5"/>
  <c r="BL9" i="8"/>
  <c r="X188" i="7"/>
  <c r="V188" i="8"/>
  <c r="AJ91" i="2"/>
  <c r="M118" i="4"/>
  <c r="M35" i="2"/>
  <c r="BN18" i="2"/>
  <c r="BN15" i="2"/>
  <c r="M10" i="2"/>
  <c r="F54" i="4"/>
  <c r="AI30" i="4"/>
  <c r="M36" i="14"/>
  <c r="M31" i="14"/>
  <c r="M30" i="14"/>
  <c r="M29" i="14"/>
  <c r="AL10" i="8"/>
  <c r="AL8" i="8"/>
  <c r="BK11" i="9"/>
  <c r="BK7" i="9"/>
  <c r="BK16" i="9"/>
  <c r="M51" i="14"/>
  <c r="M48" i="14"/>
  <c r="AM10" i="6"/>
  <c r="AM8" i="6"/>
  <c r="AM258" i="6"/>
  <c r="J38" i="14"/>
  <c r="J29" i="14"/>
  <c r="K36" i="14"/>
  <c r="K31" i="14"/>
  <c r="K30" i="14"/>
  <c r="K29" i="14"/>
  <c r="BK14" i="7"/>
  <c r="BL14" i="7"/>
  <c r="AF192" i="6"/>
  <c r="X189" i="7"/>
  <c r="AH189" i="7"/>
  <c r="AJ161" i="5"/>
  <c r="F41" i="5"/>
  <c r="N41" i="5"/>
  <c r="X32" i="5"/>
  <c r="AI32" i="5"/>
  <c r="X189" i="6"/>
  <c r="AJ189" i="6"/>
  <c r="F68" i="4"/>
  <c r="M68" i="4"/>
  <c r="F117" i="6"/>
  <c r="N117" i="6"/>
  <c r="X107" i="4"/>
  <c r="AJ107" i="4"/>
  <c r="X255" i="4"/>
  <c r="AI255" i="4"/>
  <c r="I53" i="14"/>
  <c r="X188" i="6"/>
  <c r="AJ188" i="6"/>
  <c r="I36" i="14"/>
  <c r="I31" i="14"/>
  <c r="I30" i="14"/>
  <c r="Y118" i="5"/>
  <c r="AA118" i="5"/>
  <c r="D128" i="4"/>
  <c r="AE255" i="5"/>
  <c r="Y255" i="5"/>
  <c r="W110" i="2"/>
  <c r="V110" i="2"/>
  <c r="M128" i="2"/>
  <c r="F52" i="14"/>
  <c r="E92" i="5"/>
  <c r="E92" i="6"/>
  <c r="E92" i="7"/>
  <c r="E92" i="8"/>
  <c r="E92" i="9"/>
  <c r="E92" i="10"/>
  <c r="E92" i="11" s="1"/>
  <c r="E92" i="12" s="1"/>
  <c r="E92" i="13" s="1"/>
  <c r="E128" i="4"/>
  <c r="N128" i="2"/>
  <c r="AH32" i="4"/>
  <c r="AH256" i="4"/>
  <c r="G92" i="5"/>
  <c r="I92" i="5"/>
  <c r="G92" i="6"/>
  <c r="I92" i="6"/>
  <c r="G92" i="7"/>
  <c r="I92" i="7"/>
  <c r="G92" i="8"/>
  <c r="I92" i="8"/>
  <c r="G92" i="9"/>
  <c r="I92" i="9"/>
  <c r="N29" i="2"/>
  <c r="AH141" i="2"/>
  <c r="AI152" i="5"/>
  <c r="AI32" i="4"/>
  <c r="BO13" i="2"/>
  <c r="BO8" i="2"/>
  <c r="AJ239" i="4"/>
  <c r="L47" i="14"/>
  <c r="L45" i="14"/>
  <c r="K52" i="14"/>
  <c r="BK11" i="8"/>
  <c r="BL11" i="8"/>
  <c r="F117" i="7"/>
  <c r="N117" i="7"/>
  <c r="F102" i="6"/>
  <c r="N102" i="6"/>
  <c r="X41" i="7"/>
  <c r="AJ41" i="7"/>
  <c r="F15" i="6"/>
  <c r="N15" i="6"/>
  <c r="F110" i="6"/>
  <c r="N110" i="6"/>
  <c r="V41" i="10"/>
  <c r="V41" i="11" s="1"/>
  <c r="AG88" i="10"/>
  <c r="AE88" i="11"/>
  <c r="AG88" i="11" s="1"/>
  <c r="AE88" i="12" s="1"/>
  <c r="AG88" i="12" s="1"/>
  <c r="AE88" i="13" s="1"/>
  <c r="AG88" i="13" s="1"/>
  <c r="AA88" i="10"/>
  <c r="Y88" i="11" s="1"/>
  <c r="AA88" i="11" s="1"/>
  <c r="Y88" i="12" s="1"/>
  <c r="AA88" i="12" s="1"/>
  <c r="Y88" i="13" s="1"/>
  <c r="AA88" i="13" s="1"/>
  <c r="Z10" i="5"/>
  <c r="Z8" i="5"/>
  <c r="AZ13" i="3"/>
  <c r="AV13" i="3"/>
  <c r="AU13" i="3"/>
  <c r="AY13" i="3"/>
  <c r="M85" i="3"/>
  <c r="M19" i="3"/>
  <c r="M17" i="3"/>
  <c r="AI166" i="4"/>
  <c r="AS30" i="2"/>
  <c r="AX30" i="2"/>
  <c r="N8" i="3"/>
  <c r="N126" i="3"/>
  <c r="N130" i="3"/>
  <c r="AF258" i="3"/>
  <c r="BQ33" i="3"/>
  <c r="AI249" i="4"/>
  <c r="AH30" i="4"/>
  <c r="BL14" i="9"/>
  <c r="Y258" i="3"/>
  <c r="G8" i="3"/>
  <c r="G126" i="3"/>
  <c r="G130" i="3"/>
  <c r="AW14" i="3"/>
  <c r="I19" i="3"/>
  <c r="E126" i="3"/>
  <c r="E130" i="3"/>
  <c r="F116" i="5"/>
  <c r="M116" i="5"/>
  <c r="BO15" i="2"/>
  <c r="BI10" i="2"/>
  <c r="BL9" i="12"/>
  <c r="BL9" i="9"/>
  <c r="BL9" i="11"/>
  <c r="U12" i="3"/>
  <c r="U10" i="3"/>
  <c r="AQ14" i="3"/>
  <c r="F17" i="3"/>
  <c r="BL14" i="8"/>
  <c r="AH161" i="5"/>
  <c r="F15" i="5"/>
  <c r="N15" i="5"/>
  <c r="AG123" i="4"/>
  <c r="AJ249" i="4"/>
  <c r="AH120" i="4"/>
  <c r="AJ166" i="4"/>
  <c r="AI217" i="4"/>
  <c r="X17" i="6"/>
  <c r="F15" i="7"/>
  <c r="N15" i="7"/>
  <c r="AI120" i="4"/>
  <c r="AJ217" i="4"/>
  <c r="F102" i="7"/>
  <c r="N102" i="7"/>
  <c r="F102" i="5"/>
  <c r="M102" i="5"/>
  <c r="X248" i="7"/>
  <c r="AH248" i="7"/>
  <c r="E29" i="4"/>
  <c r="F102" i="4"/>
  <c r="M102" i="4"/>
  <c r="X17" i="5"/>
  <c r="X17" i="4"/>
  <c r="X166" i="6"/>
  <c r="AI166" i="6"/>
  <c r="M74" i="5"/>
  <c r="X23" i="6"/>
  <c r="AH23" i="6"/>
  <c r="X136" i="4"/>
  <c r="AJ136" i="4"/>
  <c r="X23" i="7"/>
  <c r="AH23" i="7"/>
  <c r="X68" i="4"/>
  <c r="AH68" i="4"/>
  <c r="X23" i="5"/>
  <c r="AH23" i="5"/>
  <c r="E117" i="10"/>
  <c r="E117" i="11"/>
  <c r="X248" i="6"/>
  <c r="L32" i="4"/>
  <c r="M90" i="4"/>
  <c r="W149" i="4"/>
  <c r="W147" i="4"/>
  <c r="X248" i="5"/>
  <c r="X116" i="5"/>
  <c r="AJ116" i="5"/>
  <c r="W114" i="4"/>
  <c r="F107" i="4"/>
  <c r="M107" i="4"/>
  <c r="N90" i="4"/>
  <c r="AE75" i="11"/>
  <c r="AG75" i="11" s="1"/>
  <c r="AE75" i="12" s="1"/>
  <c r="AG75" i="12" s="1"/>
  <c r="AE75" i="13" s="1"/>
  <c r="AG75" i="13" s="1"/>
  <c r="W261" i="5"/>
  <c r="AE86" i="11"/>
  <c r="AG86" i="11" s="1"/>
  <c r="AE86" i="12" s="1"/>
  <c r="AG86" i="12"/>
  <c r="AE86" i="13" s="1"/>
  <c r="AG86" i="13" s="1"/>
  <c r="Y248" i="11"/>
  <c r="AA248" i="11"/>
  <c r="Y248" i="12" s="1"/>
  <c r="AA248" i="12" s="1"/>
  <c r="Y248" i="13" s="1"/>
  <c r="AA248" i="13" s="1"/>
  <c r="AG244" i="12"/>
  <c r="AE244" i="13" s="1"/>
  <c r="AG244" i="13" s="1"/>
  <c r="AE77" i="11"/>
  <c r="AG77" i="11" s="1"/>
  <c r="AE77" i="12"/>
  <c r="AG77" i="12"/>
  <c r="AE77" i="13" s="1"/>
  <c r="AG77" i="13" s="1"/>
  <c r="AE229" i="11"/>
  <c r="AG229" i="11" s="1"/>
  <c r="AE229" i="12" s="1"/>
  <c r="AG229" i="12" s="1"/>
  <c r="AE229" i="13" s="1"/>
  <c r="AG229" i="13" s="1"/>
  <c r="AE245" i="11"/>
  <c r="AG245" i="11" s="1"/>
  <c r="AE245" i="12" s="1"/>
  <c r="AG245" i="12" s="1"/>
  <c r="AE245" i="13" s="1"/>
  <c r="AG245" i="13" s="1"/>
  <c r="Y249" i="11"/>
  <c r="AA249" i="11" s="1"/>
  <c r="Y249" i="12" s="1"/>
  <c r="AA249" i="12"/>
  <c r="Y249" i="13" s="1"/>
  <c r="AA249" i="13" s="1"/>
  <c r="AE76" i="11"/>
  <c r="AG76" i="11"/>
  <c r="AE76" i="12" s="1"/>
  <c r="AG76" i="12" s="1"/>
  <c r="AE76" i="13" s="1"/>
  <c r="AG76" i="13" s="1"/>
  <c r="AE250" i="11"/>
  <c r="AG250" i="11" s="1"/>
  <c r="AE250" i="12" s="1"/>
  <c r="AG250" i="12" s="1"/>
  <c r="AE250" i="13" s="1"/>
  <c r="AG250" i="13" s="1"/>
  <c r="AE95" i="11"/>
  <c r="AG95" i="11"/>
  <c r="AE95" i="12" s="1"/>
  <c r="AG95" i="12" s="1"/>
  <c r="AE95" i="13" s="1"/>
  <c r="AG95" i="13" s="1"/>
  <c r="AE214" i="12"/>
  <c r="AG214" i="12" s="1"/>
  <c r="AE214" i="13" s="1"/>
  <c r="AG214" i="13" s="1"/>
  <c r="AE47" i="11"/>
  <c r="AG47" i="11"/>
  <c r="AE47" i="12" s="1"/>
  <c r="AG47" i="12" s="1"/>
  <c r="AE47" i="13" s="1"/>
  <c r="AG47" i="13" s="1"/>
  <c r="Y216" i="11"/>
  <c r="AA216" i="11" s="1"/>
  <c r="Y216" i="12" s="1"/>
  <c r="AA216" i="12" s="1"/>
  <c r="Y216" i="13" s="1"/>
  <c r="AA216" i="13" s="1"/>
  <c r="AE73" i="11"/>
  <c r="AG73" i="11" s="1"/>
  <c r="AE73" i="12" s="1"/>
  <c r="AG73" i="12" s="1"/>
  <c r="AE73" i="13" s="1"/>
  <c r="AG73" i="13" s="1"/>
  <c r="Y213" i="11"/>
  <c r="AA213" i="11" s="1"/>
  <c r="Y213" i="12" s="1"/>
  <c r="AA213" i="12" s="1"/>
  <c r="Y213" i="13" s="1"/>
  <c r="AA213" i="13" s="1"/>
  <c r="AE215" i="11"/>
  <c r="AG215" i="11" s="1"/>
  <c r="AE215" i="12" s="1"/>
  <c r="AG215" i="12" s="1"/>
  <c r="AE215" i="13" s="1"/>
  <c r="AG215" i="13" s="1"/>
  <c r="AJ256" i="4"/>
  <c r="AE101" i="11"/>
  <c r="AG101" i="11" s="1"/>
  <c r="AE101" i="12"/>
  <c r="AG101" i="12" s="1"/>
  <c r="AE101" i="13" s="1"/>
  <c r="AG101" i="13" s="1"/>
  <c r="Y180" i="11"/>
  <c r="AA180" i="11"/>
  <c r="Y180" i="12" s="1"/>
  <c r="AA180" i="12" s="1"/>
  <c r="Y180" i="13" s="1"/>
  <c r="AA180" i="13" s="1"/>
  <c r="Y252" i="11"/>
  <c r="AA252" i="11" s="1"/>
  <c r="Y252" i="12" s="1"/>
  <c r="AA252" i="12" s="1"/>
  <c r="Y252" i="13" s="1"/>
  <c r="AA252" i="13" s="1"/>
  <c r="AE213" i="11"/>
  <c r="AG213" i="11" s="1"/>
  <c r="AE213" i="12" s="1"/>
  <c r="AG213" i="12" s="1"/>
  <c r="AE213" i="13" s="1"/>
  <c r="AG213" i="13" s="1"/>
  <c r="Y228" i="11"/>
  <c r="AA228" i="11" s="1"/>
  <c r="Y228" i="12" s="1"/>
  <c r="AA228" i="12" s="1"/>
  <c r="Y228" i="13" s="1"/>
  <c r="AA228" i="13" s="1"/>
  <c r="AE74" i="12"/>
  <c r="AG74" i="12" s="1"/>
  <c r="AE74" i="13" s="1"/>
  <c r="AG74" i="13" s="1"/>
  <c r="AE78" i="11"/>
  <c r="AG78" i="11" s="1"/>
  <c r="AE78" i="12" s="1"/>
  <c r="AG78" i="12" s="1"/>
  <c r="AE78" i="13" s="1"/>
  <c r="AG78" i="13" s="1"/>
  <c r="AE68" i="12"/>
  <c r="AG68" i="12" s="1"/>
  <c r="AE68" i="13" s="1"/>
  <c r="AG68" i="13" s="1"/>
  <c r="AG71" i="11"/>
  <c r="AE71" i="12" s="1"/>
  <c r="AG71" i="12" s="1"/>
  <c r="AE71" i="13" s="1"/>
  <c r="AG71" i="13" s="1"/>
  <c r="Y179" i="11"/>
  <c r="AA179" i="11" s="1"/>
  <c r="Y179" i="12" s="1"/>
  <c r="AA179" i="12" s="1"/>
  <c r="Y179" i="13" s="1"/>
  <c r="AA179" i="13" s="1"/>
  <c r="AE216" i="11"/>
  <c r="AG216" i="11" s="1"/>
  <c r="AE216" i="12" s="1"/>
  <c r="AG216" i="12" s="1"/>
  <c r="AE216" i="13"/>
  <c r="AG216" i="13" s="1"/>
  <c r="AE253" i="11"/>
  <c r="AG253" i="11" s="1"/>
  <c r="AE253" i="12" s="1"/>
  <c r="AG253" i="12" s="1"/>
  <c r="AE253" i="13" s="1"/>
  <c r="AG253" i="13" s="1"/>
  <c r="AE239" i="11"/>
  <c r="AG239" i="11" s="1"/>
  <c r="AE239" i="12" s="1"/>
  <c r="AG239" i="12" s="1"/>
  <c r="AE239" i="13" s="1"/>
  <c r="AG239" i="13" s="1"/>
  <c r="AE85" i="12"/>
  <c r="AG85" i="12" s="1"/>
  <c r="AE85" i="13" s="1"/>
  <c r="AG85" i="13" s="1"/>
  <c r="Y246" i="12"/>
  <c r="AA246" i="12" s="1"/>
  <c r="Y246" i="13" s="1"/>
  <c r="AA246" i="13" s="1"/>
  <c r="AG67" i="11"/>
  <c r="AE67" i="12" s="1"/>
  <c r="AG67" i="12" s="1"/>
  <c r="AE67" i="13" s="1"/>
  <c r="AG67" i="13" s="1"/>
  <c r="AE247" i="13"/>
  <c r="AG247" i="13" s="1"/>
  <c r="AE251" i="11"/>
  <c r="AG251" i="11" s="1"/>
  <c r="AE251" i="12" s="1"/>
  <c r="AG251" i="12" s="1"/>
  <c r="AE251" i="13"/>
  <c r="AG251" i="13" s="1"/>
  <c r="Y253" i="5"/>
  <c r="AA253" i="5"/>
  <c r="Y253" i="6"/>
  <c r="AA253" i="6"/>
  <c r="Y253" i="7"/>
  <c r="AA253" i="7"/>
  <c r="Y253" i="8"/>
  <c r="AA253" i="8"/>
  <c r="Y253" i="9"/>
  <c r="AA253" i="9"/>
  <c r="F107" i="5"/>
  <c r="N107" i="5"/>
  <c r="N63" i="2"/>
  <c r="N22" i="2"/>
  <c r="M81" i="2"/>
  <c r="M63" i="2"/>
  <c r="AE218" i="4"/>
  <c r="Y218" i="4"/>
  <c r="AL10" i="2"/>
  <c r="AL8" i="2"/>
  <c r="AM259" i="2"/>
  <c r="AU22" i="2"/>
  <c r="AA195" i="2"/>
  <c r="AA193" i="2"/>
  <c r="AH134" i="4"/>
  <c r="AA238" i="12"/>
  <c r="Y238" i="13" s="1"/>
  <c r="AA238" i="13" s="1"/>
  <c r="AG238" i="11"/>
  <c r="AA190" i="11"/>
  <c r="Y178" i="11"/>
  <c r="AA178" i="11" s="1"/>
  <c r="Y178" i="12" s="1"/>
  <c r="AA178" i="12" s="1"/>
  <c r="Y178" i="13" s="1"/>
  <c r="AA178" i="13" s="1"/>
  <c r="AE190" i="11"/>
  <c r="AG190" i="11" s="1"/>
  <c r="AE190" i="12" s="1"/>
  <c r="AG190" i="12" s="1"/>
  <c r="AE190" i="13" s="1"/>
  <c r="AG190" i="13" s="1"/>
  <c r="AA189" i="11"/>
  <c r="AE202" i="11"/>
  <c r="AG202" i="11" s="1"/>
  <c r="AE202" i="12" s="1"/>
  <c r="AG202" i="12" s="1"/>
  <c r="AE202" i="13" s="1"/>
  <c r="AG202" i="13" s="1"/>
  <c r="AE201" i="11"/>
  <c r="AG201" i="11" s="1"/>
  <c r="AE201" i="12" s="1"/>
  <c r="AG201" i="12" s="1"/>
  <c r="AE201" i="13" s="1"/>
  <c r="AG201" i="13" s="1"/>
  <c r="Y137" i="11"/>
  <c r="AA137" i="11" s="1"/>
  <c r="Y137" i="12" s="1"/>
  <c r="AA137" i="12" s="1"/>
  <c r="Y137" i="13" s="1"/>
  <c r="AA137" i="13" s="1"/>
  <c r="Y138" i="11"/>
  <c r="AA138" i="11" s="1"/>
  <c r="Y138" i="12" s="1"/>
  <c r="AA138" i="12" s="1"/>
  <c r="Y138" i="13" s="1"/>
  <c r="AA138" i="13" s="1"/>
  <c r="AA149" i="4"/>
  <c r="AA147" i="4"/>
  <c r="Y132" i="11"/>
  <c r="AA132" i="11"/>
  <c r="Y132" i="12" s="1"/>
  <c r="AA132" i="12" s="1"/>
  <c r="Y132" i="13" s="1"/>
  <c r="AA132" i="13" s="1"/>
  <c r="Y133" i="11"/>
  <c r="AA133" i="11" s="1"/>
  <c r="Y133" i="12" s="1"/>
  <c r="AA133" i="12" s="1"/>
  <c r="Y133" i="13" s="1"/>
  <c r="AA133" i="13" s="1"/>
  <c r="Y135" i="11"/>
  <c r="AA135" i="11"/>
  <c r="Y135" i="12" s="1"/>
  <c r="AA135" i="12" s="1"/>
  <c r="Y135" i="13" s="1"/>
  <c r="AA135" i="13" s="1"/>
  <c r="X116" i="4"/>
  <c r="AH241" i="4"/>
  <c r="AJ241" i="4"/>
  <c r="AE240" i="11"/>
  <c r="AG240" i="11" s="1"/>
  <c r="Y240" i="11"/>
  <c r="AA240" i="11" s="1"/>
  <c r="Y240" i="12" s="1"/>
  <c r="AA240" i="12" s="1"/>
  <c r="Y240" i="13" s="1"/>
  <c r="AA240" i="13" s="1"/>
  <c r="AG199" i="12"/>
  <c r="AE199" i="13" s="1"/>
  <c r="AG199" i="13" s="1"/>
  <c r="Y128" i="11"/>
  <c r="AA128" i="11" s="1"/>
  <c r="Y128" i="12" s="1"/>
  <c r="AA128" i="12" s="1"/>
  <c r="Y128" i="13" s="1"/>
  <c r="AA128" i="13" s="1"/>
  <c r="AR9" i="2"/>
  <c r="Y237" i="11"/>
  <c r="AA237" i="11" s="1"/>
  <c r="Y237" i="12" s="1"/>
  <c r="AA237" i="12" s="1"/>
  <c r="Y237" i="13" s="1"/>
  <c r="AA237" i="13" s="1"/>
  <c r="AE198" i="11"/>
  <c r="Y206" i="11"/>
  <c r="AA206" i="11" s="1"/>
  <c r="Y206" i="12" s="1"/>
  <c r="AA206" i="12" s="1"/>
  <c r="Y206" i="13" s="1"/>
  <c r="AA206" i="13" s="1"/>
  <c r="Y198" i="11"/>
  <c r="AA198" i="11" s="1"/>
  <c r="Y198" i="12" s="1"/>
  <c r="AA198" i="12" s="1"/>
  <c r="Y198" i="13" s="1"/>
  <c r="AA198" i="13" s="1"/>
  <c r="Y202" i="11"/>
  <c r="AA202" i="11" s="1"/>
  <c r="Y202" i="12" s="1"/>
  <c r="AA202" i="12" s="1"/>
  <c r="Y202" i="13" s="1"/>
  <c r="AA202" i="13" s="1"/>
  <c r="AA201" i="12"/>
  <c r="Y201" i="13" s="1"/>
  <c r="AA201" i="13" s="1"/>
  <c r="Y203" i="11"/>
  <c r="AA203" i="11" s="1"/>
  <c r="Y203" i="12" s="1"/>
  <c r="AA203" i="12" s="1"/>
  <c r="Y203" i="13" s="1"/>
  <c r="AA203" i="13" s="1"/>
  <c r="AA187" i="11"/>
  <c r="Y187" i="12" s="1"/>
  <c r="AA187" i="12" s="1"/>
  <c r="Y187" i="13" s="1"/>
  <c r="AA187" i="13" s="1"/>
  <c r="Y181" i="11"/>
  <c r="AA181" i="11" s="1"/>
  <c r="Y181" i="12" s="1"/>
  <c r="AA181" i="12" s="1"/>
  <c r="Y181" i="13" s="1"/>
  <c r="AA181" i="13" s="1"/>
  <c r="AE181" i="11"/>
  <c r="AG181" i="11" s="1"/>
  <c r="AE181" i="12" s="1"/>
  <c r="AG181" i="12" s="1"/>
  <c r="AE181" i="13" s="1"/>
  <c r="AG181" i="13" s="1"/>
  <c r="AA177" i="11"/>
  <c r="Y177" i="12" s="1"/>
  <c r="AA177" i="12" s="1"/>
  <c r="Y177" i="13" s="1"/>
  <c r="AA177" i="13" s="1"/>
  <c r="Y139" i="11"/>
  <c r="AA139" i="11" s="1"/>
  <c r="Y139" i="12" s="1"/>
  <c r="AA139" i="12" s="1"/>
  <c r="Y139" i="13" s="1"/>
  <c r="AA139" i="13" s="1"/>
  <c r="Y130" i="13"/>
  <c r="AA130" i="13" s="1"/>
  <c r="Y129" i="11"/>
  <c r="AA129" i="11" s="1"/>
  <c r="Y129" i="12" s="1"/>
  <c r="AA129" i="12" s="1"/>
  <c r="Y129" i="13" s="1"/>
  <c r="AA129" i="13" s="1"/>
  <c r="Y127" i="11"/>
  <c r="AA127" i="11" s="1"/>
  <c r="Y127" i="12" s="1"/>
  <c r="AA127" i="12" s="1"/>
  <c r="Y127" i="13" s="1"/>
  <c r="AA127" i="13" s="1"/>
  <c r="AE60" i="11"/>
  <c r="AG60" i="11"/>
  <c r="AE60" i="12" s="1"/>
  <c r="AG60" i="12" s="1"/>
  <c r="AE60" i="13" s="1"/>
  <c r="AG60" i="13" s="1"/>
  <c r="AH57" i="2"/>
  <c r="AE55" i="11"/>
  <c r="AG55" i="11"/>
  <c r="AE55" i="12" s="1"/>
  <c r="AG55" i="12" s="1"/>
  <c r="AE55" i="13" s="1"/>
  <c r="AG55" i="13" s="1"/>
  <c r="AE53" i="11"/>
  <c r="AG53" i="11" s="1"/>
  <c r="AE53" i="12" s="1"/>
  <c r="AG53" i="12" s="1"/>
  <c r="AE53" i="13" s="1"/>
  <c r="AG53" i="13" s="1"/>
  <c r="AE54" i="11"/>
  <c r="AG54" i="11" s="1"/>
  <c r="AE54" i="12" s="1"/>
  <c r="AG54" i="12" s="1"/>
  <c r="AE54" i="13" s="1"/>
  <c r="AG54" i="13" s="1"/>
  <c r="AE40" i="11"/>
  <c r="AG40" i="11" s="1"/>
  <c r="AE40" i="12" s="1"/>
  <c r="AG40" i="12" s="1"/>
  <c r="AE40" i="13" s="1"/>
  <c r="AG40" i="13" s="1"/>
  <c r="AE37" i="11"/>
  <c r="AG37" i="11" s="1"/>
  <c r="AE37" i="12" s="1"/>
  <c r="AE38" i="11"/>
  <c r="AG38" i="11" s="1"/>
  <c r="AE38" i="12" s="1"/>
  <c r="AG38" i="12" s="1"/>
  <c r="AE38" i="13" s="1"/>
  <c r="AG38" i="13" s="1"/>
  <c r="AE41" i="11"/>
  <c r="AG41" i="11" s="1"/>
  <c r="AE41" i="12" s="1"/>
  <c r="AG41" i="12" s="1"/>
  <c r="AE41" i="13"/>
  <c r="AG41" i="13" s="1"/>
  <c r="AE27" i="11"/>
  <c r="AG27" i="11" s="1"/>
  <c r="AE27" i="12" s="1"/>
  <c r="AG27" i="12" s="1"/>
  <c r="AE27" i="13" s="1"/>
  <c r="AG27" i="13" s="1"/>
  <c r="AE30" i="11"/>
  <c r="AG30" i="11" s="1"/>
  <c r="AE30" i="12" s="1"/>
  <c r="AG30" i="12" s="1"/>
  <c r="AE30" i="13" s="1"/>
  <c r="AG30" i="13" s="1"/>
  <c r="AE28" i="11"/>
  <c r="AG28" i="11" s="1"/>
  <c r="AE28" i="12" s="1"/>
  <c r="AG28" i="12" s="1"/>
  <c r="AE28" i="13" s="1"/>
  <c r="AG28" i="13" s="1"/>
  <c r="AG24" i="11"/>
  <c r="AE24" i="12" s="1"/>
  <c r="AG24" i="12" s="1"/>
  <c r="AE24" i="13" s="1"/>
  <c r="AG24" i="13" s="1"/>
  <c r="AG29" i="11"/>
  <c r="AE29" i="12" s="1"/>
  <c r="AG29" i="12" s="1"/>
  <c r="AE29" i="13" s="1"/>
  <c r="AG29" i="13" s="1"/>
  <c r="AE32" i="12"/>
  <c r="AG32" i="12"/>
  <c r="AE32" i="13" s="1"/>
  <c r="AG32" i="13" s="1"/>
  <c r="AE18" i="11"/>
  <c r="AG18" i="11" s="1"/>
  <c r="AE18" i="12" s="1"/>
  <c r="AG18" i="12" s="1"/>
  <c r="AE18" i="13" s="1"/>
  <c r="AG18" i="13" s="1"/>
  <c r="AH23" i="4"/>
  <c r="U8" i="11"/>
  <c r="U259" i="11"/>
  <c r="U263" i="11"/>
  <c r="U257" i="11"/>
  <c r="E90" i="11"/>
  <c r="E90" i="12" s="1"/>
  <c r="E90" i="13" s="1"/>
  <c r="AI134" i="4"/>
  <c r="G68" i="12"/>
  <c r="I68" i="12" s="1"/>
  <c r="G68" i="13" s="1"/>
  <c r="AJ19" i="4"/>
  <c r="AJ23" i="4"/>
  <c r="V248" i="8"/>
  <c r="V248" i="9"/>
  <c r="V248" i="10"/>
  <c r="V248" i="11" s="1"/>
  <c r="X248" i="11" s="1"/>
  <c r="AH19" i="4"/>
  <c r="X172" i="5"/>
  <c r="AI172" i="5"/>
  <c r="M51" i="2"/>
  <c r="G89" i="6"/>
  <c r="I89" i="6"/>
  <c r="G89" i="7"/>
  <c r="N117" i="5"/>
  <c r="AR12" i="5"/>
  <c r="AR25" i="2"/>
  <c r="AW25" i="2"/>
  <c r="W171" i="4"/>
  <c r="F116" i="4"/>
  <c r="N116" i="4"/>
  <c r="X247" i="4"/>
  <c r="AJ247" i="4"/>
  <c r="V12" i="2"/>
  <c r="V10" i="2"/>
  <c r="BK14" i="12"/>
  <c r="BL14" i="12"/>
  <c r="N50" i="5"/>
  <c r="X163" i="4"/>
  <c r="AJ163" i="4"/>
  <c r="X173" i="4"/>
  <c r="X171" i="4"/>
  <c r="F87" i="5"/>
  <c r="N87" i="5"/>
  <c r="BL14" i="10"/>
  <c r="AE123" i="4"/>
  <c r="D68" i="5"/>
  <c r="D68" i="6"/>
  <c r="F87" i="4"/>
  <c r="N87" i="4"/>
  <c r="AI239" i="4"/>
  <c r="D94" i="4"/>
  <c r="AI229" i="4"/>
  <c r="V197" i="4"/>
  <c r="V196" i="4"/>
  <c r="V195" i="4"/>
  <c r="X161" i="10"/>
  <c r="W247" i="10"/>
  <c r="W253" i="10"/>
  <c r="W253" i="11" s="1"/>
  <c r="W253" i="12" s="1"/>
  <c r="W253" i="13" s="1"/>
  <c r="W152" i="10"/>
  <c r="W117" i="10"/>
  <c r="W120" i="10"/>
  <c r="W120" i="11" s="1"/>
  <c r="W120" i="12" s="1"/>
  <c r="W120" i="13" s="1"/>
  <c r="W135" i="10"/>
  <c r="W135" i="11" s="1"/>
  <c r="W135" i="12" s="1"/>
  <c r="W135" i="13" s="1"/>
  <c r="W238" i="10"/>
  <c r="AB258" i="2"/>
  <c r="AB8" i="2"/>
  <c r="AB260" i="2"/>
  <c r="AB264" i="2"/>
  <c r="AH91" i="2"/>
  <c r="AJ54" i="4"/>
  <c r="X215" i="4"/>
  <c r="AJ215" i="4"/>
  <c r="M106" i="4"/>
  <c r="AJ161" i="7"/>
  <c r="AI54" i="4"/>
  <c r="X52" i="5"/>
  <c r="AI52" i="5"/>
  <c r="AI161" i="7"/>
  <c r="AJ49" i="2"/>
  <c r="AJ43" i="2"/>
  <c r="Y141" i="4"/>
  <c r="F47" i="4"/>
  <c r="M47" i="4"/>
  <c r="X52" i="6"/>
  <c r="AH52" i="6"/>
  <c r="AI152" i="4"/>
  <c r="X31" i="4"/>
  <c r="AH31" i="4"/>
  <c r="AJ152" i="4"/>
  <c r="AJ83" i="2"/>
  <c r="F107" i="6"/>
  <c r="M107" i="6"/>
  <c r="W32" i="12"/>
  <c r="W32" i="13" s="1"/>
  <c r="W19" i="12"/>
  <c r="W19" i="13" s="1"/>
  <c r="AH150" i="4"/>
  <c r="W12" i="2"/>
  <c r="AH44" i="2"/>
  <c r="AH43" i="2"/>
  <c r="F41" i="4"/>
  <c r="N41" i="4"/>
  <c r="X19" i="5"/>
  <c r="AI19" i="5"/>
  <c r="AH189" i="6"/>
  <c r="F99" i="4"/>
  <c r="N99" i="4"/>
  <c r="AH171" i="2"/>
  <c r="AH47" i="6"/>
  <c r="AI47" i="5"/>
  <c r="AQ13" i="2"/>
  <c r="AY13" i="2"/>
  <c r="AI171" i="2"/>
  <c r="F99" i="5"/>
  <c r="N99" i="5"/>
  <c r="P38" i="14"/>
  <c r="BK11" i="12"/>
  <c r="BL11" i="12"/>
  <c r="X41" i="5"/>
  <c r="AJ41" i="5"/>
  <c r="L52" i="14"/>
  <c r="J32" i="4"/>
  <c r="F91" i="5"/>
  <c r="N91" i="5"/>
  <c r="F98" i="5"/>
  <c r="M98" i="5"/>
  <c r="AH161" i="8"/>
  <c r="F98" i="4"/>
  <c r="M98" i="4"/>
  <c r="AI252" i="4"/>
  <c r="AH252" i="4"/>
  <c r="F98" i="7"/>
  <c r="N98" i="7"/>
  <c r="AI57" i="2"/>
  <c r="AI26" i="5"/>
  <c r="V44" i="4"/>
  <c r="V43" i="4"/>
  <c r="W243" i="4"/>
  <c r="X149" i="4"/>
  <c r="X147" i="4"/>
  <c r="AM10" i="7"/>
  <c r="AM8" i="7"/>
  <c r="AI256" i="4"/>
  <c r="X41" i="6"/>
  <c r="AJ41" i="6"/>
  <c r="F91" i="4"/>
  <c r="N91" i="4"/>
  <c r="BL14" i="11"/>
  <c r="AI44" i="2"/>
  <c r="V228" i="6"/>
  <c r="V228" i="7"/>
  <c r="M32" i="2"/>
  <c r="M28" i="2"/>
  <c r="W137" i="12"/>
  <c r="W137" i="13" s="1"/>
  <c r="W20" i="4"/>
  <c r="W16" i="4"/>
  <c r="V145" i="4"/>
  <c r="E85" i="4"/>
  <c r="AC10" i="2"/>
  <c r="AC258" i="2"/>
  <c r="AJ47" i="5"/>
  <c r="F98" i="6"/>
  <c r="N98" i="6"/>
  <c r="W100" i="13"/>
  <c r="AI49" i="2"/>
  <c r="W27" i="12"/>
  <c r="W27" i="13" s="1"/>
  <c r="X22" i="4"/>
  <c r="AJ22" i="4"/>
  <c r="N34" i="4"/>
  <c r="AI91" i="2"/>
  <c r="M25" i="2"/>
  <c r="AJ181" i="5"/>
  <c r="BL11" i="11"/>
  <c r="V20" i="4"/>
  <c r="V16" i="4"/>
  <c r="W24" i="12"/>
  <c r="W24" i="13" s="1"/>
  <c r="W71" i="12"/>
  <c r="W71" i="13"/>
  <c r="X74" i="4"/>
  <c r="AH74" i="4"/>
  <c r="V235" i="4"/>
  <c r="V234" i="4"/>
  <c r="BF7" i="13"/>
  <c r="BF7" i="12"/>
  <c r="BF7" i="11"/>
  <c r="BF7" i="10"/>
  <c r="BF7" i="9"/>
  <c r="BF7" i="8"/>
  <c r="V114" i="4"/>
  <c r="BK8" i="8"/>
  <c r="AA14" i="2"/>
  <c r="AA12" i="2"/>
  <c r="AH152" i="5"/>
  <c r="AI181" i="5"/>
  <c r="X74" i="6"/>
  <c r="AH74" i="6"/>
  <c r="Z10" i="2"/>
  <c r="Z8" i="2"/>
  <c r="Z260" i="2"/>
  <c r="Z264" i="2"/>
  <c r="BL13" i="11"/>
  <c r="X74" i="5"/>
  <c r="AH74" i="5"/>
  <c r="BC10" i="2"/>
  <c r="BC9" i="2"/>
  <c r="BC8" i="2"/>
  <c r="BC22" i="2"/>
  <c r="E116" i="9"/>
  <c r="E116" i="10"/>
  <c r="E116" i="11"/>
  <c r="F116" i="11" s="1"/>
  <c r="Y107" i="9"/>
  <c r="AA107" i="9"/>
  <c r="Y107" i="10"/>
  <c r="AA107" i="10"/>
  <c r="Y107" i="11"/>
  <c r="AA107" i="11" s="1"/>
  <c r="E107" i="10"/>
  <c r="E107" i="11"/>
  <c r="BL13" i="12"/>
  <c r="AB107" i="9"/>
  <c r="AD107" i="9"/>
  <c r="AB107" i="10"/>
  <c r="AD107" i="10"/>
  <c r="AB107" i="11" s="1"/>
  <c r="AD107" i="11" s="1"/>
  <c r="L36" i="14"/>
  <c r="L31" i="14"/>
  <c r="L30" i="14"/>
  <c r="AE107" i="9"/>
  <c r="AG107" i="9"/>
  <c r="AE107" i="10"/>
  <c r="AG107" i="10"/>
  <c r="AE107" i="11" s="1"/>
  <c r="AG107" i="11" s="1"/>
  <c r="BL13" i="9"/>
  <c r="AE108" i="9"/>
  <c r="AG108" i="9"/>
  <c r="AE108" i="10"/>
  <c r="AG108" i="10"/>
  <c r="AE108" i="11" s="1"/>
  <c r="AG108" i="11" s="1"/>
  <c r="G124" i="5"/>
  <c r="I124" i="5"/>
  <c r="G124" i="6"/>
  <c r="I124" i="6"/>
  <c r="G124" i="7"/>
  <c r="I124" i="7"/>
  <c r="G124" i="8"/>
  <c r="I124" i="8"/>
  <c r="G124" i="9"/>
  <c r="I124" i="9"/>
  <c r="G124" i="10"/>
  <c r="I124" i="10"/>
  <c r="M52" i="14"/>
  <c r="D117" i="11"/>
  <c r="D117" i="10"/>
  <c r="AJ17" i="5"/>
  <c r="Y8" i="2"/>
  <c r="Y260" i="2"/>
  <c r="Y264" i="2"/>
  <c r="X43" i="2"/>
  <c r="F101" i="4"/>
  <c r="M101" i="4"/>
  <c r="D113" i="4"/>
  <c r="W94" i="13"/>
  <c r="X29" i="4"/>
  <c r="AJ29" i="4"/>
  <c r="W26" i="12"/>
  <c r="W26" i="13" s="1"/>
  <c r="AG222" i="4"/>
  <c r="E124" i="5"/>
  <c r="Y116" i="12"/>
  <c r="AA116" i="12" s="1"/>
  <c r="Y116" i="13" s="1"/>
  <c r="AA116" i="13" s="1"/>
  <c r="BL13" i="8"/>
  <c r="C8" i="11"/>
  <c r="C126" i="11"/>
  <c r="C130" i="11"/>
  <c r="Y120" i="13"/>
  <c r="AA120" i="13" s="1"/>
  <c r="W25" i="12"/>
  <c r="W25" i="13"/>
  <c r="W47" i="13"/>
  <c r="W245" i="13"/>
  <c r="W101" i="13"/>
  <c r="W224" i="12"/>
  <c r="W224" i="13" s="1"/>
  <c r="W66" i="13"/>
  <c r="W237" i="12"/>
  <c r="W237" i="13" s="1"/>
  <c r="W79" i="13"/>
  <c r="W75" i="12"/>
  <c r="W75" i="13"/>
  <c r="W190" i="12"/>
  <c r="W190" i="13" s="1"/>
  <c r="W132" i="12"/>
  <c r="W132" i="13" s="1"/>
  <c r="W102" i="13"/>
  <c r="W129" i="13"/>
  <c r="AF10" i="8"/>
  <c r="AF8" i="8"/>
  <c r="AC10" i="8"/>
  <c r="AC8" i="8"/>
  <c r="E34" i="9"/>
  <c r="X161" i="9"/>
  <c r="AI161" i="9"/>
  <c r="AL10" i="7"/>
  <c r="AL8" i="7"/>
  <c r="AG206" i="8"/>
  <c r="AE206" i="9"/>
  <c r="AE224" i="8"/>
  <c r="AG224" i="8"/>
  <c r="AA224" i="7"/>
  <c r="AC10" i="6"/>
  <c r="AC8" i="6"/>
  <c r="AM258" i="5"/>
  <c r="I24" i="6"/>
  <c r="AC10" i="5"/>
  <c r="AI107" i="4"/>
  <c r="AS16" i="4"/>
  <c r="AX16" i="4"/>
  <c r="V220" i="4"/>
  <c r="G27" i="10"/>
  <c r="I27" i="10"/>
  <c r="G27" i="11" s="1"/>
  <c r="I27" i="11" s="1"/>
  <c r="G27" i="12" s="1"/>
  <c r="I27" i="12" s="1"/>
  <c r="G27" i="13"/>
  <c r="G44" i="10"/>
  <c r="I44" i="10"/>
  <c r="G44" i="11" s="1"/>
  <c r="I44" i="11" s="1"/>
  <c r="G44" i="12" s="1"/>
  <c r="I44" i="12" s="1"/>
  <c r="G44" i="13" s="1"/>
  <c r="AI83" i="2"/>
  <c r="AJ171" i="2"/>
  <c r="AJ57" i="2"/>
  <c r="BN12" i="2"/>
  <c r="AF10" i="2"/>
  <c r="AF8" i="2"/>
  <c r="AF260" i="2"/>
  <c r="AF264" i="2"/>
  <c r="AE93" i="4"/>
  <c r="G51" i="4"/>
  <c r="I52" i="4"/>
  <c r="M52" i="4"/>
  <c r="F97" i="4"/>
  <c r="D94" i="5"/>
  <c r="AX22" i="4"/>
  <c r="AE46" i="4"/>
  <c r="W77" i="13"/>
  <c r="V91" i="4"/>
  <c r="X95" i="4"/>
  <c r="W189" i="13"/>
  <c r="G33" i="4"/>
  <c r="X205" i="4"/>
  <c r="D29" i="4"/>
  <c r="D28" i="4"/>
  <c r="F31" i="4"/>
  <c r="X48" i="4"/>
  <c r="E51" i="4"/>
  <c r="E53" i="5"/>
  <c r="E51" i="5"/>
  <c r="N74" i="4"/>
  <c r="M74" i="4"/>
  <c r="AG198" i="4"/>
  <c r="AG197" i="4"/>
  <c r="AE197" i="4"/>
  <c r="J42" i="4"/>
  <c r="AH142" i="4"/>
  <c r="AD222" i="4"/>
  <c r="AB222" i="4"/>
  <c r="AJ255" i="4"/>
  <c r="I64" i="4"/>
  <c r="G64" i="5"/>
  <c r="G63" i="4"/>
  <c r="X204" i="4"/>
  <c r="W203" i="5"/>
  <c r="W203" i="6"/>
  <c r="W203" i="7"/>
  <c r="W203" i="8"/>
  <c r="AD69" i="4"/>
  <c r="AB69" i="4"/>
  <c r="AI27" i="4"/>
  <c r="AH27" i="4"/>
  <c r="AJ27" i="4"/>
  <c r="V96" i="4"/>
  <c r="X100" i="4"/>
  <c r="X160" i="4"/>
  <c r="AG21" i="4"/>
  <c r="AG20" i="4"/>
  <c r="AE20" i="4"/>
  <c r="M124" i="4"/>
  <c r="N124" i="4"/>
  <c r="W181" i="12"/>
  <c r="W181" i="13" s="1"/>
  <c r="X46" i="4"/>
  <c r="AA141" i="4"/>
  <c r="BO20" i="4"/>
  <c r="Y143" i="5"/>
  <c r="AA143" i="5"/>
  <c r="Y143" i="6"/>
  <c r="AA143" i="6"/>
  <c r="Y143" i="7"/>
  <c r="AA143" i="7"/>
  <c r="Y143" i="8"/>
  <c r="AA143" i="8"/>
  <c r="Y143" i="9"/>
  <c r="AA143" i="9"/>
  <c r="AH156" i="4"/>
  <c r="AJ156" i="4"/>
  <c r="AI156" i="4"/>
  <c r="AG176" i="4"/>
  <c r="AJ176" i="4"/>
  <c r="AE175" i="4"/>
  <c r="L113" i="4"/>
  <c r="AS15" i="4"/>
  <c r="AX15" i="4"/>
  <c r="J113" i="4"/>
  <c r="J25" i="4"/>
  <c r="AI36" i="4"/>
  <c r="AH36" i="4"/>
  <c r="AQ12" i="4"/>
  <c r="AY12" i="4"/>
  <c r="N89" i="4"/>
  <c r="M89" i="4"/>
  <c r="AE149" i="4"/>
  <c r="AE147" i="4"/>
  <c r="AH225" i="4"/>
  <c r="AI225" i="4"/>
  <c r="AJ225" i="4"/>
  <c r="X246" i="4"/>
  <c r="V245" i="5"/>
  <c r="I76" i="4"/>
  <c r="I75" i="4"/>
  <c r="G75" i="4"/>
  <c r="X102" i="4"/>
  <c r="G122" i="4"/>
  <c r="G113" i="4"/>
  <c r="AA206" i="4"/>
  <c r="AA205" i="4"/>
  <c r="Y205" i="4"/>
  <c r="AB243" i="4"/>
  <c r="X53" i="4"/>
  <c r="X49" i="4"/>
  <c r="W58" i="4"/>
  <c r="W57" i="4"/>
  <c r="Y176" i="4"/>
  <c r="L104" i="4"/>
  <c r="J104" i="4"/>
  <c r="AJ124" i="4"/>
  <c r="D45" i="4"/>
  <c r="I67" i="4"/>
  <c r="I66" i="4"/>
  <c r="G66" i="4"/>
  <c r="E47" i="6"/>
  <c r="F47" i="5"/>
  <c r="X93" i="4"/>
  <c r="I105" i="4"/>
  <c r="M105" i="4"/>
  <c r="G104" i="4"/>
  <c r="W186" i="4"/>
  <c r="W184" i="4"/>
  <c r="W187" i="5"/>
  <c r="W187" i="6"/>
  <c r="W187" i="7"/>
  <c r="W187" i="8"/>
  <c r="V217" i="6"/>
  <c r="X217" i="5"/>
  <c r="G24" i="14"/>
  <c r="Y67" i="5"/>
  <c r="AA67" i="5"/>
  <c r="Y67" i="6"/>
  <c r="AA67" i="6"/>
  <c r="Y67" i="7"/>
  <c r="AA67" i="7"/>
  <c r="Y67" i="8"/>
  <c r="AA67" i="8"/>
  <c r="Y67" i="9"/>
  <c r="AA67" i="9"/>
  <c r="W96" i="4"/>
  <c r="W96" i="5"/>
  <c r="AA106" i="4"/>
  <c r="Y105" i="4"/>
  <c r="Y104" i="4"/>
  <c r="X161" i="4"/>
  <c r="AE176" i="5"/>
  <c r="AG176" i="5"/>
  <c r="AE176" i="6"/>
  <c r="AG176" i="6"/>
  <c r="AE176" i="7"/>
  <c r="AG176" i="7"/>
  <c r="AE176" i="8"/>
  <c r="AG176" i="8"/>
  <c r="AE176" i="9"/>
  <c r="AG176" i="9"/>
  <c r="X203" i="4"/>
  <c r="V202" i="5"/>
  <c r="X216" i="4"/>
  <c r="V215" i="5"/>
  <c r="V210" i="5"/>
  <c r="V209" i="5"/>
  <c r="V208" i="5"/>
  <c r="W206" i="12"/>
  <c r="W206" i="13" s="1"/>
  <c r="AH50" i="4"/>
  <c r="W215" i="12"/>
  <c r="W215" i="13" s="1"/>
  <c r="F101" i="5"/>
  <c r="F59" i="4"/>
  <c r="F57" i="4"/>
  <c r="E59" i="5"/>
  <c r="E59" i="6"/>
  <c r="E59" i="7"/>
  <c r="E59" i="8"/>
  <c r="E59" i="9"/>
  <c r="X87" i="4"/>
  <c r="AA198" i="4"/>
  <c r="Y197" i="4"/>
  <c r="V211" i="4"/>
  <c r="V210" i="4"/>
  <c r="V209" i="4"/>
  <c r="W244" i="13"/>
  <c r="W138" i="12"/>
  <c r="W138" i="13" s="1"/>
  <c r="M37" i="4"/>
  <c r="F41" i="6"/>
  <c r="W86" i="5"/>
  <c r="W86" i="6"/>
  <c r="W86" i="7"/>
  <c r="W86" i="8"/>
  <c r="W83" i="4"/>
  <c r="Y149" i="4"/>
  <c r="Y147" i="4"/>
  <c r="AG172" i="4"/>
  <c r="AG171" i="4"/>
  <c r="AE171" i="4"/>
  <c r="Y245" i="10"/>
  <c r="AA245" i="10"/>
  <c r="X251" i="4"/>
  <c r="W250" i="5"/>
  <c r="W250" i="6"/>
  <c r="W250" i="7"/>
  <c r="W250" i="8"/>
  <c r="AE172" i="10"/>
  <c r="AG172" i="10"/>
  <c r="W139" i="12"/>
  <c r="W139" i="13"/>
  <c r="V69" i="4"/>
  <c r="V65" i="4"/>
  <c r="X70" i="4"/>
  <c r="X128" i="4"/>
  <c r="W128" i="5"/>
  <c r="W46" i="13"/>
  <c r="AE52" i="10"/>
  <c r="AG52" i="10"/>
  <c r="F65" i="4"/>
  <c r="D65" i="5"/>
  <c r="Y71" i="4"/>
  <c r="AD106" i="4"/>
  <c r="AB105" i="4"/>
  <c r="AB104" i="4"/>
  <c r="G99" i="10"/>
  <c r="I99" i="10"/>
  <c r="G99" i="11" s="1"/>
  <c r="I99" i="11" s="1"/>
  <c r="G99" i="12" s="1"/>
  <c r="I99" i="12" s="1"/>
  <c r="G99" i="13" s="1"/>
  <c r="N56" i="4"/>
  <c r="M56" i="4"/>
  <c r="AJ182" i="4"/>
  <c r="AI182" i="4"/>
  <c r="AH182" i="4"/>
  <c r="X85" i="4"/>
  <c r="V85" i="5"/>
  <c r="J54" i="4"/>
  <c r="V57" i="4"/>
  <c r="X61" i="4"/>
  <c r="X57" i="4"/>
  <c r="AJ98" i="4"/>
  <c r="AI98" i="4"/>
  <c r="AH98" i="4"/>
  <c r="X133" i="4"/>
  <c r="V133" i="5"/>
  <c r="AB186" i="4"/>
  <c r="AB184" i="4"/>
  <c r="M53" i="4"/>
  <c r="AG70" i="4"/>
  <c r="AG69" i="4"/>
  <c r="AG65" i="4"/>
  <c r="AE69" i="4"/>
  <c r="AE65" i="4"/>
  <c r="D72" i="4"/>
  <c r="F73" i="4"/>
  <c r="F88" i="4"/>
  <c r="D85" i="5"/>
  <c r="X254" i="4"/>
  <c r="V253" i="5"/>
  <c r="AH37" i="4"/>
  <c r="AA45" i="4"/>
  <c r="Y44" i="4"/>
  <c r="AG59" i="4"/>
  <c r="AE58" i="4"/>
  <c r="AE57" i="4"/>
  <c r="G72" i="4"/>
  <c r="I73" i="4"/>
  <c r="I72" i="4"/>
  <c r="X180" i="4"/>
  <c r="V179" i="5"/>
  <c r="J85" i="4"/>
  <c r="L85" i="4"/>
  <c r="AA186" i="4"/>
  <c r="Y186" i="4"/>
  <c r="Y184" i="4"/>
  <c r="Y39" i="4"/>
  <c r="AJ60" i="4"/>
  <c r="AH60" i="4"/>
  <c r="X108" i="4"/>
  <c r="I46" i="4"/>
  <c r="G46" i="5"/>
  <c r="G45" i="4"/>
  <c r="Y61" i="10"/>
  <c r="AA61" i="10"/>
  <c r="Y61" i="11" s="1"/>
  <c r="AA61" i="11" s="1"/>
  <c r="Y61" i="12" s="1"/>
  <c r="AA61" i="12" s="1"/>
  <c r="Y61" i="13" s="1"/>
  <c r="AA61" i="13" s="1"/>
  <c r="W176" i="5"/>
  <c r="W174" i="5"/>
  <c r="W175" i="4"/>
  <c r="AG36" i="4"/>
  <c r="AG35" i="4"/>
  <c r="AE35" i="4"/>
  <c r="D66" i="4"/>
  <c r="F67" i="4"/>
  <c r="F83" i="4"/>
  <c r="F81" i="4"/>
  <c r="E83" i="5"/>
  <c r="E83" i="6"/>
  <c r="E83" i="7"/>
  <c r="E83" i="8"/>
  <c r="E83" i="9"/>
  <c r="AD157" i="4"/>
  <c r="BP18" i="4"/>
  <c r="AB157" i="4"/>
  <c r="AB155" i="4"/>
  <c r="G81" i="4"/>
  <c r="I82" i="4"/>
  <c r="I81" i="4"/>
  <c r="X86" i="4"/>
  <c r="V86" i="5"/>
  <c r="X125" i="4"/>
  <c r="V125" i="5"/>
  <c r="AB171" i="4"/>
  <c r="AD171" i="4"/>
  <c r="AD211" i="4"/>
  <c r="AB211" i="4"/>
  <c r="X238" i="4"/>
  <c r="BN29" i="4"/>
  <c r="V237" i="5"/>
  <c r="I86" i="4"/>
  <c r="F24" i="4"/>
  <c r="D24" i="5"/>
  <c r="E25" i="4"/>
  <c r="E27" i="5"/>
  <c r="X53" i="5"/>
  <c r="N71" i="4"/>
  <c r="F100" i="4"/>
  <c r="Y100" i="10"/>
  <c r="AA100" i="10"/>
  <c r="Y100" i="11" s="1"/>
  <c r="AA100" i="11" s="1"/>
  <c r="Y100" i="12" s="1"/>
  <c r="AA100" i="12" s="1"/>
  <c r="Y100" i="13" s="1"/>
  <c r="AA100" i="13" s="1"/>
  <c r="AB141" i="4"/>
  <c r="AD141" i="4"/>
  <c r="BP20" i="4"/>
  <c r="X191" i="4"/>
  <c r="V190" i="5"/>
  <c r="X127" i="4"/>
  <c r="V127" i="5"/>
  <c r="X79" i="4"/>
  <c r="V79" i="5"/>
  <c r="J75" i="4"/>
  <c r="L75" i="4"/>
  <c r="W172" i="9"/>
  <c r="W172" i="10"/>
  <c r="W172" i="11" s="1"/>
  <c r="X172" i="11" s="1"/>
  <c r="X218" i="4"/>
  <c r="M13" i="4"/>
  <c r="N13" i="4"/>
  <c r="Q128" i="4"/>
  <c r="P128" i="4"/>
  <c r="P126" i="4"/>
  <c r="P130" i="4"/>
  <c r="B15" i="5"/>
  <c r="B15" i="6"/>
  <c r="B15" i="7"/>
  <c r="B15" i="8"/>
  <c r="B15" i="9"/>
  <c r="J29" i="4"/>
  <c r="G36" i="4"/>
  <c r="D48" i="4"/>
  <c r="F49" i="4"/>
  <c r="BC15" i="4"/>
  <c r="X66" i="4"/>
  <c r="V66" i="5"/>
  <c r="X137" i="4"/>
  <c r="V137" i="5"/>
  <c r="W197" i="4"/>
  <c r="W196" i="4"/>
  <c r="W195" i="4"/>
  <c r="W198" i="5"/>
  <c r="W198" i="6"/>
  <c r="W198" i="7"/>
  <c r="W198" i="8"/>
  <c r="W116" i="9"/>
  <c r="W116" i="10"/>
  <c r="W116" i="11" s="1"/>
  <c r="W116" i="12" s="1"/>
  <c r="W116" i="13" s="1"/>
  <c r="Y157" i="4"/>
  <c r="AA157" i="4"/>
  <c r="BO18" i="4"/>
  <c r="X88" i="4"/>
  <c r="V88" i="5"/>
  <c r="X245" i="4"/>
  <c r="V244" i="5"/>
  <c r="V243" i="4"/>
  <c r="D10" i="4"/>
  <c r="E102" i="10"/>
  <c r="E102" i="11" s="1"/>
  <c r="E102" i="12" s="1"/>
  <c r="E102" i="13" s="1"/>
  <c r="I115" i="4"/>
  <c r="Y124" i="4"/>
  <c r="W151" i="6"/>
  <c r="X151" i="5"/>
  <c r="AJ200" i="4"/>
  <c r="AI200" i="4"/>
  <c r="AH200" i="4"/>
  <c r="AH212" i="4"/>
  <c r="AG244" i="4"/>
  <c r="AE243" i="4"/>
  <c r="F23" i="4"/>
  <c r="X138" i="4"/>
  <c r="V138" i="5"/>
  <c r="Y151" i="10"/>
  <c r="AA151" i="10"/>
  <c r="V175" i="4"/>
  <c r="X178" i="4"/>
  <c r="V177" i="5"/>
  <c r="F122" i="4"/>
  <c r="D122" i="5"/>
  <c r="AH236" i="4"/>
  <c r="X101" i="4"/>
  <c r="E45" i="4"/>
  <c r="F51" i="4"/>
  <c r="N52" i="4"/>
  <c r="D63" i="4"/>
  <c r="F64" i="4"/>
  <c r="G71" i="4"/>
  <c r="AY13" i="4"/>
  <c r="W136" i="6"/>
  <c r="X136" i="5"/>
  <c r="X165" i="4"/>
  <c r="AD186" i="4"/>
  <c r="AD184" i="4"/>
  <c r="W201" i="9"/>
  <c r="W201" i="10"/>
  <c r="W201" i="11" s="1"/>
  <c r="W201" i="12" s="1"/>
  <c r="W201" i="13" s="1"/>
  <c r="W214" i="9"/>
  <c r="I95" i="4"/>
  <c r="M95" i="4"/>
  <c r="G94" i="4"/>
  <c r="F110" i="4"/>
  <c r="AG206" i="4"/>
  <c r="AG205" i="4"/>
  <c r="AE205" i="4"/>
  <c r="G87" i="4"/>
  <c r="I87" i="4"/>
  <c r="G87" i="5"/>
  <c r="I87" i="5"/>
  <c r="G87" i="6"/>
  <c r="I87" i="6"/>
  <c r="G87" i="7"/>
  <c r="I87" i="7"/>
  <c r="G87" i="8"/>
  <c r="I87" i="8"/>
  <c r="G87" i="9"/>
  <c r="I87" i="9"/>
  <c r="L94" i="4"/>
  <c r="J94" i="4"/>
  <c r="AB58" i="4"/>
  <c r="AB57" i="4"/>
  <c r="N70" i="4"/>
  <c r="J69" i="4"/>
  <c r="AH172" i="4"/>
  <c r="Y229" i="10"/>
  <c r="AA229" i="10"/>
  <c r="Y229" i="11" s="1"/>
  <c r="AA229" i="11" s="1"/>
  <c r="Y229" i="12" s="1"/>
  <c r="AA229" i="12" s="1"/>
  <c r="Y229" i="13" s="1"/>
  <c r="AA229" i="13" s="1"/>
  <c r="W95" i="13"/>
  <c r="G14" i="10"/>
  <c r="I14" i="10"/>
  <c r="G14" i="11" s="1"/>
  <c r="I14" i="11" s="1"/>
  <c r="G14" i="12" s="1"/>
  <c r="I14" i="12" s="1"/>
  <c r="G14" i="13" s="1"/>
  <c r="G96" i="10"/>
  <c r="I96" i="10"/>
  <c r="G96" i="11" s="1"/>
  <c r="I96" i="11" s="1"/>
  <c r="G96" i="12" s="1"/>
  <c r="I96" i="12" s="1"/>
  <c r="G96" i="13" s="1"/>
  <c r="Y95" i="10"/>
  <c r="AA95" i="10"/>
  <c r="Y95" i="11"/>
  <c r="AA95" i="11" s="1"/>
  <c r="Y95" i="12" s="1"/>
  <c r="AA95" i="12" s="1"/>
  <c r="Y95" i="13" s="1"/>
  <c r="AA95" i="13" s="1"/>
  <c r="G43" i="4"/>
  <c r="X77" i="4"/>
  <c r="V77" i="5"/>
  <c r="G23" i="4"/>
  <c r="X237" i="4"/>
  <c r="W236" i="5"/>
  <c r="W234" i="5"/>
  <c r="W233" i="5"/>
  <c r="AB20" i="4"/>
  <c r="AD20" i="4"/>
  <c r="N117" i="4"/>
  <c r="M117" i="4"/>
  <c r="AJ213" i="4"/>
  <c r="AI213" i="4"/>
  <c r="X24" i="4"/>
  <c r="F35" i="4"/>
  <c r="N36" i="4"/>
  <c r="I49" i="4"/>
  <c r="I48" i="4"/>
  <c r="G48" i="4"/>
  <c r="X179" i="4"/>
  <c r="V178" i="5"/>
  <c r="AI92" i="4"/>
  <c r="AB91" i="4"/>
  <c r="AA171" i="4"/>
  <c r="Y172" i="5"/>
  <c r="AA172" i="5"/>
  <c r="Y172" i="6"/>
  <c r="AA172" i="6"/>
  <c r="Y172" i="7"/>
  <c r="AA172" i="7"/>
  <c r="Y172" i="8"/>
  <c r="AA172" i="8"/>
  <c r="Y172" i="9"/>
  <c r="AA172" i="9"/>
  <c r="AD227" i="4"/>
  <c r="AB227" i="4"/>
  <c r="I12" i="4"/>
  <c r="M12" i="4"/>
  <c r="G10" i="4"/>
  <c r="X25" i="4"/>
  <c r="AH73" i="4"/>
  <c r="AI73" i="4"/>
  <c r="AJ73" i="4"/>
  <c r="AB96" i="4"/>
  <c r="E122" i="5"/>
  <c r="E122" i="6"/>
  <c r="E122" i="7"/>
  <c r="E122" i="8"/>
  <c r="X33" i="4"/>
  <c r="M38" i="4"/>
  <c r="N38" i="4"/>
  <c r="F39" i="4"/>
  <c r="E65" i="10"/>
  <c r="E65" i="11" s="1"/>
  <c r="E65" i="12" s="1"/>
  <c r="X94" i="4"/>
  <c r="X224" i="4"/>
  <c r="V223" i="5"/>
  <c r="AJ40" i="4"/>
  <c r="AI40" i="4"/>
  <c r="AH40" i="4"/>
  <c r="I55" i="4"/>
  <c r="G54" i="4"/>
  <c r="J60" i="4"/>
  <c r="L60" i="4"/>
  <c r="AH164" i="4"/>
  <c r="AI164" i="4"/>
  <c r="AJ164" i="4"/>
  <c r="AI78" i="4"/>
  <c r="AH78" i="4"/>
  <c r="AJ78" i="4"/>
  <c r="Y83" i="4"/>
  <c r="AA84" i="4"/>
  <c r="AA83" i="4"/>
  <c r="X118" i="4"/>
  <c r="V118" i="5"/>
  <c r="X129" i="4"/>
  <c r="V129" i="5"/>
  <c r="W211" i="4"/>
  <c r="W210" i="4"/>
  <c r="W209" i="4"/>
  <c r="W213" i="5"/>
  <c r="W210" i="5"/>
  <c r="W209" i="5"/>
  <c r="W208" i="5"/>
  <c r="X214" i="4"/>
  <c r="X18" i="4"/>
  <c r="BN11" i="4"/>
  <c r="N27" i="4"/>
  <c r="M27" i="4"/>
  <c r="AH163" i="4"/>
  <c r="AA228" i="4"/>
  <c r="AA227" i="4"/>
  <c r="Y227" i="4"/>
  <c r="D85" i="4"/>
  <c r="X121" i="4"/>
  <c r="V121" i="5"/>
  <c r="Y33" i="4"/>
  <c r="X131" i="4"/>
  <c r="V131" i="5"/>
  <c r="AG97" i="4"/>
  <c r="AE96" i="4"/>
  <c r="AG106" i="4"/>
  <c r="AE105" i="4"/>
  <c r="AE104" i="4"/>
  <c r="W235" i="4"/>
  <c r="W234" i="4"/>
  <c r="AA21" i="4"/>
  <c r="AA20" i="4"/>
  <c r="Y20" i="4"/>
  <c r="AI38" i="4"/>
  <c r="AH38" i="4"/>
  <c r="AJ38" i="4"/>
  <c r="AB49" i="4"/>
  <c r="L57" i="4"/>
  <c r="J57" i="4"/>
  <c r="L72" i="4"/>
  <c r="J72" i="4"/>
  <c r="G74" i="10"/>
  <c r="I74" i="10"/>
  <c r="G74" i="11"/>
  <c r="I74" i="11" s="1"/>
  <c r="G74" i="12" s="1"/>
  <c r="I74" i="12" s="1"/>
  <c r="G74" i="13" s="1"/>
  <c r="W87" i="9"/>
  <c r="W87" i="10"/>
  <c r="W143" i="9"/>
  <c r="W44" i="4"/>
  <c r="W74" i="9"/>
  <c r="W74" i="10"/>
  <c r="W74" i="11" s="1"/>
  <c r="AA97" i="4"/>
  <c r="Y96" i="4"/>
  <c r="X181" i="4"/>
  <c r="V180" i="5"/>
  <c r="Y235" i="4"/>
  <c r="Y234" i="4"/>
  <c r="AA237" i="4"/>
  <c r="Y236" i="5"/>
  <c r="AA236" i="5"/>
  <c r="Y236" i="6"/>
  <c r="AA236" i="6"/>
  <c r="Y236" i="7"/>
  <c r="AA236" i="7"/>
  <c r="Y236" i="8"/>
  <c r="AA236" i="8"/>
  <c r="Y236" i="9"/>
  <c r="AA236" i="9"/>
  <c r="W246" i="9"/>
  <c r="W246" i="10"/>
  <c r="W246" i="11" s="1"/>
  <c r="W246" i="12" s="1"/>
  <c r="W246" i="13" s="1"/>
  <c r="F119" i="4"/>
  <c r="E119" i="5"/>
  <c r="AE223" i="10"/>
  <c r="AG223" i="10"/>
  <c r="AE223" i="11" s="1"/>
  <c r="W51" i="13"/>
  <c r="W240" i="12"/>
  <c r="W240" i="13" s="1"/>
  <c r="F44" i="4"/>
  <c r="E44" i="5"/>
  <c r="E44" i="6"/>
  <c r="E44" i="7"/>
  <c r="E44" i="8"/>
  <c r="E44" i="9"/>
  <c r="X201" i="4"/>
  <c r="V200" i="5"/>
  <c r="AH67" i="4"/>
  <c r="AE114" i="4"/>
  <c r="X135" i="4"/>
  <c r="V135" i="5"/>
  <c r="W223" i="9"/>
  <c r="N12" i="4"/>
  <c r="F10" i="4"/>
  <c r="AB44" i="4"/>
  <c r="X55" i="4"/>
  <c r="I79" i="4"/>
  <c r="M79" i="4"/>
  <c r="G78" i="4"/>
  <c r="I78" i="4"/>
  <c r="AE99" i="10"/>
  <c r="AG99" i="10"/>
  <c r="AE99" i="11" s="1"/>
  <c r="AG99" i="11" s="1"/>
  <c r="AH130" i="4"/>
  <c r="AI130" i="4"/>
  <c r="AJ130" i="4"/>
  <c r="AG141" i="4"/>
  <c r="AE141" i="4"/>
  <c r="AI187" i="4"/>
  <c r="AB205" i="4"/>
  <c r="AD205" i="4"/>
  <c r="AE222" i="4"/>
  <c r="AB235" i="4"/>
  <c r="AB234" i="4"/>
  <c r="AD235" i="4"/>
  <c r="AD234" i="4"/>
  <c r="D22" i="4"/>
  <c r="Y66" i="11"/>
  <c r="AA66" i="11" s="1"/>
  <c r="Y66" i="12" s="1"/>
  <c r="AA66" i="12"/>
  <c r="Y66" i="13" s="1"/>
  <c r="AA66" i="13" s="1"/>
  <c r="N79" i="4"/>
  <c r="W180" i="12"/>
  <c r="W180" i="13"/>
  <c r="W131" i="12"/>
  <c r="W131" i="13" s="1"/>
  <c r="X162" i="5"/>
  <c r="AA244" i="4"/>
  <c r="Y243" i="4"/>
  <c r="W61" i="13"/>
  <c r="W68" i="5"/>
  <c r="W68" i="6"/>
  <c r="W68" i="7"/>
  <c r="W68" i="8"/>
  <c r="M108" i="4"/>
  <c r="N108" i="4"/>
  <c r="X159" i="4"/>
  <c r="G26" i="4"/>
  <c r="G37" i="10"/>
  <c r="I37" i="10"/>
  <c r="G37" i="11" s="1"/>
  <c r="I37" i="11" s="1"/>
  <c r="G37" i="12" s="1"/>
  <c r="I37" i="12" s="1"/>
  <c r="G37" i="13" s="1"/>
  <c r="I37" i="13"/>
  <c r="X117" i="4"/>
  <c r="V117" i="5"/>
  <c r="W99" i="13"/>
  <c r="W212" i="12"/>
  <c r="W212" i="13" s="1"/>
  <c r="W55" i="13"/>
  <c r="M70" i="4"/>
  <c r="F69" i="4"/>
  <c r="D83" i="6"/>
  <c r="X119" i="4"/>
  <c r="W119" i="5"/>
  <c r="W114" i="5"/>
  <c r="X253" i="4"/>
  <c r="V252" i="5"/>
  <c r="W177" i="9"/>
  <c r="W177" i="10"/>
  <c r="W177" i="11" s="1"/>
  <c r="W177" i="12" s="1"/>
  <c r="W177" i="13" s="1"/>
  <c r="W216" i="12"/>
  <c r="W216" i="13" s="1"/>
  <c r="X41" i="4"/>
  <c r="W78" i="12"/>
  <c r="W78" i="13" s="1"/>
  <c r="Y85" i="10"/>
  <c r="AA85" i="10"/>
  <c r="Y85" i="11" s="1"/>
  <c r="AA85" i="11"/>
  <c r="Y85" i="12" s="1"/>
  <c r="AA85" i="12" s="1"/>
  <c r="Y85" i="13" s="1"/>
  <c r="AA85" i="13" s="1"/>
  <c r="AA115" i="4"/>
  <c r="Y114" i="4"/>
  <c r="W125" i="12"/>
  <c r="W125" i="13" s="1"/>
  <c r="AJ223" i="4"/>
  <c r="X39" i="4"/>
  <c r="V39" i="5"/>
  <c r="AG236" i="4"/>
  <c r="AG235" i="4"/>
  <c r="AG234" i="4"/>
  <c r="AE235" i="4"/>
  <c r="AE234" i="4"/>
  <c r="G65" i="10"/>
  <c r="I65" i="10"/>
  <c r="G65" i="11" s="1"/>
  <c r="I65" i="11" s="1"/>
  <c r="G65" i="12" s="1"/>
  <c r="I65" i="12" s="1"/>
  <c r="G65" i="13" s="1"/>
  <c r="G109" i="10"/>
  <c r="I109" i="10"/>
  <c r="G109" i="11"/>
  <c r="I109" i="11" s="1"/>
  <c r="G109" i="12" s="1"/>
  <c r="I109" i="12" s="1"/>
  <c r="G109" i="13" s="1"/>
  <c r="BP13" i="2"/>
  <c r="BJ8" i="2"/>
  <c r="AR14" i="2"/>
  <c r="AR17" i="2"/>
  <c r="W23" i="12"/>
  <c r="W23" i="13" s="1"/>
  <c r="AJ132" i="4"/>
  <c r="AI132" i="4"/>
  <c r="AH132" i="4"/>
  <c r="Y171" i="4"/>
  <c r="X230" i="4"/>
  <c r="X227" i="4"/>
  <c r="V229" i="5"/>
  <c r="J48" i="4"/>
  <c r="L48" i="4"/>
  <c r="F60" i="4"/>
  <c r="M61" i="4"/>
  <c r="AJ202" i="4"/>
  <c r="AI202" i="4"/>
  <c r="AH202" i="4"/>
  <c r="Y213" i="4"/>
  <c r="AJ47" i="4"/>
  <c r="AH47" i="4"/>
  <c r="AI47" i="4"/>
  <c r="M120" i="4"/>
  <c r="N120" i="4"/>
  <c r="Y214" i="10"/>
  <c r="AA214" i="10"/>
  <c r="M50" i="4"/>
  <c r="N50" i="4"/>
  <c r="AA92" i="4"/>
  <c r="Y91" i="4"/>
  <c r="X139" i="4"/>
  <c r="V139" i="5"/>
  <c r="AJ190" i="4"/>
  <c r="AH190" i="4"/>
  <c r="AI190" i="4"/>
  <c r="Y222" i="4"/>
  <c r="AA223" i="4"/>
  <c r="AA222" i="4"/>
  <c r="X72" i="4"/>
  <c r="V72" i="5"/>
  <c r="M80" i="4"/>
  <c r="N80" i="4"/>
  <c r="F121" i="4"/>
  <c r="D121" i="5"/>
  <c r="X199" i="4"/>
  <c r="V198" i="5"/>
  <c r="W249" i="9"/>
  <c r="AG84" i="4"/>
  <c r="AG83" i="4"/>
  <c r="AE83" i="4"/>
  <c r="AB197" i="4"/>
  <c r="F77" i="4"/>
  <c r="D77" i="5"/>
  <c r="D75" i="5"/>
  <c r="X250" i="4"/>
  <c r="V249" i="5"/>
  <c r="AH26" i="4"/>
  <c r="AJ26" i="4"/>
  <c r="AI26" i="4"/>
  <c r="G29" i="4"/>
  <c r="I30" i="4"/>
  <c r="C126" i="4"/>
  <c r="C130" i="4"/>
  <c r="W105" i="4"/>
  <c r="W104" i="4"/>
  <c r="W105" i="5"/>
  <c r="W104" i="5"/>
  <c r="AI28" i="4"/>
  <c r="AH28" i="4"/>
  <c r="AJ28" i="4"/>
  <c r="W30" i="12"/>
  <c r="W30" i="13" s="1"/>
  <c r="W248" i="12"/>
  <c r="W248" i="13" s="1"/>
  <c r="G57" i="4"/>
  <c r="I58" i="4"/>
  <c r="I57" i="4"/>
  <c r="L63" i="4"/>
  <c r="J63" i="4"/>
  <c r="AG51" i="4"/>
  <c r="AE49" i="4"/>
  <c r="E113" i="4"/>
  <c r="F32" i="4"/>
  <c r="N33" i="4"/>
  <c r="X75" i="4"/>
  <c r="V75" i="5"/>
  <c r="AH80" i="4"/>
  <c r="AJ80" i="4"/>
  <c r="AI80" i="4"/>
  <c r="F111" i="4"/>
  <c r="E111" i="5"/>
  <c r="AI151" i="4"/>
  <c r="AJ151" i="4"/>
  <c r="AH151" i="4"/>
  <c r="X76" i="4"/>
  <c r="V76" i="5"/>
  <c r="X240" i="4"/>
  <c r="V239" i="5"/>
  <c r="V123" i="4"/>
  <c r="AE33" i="4"/>
  <c r="AJ52" i="4"/>
  <c r="AI52" i="4"/>
  <c r="AH52" i="4"/>
  <c r="AD83" i="4"/>
  <c r="AB83" i="4"/>
  <c r="AB149" i="4"/>
  <c r="AB147" i="4"/>
  <c r="G15" i="5"/>
  <c r="I15" i="5"/>
  <c r="W35" i="4"/>
  <c r="W37" i="5"/>
  <c r="W35" i="5"/>
  <c r="Y51" i="4"/>
  <c r="AE157" i="4"/>
  <c r="AE155" i="4"/>
  <c r="AE186" i="4"/>
  <c r="AE184" i="4"/>
  <c r="AG187" i="4"/>
  <c r="AG186" i="4"/>
  <c r="AG184" i="4"/>
  <c r="W254" i="9"/>
  <c r="W254" i="10"/>
  <c r="W254" i="11"/>
  <c r="W254" i="12" s="1"/>
  <c r="W254" i="13" s="1"/>
  <c r="V83" i="4"/>
  <c r="E104" i="4"/>
  <c r="X188" i="4"/>
  <c r="X186" i="4"/>
  <c r="V187" i="5"/>
  <c r="V185" i="5"/>
  <c r="W91" i="4"/>
  <c r="F109" i="4"/>
  <c r="D42" i="4"/>
  <c r="F43" i="4"/>
  <c r="Y53" i="10"/>
  <c r="AA53" i="10"/>
  <c r="Y53" i="11" s="1"/>
  <c r="AA53" i="11"/>
  <c r="Y53" i="12" s="1"/>
  <c r="AA53" i="12" s="1"/>
  <c r="Y53" i="13" s="1"/>
  <c r="AA53" i="13" s="1"/>
  <c r="E66" i="4"/>
  <c r="E68" i="5"/>
  <c r="E68" i="6"/>
  <c r="E68" i="7"/>
  <c r="E68" i="8"/>
  <c r="E68" i="9"/>
  <c r="AH126" i="4"/>
  <c r="AI126" i="4"/>
  <c r="AJ126" i="4"/>
  <c r="AH148" i="4"/>
  <c r="AJ148" i="4"/>
  <c r="AI148" i="4"/>
  <c r="AH162" i="4"/>
  <c r="AJ162" i="4"/>
  <c r="X177" i="4"/>
  <c r="V186" i="4"/>
  <c r="V184" i="4"/>
  <c r="AB114" i="4"/>
  <c r="X143" i="4"/>
  <c r="X141" i="4"/>
  <c r="BN20" i="4"/>
  <c r="V143" i="5"/>
  <c r="V141" i="5"/>
  <c r="F78" i="4"/>
  <c r="F96" i="4"/>
  <c r="E94" i="4"/>
  <c r="Y107" i="12"/>
  <c r="AA107" i="12"/>
  <c r="Y107" i="13"/>
  <c r="AA107" i="13"/>
  <c r="W222" i="4"/>
  <c r="W220" i="4"/>
  <c r="G62" i="4"/>
  <c r="AE94" i="10"/>
  <c r="AG94" i="10"/>
  <c r="AE94" i="11" s="1"/>
  <c r="AG94" i="11" s="1"/>
  <c r="AE94" i="12" s="1"/>
  <c r="AG94" i="12" s="1"/>
  <c r="AE94" i="13" s="1"/>
  <c r="Y48" i="10"/>
  <c r="AA48" i="10"/>
  <c r="Y48" i="11" s="1"/>
  <c r="AA48" i="11" s="1"/>
  <c r="Y48" i="12" s="1"/>
  <c r="AA48" i="12" s="1"/>
  <c r="Y48" i="13" s="1"/>
  <c r="AA48" i="13" s="1"/>
  <c r="AG228" i="4"/>
  <c r="AG227" i="4"/>
  <c r="AE227" i="4"/>
  <c r="W49" i="4"/>
  <c r="AA59" i="4"/>
  <c r="Y58" i="4"/>
  <c r="Y57" i="4"/>
  <c r="W69" i="4"/>
  <c r="W65" i="4"/>
  <c r="BE8" i="2"/>
  <c r="BF9" i="4"/>
  <c r="E31" i="10"/>
  <c r="E29" i="10" s="1"/>
  <c r="E35" i="4"/>
  <c r="E37" i="5"/>
  <c r="E35" i="5"/>
  <c r="L81" i="4"/>
  <c r="J81" i="4"/>
  <c r="F92" i="4"/>
  <c r="AG212" i="4"/>
  <c r="AG211" i="4"/>
  <c r="AE211" i="4"/>
  <c r="BQ8" i="2"/>
  <c r="BQ7" i="2"/>
  <c r="BQ32" i="2"/>
  <c r="W199" i="12"/>
  <c r="W199" i="13"/>
  <c r="AI163" i="5"/>
  <c r="AI47" i="6"/>
  <c r="AH163" i="5"/>
  <c r="AH26" i="5"/>
  <c r="AH189" i="5"/>
  <c r="AI189" i="5"/>
  <c r="AJ23" i="5"/>
  <c r="G29" i="14"/>
  <c r="G55" i="14"/>
  <c r="L21" i="2"/>
  <c r="L19" i="2"/>
  <c r="AS14" i="2"/>
  <c r="AS17" i="2"/>
  <c r="BK10" i="2"/>
  <c r="AG110" i="2"/>
  <c r="AS26" i="2"/>
  <c r="AX26" i="2"/>
  <c r="AX23" i="2"/>
  <c r="AH47" i="5"/>
  <c r="U12" i="5"/>
  <c r="N69" i="2"/>
  <c r="P47" i="14"/>
  <c r="P45" i="14"/>
  <c r="N54" i="14"/>
  <c r="AF10" i="9"/>
  <c r="AF8" i="9"/>
  <c r="AF259" i="9"/>
  <c r="AF263" i="9"/>
  <c r="Z10" i="8"/>
  <c r="Z8" i="8"/>
  <c r="Z10" i="7"/>
  <c r="Z8" i="7"/>
  <c r="I29" i="14"/>
  <c r="AF10" i="5"/>
  <c r="H29" i="14"/>
  <c r="H55" i="14"/>
  <c r="BL11" i="7"/>
  <c r="BP15" i="2"/>
  <c r="BJ10" i="2"/>
  <c r="BO29" i="2"/>
  <c r="BI13" i="2"/>
  <c r="BP29" i="2"/>
  <c r="BJ13" i="2"/>
  <c r="F29" i="14"/>
  <c r="BO22" i="2"/>
  <c r="BI11" i="2"/>
  <c r="AR27" i="2"/>
  <c r="AW27" i="2"/>
  <c r="BP22" i="2"/>
  <c r="R41" i="14"/>
  <c r="AI148" i="5"/>
  <c r="Y148" i="5"/>
  <c r="AA148" i="5"/>
  <c r="AH148" i="5"/>
  <c r="Y126" i="5"/>
  <c r="AA126" i="5"/>
  <c r="BO19" i="5"/>
  <c r="Y125" i="5"/>
  <c r="AA125" i="5"/>
  <c r="BP19" i="5"/>
  <c r="Y41" i="5"/>
  <c r="AA41" i="5"/>
  <c r="AH17" i="5"/>
  <c r="X234" i="2"/>
  <c r="X232" i="2"/>
  <c r="X196" i="2"/>
  <c r="BN28" i="2"/>
  <c r="BN9" i="2"/>
  <c r="N32" i="2"/>
  <c r="N28" i="2"/>
  <c r="BL13" i="7"/>
  <c r="Z10" i="12"/>
  <c r="G97" i="11"/>
  <c r="I97" i="11"/>
  <c r="G97" i="12" s="1"/>
  <c r="I97" i="12" s="1"/>
  <c r="G97" i="13" s="1"/>
  <c r="AC10" i="9"/>
  <c r="AC8" i="9"/>
  <c r="AC259" i="9"/>
  <c r="AC263" i="9"/>
  <c r="AI161" i="8"/>
  <c r="AF10" i="7"/>
  <c r="AF8" i="7"/>
  <c r="G34" i="8"/>
  <c r="G80" i="8"/>
  <c r="I80" i="8"/>
  <c r="G80" i="9"/>
  <c r="I80" i="9"/>
  <c r="G80" i="10"/>
  <c r="I80" i="10"/>
  <c r="G80" i="11" s="1"/>
  <c r="I80" i="11" s="1"/>
  <c r="G80" i="12" s="1"/>
  <c r="I80" i="12" s="1"/>
  <c r="G80" i="13" s="1"/>
  <c r="G13" i="7"/>
  <c r="I13" i="7"/>
  <c r="G13" i="8"/>
  <c r="I13" i="8"/>
  <c r="G13" i="9"/>
  <c r="I13" i="9"/>
  <c r="G77" i="7"/>
  <c r="I77" i="7"/>
  <c r="AF10" i="6"/>
  <c r="AF8" i="6"/>
  <c r="Z10" i="6"/>
  <c r="Z8" i="6"/>
  <c r="M110" i="5"/>
  <c r="U110" i="6"/>
  <c r="AC10" i="7"/>
  <c r="AC8" i="7"/>
  <c r="BL9" i="7"/>
  <c r="AA110" i="2"/>
  <c r="BK8" i="2"/>
  <c r="BL8" i="4"/>
  <c r="AW23" i="2"/>
  <c r="AS25" i="2"/>
  <c r="AX25" i="2"/>
  <c r="AH20" i="2"/>
  <c r="AH16" i="2"/>
  <c r="AH149" i="2"/>
  <c r="AH147" i="2"/>
  <c r="U110" i="12"/>
  <c r="U110" i="7"/>
  <c r="U12" i="9"/>
  <c r="AJ20" i="2"/>
  <c r="AJ16" i="2"/>
  <c r="N85" i="2"/>
  <c r="F28" i="2"/>
  <c r="F21" i="2"/>
  <c r="F19" i="2"/>
  <c r="AH197" i="2"/>
  <c r="AH196" i="2"/>
  <c r="AH195" i="2"/>
  <c r="U110" i="9"/>
  <c r="U110" i="5"/>
  <c r="AJ123" i="2"/>
  <c r="X90" i="2"/>
  <c r="AI69" i="2"/>
  <c r="AI65" i="2"/>
  <c r="AH69" i="2"/>
  <c r="AH65" i="2"/>
  <c r="U12" i="6"/>
  <c r="U12" i="8"/>
  <c r="U12" i="7"/>
  <c r="Z10" i="9"/>
  <c r="Z257" i="9"/>
  <c r="H8" i="8"/>
  <c r="N113" i="2"/>
  <c r="M85" i="2"/>
  <c r="AI197" i="2"/>
  <c r="AI196" i="2"/>
  <c r="AI195" i="2"/>
  <c r="N51" i="2"/>
  <c r="U12" i="12"/>
  <c r="AD63" i="2"/>
  <c r="AD12" i="2"/>
  <c r="AJ69" i="2"/>
  <c r="AJ65" i="2"/>
  <c r="AI149" i="2"/>
  <c r="AI147" i="2"/>
  <c r="AG63" i="2"/>
  <c r="AG12" i="2"/>
  <c r="AV12" i="2"/>
  <c r="AY12" i="2"/>
  <c r="AZ12" i="2"/>
  <c r="AU12" i="2"/>
  <c r="AY11" i="2"/>
  <c r="AV11" i="2"/>
  <c r="AU11" i="2"/>
  <c r="AI20" i="2"/>
  <c r="AI16" i="2"/>
  <c r="N94" i="2"/>
  <c r="AI123" i="2"/>
  <c r="AJ149" i="2"/>
  <c r="AJ147" i="2"/>
  <c r="M113" i="2"/>
  <c r="AD110" i="2"/>
  <c r="AR26" i="2"/>
  <c r="AW26" i="2"/>
  <c r="K17" i="7"/>
  <c r="H17" i="7"/>
  <c r="BK12" i="7"/>
  <c r="AU7" i="2"/>
  <c r="AV7" i="2"/>
  <c r="AZ7" i="2"/>
  <c r="W70" i="6"/>
  <c r="W69" i="5"/>
  <c r="F52" i="6"/>
  <c r="D60" i="5"/>
  <c r="F61" i="5"/>
  <c r="X166" i="7"/>
  <c r="V247" i="6"/>
  <c r="X247" i="5"/>
  <c r="X26" i="7"/>
  <c r="W115" i="6"/>
  <c r="D118" i="7"/>
  <c r="F118" i="6"/>
  <c r="AH130" i="5"/>
  <c r="AJ130" i="5"/>
  <c r="AI130" i="5"/>
  <c r="F79" i="5"/>
  <c r="D78" i="5"/>
  <c r="N89" i="5"/>
  <c r="AQ12" i="5"/>
  <c r="AZ12" i="5"/>
  <c r="M89" i="5"/>
  <c r="AA81" i="5"/>
  <c r="AH81" i="5"/>
  <c r="V227" i="6"/>
  <c r="X227" i="5"/>
  <c r="V250" i="6"/>
  <c r="V148" i="7"/>
  <c r="X148" i="6"/>
  <c r="AH114" i="2"/>
  <c r="X30" i="6"/>
  <c r="D12" i="6"/>
  <c r="F12" i="5"/>
  <c r="X22" i="5"/>
  <c r="E72" i="5"/>
  <c r="V80" i="7"/>
  <c r="X80" i="6"/>
  <c r="V216" i="6"/>
  <c r="X216" i="5"/>
  <c r="AJ222" i="2"/>
  <c r="F76" i="5"/>
  <c r="N104" i="2"/>
  <c r="F123" i="6"/>
  <c r="D123" i="7"/>
  <c r="AD195" i="2"/>
  <c r="BJ12" i="2"/>
  <c r="AH227" i="2"/>
  <c r="W235" i="6"/>
  <c r="AI235" i="2"/>
  <c r="AI234" i="2"/>
  <c r="D14" i="7"/>
  <c r="F14" i="6"/>
  <c r="V116" i="7"/>
  <c r="X116" i="6"/>
  <c r="V206" i="6"/>
  <c r="X206" i="5"/>
  <c r="V134" i="7"/>
  <c r="X134" i="6"/>
  <c r="AJ163" i="6"/>
  <c r="AI163" i="6"/>
  <c r="AH163" i="6"/>
  <c r="V68" i="5"/>
  <c r="D71" i="6"/>
  <c r="F71" i="5"/>
  <c r="E54" i="5"/>
  <c r="AQ23" i="2"/>
  <c r="F90" i="6"/>
  <c r="AH152" i="6"/>
  <c r="AJ152" i="6"/>
  <c r="AI152" i="6"/>
  <c r="D81" i="5"/>
  <c r="F82" i="5"/>
  <c r="AH105" i="2"/>
  <c r="AH104" i="2"/>
  <c r="AH157" i="2"/>
  <c r="AH155" i="2"/>
  <c r="AI211" i="2"/>
  <c r="AI210" i="2"/>
  <c r="AI209" i="2"/>
  <c r="D59" i="5"/>
  <c r="D57" i="5"/>
  <c r="V73" i="5"/>
  <c r="G90" i="7"/>
  <c r="I90" i="7"/>
  <c r="AR13" i="6"/>
  <c r="AW13" i="6"/>
  <c r="R40" i="14"/>
  <c r="D92" i="7"/>
  <c r="V186" i="6"/>
  <c r="X186" i="5"/>
  <c r="AH243" i="2"/>
  <c r="V238" i="6"/>
  <c r="X238" i="5"/>
  <c r="AJ96" i="2"/>
  <c r="AI175" i="2"/>
  <c r="AH186" i="2"/>
  <c r="AH184" i="2"/>
  <c r="D37" i="7"/>
  <c r="F58" i="5"/>
  <c r="V105" i="5"/>
  <c r="X106" i="5"/>
  <c r="AQ24" i="2"/>
  <c r="E75" i="6"/>
  <c r="AH123" i="2"/>
  <c r="V181" i="8"/>
  <c r="X181" i="7"/>
  <c r="AJ197" i="2"/>
  <c r="AJ196" i="2"/>
  <c r="AJ195" i="2"/>
  <c r="V255" i="6"/>
  <c r="X255" i="5"/>
  <c r="W44" i="5"/>
  <c r="W49" i="5"/>
  <c r="W205" i="6"/>
  <c r="W204" i="5"/>
  <c r="V246" i="6"/>
  <c r="X246" i="5"/>
  <c r="X130" i="6"/>
  <c r="V130" i="7"/>
  <c r="V236" i="9"/>
  <c r="V236" i="10"/>
  <c r="V236" i="11" s="1"/>
  <c r="F89" i="6"/>
  <c r="V175" i="6"/>
  <c r="X175" i="5"/>
  <c r="V151" i="8"/>
  <c r="AJ47" i="7"/>
  <c r="AI47" i="7"/>
  <c r="AH47" i="7"/>
  <c r="D13" i="5"/>
  <c r="D10" i="5"/>
  <c r="X97" i="5"/>
  <c r="AI114" i="2"/>
  <c r="B24" i="6"/>
  <c r="BK8" i="5"/>
  <c r="BK7" i="5"/>
  <c r="Y18" i="6"/>
  <c r="AA18" i="6"/>
  <c r="BO11" i="6"/>
  <c r="E32" i="5"/>
  <c r="I17" i="2"/>
  <c r="I8" i="2"/>
  <c r="I126" i="2"/>
  <c r="I130" i="2"/>
  <c r="F107" i="7"/>
  <c r="V119" i="8"/>
  <c r="V189" i="9"/>
  <c r="V189" i="10"/>
  <c r="X189" i="8"/>
  <c r="AH222" i="2"/>
  <c r="V243" i="6"/>
  <c r="X243" i="5"/>
  <c r="V78" i="6"/>
  <c r="X78" i="5"/>
  <c r="N120" i="5"/>
  <c r="M120" i="5"/>
  <c r="AI227" i="2"/>
  <c r="V240" i="6"/>
  <c r="X240" i="5"/>
  <c r="D15" i="9"/>
  <c r="D15" i="10"/>
  <c r="F15" i="10" s="1"/>
  <c r="N15" i="10" s="1"/>
  <c r="F15" i="8"/>
  <c r="V214" i="6"/>
  <c r="X214" i="5"/>
  <c r="T33" i="6"/>
  <c r="N56" i="5"/>
  <c r="M56" i="5"/>
  <c r="AJ38" i="6"/>
  <c r="AI38" i="6"/>
  <c r="AH38" i="6"/>
  <c r="AZ22" i="2"/>
  <c r="W186" i="6"/>
  <c r="V126" i="6"/>
  <c r="X126" i="5"/>
  <c r="BN19" i="5"/>
  <c r="X163" i="7"/>
  <c r="F33" i="5"/>
  <c r="BP10" i="6"/>
  <c r="AR22" i="5"/>
  <c r="X21" i="5"/>
  <c r="N57" i="2"/>
  <c r="V115" i="6"/>
  <c r="X115" i="5"/>
  <c r="V152" i="8"/>
  <c r="X152" i="7"/>
  <c r="V199" i="6"/>
  <c r="X199" i="5"/>
  <c r="W221" i="5"/>
  <c r="W222" i="6"/>
  <c r="AI105" i="2"/>
  <c r="AI104" i="2"/>
  <c r="AJ157" i="2"/>
  <c r="AJ155" i="2"/>
  <c r="AQ29" i="2"/>
  <c r="D34" i="5"/>
  <c r="V136" i="9"/>
  <c r="V136" i="10"/>
  <c r="V136" i="11" s="1"/>
  <c r="V136" i="12" s="1"/>
  <c r="V136" i="13" s="1"/>
  <c r="M60" i="2"/>
  <c r="W141" i="5"/>
  <c r="W142" i="6"/>
  <c r="V170" i="5"/>
  <c r="V171" i="6"/>
  <c r="X171" i="5"/>
  <c r="AI243" i="2"/>
  <c r="V132" i="7"/>
  <c r="X132" i="6"/>
  <c r="M54" i="2"/>
  <c r="N108" i="5"/>
  <c r="M108" i="5"/>
  <c r="AI186" i="2"/>
  <c r="AI184" i="2"/>
  <c r="AH165" i="5"/>
  <c r="AJ165" i="5"/>
  <c r="AI165" i="5"/>
  <c r="W243" i="6"/>
  <c r="AH35" i="2"/>
  <c r="D50" i="8"/>
  <c r="F50" i="7"/>
  <c r="D62" i="9"/>
  <c r="D62" i="10"/>
  <c r="F62" i="10"/>
  <c r="N62" i="10" s="1"/>
  <c r="F62" i="8"/>
  <c r="X17" i="7"/>
  <c r="N50" i="6"/>
  <c r="M50" i="6"/>
  <c r="X52" i="7"/>
  <c r="N62" i="7"/>
  <c r="AJ87" i="5"/>
  <c r="AI87" i="5"/>
  <c r="AH87" i="5"/>
  <c r="G88" i="7"/>
  <c r="I88" i="7"/>
  <c r="AW11" i="6"/>
  <c r="AR11" i="6"/>
  <c r="M94" i="2"/>
  <c r="V251" i="6"/>
  <c r="X251" i="5"/>
  <c r="X51" i="5"/>
  <c r="AU10" i="2"/>
  <c r="AV10" i="2"/>
  <c r="D115" i="6"/>
  <c r="F115" i="5"/>
  <c r="V153" i="6"/>
  <c r="X153" i="5"/>
  <c r="V36" i="5"/>
  <c r="V49" i="5"/>
  <c r="D80" i="6"/>
  <c r="F80" i="5"/>
  <c r="E115" i="6"/>
  <c r="V204" i="5"/>
  <c r="V205" i="6"/>
  <c r="X205" i="5"/>
  <c r="X47" i="8"/>
  <c r="W171" i="6"/>
  <c r="W170" i="5"/>
  <c r="W84" i="6"/>
  <c r="AJ99" i="5"/>
  <c r="AI99" i="5"/>
  <c r="AH99" i="5"/>
  <c r="AJ114" i="2"/>
  <c r="F38" i="7"/>
  <c r="D54" i="5"/>
  <c r="F55" i="5"/>
  <c r="AI71" i="5"/>
  <c r="AJ71" i="5"/>
  <c r="X19" i="6"/>
  <c r="F26" i="5"/>
  <c r="W175" i="6"/>
  <c r="AG81" i="5"/>
  <c r="X145" i="2"/>
  <c r="V212" i="6"/>
  <c r="X212" i="5"/>
  <c r="X220" i="2"/>
  <c r="BN30" i="2"/>
  <c r="W227" i="6"/>
  <c r="W226" i="5"/>
  <c r="F52" i="5"/>
  <c r="D116" i="7"/>
  <c r="F116" i="6"/>
  <c r="D120" i="7"/>
  <c r="F120" i="6"/>
  <c r="V124" i="6"/>
  <c r="X124" i="5"/>
  <c r="AR30" i="2"/>
  <c r="AW30" i="2"/>
  <c r="BJ14" i="2"/>
  <c r="AJ227" i="2"/>
  <c r="D44" i="5"/>
  <c r="AH235" i="2"/>
  <c r="AH234" i="2"/>
  <c r="D56" i="7"/>
  <c r="F56" i="6"/>
  <c r="BK7" i="7"/>
  <c r="V38" i="8"/>
  <c r="X38" i="7"/>
  <c r="W184" i="6"/>
  <c r="D117" i="9"/>
  <c r="F117" i="8"/>
  <c r="X59" i="5"/>
  <c r="V58" i="5"/>
  <c r="D53" i="7"/>
  <c r="M74" i="6"/>
  <c r="N74" i="6"/>
  <c r="AH32" i="5"/>
  <c r="AJ32" i="5"/>
  <c r="AY7" i="2"/>
  <c r="M57" i="2"/>
  <c r="N106" i="5"/>
  <c r="M106" i="5"/>
  <c r="V70" i="5"/>
  <c r="AJ105" i="2"/>
  <c r="AJ104" i="2"/>
  <c r="AI157" i="2"/>
  <c r="AI155" i="2"/>
  <c r="AJ211" i="2"/>
  <c r="AJ210" i="2"/>
  <c r="AJ209" i="2"/>
  <c r="V67" i="5"/>
  <c r="N60" i="2"/>
  <c r="W124" i="6"/>
  <c r="W123" i="5"/>
  <c r="V197" i="6"/>
  <c r="X197" i="5"/>
  <c r="BN26" i="5"/>
  <c r="AJ243" i="2"/>
  <c r="AJ132" i="5"/>
  <c r="AI132" i="5"/>
  <c r="AH132" i="5"/>
  <c r="V254" i="6"/>
  <c r="X254" i="5"/>
  <c r="D51" i="6"/>
  <c r="W36" i="6"/>
  <c r="D69" i="5"/>
  <c r="F70" i="5"/>
  <c r="D47" i="8"/>
  <c r="AH96" i="2"/>
  <c r="AH90" i="2"/>
  <c r="F108" i="6"/>
  <c r="AI120" i="5"/>
  <c r="AH120" i="5"/>
  <c r="AJ120" i="5"/>
  <c r="AJ175" i="2"/>
  <c r="AJ186" i="2"/>
  <c r="AJ184" i="2"/>
  <c r="D31" i="6"/>
  <c r="F31" i="5"/>
  <c r="V74" i="8"/>
  <c r="X74" i="7"/>
  <c r="X165" i="6"/>
  <c r="V222" i="6"/>
  <c r="X222" i="5"/>
  <c r="V40" i="5"/>
  <c r="V81" i="7"/>
  <c r="X81" i="6"/>
  <c r="AI35" i="2"/>
  <c r="X201" i="5"/>
  <c r="V201" i="6"/>
  <c r="E69" i="5"/>
  <c r="V87" i="7"/>
  <c r="X87" i="6"/>
  <c r="AJ181" i="6"/>
  <c r="AI181" i="6"/>
  <c r="AH181" i="6"/>
  <c r="AJ228" i="5"/>
  <c r="AI228" i="5"/>
  <c r="AH228" i="5"/>
  <c r="AH26" i="6"/>
  <c r="AJ26" i="6"/>
  <c r="AI26" i="6"/>
  <c r="N118" i="5"/>
  <c r="M118" i="5"/>
  <c r="D27" i="5"/>
  <c r="D102" i="9"/>
  <c r="D102" i="10"/>
  <c r="F102" i="8"/>
  <c r="AX11" i="6"/>
  <c r="AS11" i="6"/>
  <c r="X92" i="5"/>
  <c r="F95" i="5"/>
  <c r="V176" i="9"/>
  <c r="V176" i="10"/>
  <c r="V176" i="11" s="1"/>
  <c r="V176" i="12" s="1"/>
  <c r="BK8" i="6"/>
  <c r="AJ148" i="5"/>
  <c r="X99" i="6"/>
  <c r="X112" i="2"/>
  <c r="F98" i="8"/>
  <c r="M38" i="6"/>
  <c r="N38" i="6"/>
  <c r="AH30" i="5"/>
  <c r="AJ30" i="5"/>
  <c r="AI30" i="5"/>
  <c r="E12" i="6"/>
  <c r="E10" i="5"/>
  <c r="AU16" i="2"/>
  <c r="AV16" i="2"/>
  <c r="E29" i="5"/>
  <c r="E48" i="5"/>
  <c r="V71" i="7"/>
  <c r="X71" i="6"/>
  <c r="AJ80" i="5"/>
  <c r="AI80" i="5"/>
  <c r="AH80" i="5"/>
  <c r="X169" i="2"/>
  <c r="BN24" i="2"/>
  <c r="AI222" i="2"/>
  <c r="X235" i="5"/>
  <c r="V235" i="6"/>
  <c r="V184" i="6"/>
  <c r="X184" i="5"/>
  <c r="V211" i="6"/>
  <c r="X211" i="5"/>
  <c r="AZ8" i="2"/>
  <c r="AU8" i="2"/>
  <c r="AV8" i="2"/>
  <c r="M104" i="2"/>
  <c r="N123" i="5"/>
  <c r="M123" i="5"/>
  <c r="V142" i="6"/>
  <c r="X142" i="5"/>
  <c r="F99" i="6"/>
  <c r="W150" i="6"/>
  <c r="W149" i="5"/>
  <c r="W147" i="5"/>
  <c r="E78" i="5"/>
  <c r="D111" i="8"/>
  <c r="D124" i="7"/>
  <c r="AJ235" i="2"/>
  <c r="AJ234" i="2"/>
  <c r="N38" i="5"/>
  <c r="M38" i="5"/>
  <c r="U110" i="8"/>
  <c r="N14" i="5"/>
  <c r="M14" i="5"/>
  <c r="AY8" i="2"/>
  <c r="AY22" i="2"/>
  <c r="W197" i="6"/>
  <c r="BP11" i="5"/>
  <c r="F91" i="6"/>
  <c r="AH134" i="5"/>
  <c r="AJ134" i="5"/>
  <c r="AI134" i="5"/>
  <c r="Y17" i="6"/>
  <c r="AA17" i="6"/>
  <c r="BO10" i="6"/>
  <c r="X50" i="5"/>
  <c r="AE17" i="6"/>
  <c r="AG17" i="6"/>
  <c r="D74" i="8"/>
  <c r="F74" i="7"/>
  <c r="X32" i="6"/>
  <c r="AY10" i="2"/>
  <c r="N90" i="5"/>
  <c r="M90" i="5"/>
  <c r="AQ13" i="5"/>
  <c r="AY13" i="5"/>
  <c r="AS13" i="6"/>
  <c r="AX13" i="6"/>
  <c r="F106" i="6"/>
  <c r="V203" i="6"/>
  <c r="W211" i="6"/>
  <c r="V224" i="6"/>
  <c r="X224" i="5"/>
  <c r="X23" i="8"/>
  <c r="AJ41" i="8"/>
  <c r="D104" i="5"/>
  <c r="F105" i="5"/>
  <c r="V84" i="6"/>
  <c r="X84" i="5"/>
  <c r="F110" i="7"/>
  <c r="V128" i="7"/>
  <c r="AH211" i="2"/>
  <c r="AH210" i="2"/>
  <c r="AH209" i="2"/>
  <c r="F86" i="5"/>
  <c r="F87" i="6"/>
  <c r="AS12" i="7"/>
  <c r="AS12" i="6"/>
  <c r="AX12" i="6"/>
  <c r="V150" i="6"/>
  <c r="V149" i="5"/>
  <c r="V147" i="5"/>
  <c r="X150" i="5"/>
  <c r="X172" i="6"/>
  <c r="AH38" i="5"/>
  <c r="AJ38" i="5"/>
  <c r="AI38" i="5"/>
  <c r="D29" i="5"/>
  <c r="F30" i="5"/>
  <c r="E63" i="5"/>
  <c r="W10" i="2"/>
  <c r="N54" i="2"/>
  <c r="AI96" i="2"/>
  <c r="V120" i="7"/>
  <c r="X120" i="6"/>
  <c r="AH175" i="2"/>
  <c r="D119" i="8"/>
  <c r="E60" i="5"/>
  <c r="E45" i="5"/>
  <c r="G41" i="5"/>
  <c r="I41" i="5"/>
  <c r="AJ35" i="2"/>
  <c r="AH83" i="2"/>
  <c r="V261" i="5"/>
  <c r="X105" i="4"/>
  <c r="AE262" i="4"/>
  <c r="BN10" i="4"/>
  <c r="E28" i="4"/>
  <c r="AH107" i="4"/>
  <c r="Y262" i="4"/>
  <c r="AM258" i="8"/>
  <c r="BP26" i="4"/>
  <c r="BO16" i="4"/>
  <c r="BN17" i="4"/>
  <c r="X262" i="4"/>
  <c r="BN31" i="4"/>
  <c r="BH15" i="4"/>
  <c r="V232" i="4"/>
  <c r="AB262" i="4"/>
  <c r="AH198" i="4"/>
  <c r="BO26" i="4"/>
  <c r="BN16" i="4"/>
  <c r="AG255" i="5"/>
  <c r="AJ90" i="2"/>
  <c r="U10" i="6"/>
  <c r="U8" i="6"/>
  <c r="AC8" i="2"/>
  <c r="AC260" i="2"/>
  <c r="AC264" i="2"/>
  <c r="BP23" i="8"/>
  <c r="AI90" i="2"/>
  <c r="AI63" i="2"/>
  <c r="AI189" i="7"/>
  <c r="M41" i="4"/>
  <c r="AH166" i="5"/>
  <c r="AJ166" i="5"/>
  <c r="AF8" i="5"/>
  <c r="AA255" i="5"/>
  <c r="BO11" i="5"/>
  <c r="Y176" i="8"/>
  <c r="AA176" i="8"/>
  <c r="BO23" i="8"/>
  <c r="L48" i="14"/>
  <c r="L29" i="14"/>
  <c r="Y223" i="9"/>
  <c r="AA223" i="9"/>
  <c r="Y223" i="10"/>
  <c r="AA223" i="10"/>
  <c r="Y223" i="11" s="1"/>
  <c r="AA223" i="11" s="1"/>
  <c r="K55" i="14"/>
  <c r="AC257" i="5"/>
  <c r="AC8" i="5"/>
  <c r="Y254" i="7"/>
  <c r="AA254" i="7"/>
  <c r="Y254" i="8"/>
  <c r="AA254" i="8"/>
  <c r="M117" i="6"/>
  <c r="X31" i="6"/>
  <c r="AH31" i="6"/>
  <c r="AH17" i="4"/>
  <c r="X157" i="4"/>
  <c r="BN18" i="4"/>
  <c r="AI172" i="4"/>
  <c r="AH255" i="4"/>
  <c r="W112" i="4"/>
  <c r="AI17" i="5"/>
  <c r="I51" i="14"/>
  <c r="I48" i="14"/>
  <c r="I55" i="14"/>
  <c r="M110" i="6"/>
  <c r="AJ17" i="4"/>
  <c r="F100" i="5"/>
  <c r="M100" i="5"/>
  <c r="G128" i="4"/>
  <c r="X188" i="8"/>
  <c r="V188" i="9"/>
  <c r="AI188" i="7"/>
  <c r="AH188" i="7"/>
  <c r="AJ188" i="7"/>
  <c r="N116" i="5"/>
  <c r="AJ19" i="5"/>
  <c r="AI52" i="6"/>
  <c r="AI43" i="2"/>
  <c r="AI14" i="2"/>
  <c r="X14" i="2"/>
  <c r="BN13" i="2"/>
  <c r="BH8" i="2"/>
  <c r="BL11" i="9"/>
  <c r="X248" i="8"/>
  <c r="AH248" i="8"/>
  <c r="AJ189" i="7"/>
  <c r="M102" i="7"/>
  <c r="AI188" i="6"/>
  <c r="W157" i="5"/>
  <c r="W155" i="5"/>
  <c r="W145" i="5"/>
  <c r="M117" i="7"/>
  <c r="AI189" i="6"/>
  <c r="J51" i="14"/>
  <c r="J48" i="14"/>
  <c r="J55" i="14"/>
  <c r="AH116" i="5"/>
  <c r="F92" i="6"/>
  <c r="N92" i="6"/>
  <c r="AI74" i="4"/>
  <c r="AB210" i="4"/>
  <c r="AB209" i="4"/>
  <c r="AI17" i="4"/>
  <c r="F92" i="5"/>
  <c r="N92" i="5"/>
  <c r="E85" i="5"/>
  <c r="N107" i="4"/>
  <c r="AH188" i="6"/>
  <c r="N102" i="5"/>
  <c r="W261" i="6"/>
  <c r="AI23" i="5"/>
  <c r="AE210" i="4"/>
  <c r="AE209" i="4"/>
  <c r="M91" i="4"/>
  <c r="D128" i="5"/>
  <c r="F128" i="4"/>
  <c r="BC21" i="4"/>
  <c r="Y118" i="6"/>
  <c r="AA118" i="6"/>
  <c r="M99" i="5"/>
  <c r="AJ52" i="6"/>
  <c r="BI8" i="2"/>
  <c r="BI7" i="2"/>
  <c r="BI16" i="2"/>
  <c r="BP8" i="2"/>
  <c r="M102" i="6"/>
  <c r="N101" i="4"/>
  <c r="AI116" i="4"/>
  <c r="AI74" i="6"/>
  <c r="AI248" i="7"/>
  <c r="AI23" i="7"/>
  <c r="AJ248" i="7"/>
  <c r="AH161" i="9"/>
  <c r="X228" i="6"/>
  <c r="AI228" i="6"/>
  <c r="AI23" i="6"/>
  <c r="AJ23" i="6"/>
  <c r="W88" i="12"/>
  <c r="W88" i="13"/>
  <c r="E27" i="6"/>
  <c r="E25" i="6"/>
  <c r="E128" i="5"/>
  <c r="Z257" i="5"/>
  <c r="AZ14" i="3"/>
  <c r="AZ17" i="3"/>
  <c r="AV14" i="3"/>
  <c r="U8" i="3"/>
  <c r="U260" i="3"/>
  <c r="U264" i="3"/>
  <c r="U258" i="3"/>
  <c r="AR14" i="3"/>
  <c r="AR17" i="3"/>
  <c r="AU35" i="3"/>
  <c r="I17" i="3"/>
  <c r="AE258" i="3"/>
  <c r="M8" i="3"/>
  <c r="M126" i="3"/>
  <c r="M130" i="3"/>
  <c r="AY14" i="3"/>
  <c r="AY17" i="3"/>
  <c r="AQ17" i="3"/>
  <c r="X258" i="3"/>
  <c r="BN33" i="3"/>
  <c r="F8" i="3"/>
  <c r="W58" i="5"/>
  <c r="W57" i="5"/>
  <c r="AI116" i="5"/>
  <c r="AJ172" i="5"/>
  <c r="W90" i="4"/>
  <c r="W63" i="4"/>
  <c r="AI247" i="4"/>
  <c r="AJ68" i="4"/>
  <c r="V14" i="4"/>
  <c r="X60" i="5"/>
  <c r="AJ60" i="5"/>
  <c r="M107" i="5"/>
  <c r="AI31" i="4"/>
  <c r="N102" i="4"/>
  <c r="W20" i="5"/>
  <c r="W16" i="5"/>
  <c r="AI163" i="4"/>
  <c r="AI68" i="4"/>
  <c r="X31" i="5"/>
  <c r="AH31" i="5"/>
  <c r="Y21" i="5"/>
  <c r="AA21" i="5"/>
  <c r="AH21" i="5"/>
  <c r="E25" i="5"/>
  <c r="AJ116" i="4"/>
  <c r="D113" i="5"/>
  <c r="AH166" i="6"/>
  <c r="AH247" i="4"/>
  <c r="AJ31" i="4"/>
  <c r="X203" i="5"/>
  <c r="AJ203" i="5"/>
  <c r="AJ23" i="7"/>
  <c r="E57" i="5"/>
  <c r="AJ74" i="6"/>
  <c r="E42" i="5"/>
  <c r="AI22" i="4"/>
  <c r="AH136" i="4"/>
  <c r="M99" i="4"/>
  <c r="AH215" i="4"/>
  <c r="M98" i="6"/>
  <c r="W145" i="4"/>
  <c r="W110" i="4"/>
  <c r="AI29" i="4"/>
  <c r="AH22" i="4"/>
  <c r="AH116" i="4"/>
  <c r="AI136" i="4"/>
  <c r="F117" i="10"/>
  <c r="N117" i="10" s="1"/>
  <c r="V57" i="5"/>
  <c r="AE145" i="4"/>
  <c r="F45" i="4"/>
  <c r="V96" i="5"/>
  <c r="AI215" i="4"/>
  <c r="AJ248" i="6"/>
  <c r="AI248" i="6"/>
  <c r="AH248" i="6"/>
  <c r="N32" i="4"/>
  <c r="AH29" i="4"/>
  <c r="AJ74" i="4"/>
  <c r="M116" i="4"/>
  <c r="F68" i="5"/>
  <c r="M68" i="5"/>
  <c r="AH19" i="5"/>
  <c r="V183" i="5"/>
  <c r="AI248" i="5"/>
  <c r="AH248" i="5"/>
  <c r="AJ248" i="5"/>
  <c r="AR12" i="6"/>
  <c r="AG94" i="13"/>
  <c r="Y245" i="11"/>
  <c r="AA245" i="11" s="1"/>
  <c r="Y245" i="12" s="1"/>
  <c r="AA245" i="12" s="1"/>
  <c r="Y245" i="13" s="1"/>
  <c r="AA245" i="13" s="1"/>
  <c r="E104" i="5"/>
  <c r="Y253" i="10"/>
  <c r="AA253" i="10"/>
  <c r="Y253" i="11" s="1"/>
  <c r="AA253" i="11" s="1"/>
  <c r="Y253" i="12" s="1"/>
  <c r="AA253" i="12" s="1"/>
  <c r="Y253" i="13" s="1"/>
  <c r="AA253" i="13" s="1"/>
  <c r="Y214" i="11"/>
  <c r="AA214" i="11" s="1"/>
  <c r="Y214" i="12" s="1"/>
  <c r="AA214" i="12" s="1"/>
  <c r="Y214" i="13"/>
  <c r="AA214" i="13" s="1"/>
  <c r="AE99" i="12"/>
  <c r="AG99" i="12" s="1"/>
  <c r="AE99" i="13" s="1"/>
  <c r="AG99" i="13" s="1"/>
  <c r="AG48" i="11"/>
  <c r="AE48" i="12" s="1"/>
  <c r="AG48" i="12" s="1"/>
  <c r="AE48" i="13" s="1"/>
  <c r="AG48" i="13" s="1"/>
  <c r="N107" i="6"/>
  <c r="AG218" i="4"/>
  <c r="AA218" i="4"/>
  <c r="AE172" i="11"/>
  <c r="AG172" i="11" s="1"/>
  <c r="AE172" i="12" s="1"/>
  <c r="AG172" i="12" s="1"/>
  <c r="AE172" i="13" s="1"/>
  <c r="AG172" i="13" s="1"/>
  <c r="AJ173" i="4"/>
  <c r="AH173" i="4"/>
  <c r="AH171" i="4"/>
  <c r="AI173" i="4"/>
  <c r="AI171" i="4"/>
  <c r="X184" i="4"/>
  <c r="AG223" i="11"/>
  <c r="AE223" i="12" s="1"/>
  <c r="AG223" i="12" s="1"/>
  <c r="AE223" i="13" s="1"/>
  <c r="AG223" i="13" s="1"/>
  <c r="M98" i="7"/>
  <c r="AE238" i="12"/>
  <c r="AG238" i="12" s="1"/>
  <c r="AE238" i="13" s="1"/>
  <c r="AG238" i="13" s="1"/>
  <c r="AJ161" i="9"/>
  <c r="Y189" i="12"/>
  <c r="AA189" i="12" s="1"/>
  <c r="Y189" i="13" s="1"/>
  <c r="AA189" i="13" s="1"/>
  <c r="Y190" i="12"/>
  <c r="AA190" i="12" s="1"/>
  <c r="Y190" i="13" s="1"/>
  <c r="AA190" i="13" s="1"/>
  <c r="AE189" i="12"/>
  <c r="AG189" i="12" s="1"/>
  <c r="AE189" i="13" s="1"/>
  <c r="AG189" i="13" s="1"/>
  <c r="N105" i="4"/>
  <c r="AW12" i="6"/>
  <c r="AE240" i="12"/>
  <c r="AG240" i="12" s="1"/>
  <c r="AE240" i="13" s="1"/>
  <c r="AG240" i="13" s="1"/>
  <c r="AG220" i="4"/>
  <c r="L17" i="2"/>
  <c r="L8" i="2"/>
  <c r="L126" i="2"/>
  <c r="L130" i="2"/>
  <c r="AG198" i="11"/>
  <c r="AE198" i="12"/>
  <c r="AG198" i="12"/>
  <c r="AE198" i="13" s="1"/>
  <c r="AG198" i="13" s="1"/>
  <c r="Y151" i="11"/>
  <c r="AA151" i="11" s="1"/>
  <c r="Y151" i="12" s="1"/>
  <c r="AA151" i="12" s="1"/>
  <c r="Y151" i="13" s="1"/>
  <c r="AA151" i="13" s="1"/>
  <c r="AG37" i="12"/>
  <c r="AE37" i="13" s="1"/>
  <c r="AG37" i="13" s="1"/>
  <c r="X41" i="10"/>
  <c r="AJ41" i="10" s="1"/>
  <c r="W229" i="12"/>
  <c r="W229" i="13" s="1"/>
  <c r="W152" i="11"/>
  <c r="W152" i="12" s="1"/>
  <c r="W152" i="13" s="1"/>
  <c r="V114" i="5"/>
  <c r="W238" i="11"/>
  <c r="W238" i="12"/>
  <c r="W238" i="13" s="1"/>
  <c r="X161" i="11"/>
  <c r="AI161" i="11" s="1"/>
  <c r="X23" i="10"/>
  <c r="AI23" i="10" s="1"/>
  <c r="AH23" i="10"/>
  <c r="W193" i="4"/>
  <c r="W117" i="11"/>
  <c r="W117" i="12" s="1"/>
  <c r="W117" i="13" s="1"/>
  <c r="M78" i="4"/>
  <c r="I10" i="4"/>
  <c r="BD7" i="4"/>
  <c r="V196" i="5"/>
  <c r="V195" i="5"/>
  <c r="V194" i="5"/>
  <c r="V192" i="5"/>
  <c r="E113" i="5"/>
  <c r="X197" i="4"/>
  <c r="W169" i="4"/>
  <c r="X41" i="9"/>
  <c r="AJ41" i="9"/>
  <c r="G79" i="5"/>
  <c r="G78" i="5"/>
  <c r="I78" i="5"/>
  <c r="AH228" i="4"/>
  <c r="N47" i="4"/>
  <c r="BC19" i="4"/>
  <c r="V104" i="5"/>
  <c r="W83" i="5"/>
  <c r="AH149" i="4"/>
  <c r="AH147" i="4"/>
  <c r="M82" i="4"/>
  <c r="V91" i="5"/>
  <c r="V83" i="5"/>
  <c r="E81" i="5"/>
  <c r="X248" i="10"/>
  <c r="AH248" i="10" s="1"/>
  <c r="N98" i="4"/>
  <c r="Y220" i="4"/>
  <c r="W223" i="10"/>
  <c r="W223" i="11" s="1"/>
  <c r="W223" i="12" s="1"/>
  <c r="W223" i="13" s="1"/>
  <c r="W249" i="10"/>
  <c r="W249" i="11" s="1"/>
  <c r="W249" i="12" s="1"/>
  <c r="W249" i="13" s="1"/>
  <c r="W214" i="10"/>
  <c r="W214" i="11" s="1"/>
  <c r="W214" i="12" s="1"/>
  <c r="W143" i="10"/>
  <c r="W143" i="11"/>
  <c r="W143" i="12"/>
  <c r="W143" i="13" s="1"/>
  <c r="W91" i="5"/>
  <c r="W90" i="5"/>
  <c r="M46" i="4"/>
  <c r="M45" i="4"/>
  <c r="V157" i="5"/>
  <c r="F102" i="10"/>
  <c r="AV13" i="2"/>
  <c r="AJ74" i="5"/>
  <c r="AZ13" i="2"/>
  <c r="AI21" i="4"/>
  <c r="W242" i="5"/>
  <c r="W231" i="5"/>
  <c r="AU13" i="2"/>
  <c r="W232" i="4"/>
  <c r="E94" i="5"/>
  <c r="AI74" i="5"/>
  <c r="X211" i="4"/>
  <c r="AG175" i="4"/>
  <c r="AG169" i="4"/>
  <c r="AS27" i="4"/>
  <c r="AX27" i="4"/>
  <c r="AJ52" i="5"/>
  <c r="AH52" i="5"/>
  <c r="M87" i="4"/>
  <c r="F83" i="5"/>
  <c r="M83" i="5"/>
  <c r="AI212" i="4"/>
  <c r="F96" i="5"/>
  <c r="M96" i="5"/>
  <c r="X250" i="5"/>
  <c r="AI250" i="5"/>
  <c r="AJ172" i="4"/>
  <c r="M55" i="14"/>
  <c r="AQ25" i="2"/>
  <c r="AZ25" i="2"/>
  <c r="AJ198" i="4"/>
  <c r="AH223" i="4"/>
  <c r="V193" i="4"/>
  <c r="AM258" i="7"/>
  <c r="M91" i="5"/>
  <c r="X63" i="2"/>
  <c r="X12" i="2"/>
  <c r="AJ228" i="4"/>
  <c r="Y90" i="4"/>
  <c r="Y196" i="4"/>
  <c r="Y195" i="4"/>
  <c r="AB145" i="4"/>
  <c r="Z258" i="2"/>
  <c r="X20" i="4"/>
  <c r="X16" i="4"/>
  <c r="N76" i="4"/>
  <c r="N115" i="4"/>
  <c r="M87" i="5"/>
  <c r="W65" i="5"/>
  <c r="N98" i="5"/>
  <c r="AE220" i="4"/>
  <c r="N10" i="4"/>
  <c r="F94" i="4"/>
  <c r="Y232" i="4"/>
  <c r="X235" i="4"/>
  <c r="V112" i="4"/>
  <c r="V110" i="4"/>
  <c r="AH172" i="5"/>
  <c r="Y16" i="4"/>
  <c r="AC257" i="9"/>
  <c r="AH21" i="4"/>
  <c r="AJ36" i="4"/>
  <c r="G124" i="11"/>
  <c r="I124" i="11" s="1"/>
  <c r="G124" i="12" s="1"/>
  <c r="I124" i="12" s="1"/>
  <c r="G124" i="13" s="1"/>
  <c r="BK8" i="12"/>
  <c r="P36" i="14"/>
  <c r="P31" i="14"/>
  <c r="P30" i="14"/>
  <c r="P29" i="14"/>
  <c r="D119" i="11"/>
  <c r="D119" i="10"/>
  <c r="F113" i="4"/>
  <c r="AQ15" i="4"/>
  <c r="AV15" i="4"/>
  <c r="V169" i="4"/>
  <c r="I85" i="4"/>
  <c r="X83" i="4"/>
  <c r="AE169" i="4"/>
  <c r="AI84" i="4"/>
  <c r="BK7" i="8"/>
  <c r="BL8" i="8"/>
  <c r="BK15" i="13"/>
  <c r="BL15" i="13"/>
  <c r="BL15" i="12"/>
  <c r="AH232" i="2"/>
  <c r="E66" i="5"/>
  <c r="W54" i="13"/>
  <c r="X35" i="4"/>
  <c r="BN14" i="4"/>
  <c r="W74" i="12"/>
  <c r="W74" i="13" s="1"/>
  <c r="V242" i="5"/>
  <c r="E21" i="4"/>
  <c r="E19" i="4"/>
  <c r="E17" i="4"/>
  <c r="H126" i="5"/>
  <c r="H130" i="5"/>
  <c r="D109" i="10"/>
  <c r="BK7" i="6"/>
  <c r="BL8" i="9"/>
  <c r="AH220" i="2"/>
  <c r="Z8" i="12"/>
  <c r="Z259" i="12"/>
  <c r="Z263" i="12"/>
  <c r="AB196" i="4"/>
  <c r="AB195" i="4"/>
  <c r="AB193" i="4"/>
  <c r="AA220" i="4"/>
  <c r="BO30" i="4"/>
  <c r="X114" i="4"/>
  <c r="BC20" i="4"/>
  <c r="E122" i="9"/>
  <c r="E122" i="10"/>
  <c r="E122" i="11"/>
  <c r="E122" i="12" s="1"/>
  <c r="E122" i="13"/>
  <c r="AB16" i="4"/>
  <c r="V123" i="5"/>
  <c r="BC17" i="4"/>
  <c r="V90" i="4"/>
  <c r="V63" i="4"/>
  <c r="X104" i="4"/>
  <c r="E124" i="6"/>
  <c r="F124" i="5"/>
  <c r="K126" i="5"/>
  <c r="K130" i="5"/>
  <c r="AA108" i="11"/>
  <c r="Y108" i="12" s="1"/>
  <c r="W48" i="13"/>
  <c r="W52" i="13"/>
  <c r="W217" i="12"/>
  <c r="W217" i="13" s="1"/>
  <c r="AC257" i="8"/>
  <c r="E34" i="10"/>
  <c r="AG206" i="9"/>
  <c r="AE224" i="9"/>
  <c r="AG224" i="9"/>
  <c r="Y224" i="8"/>
  <c r="I34" i="8"/>
  <c r="G24" i="7"/>
  <c r="AG157" i="4"/>
  <c r="AG155" i="4"/>
  <c r="AH72" i="4"/>
  <c r="AJ72" i="4"/>
  <c r="AI72" i="4"/>
  <c r="V229" i="6"/>
  <c r="V226" i="6"/>
  <c r="X229" i="5"/>
  <c r="X226" i="5"/>
  <c r="AI55" i="4"/>
  <c r="AH55" i="4"/>
  <c r="AJ55" i="4"/>
  <c r="K126" i="4"/>
  <c r="K130" i="4"/>
  <c r="AA184" i="4"/>
  <c r="AH185" i="4"/>
  <c r="AI180" i="4"/>
  <c r="AH180" i="4"/>
  <c r="AJ180" i="4"/>
  <c r="X61" i="5"/>
  <c r="D65" i="6"/>
  <c r="F65" i="5"/>
  <c r="AJ87" i="4"/>
  <c r="AH87" i="4"/>
  <c r="AI87" i="4"/>
  <c r="F101" i="6"/>
  <c r="W187" i="9"/>
  <c r="W187" i="10"/>
  <c r="W187" i="11"/>
  <c r="W187" i="12" s="1"/>
  <c r="W187" i="13" s="1"/>
  <c r="L69" i="4"/>
  <c r="AI102" i="4"/>
  <c r="AJ102" i="4"/>
  <c r="AH102" i="4"/>
  <c r="AI220" i="2"/>
  <c r="P128" i="5"/>
  <c r="P126" i="5"/>
  <c r="P130" i="5"/>
  <c r="Q128" i="5"/>
  <c r="Q126" i="5"/>
  <c r="Q130" i="5"/>
  <c r="AJ143" i="4"/>
  <c r="AI143" i="4"/>
  <c r="AH143" i="4"/>
  <c r="AH141" i="4"/>
  <c r="N109" i="4"/>
  <c r="M109" i="4"/>
  <c r="AA51" i="4"/>
  <c r="Y49" i="4"/>
  <c r="Y43" i="4"/>
  <c r="AD149" i="4"/>
  <c r="AD147" i="4"/>
  <c r="AI150" i="4"/>
  <c r="AI149" i="4"/>
  <c r="AI147" i="4"/>
  <c r="AH240" i="4"/>
  <c r="AJ240" i="4"/>
  <c r="AI240" i="4"/>
  <c r="V76" i="6"/>
  <c r="X76" i="5"/>
  <c r="E111" i="6"/>
  <c r="F111" i="5"/>
  <c r="AB35" i="4"/>
  <c r="V249" i="6"/>
  <c r="X249" i="5"/>
  <c r="D77" i="6"/>
  <c r="D75" i="6"/>
  <c r="F77" i="5"/>
  <c r="F75" i="5"/>
  <c r="AD197" i="4"/>
  <c r="D121" i="6"/>
  <c r="F121" i="5"/>
  <c r="AH139" i="4"/>
  <c r="AI139" i="4"/>
  <c r="AJ139" i="4"/>
  <c r="AH230" i="4"/>
  <c r="AI230" i="4"/>
  <c r="AJ230" i="4"/>
  <c r="V39" i="6"/>
  <c r="X39" i="5"/>
  <c r="V252" i="6"/>
  <c r="X252" i="5"/>
  <c r="V117" i="6"/>
  <c r="X117" i="5"/>
  <c r="X158" i="5"/>
  <c r="AJ162" i="5"/>
  <c r="AI162" i="5"/>
  <c r="AH162" i="5"/>
  <c r="AJ187" i="4"/>
  <c r="AG114" i="4"/>
  <c r="AG112" i="4"/>
  <c r="AJ115" i="4"/>
  <c r="AI181" i="4"/>
  <c r="AH181" i="4"/>
  <c r="AJ181" i="4"/>
  <c r="W43" i="4"/>
  <c r="W14" i="4"/>
  <c r="AG105" i="4"/>
  <c r="AG104" i="4"/>
  <c r="AJ106" i="4"/>
  <c r="AJ105" i="4"/>
  <c r="X18" i="5"/>
  <c r="V129" i="6"/>
  <c r="X129" i="5"/>
  <c r="X222" i="4"/>
  <c r="X220" i="4"/>
  <c r="BN30" i="4"/>
  <c r="AI224" i="4"/>
  <c r="AH224" i="4"/>
  <c r="AJ224" i="4"/>
  <c r="AJ222" i="4"/>
  <c r="X94" i="5"/>
  <c r="F39" i="5"/>
  <c r="AB90" i="4"/>
  <c r="AJ25" i="4"/>
  <c r="AI25" i="4"/>
  <c r="AH25" i="4"/>
  <c r="Y172" i="10"/>
  <c r="AA172" i="10"/>
  <c r="N78" i="4"/>
  <c r="N110" i="4"/>
  <c r="M110" i="4"/>
  <c r="I94" i="4"/>
  <c r="BD18" i="4"/>
  <c r="W136" i="7"/>
  <c r="X136" i="6"/>
  <c r="AH101" i="4"/>
  <c r="AJ101" i="4"/>
  <c r="AI101" i="4"/>
  <c r="AI236" i="4"/>
  <c r="AG243" i="4"/>
  <c r="AG232" i="4"/>
  <c r="AJ244" i="4"/>
  <c r="AJ212" i="4"/>
  <c r="AJ151" i="5"/>
  <c r="AI151" i="5"/>
  <c r="AH151" i="5"/>
  <c r="AA124" i="4"/>
  <c r="BO17" i="4"/>
  <c r="BO15" i="4"/>
  <c r="Y123" i="4"/>
  <c r="Y112" i="4"/>
  <c r="AI245" i="4"/>
  <c r="AJ245" i="4"/>
  <c r="AH245" i="4"/>
  <c r="X243" i="4"/>
  <c r="V88" i="6"/>
  <c r="X88" i="5"/>
  <c r="V66" i="6"/>
  <c r="X66" i="5"/>
  <c r="BN10" i="5"/>
  <c r="Q126" i="4"/>
  <c r="Q130" i="4"/>
  <c r="W172" i="12"/>
  <c r="W172" i="13" s="1"/>
  <c r="AJ127" i="4"/>
  <c r="AI127" i="4"/>
  <c r="AH127" i="4"/>
  <c r="N86" i="4"/>
  <c r="M100" i="4"/>
  <c r="N100" i="4"/>
  <c r="AJ53" i="5"/>
  <c r="AI53" i="5"/>
  <c r="AH53" i="5"/>
  <c r="M24" i="4"/>
  <c r="V125" i="6"/>
  <c r="X125" i="5"/>
  <c r="AJ125" i="5"/>
  <c r="V86" i="6"/>
  <c r="X86" i="5"/>
  <c r="E83" i="10"/>
  <c r="E83" i="11" s="1"/>
  <c r="E83" i="12" s="1"/>
  <c r="E83" i="13" s="1"/>
  <c r="W18" i="12"/>
  <c r="W18" i="13" s="1"/>
  <c r="AA235" i="4"/>
  <c r="AA234" i="4"/>
  <c r="AJ59" i="4"/>
  <c r="AJ58" i="4"/>
  <c r="AG58" i="4"/>
  <c r="AG57" i="4"/>
  <c r="AJ61" i="4"/>
  <c r="AI61" i="4"/>
  <c r="AH61" i="4"/>
  <c r="V85" i="6"/>
  <c r="X85" i="5"/>
  <c r="AD105" i="4"/>
  <c r="AD104" i="4"/>
  <c r="AI106" i="4"/>
  <c r="AI105" i="4"/>
  <c r="M65" i="4"/>
  <c r="N65" i="4"/>
  <c r="W128" i="6"/>
  <c r="W123" i="6"/>
  <c r="X128" i="5"/>
  <c r="AH70" i="4"/>
  <c r="X69" i="4"/>
  <c r="X65" i="4"/>
  <c r="AI70" i="4"/>
  <c r="AJ70" i="4"/>
  <c r="W250" i="9"/>
  <c r="W250" i="10"/>
  <c r="W250" i="11" s="1"/>
  <c r="X156" i="5"/>
  <c r="W86" i="9"/>
  <c r="W86" i="10"/>
  <c r="W86" i="11" s="1"/>
  <c r="W86" i="12" s="1"/>
  <c r="W86" i="13" s="1"/>
  <c r="E59" i="10"/>
  <c r="AH216" i="4"/>
  <c r="AI216" i="4"/>
  <c r="AJ216" i="4"/>
  <c r="AA105" i="4"/>
  <c r="AA104" i="4"/>
  <c r="AH106" i="4"/>
  <c r="AH105" i="4"/>
  <c r="X93" i="5"/>
  <c r="N47" i="5"/>
  <c r="M47" i="5"/>
  <c r="W29" i="12"/>
  <c r="W29" i="13" s="1"/>
  <c r="AA176" i="4"/>
  <c r="BO23" i="4"/>
  <c r="Y175" i="4"/>
  <c r="Y169" i="4"/>
  <c r="AB232" i="4"/>
  <c r="AJ246" i="4"/>
  <c r="AH246" i="4"/>
  <c r="AI246" i="4"/>
  <c r="X100" i="5"/>
  <c r="AJ142" i="4"/>
  <c r="L42" i="4"/>
  <c r="AS10" i="4"/>
  <c r="AX10" i="4"/>
  <c r="AX9" i="4"/>
  <c r="J35" i="4"/>
  <c r="J28" i="4"/>
  <c r="BN25" i="2"/>
  <c r="BH12" i="2"/>
  <c r="AA58" i="4"/>
  <c r="AA57" i="4"/>
  <c r="AH59" i="4"/>
  <c r="AH58" i="4"/>
  <c r="V239" i="6"/>
  <c r="X239" i="5"/>
  <c r="I29" i="4"/>
  <c r="M30" i="4"/>
  <c r="AA91" i="4"/>
  <c r="AH92" i="4"/>
  <c r="AH41" i="4"/>
  <c r="AJ41" i="4"/>
  <c r="AI41" i="4"/>
  <c r="AA243" i="4"/>
  <c r="AH244" i="4"/>
  <c r="AD44" i="4"/>
  <c r="AI45" i="4"/>
  <c r="AI135" i="4"/>
  <c r="AH135" i="4"/>
  <c r="AJ135" i="4"/>
  <c r="Y236" i="10"/>
  <c r="AA236" i="10"/>
  <c r="Y236" i="11" s="1"/>
  <c r="AA236" i="11" s="1"/>
  <c r="Y236" i="12" s="1"/>
  <c r="AA236" i="12" s="1"/>
  <c r="Y236" i="13" s="1"/>
  <c r="AA236" i="13" s="1"/>
  <c r="V180" i="6"/>
  <c r="X180" i="5"/>
  <c r="AD49" i="4"/>
  <c r="AI50" i="4"/>
  <c r="AJ131" i="4"/>
  <c r="AH131" i="4"/>
  <c r="AI131" i="4"/>
  <c r="AH121" i="4"/>
  <c r="AJ121" i="4"/>
  <c r="AI121" i="4"/>
  <c r="V223" i="6"/>
  <c r="V221" i="6"/>
  <c r="X223" i="5"/>
  <c r="I43" i="4"/>
  <c r="M43" i="4"/>
  <c r="G42" i="4"/>
  <c r="AH136" i="5"/>
  <c r="AJ136" i="5"/>
  <c r="AI136" i="5"/>
  <c r="AA155" i="4"/>
  <c r="AA145" i="4"/>
  <c r="AH167" i="4"/>
  <c r="B15" i="10"/>
  <c r="B15" i="11"/>
  <c r="B15" i="12" s="1"/>
  <c r="B15" i="13" s="1"/>
  <c r="BD19" i="4"/>
  <c r="I104" i="4"/>
  <c r="W196" i="5"/>
  <c r="W195" i="5"/>
  <c r="W194" i="5"/>
  <c r="W192" i="5"/>
  <c r="BN22" i="2"/>
  <c r="F98" i="10"/>
  <c r="N98" i="10" s="1"/>
  <c r="V221" i="5"/>
  <c r="W185" i="5"/>
  <c r="W183" i="5"/>
  <c r="W168" i="5"/>
  <c r="G30" i="5"/>
  <c r="I30" i="5"/>
  <c r="M30" i="5"/>
  <c r="I24" i="14"/>
  <c r="V174" i="5"/>
  <c r="AQ9" i="2"/>
  <c r="AU9" i="2"/>
  <c r="G92" i="10"/>
  <c r="I92" i="10"/>
  <c r="G92" i="11" s="1"/>
  <c r="I92" i="11" s="1"/>
  <c r="G92" i="12" s="1"/>
  <c r="I92" i="12"/>
  <c r="G92" i="13" s="1"/>
  <c r="I92" i="13"/>
  <c r="BK7" i="2"/>
  <c r="BL7" i="4"/>
  <c r="BL10" i="4"/>
  <c r="N92" i="4"/>
  <c r="M92" i="4"/>
  <c r="I62" i="4"/>
  <c r="G60" i="4"/>
  <c r="W37" i="6"/>
  <c r="W35" i="6"/>
  <c r="X37" i="5"/>
  <c r="AG33" i="4"/>
  <c r="AE16" i="4"/>
  <c r="AH76" i="4"/>
  <c r="AI76" i="4"/>
  <c r="AJ76" i="4"/>
  <c r="N111" i="4"/>
  <c r="M111" i="4"/>
  <c r="V75" i="6"/>
  <c r="X75" i="5"/>
  <c r="AG49" i="4"/>
  <c r="AE51" i="5"/>
  <c r="AG51" i="5"/>
  <c r="AE51" i="6"/>
  <c r="AG51" i="6"/>
  <c r="AE51" i="7"/>
  <c r="AG51" i="7"/>
  <c r="AE51" i="8"/>
  <c r="AG51" i="8"/>
  <c r="AE51" i="9"/>
  <c r="AG51" i="9"/>
  <c r="AJ51" i="4"/>
  <c r="F104" i="4"/>
  <c r="AI250" i="4"/>
  <c r="AH250" i="4"/>
  <c r="AJ250" i="4"/>
  <c r="N77" i="4"/>
  <c r="M77" i="4"/>
  <c r="V198" i="6"/>
  <c r="X198" i="5"/>
  <c r="M121" i="4"/>
  <c r="N121" i="4"/>
  <c r="N61" i="4"/>
  <c r="N60" i="4"/>
  <c r="AJ39" i="4"/>
  <c r="AI39" i="4"/>
  <c r="AI223" i="4"/>
  <c r="AJ253" i="4"/>
  <c r="AI253" i="4"/>
  <c r="AH253" i="4"/>
  <c r="AJ117" i="4"/>
  <c r="AH117" i="4"/>
  <c r="AI117" i="4"/>
  <c r="AJ159" i="4"/>
  <c r="AI159" i="4"/>
  <c r="AH159" i="4"/>
  <c r="X162" i="6"/>
  <c r="AH187" i="4"/>
  <c r="AQ16" i="4"/>
  <c r="AZ16" i="4"/>
  <c r="BC7" i="4"/>
  <c r="AE112" i="4"/>
  <c r="V200" i="6"/>
  <c r="X200" i="5"/>
  <c r="E119" i="6"/>
  <c r="F119" i="5"/>
  <c r="AI18" i="4"/>
  <c r="AH18" i="4"/>
  <c r="AJ18" i="4"/>
  <c r="AH129" i="4"/>
  <c r="AI129" i="4"/>
  <c r="AJ129" i="4"/>
  <c r="AI94" i="4"/>
  <c r="AH94" i="4"/>
  <c r="AJ94" i="4"/>
  <c r="M39" i="4"/>
  <c r="N39" i="4"/>
  <c r="AD96" i="4"/>
  <c r="AI97" i="4"/>
  <c r="V178" i="6"/>
  <c r="X178" i="5"/>
  <c r="X24" i="5"/>
  <c r="W236" i="6"/>
  <c r="W234" i="6"/>
  <c r="W233" i="6"/>
  <c r="X236" i="5"/>
  <c r="V77" i="6"/>
  <c r="X77" i="5"/>
  <c r="AD58" i="4"/>
  <c r="AD57" i="4"/>
  <c r="N64" i="4"/>
  <c r="M64" i="4"/>
  <c r="BC14" i="4"/>
  <c r="F63" i="4"/>
  <c r="M51" i="4"/>
  <c r="F122" i="5"/>
  <c r="D122" i="6"/>
  <c r="F75" i="4"/>
  <c r="V177" i="6"/>
  <c r="X177" i="5"/>
  <c r="W151" i="7"/>
  <c r="X151" i="6"/>
  <c r="AH88" i="4"/>
  <c r="AI88" i="4"/>
  <c r="AJ88" i="4"/>
  <c r="V137" i="6"/>
  <c r="X137" i="5"/>
  <c r="AI66" i="4"/>
  <c r="AH66" i="4"/>
  <c r="AJ66" i="4"/>
  <c r="H126" i="4"/>
  <c r="H130" i="4"/>
  <c r="X79" i="5"/>
  <c r="V79" i="6"/>
  <c r="M86" i="4"/>
  <c r="X53" i="6"/>
  <c r="V237" i="6"/>
  <c r="X237" i="5"/>
  <c r="AJ125" i="4"/>
  <c r="AI125" i="4"/>
  <c r="AH125" i="4"/>
  <c r="AI86" i="4"/>
  <c r="AH86" i="4"/>
  <c r="AJ86" i="4"/>
  <c r="M83" i="4"/>
  <c r="N83" i="4"/>
  <c r="AS24" i="4"/>
  <c r="AX24" i="4"/>
  <c r="W176" i="6"/>
  <c r="W174" i="6"/>
  <c r="X176" i="5"/>
  <c r="BN23" i="5"/>
  <c r="X108" i="5"/>
  <c r="AI60" i="4"/>
  <c r="AI58" i="4"/>
  <c r="AA39" i="4"/>
  <c r="AH39" i="4"/>
  <c r="Y35" i="4"/>
  <c r="X253" i="5"/>
  <c r="V253" i="6"/>
  <c r="D85" i="6"/>
  <c r="F88" i="5"/>
  <c r="F85" i="5"/>
  <c r="AJ85" i="4"/>
  <c r="AI85" i="4"/>
  <c r="AH85" i="4"/>
  <c r="N58" i="4"/>
  <c r="AA71" i="4"/>
  <c r="Y69" i="4"/>
  <c r="Y65" i="4"/>
  <c r="AH128" i="4"/>
  <c r="AJ128" i="4"/>
  <c r="AI128" i="4"/>
  <c r="J128" i="4"/>
  <c r="AI251" i="4"/>
  <c r="AJ251" i="4"/>
  <c r="AH251" i="4"/>
  <c r="F41" i="7"/>
  <c r="AA197" i="4"/>
  <c r="N59" i="4"/>
  <c r="M59" i="4"/>
  <c r="AH84" i="4"/>
  <c r="V202" i="6"/>
  <c r="X202" i="5"/>
  <c r="X160" i="5"/>
  <c r="Y67" i="10"/>
  <c r="AA67" i="10"/>
  <c r="Y67" i="11"/>
  <c r="AA67" i="11" s="1"/>
  <c r="Y67" i="12" s="1"/>
  <c r="AA67" i="12" s="1"/>
  <c r="Y67" i="13" s="1"/>
  <c r="AA67" i="13" s="1"/>
  <c r="BP17" i="4"/>
  <c r="AB123" i="4"/>
  <c r="AB112" i="4"/>
  <c r="AH93" i="4"/>
  <c r="AI93" i="4"/>
  <c r="X91" i="4"/>
  <c r="E47" i="7"/>
  <c r="F47" i="6"/>
  <c r="X123" i="4"/>
  <c r="AD243" i="4"/>
  <c r="AD232" i="4"/>
  <c r="BP29" i="4"/>
  <c r="AI244" i="4"/>
  <c r="AG149" i="4"/>
  <c r="AG147" i="4"/>
  <c r="AJ150" i="4"/>
  <c r="AJ149" i="4"/>
  <c r="AJ147" i="4"/>
  <c r="J45" i="4"/>
  <c r="Y143" i="10"/>
  <c r="AA143" i="10"/>
  <c r="X159" i="5"/>
  <c r="AJ100" i="4"/>
  <c r="AI100" i="4"/>
  <c r="AH100" i="4"/>
  <c r="W203" i="9"/>
  <c r="W203" i="10"/>
  <c r="BP23" i="4"/>
  <c r="AB175" i="4"/>
  <c r="AB169" i="4"/>
  <c r="N95" i="4"/>
  <c r="AE196" i="4"/>
  <c r="AE195" i="4"/>
  <c r="X48" i="5"/>
  <c r="AI206" i="4"/>
  <c r="AI205" i="4"/>
  <c r="I33" i="4"/>
  <c r="G32" i="4"/>
  <c r="X95" i="5"/>
  <c r="I51" i="4"/>
  <c r="BD17" i="4"/>
  <c r="X96" i="4"/>
  <c r="BF8" i="4"/>
  <c r="BE22" i="2"/>
  <c r="V143" i="6"/>
  <c r="V141" i="6"/>
  <c r="X143" i="5"/>
  <c r="X141" i="5"/>
  <c r="BN20" i="5"/>
  <c r="AJ188" i="4"/>
  <c r="AI188" i="4"/>
  <c r="AI186" i="4"/>
  <c r="AH188" i="4"/>
  <c r="X25" i="5"/>
  <c r="AH165" i="4"/>
  <c r="AJ165" i="4"/>
  <c r="AI165" i="4"/>
  <c r="X101" i="5"/>
  <c r="N122" i="4"/>
  <c r="AI138" i="4"/>
  <c r="AJ138" i="4"/>
  <c r="AH138" i="4"/>
  <c r="BD20" i="4"/>
  <c r="I36" i="4"/>
  <c r="G35" i="4"/>
  <c r="V127" i="6"/>
  <c r="X127" i="5"/>
  <c r="AI127" i="5"/>
  <c r="D24" i="6"/>
  <c r="F24" i="5"/>
  <c r="AD65" i="4"/>
  <c r="AE176" i="10"/>
  <c r="AG176" i="10"/>
  <c r="AE176" i="11"/>
  <c r="AG176" i="11" s="1"/>
  <c r="AE176" i="12" s="1"/>
  <c r="AG176" i="12" s="1"/>
  <c r="AE176" i="13" s="1"/>
  <c r="AG176" i="13" s="1"/>
  <c r="V234" i="5"/>
  <c r="V233" i="5"/>
  <c r="V226" i="5"/>
  <c r="F17" i="2"/>
  <c r="F8" i="2"/>
  <c r="F126" i="2"/>
  <c r="F130" i="2"/>
  <c r="G13" i="10"/>
  <c r="I13" i="10"/>
  <c r="G13" i="11"/>
  <c r="I13" i="11" s="1"/>
  <c r="G13" i="12" s="1"/>
  <c r="I13" i="12" s="1"/>
  <c r="G13" i="13" s="1"/>
  <c r="E37" i="6"/>
  <c r="E35" i="6"/>
  <c r="F37" i="5"/>
  <c r="W22" i="12"/>
  <c r="W22" i="13" s="1"/>
  <c r="AD114" i="4"/>
  <c r="AI115" i="4"/>
  <c r="AI177" i="4"/>
  <c r="AH177" i="4"/>
  <c r="AJ177" i="4"/>
  <c r="X175" i="4"/>
  <c r="E68" i="10"/>
  <c r="E68" i="11" s="1"/>
  <c r="E68" i="12" s="1"/>
  <c r="E68" i="13" s="1"/>
  <c r="F42" i="4"/>
  <c r="AQ10" i="4"/>
  <c r="N43" i="4"/>
  <c r="BC16" i="4"/>
  <c r="X187" i="5"/>
  <c r="X185" i="5"/>
  <c r="X190" i="5"/>
  <c r="X183" i="5"/>
  <c r="V187" i="6"/>
  <c r="V185" i="6"/>
  <c r="AI228" i="4"/>
  <c r="G15" i="6"/>
  <c r="I15" i="6"/>
  <c r="M15" i="5"/>
  <c r="AH75" i="4"/>
  <c r="AI75" i="4"/>
  <c r="AJ75" i="4"/>
  <c r="BP31" i="4"/>
  <c r="W105" i="6"/>
  <c r="W104" i="6"/>
  <c r="X107" i="5"/>
  <c r="X105" i="5"/>
  <c r="AI199" i="4"/>
  <c r="AH199" i="4"/>
  <c r="AJ199" i="4"/>
  <c r="V72" i="6"/>
  <c r="X72" i="5"/>
  <c r="AA213" i="4"/>
  <c r="Y211" i="4"/>
  <c r="Y210" i="4"/>
  <c r="Y209" i="4"/>
  <c r="AE232" i="4"/>
  <c r="AA114" i="4"/>
  <c r="AH115" i="4"/>
  <c r="W119" i="6"/>
  <c r="W114" i="6"/>
  <c r="X119" i="5"/>
  <c r="F83" i="6"/>
  <c r="D83" i="7"/>
  <c r="G25" i="4"/>
  <c r="I26" i="4"/>
  <c r="W68" i="9"/>
  <c r="W68" i="10"/>
  <c r="W68" i="11"/>
  <c r="X55" i="5"/>
  <c r="M10" i="4"/>
  <c r="V135" i="6"/>
  <c r="X135" i="5"/>
  <c r="AH201" i="4"/>
  <c r="AI201" i="4"/>
  <c r="AJ201" i="4"/>
  <c r="E44" i="10"/>
  <c r="N119" i="4"/>
  <c r="M119" i="4"/>
  <c r="AA96" i="4"/>
  <c r="AH97" i="4"/>
  <c r="AB43" i="4"/>
  <c r="AI198" i="4"/>
  <c r="AG96" i="4"/>
  <c r="AJ97" i="4"/>
  <c r="V131" i="6"/>
  <c r="X131" i="5"/>
  <c r="AA33" i="4"/>
  <c r="AJ21" i="4"/>
  <c r="V121" i="6"/>
  <c r="X121" i="5"/>
  <c r="AJ214" i="4"/>
  <c r="AI214" i="4"/>
  <c r="AH214" i="4"/>
  <c r="X118" i="5"/>
  <c r="V118" i="6"/>
  <c r="I54" i="4"/>
  <c r="M55" i="4"/>
  <c r="M54" i="4"/>
  <c r="AH179" i="4"/>
  <c r="AI179" i="4"/>
  <c r="AJ179" i="4"/>
  <c r="AI24" i="4"/>
  <c r="AH24" i="4"/>
  <c r="AJ24" i="4"/>
  <c r="AJ237" i="4"/>
  <c r="AI237" i="4"/>
  <c r="AH237" i="4"/>
  <c r="I23" i="4"/>
  <c r="M23" i="4"/>
  <c r="G22" i="4"/>
  <c r="AH77" i="4"/>
  <c r="AJ77" i="4"/>
  <c r="AI77" i="4"/>
  <c r="N82" i="4"/>
  <c r="G87" i="10"/>
  <c r="I87" i="10"/>
  <c r="G87" i="11" s="1"/>
  <c r="I87" i="11" s="1"/>
  <c r="G87" i="12" s="1"/>
  <c r="I87" i="12" s="1"/>
  <c r="G87" i="13" s="1"/>
  <c r="X164" i="5"/>
  <c r="AJ236" i="4"/>
  <c r="M76" i="4"/>
  <c r="AJ178" i="4"/>
  <c r="AI178" i="4"/>
  <c r="AH178" i="4"/>
  <c r="V138" i="6"/>
  <c r="X138" i="5"/>
  <c r="N23" i="4"/>
  <c r="BC12" i="4"/>
  <c r="F22" i="4"/>
  <c r="Y155" i="4"/>
  <c r="Y145" i="4"/>
  <c r="AI137" i="4"/>
  <c r="AJ137" i="4"/>
  <c r="AH137" i="4"/>
  <c r="F48" i="4"/>
  <c r="M49" i="4"/>
  <c r="M48" i="4"/>
  <c r="N49" i="4"/>
  <c r="N48" i="4"/>
  <c r="L29" i="4"/>
  <c r="N30" i="4"/>
  <c r="BF21" i="4"/>
  <c r="H24" i="14"/>
  <c r="AJ79" i="4"/>
  <c r="AH79" i="4"/>
  <c r="AI79" i="4"/>
  <c r="V190" i="6"/>
  <c r="F85" i="4"/>
  <c r="G85" i="4"/>
  <c r="AI238" i="4"/>
  <c r="AJ238" i="4"/>
  <c r="AH238" i="4"/>
  <c r="N67" i="4"/>
  <c r="M67" i="4"/>
  <c r="M66" i="4"/>
  <c r="F66" i="4"/>
  <c r="BD15" i="4"/>
  <c r="I45" i="4"/>
  <c r="AH108" i="4"/>
  <c r="AJ108" i="4"/>
  <c r="AI108" i="4"/>
  <c r="V179" i="6"/>
  <c r="X179" i="5"/>
  <c r="AH45" i="4"/>
  <c r="AA44" i="4"/>
  <c r="AH254" i="4"/>
  <c r="AJ254" i="4"/>
  <c r="AI254" i="4"/>
  <c r="M88" i="4"/>
  <c r="N88" i="4"/>
  <c r="AQ11" i="4"/>
  <c r="V133" i="6"/>
  <c r="X133" i="5"/>
  <c r="L54" i="4"/>
  <c r="N55" i="4"/>
  <c r="N54" i="4"/>
  <c r="M58" i="4"/>
  <c r="AJ161" i="10"/>
  <c r="AH161" i="10"/>
  <c r="AI161" i="10"/>
  <c r="AD91" i="4"/>
  <c r="W17" i="12"/>
  <c r="W17" i="13" s="1"/>
  <c r="N101" i="5"/>
  <c r="M101" i="5"/>
  <c r="AJ84" i="4"/>
  <c r="AI203" i="4"/>
  <c r="AH203" i="4"/>
  <c r="AJ203" i="4"/>
  <c r="AJ161" i="4"/>
  <c r="AH161" i="4"/>
  <c r="AI161" i="4"/>
  <c r="J51" i="4"/>
  <c r="V217" i="7"/>
  <c r="X217" i="6"/>
  <c r="M115" i="4"/>
  <c r="I122" i="4"/>
  <c r="M122" i="4"/>
  <c r="X102" i="5"/>
  <c r="X46" i="5"/>
  <c r="AI160" i="4"/>
  <c r="AJ160" i="4"/>
  <c r="AH160" i="4"/>
  <c r="AB65" i="4"/>
  <c r="AH204" i="4"/>
  <c r="AI204" i="4"/>
  <c r="AJ204" i="4"/>
  <c r="AB220" i="4"/>
  <c r="AI142" i="4"/>
  <c r="AG196" i="4"/>
  <c r="AG195" i="4"/>
  <c r="AI48" i="4"/>
  <c r="AJ48" i="4"/>
  <c r="AH48" i="4"/>
  <c r="AQ22" i="4"/>
  <c r="AJ206" i="4"/>
  <c r="AJ205" i="4"/>
  <c r="AH95" i="4"/>
  <c r="AJ95" i="4"/>
  <c r="AI95" i="4"/>
  <c r="AG46" i="4"/>
  <c r="AJ46" i="4"/>
  <c r="AE44" i="4"/>
  <c r="AE43" i="4"/>
  <c r="D94" i="6"/>
  <c r="F97" i="5"/>
  <c r="AG93" i="4"/>
  <c r="AE91" i="4"/>
  <c r="AE90" i="4"/>
  <c r="AE63" i="4"/>
  <c r="BC13" i="4"/>
  <c r="X166" i="11"/>
  <c r="AI166" i="11" s="1"/>
  <c r="N96" i="4"/>
  <c r="M96" i="4"/>
  <c r="F109" i="5"/>
  <c r="V139" i="6"/>
  <c r="X139" i="5"/>
  <c r="AJ119" i="4"/>
  <c r="AH119" i="4"/>
  <c r="AI119" i="4"/>
  <c r="D21" i="4"/>
  <c r="D19" i="4"/>
  <c r="D17" i="4"/>
  <c r="D8" i="4"/>
  <c r="M44" i="4"/>
  <c r="N44" i="4"/>
  <c r="W213" i="6"/>
  <c r="X213" i="5"/>
  <c r="AH118" i="4"/>
  <c r="AJ118" i="4"/>
  <c r="AI118" i="4"/>
  <c r="AD220" i="4"/>
  <c r="BP30" i="4"/>
  <c r="J66" i="4"/>
  <c r="G69" i="4"/>
  <c r="I71" i="4"/>
  <c r="V244" i="6"/>
  <c r="X244" i="5"/>
  <c r="W198" i="9"/>
  <c r="W198" i="10"/>
  <c r="W198" i="11" s="1"/>
  <c r="AH191" i="4"/>
  <c r="AJ191" i="4"/>
  <c r="AI191" i="4"/>
  <c r="N69" i="4"/>
  <c r="AD155" i="4"/>
  <c r="M73" i="4"/>
  <c r="M72" i="4"/>
  <c r="F72" i="4"/>
  <c r="N73" i="4"/>
  <c r="N72" i="4"/>
  <c r="AJ133" i="4"/>
  <c r="AH133" i="4"/>
  <c r="AI133" i="4"/>
  <c r="V215" i="6"/>
  <c r="V210" i="6"/>
  <c r="V209" i="6"/>
  <c r="V208" i="6"/>
  <c r="X215" i="5"/>
  <c r="W96" i="6"/>
  <c r="X98" i="5"/>
  <c r="AJ53" i="4"/>
  <c r="AI53" i="4"/>
  <c r="AH53" i="4"/>
  <c r="V245" i="6"/>
  <c r="X245" i="5"/>
  <c r="L25" i="4"/>
  <c r="AS8" i="4"/>
  <c r="AV8" i="4"/>
  <c r="AX8" i="4"/>
  <c r="AZ8" i="4"/>
  <c r="N26" i="4"/>
  <c r="N25" i="4"/>
  <c r="AH46" i="4"/>
  <c r="AI46" i="4"/>
  <c r="X44" i="4"/>
  <c r="X43" i="4"/>
  <c r="BD14" i="4"/>
  <c r="I63" i="4"/>
  <c r="BC18" i="4"/>
  <c r="E53" i="6"/>
  <c r="E51" i="6"/>
  <c r="F53" i="5"/>
  <c r="F51" i="5"/>
  <c r="M31" i="4"/>
  <c r="N31" i="4"/>
  <c r="F29" i="4"/>
  <c r="F28" i="4"/>
  <c r="AH206" i="4"/>
  <c r="AH205" i="4"/>
  <c r="N97" i="4"/>
  <c r="M97" i="4"/>
  <c r="E28" i="5"/>
  <c r="X195" i="2"/>
  <c r="X193" i="2"/>
  <c r="AG10" i="2"/>
  <c r="AG258" i="2"/>
  <c r="AS31" i="2"/>
  <c r="AS32" i="2"/>
  <c r="BP7" i="2"/>
  <c r="BP32" i="2"/>
  <c r="AA10" i="2"/>
  <c r="AA8" i="2"/>
  <c r="AA260" i="2"/>
  <c r="AA264" i="2"/>
  <c r="AH14" i="2"/>
  <c r="U10" i="5"/>
  <c r="U8" i="5"/>
  <c r="Z257" i="8"/>
  <c r="BJ11" i="2"/>
  <c r="BJ7" i="2"/>
  <c r="BJ16" i="2"/>
  <c r="BO7" i="2"/>
  <c r="BO32" i="2"/>
  <c r="AI148" i="6"/>
  <c r="Y148" i="6"/>
  <c r="AA148" i="6"/>
  <c r="AH148" i="6"/>
  <c r="Y125" i="6"/>
  <c r="AA125" i="6"/>
  <c r="Y126" i="6"/>
  <c r="AA126" i="6"/>
  <c r="BO19" i="6"/>
  <c r="BP19" i="6"/>
  <c r="AI41" i="5"/>
  <c r="Y41" i="6"/>
  <c r="AA41" i="6"/>
  <c r="AH41" i="5"/>
  <c r="AI17" i="6"/>
  <c r="AH17" i="6"/>
  <c r="BH13" i="2"/>
  <c r="AH145" i="2"/>
  <c r="U10" i="7"/>
  <c r="U8" i="7"/>
  <c r="N21" i="2"/>
  <c r="N19" i="2"/>
  <c r="N17" i="2"/>
  <c r="N8" i="2"/>
  <c r="N126" i="2"/>
  <c r="N130" i="2"/>
  <c r="J78" i="5"/>
  <c r="L78" i="5"/>
  <c r="G77" i="8"/>
  <c r="I77" i="8"/>
  <c r="Z257" i="6"/>
  <c r="J78" i="6"/>
  <c r="AH193" i="2"/>
  <c r="AD10" i="2"/>
  <c r="AH169" i="2"/>
  <c r="AI193" i="2"/>
  <c r="U10" i="12"/>
  <c r="U257" i="12"/>
  <c r="AJ112" i="2"/>
  <c r="BH10" i="2"/>
  <c r="U10" i="9"/>
  <c r="U8" i="9"/>
  <c r="U259" i="9"/>
  <c r="U263" i="9"/>
  <c r="U258" i="2"/>
  <c r="AJ169" i="2"/>
  <c r="AI169" i="2"/>
  <c r="X110" i="2"/>
  <c r="AQ26" i="2"/>
  <c r="AU26" i="2"/>
  <c r="AI112" i="2"/>
  <c r="U10" i="8"/>
  <c r="U8" i="8"/>
  <c r="AJ14" i="2"/>
  <c r="Z8" i="9"/>
  <c r="Z259" i="9"/>
  <c r="Z263" i="9"/>
  <c r="I89" i="7"/>
  <c r="Z257" i="7"/>
  <c r="AI145" i="2"/>
  <c r="M21" i="2"/>
  <c r="M19" i="2"/>
  <c r="M17" i="2"/>
  <c r="AJ232" i="2"/>
  <c r="K8" i="7"/>
  <c r="AC257" i="7"/>
  <c r="H8" i="7"/>
  <c r="N106" i="6"/>
  <c r="M106" i="6"/>
  <c r="D74" i="9"/>
  <c r="D74" i="10"/>
  <c r="F74" i="10" s="1"/>
  <c r="M74" i="10" s="1"/>
  <c r="F74" i="8"/>
  <c r="E45" i="6"/>
  <c r="G105" i="5"/>
  <c r="AJ120" i="6"/>
  <c r="AI120" i="6"/>
  <c r="AH120" i="6"/>
  <c r="G41" i="6"/>
  <c r="I41" i="6"/>
  <c r="M41" i="5"/>
  <c r="V120" i="8"/>
  <c r="X120" i="7"/>
  <c r="D29" i="6"/>
  <c r="F30" i="6"/>
  <c r="X172" i="7"/>
  <c r="Y227" i="5"/>
  <c r="F87" i="7"/>
  <c r="F40" i="5"/>
  <c r="AE235" i="5"/>
  <c r="E60" i="6"/>
  <c r="D119" i="9"/>
  <c r="E63" i="6"/>
  <c r="X149" i="5"/>
  <c r="X147" i="5"/>
  <c r="N110" i="7"/>
  <c r="M110" i="7"/>
  <c r="V84" i="7"/>
  <c r="X84" i="6"/>
  <c r="X23" i="9"/>
  <c r="W58" i="6"/>
  <c r="W57" i="6"/>
  <c r="N74" i="7"/>
  <c r="M74" i="7"/>
  <c r="N91" i="6"/>
  <c r="M91" i="6"/>
  <c r="W197" i="7"/>
  <c r="W196" i="6"/>
  <c r="N99" i="6"/>
  <c r="M99" i="6"/>
  <c r="V142" i="7"/>
  <c r="X142" i="6"/>
  <c r="Y97" i="5"/>
  <c r="Y243" i="5"/>
  <c r="AQ27" i="2"/>
  <c r="V71" i="8"/>
  <c r="X71" i="7"/>
  <c r="E29" i="6"/>
  <c r="E12" i="7"/>
  <c r="E10" i="6"/>
  <c r="X99" i="7"/>
  <c r="AX11" i="7"/>
  <c r="AS11" i="7"/>
  <c r="F102" i="9"/>
  <c r="AE222" i="5"/>
  <c r="F100" i="6"/>
  <c r="AJ201" i="5"/>
  <c r="AH201" i="5"/>
  <c r="AI201" i="5"/>
  <c r="V40" i="6"/>
  <c r="X40" i="5"/>
  <c r="D31" i="7"/>
  <c r="F31" i="6"/>
  <c r="G82" i="5"/>
  <c r="D47" i="9"/>
  <c r="D47" i="10"/>
  <c r="D47" i="11" s="1"/>
  <c r="F70" i="6"/>
  <c r="D69" i="6"/>
  <c r="V197" i="7"/>
  <c r="X197" i="6"/>
  <c r="BN26" i="6"/>
  <c r="V67" i="6"/>
  <c r="X67" i="5"/>
  <c r="AE175" i="5"/>
  <c r="AE243" i="5"/>
  <c r="V124" i="7"/>
  <c r="X124" i="6"/>
  <c r="D116" i="8"/>
  <c r="F116" i="7"/>
  <c r="BH14" i="2"/>
  <c r="AQ30" i="2"/>
  <c r="D25" i="5"/>
  <c r="G61" i="5"/>
  <c r="F38" i="10"/>
  <c r="F38" i="8"/>
  <c r="X47" i="9"/>
  <c r="V205" i="7"/>
  <c r="V204" i="6"/>
  <c r="X205" i="6"/>
  <c r="E115" i="7"/>
  <c r="D80" i="7"/>
  <c r="F80" i="6"/>
  <c r="V49" i="6"/>
  <c r="X54" i="5"/>
  <c r="X49" i="5"/>
  <c r="AH63" i="2"/>
  <c r="V251" i="7"/>
  <c r="X251" i="6"/>
  <c r="Y142" i="5"/>
  <c r="AJ52" i="7"/>
  <c r="AI52" i="7"/>
  <c r="AH52" i="7"/>
  <c r="X17" i="8"/>
  <c r="F62" i="9"/>
  <c r="D50" i="9"/>
  <c r="D50" i="10"/>
  <c r="F50" i="10"/>
  <c r="F50" i="8"/>
  <c r="W243" i="7"/>
  <c r="W242" i="6"/>
  <c r="AE227" i="5"/>
  <c r="V132" i="8"/>
  <c r="X132" i="7"/>
  <c r="V171" i="7"/>
  <c r="V170" i="6"/>
  <c r="X171" i="6"/>
  <c r="V199" i="7"/>
  <c r="X199" i="6"/>
  <c r="X21" i="6"/>
  <c r="F33" i="6"/>
  <c r="AH214" i="5"/>
  <c r="AJ214" i="5"/>
  <c r="AI214" i="5"/>
  <c r="X248" i="9"/>
  <c r="AB106" i="5"/>
  <c r="D68" i="7"/>
  <c r="F68" i="6"/>
  <c r="X189" i="9"/>
  <c r="N107" i="7"/>
  <c r="M107" i="7"/>
  <c r="F96" i="6"/>
  <c r="F89" i="7"/>
  <c r="AJ246" i="5"/>
  <c r="AI246" i="5"/>
  <c r="AH246" i="5"/>
  <c r="G86" i="5"/>
  <c r="W49" i="6"/>
  <c r="W43" i="5"/>
  <c r="AJ193" i="2"/>
  <c r="Y106" i="5"/>
  <c r="AY24" i="2"/>
  <c r="AU24" i="2"/>
  <c r="AZ24" i="2"/>
  <c r="AV24" i="2"/>
  <c r="D35" i="5"/>
  <c r="F36" i="5"/>
  <c r="F58" i="6"/>
  <c r="V186" i="7"/>
  <c r="X186" i="6"/>
  <c r="D59" i="6"/>
  <c r="F59" i="5"/>
  <c r="F57" i="5"/>
  <c r="Y222" i="5"/>
  <c r="AE186" i="5"/>
  <c r="AQ13" i="6"/>
  <c r="AY13" i="6"/>
  <c r="N90" i="6"/>
  <c r="M90" i="6"/>
  <c r="AY23" i="2"/>
  <c r="AU23" i="2"/>
  <c r="AZ23" i="2"/>
  <c r="AV23" i="2"/>
  <c r="AE45" i="5"/>
  <c r="W20" i="6"/>
  <c r="W16" i="6"/>
  <c r="V134" i="8"/>
  <c r="X134" i="7"/>
  <c r="AJ116" i="6"/>
  <c r="AI116" i="6"/>
  <c r="AH116" i="6"/>
  <c r="N14" i="6"/>
  <c r="M14" i="6"/>
  <c r="AE97" i="5"/>
  <c r="AI232" i="2"/>
  <c r="W235" i="7"/>
  <c r="AR28" i="2"/>
  <c r="AD193" i="2"/>
  <c r="D123" i="8"/>
  <c r="F123" i="7"/>
  <c r="F76" i="6"/>
  <c r="V80" i="8"/>
  <c r="X80" i="7"/>
  <c r="X22" i="6"/>
  <c r="G58" i="5"/>
  <c r="X30" i="7"/>
  <c r="AJ148" i="6"/>
  <c r="Y81" i="6"/>
  <c r="AV12" i="5"/>
  <c r="AU12" i="5"/>
  <c r="D78" i="6"/>
  <c r="F79" i="6"/>
  <c r="W112" i="5"/>
  <c r="X26" i="8"/>
  <c r="V228" i="8"/>
  <c r="X228" i="7"/>
  <c r="F60" i="5"/>
  <c r="F52" i="7"/>
  <c r="E66" i="6"/>
  <c r="W70" i="7"/>
  <c r="W69" i="6"/>
  <c r="W65" i="6"/>
  <c r="F29" i="5"/>
  <c r="AX12" i="7"/>
  <c r="AJ145" i="2"/>
  <c r="W211" i="7"/>
  <c r="AJ32" i="6"/>
  <c r="AI32" i="6"/>
  <c r="AH32" i="6"/>
  <c r="AE171" i="5"/>
  <c r="F99" i="7"/>
  <c r="X27" i="5"/>
  <c r="V235" i="7"/>
  <c r="X235" i="6"/>
  <c r="Y59" i="5"/>
  <c r="G52" i="5"/>
  <c r="X92" i="6"/>
  <c r="AI87" i="6"/>
  <c r="AH87" i="6"/>
  <c r="AJ87" i="6"/>
  <c r="Y36" i="5"/>
  <c r="D51" i="7"/>
  <c r="W124" i="7"/>
  <c r="N117" i="8"/>
  <c r="M117" i="8"/>
  <c r="AE36" i="5"/>
  <c r="BK16" i="7"/>
  <c r="M56" i="6"/>
  <c r="N56" i="6"/>
  <c r="D44" i="6"/>
  <c r="F44" i="5"/>
  <c r="Y171" i="5"/>
  <c r="N120" i="6"/>
  <c r="M120" i="6"/>
  <c r="AJ212" i="5"/>
  <c r="AI212" i="5"/>
  <c r="AE81" i="6"/>
  <c r="W175" i="7"/>
  <c r="F26" i="6"/>
  <c r="F54" i="5"/>
  <c r="W84" i="7"/>
  <c r="W83" i="6"/>
  <c r="W91" i="6"/>
  <c r="V153" i="7"/>
  <c r="X153" i="6"/>
  <c r="AI51" i="5"/>
  <c r="AW11" i="7"/>
  <c r="AR11" i="7"/>
  <c r="G88" i="8"/>
  <c r="I88" i="8"/>
  <c r="X52" i="8"/>
  <c r="D34" i="6"/>
  <c r="D32" i="6"/>
  <c r="F34" i="5"/>
  <c r="F32" i="5"/>
  <c r="Y197" i="5"/>
  <c r="AJ152" i="7"/>
  <c r="AI152" i="7"/>
  <c r="AH152" i="7"/>
  <c r="W186" i="7"/>
  <c r="W185" i="6"/>
  <c r="W183" i="6"/>
  <c r="V214" i="7"/>
  <c r="X214" i="6"/>
  <c r="D72" i="5"/>
  <c r="F73" i="5"/>
  <c r="AI240" i="5"/>
  <c r="AJ240" i="5"/>
  <c r="AH240" i="5"/>
  <c r="Y150" i="5"/>
  <c r="AH78" i="5"/>
  <c r="AJ78" i="5"/>
  <c r="AI78" i="5"/>
  <c r="V243" i="7"/>
  <c r="X243" i="6"/>
  <c r="F107" i="8"/>
  <c r="BL8" i="7"/>
  <c r="AJ63" i="2"/>
  <c r="V246" i="7"/>
  <c r="X246" i="6"/>
  <c r="W205" i="7"/>
  <c r="W204" i="6"/>
  <c r="W44" i="6"/>
  <c r="AI181" i="7"/>
  <c r="AH181" i="7"/>
  <c r="AJ181" i="7"/>
  <c r="AE92" i="5"/>
  <c r="AI238" i="5"/>
  <c r="AH238" i="5"/>
  <c r="AJ238" i="5"/>
  <c r="D63" i="5"/>
  <c r="F64" i="5"/>
  <c r="AE205" i="5"/>
  <c r="F90" i="7"/>
  <c r="E54" i="6"/>
  <c r="V116" i="8"/>
  <c r="X116" i="7"/>
  <c r="D14" i="8"/>
  <c r="F14" i="7"/>
  <c r="N123" i="6"/>
  <c r="M123" i="6"/>
  <c r="AE197" i="5"/>
  <c r="AJ220" i="2"/>
  <c r="AE184" i="5"/>
  <c r="N41" i="6"/>
  <c r="AH112" i="2"/>
  <c r="V148" i="8"/>
  <c r="X148" i="7"/>
  <c r="AI81" i="5"/>
  <c r="V227" i="7"/>
  <c r="X227" i="6"/>
  <c r="W115" i="7"/>
  <c r="AH247" i="5"/>
  <c r="AJ247" i="5"/>
  <c r="AI247" i="5"/>
  <c r="Y153" i="5"/>
  <c r="AY12" i="5"/>
  <c r="AI31" i="6"/>
  <c r="F110" i="8"/>
  <c r="F91" i="7"/>
  <c r="G95" i="5"/>
  <c r="W8" i="2"/>
  <c r="W260" i="2"/>
  <c r="W264" i="2"/>
  <c r="W258" i="2"/>
  <c r="AI172" i="6"/>
  <c r="AH172" i="6"/>
  <c r="AJ172" i="6"/>
  <c r="X150" i="6"/>
  <c r="V149" i="6"/>
  <c r="V147" i="6"/>
  <c r="V150" i="7"/>
  <c r="N87" i="6"/>
  <c r="M87" i="6"/>
  <c r="F86" i="6"/>
  <c r="X28" i="5"/>
  <c r="D104" i="6"/>
  <c r="F105" i="6"/>
  <c r="AJ224" i="5"/>
  <c r="AH224" i="5"/>
  <c r="AI224" i="5"/>
  <c r="F106" i="7"/>
  <c r="AV13" i="5"/>
  <c r="AU13" i="5"/>
  <c r="X32" i="7"/>
  <c r="X50" i="6"/>
  <c r="D111" i="9"/>
  <c r="E78" i="6"/>
  <c r="V211" i="7"/>
  <c r="X211" i="6"/>
  <c r="V184" i="7"/>
  <c r="X184" i="6"/>
  <c r="I46" i="5"/>
  <c r="G45" i="5"/>
  <c r="E48" i="6"/>
  <c r="E57" i="6"/>
  <c r="N98" i="8"/>
  <c r="M98" i="8"/>
  <c r="F95" i="6"/>
  <c r="D27" i="6"/>
  <c r="D25" i="6"/>
  <c r="F27" i="5"/>
  <c r="V87" i="8"/>
  <c r="X87" i="7"/>
  <c r="E69" i="6"/>
  <c r="V222" i="7"/>
  <c r="X222" i="6"/>
  <c r="AI165" i="6"/>
  <c r="AH165" i="6"/>
  <c r="AJ165" i="6"/>
  <c r="AI74" i="7"/>
  <c r="AH74" i="7"/>
  <c r="AJ74" i="7"/>
  <c r="D45" i="5"/>
  <c r="F46" i="5"/>
  <c r="N108" i="6"/>
  <c r="M108" i="6"/>
  <c r="F69" i="5"/>
  <c r="W36" i="7"/>
  <c r="AJ254" i="5"/>
  <c r="AI254" i="5"/>
  <c r="AH254" i="5"/>
  <c r="Y211" i="5"/>
  <c r="E94" i="6"/>
  <c r="X45" i="5"/>
  <c r="V44" i="5"/>
  <c r="V43" i="5"/>
  <c r="V70" i="6"/>
  <c r="V69" i="5"/>
  <c r="V65" i="5"/>
  <c r="X70" i="5"/>
  <c r="Y84" i="5"/>
  <c r="F117" i="9"/>
  <c r="W184" i="7"/>
  <c r="AJ38" i="7"/>
  <c r="AI38" i="7"/>
  <c r="AH38" i="7"/>
  <c r="D56" i="8"/>
  <c r="F56" i="7"/>
  <c r="D66" i="5"/>
  <c r="F67" i="5"/>
  <c r="D120" i="8"/>
  <c r="F120" i="7"/>
  <c r="V212" i="7"/>
  <c r="X212" i="6"/>
  <c r="AJ19" i="6"/>
  <c r="AI19" i="6"/>
  <c r="AH19" i="6"/>
  <c r="Y235" i="5"/>
  <c r="V36" i="6"/>
  <c r="V35" i="5"/>
  <c r="X36" i="5"/>
  <c r="X51" i="6"/>
  <c r="G12" i="5"/>
  <c r="G73" i="5"/>
  <c r="Y70" i="5"/>
  <c r="E22" i="5"/>
  <c r="AV29" i="2"/>
  <c r="AZ29" i="2"/>
  <c r="AU29" i="2"/>
  <c r="W221" i="6"/>
  <c r="W222" i="7"/>
  <c r="V152" i="9"/>
  <c r="V152" i="10"/>
  <c r="V152" i="11"/>
  <c r="X152" i="8"/>
  <c r="V20" i="5"/>
  <c r="V16" i="5"/>
  <c r="AW22" i="5"/>
  <c r="AJ163" i="7"/>
  <c r="AI163" i="7"/>
  <c r="AH163" i="7"/>
  <c r="AI126" i="5"/>
  <c r="AH126" i="5"/>
  <c r="AJ126" i="5"/>
  <c r="N15" i="8"/>
  <c r="V240" i="7"/>
  <c r="X240" i="6"/>
  <c r="V78" i="7"/>
  <c r="X78" i="6"/>
  <c r="G55" i="5"/>
  <c r="AW17" i="2"/>
  <c r="I64" i="5"/>
  <c r="G63" i="5"/>
  <c r="E32" i="6"/>
  <c r="Y18" i="7"/>
  <c r="AA18" i="7"/>
  <c r="BO11" i="7"/>
  <c r="X97" i="6"/>
  <c r="V151" i="9"/>
  <c r="V151" i="10"/>
  <c r="V151" i="11" s="1"/>
  <c r="V151" i="12" s="1"/>
  <c r="V175" i="7"/>
  <c r="X175" i="6"/>
  <c r="V130" i="8"/>
  <c r="X130" i="7"/>
  <c r="AH255" i="5"/>
  <c r="AJ255" i="5"/>
  <c r="AI255" i="5"/>
  <c r="V181" i="9"/>
  <c r="V181" i="10"/>
  <c r="X181" i="8"/>
  <c r="Y45" i="5"/>
  <c r="V238" i="7"/>
  <c r="X238" i="6"/>
  <c r="V73" i="6"/>
  <c r="X73" i="5"/>
  <c r="F82" i="6"/>
  <c r="D81" i="6"/>
  <c r="N71" i="5"/>
  <c r="V68" i="6"/>
  <c r="X68" i="5"/>
  <c r="AJ206" i="5"/>
  <c r="AI206" i="5"/>
  <c r="AH206" i="5"/>
  <c r="AE106" i="5"/>
  <c r="AJ216" i="5"/>
  <c r="AI216" i="5"/>
  <c r="AH216" i="5"/>
  <c r="E72" i="6"/>
  <c r="AJ81" i="5"/>
  <c r="V250" i="7"/>
  <c r="X250" i="6"/>
  <c r="F78" i="5"/>
  <c r="Y115" i="5"/>
  <c r="N118" i="6"/>
  <c r="M118" i="6"/>
  <c r="X60" i="6"/>
  <c r="V247" i="7"/>
  <c r="X247" i="6"/>
  <c r="AI166" i="7"/>
  <c r="AJ166" i="7"/>
  <c r="F61" i="6"/>
  <c r="D60" i="6"/>
  <c r="X31" i="7"/>
  <c r="V128" i="8"/>
  <c r="AX13" i="7"/>
  <c r="AS13" i="7"/>
  <c r="Y17" i="7"/>
  <c r="AA17" i="7"/>
  <c r="BO10" i="7"/>
  <c r="AJ23" i="8"/>
  <c r="AI23" i="8"/>
  <c r="AH23" i="8"/>
  <c r="V224" i="7"/>
  <c r="X224" i="6"/>
  <c r="V203" i="7"/>
  <c r="X203" i="6"/>
  <c r="AE17" i="7"/>
  <c r="AG17" i="7"/>
  <c r="AJ17" i="7"/>
  <c r="BP11" i="6"/>
  <c r="Y205" i="5"/>
  <c r="D124" i="8"/>
  <c r="W150" i="7"/>
  <c r="W149" i="6"/>
  <c r="W147" i="6"/>
  <c r="Y92" i="5"/>
  <c r="AE70" i="5"/>
  <c r="AJ71" i="6"/>
  <c r="AI71" i="6"/>
  <c r="F98" i="9"/>
  <c r="AI99" i="6"/>
  <c r="AH99" i="6"/>
  <c r="AJ99" i="6"/>
  <c r="N102" i="8"/>
  <c r="M102" i="8"/>
  <c r="AX17" i="2"/>
  <c r="G115" i="5"/>
  <c r="N100" i="5"/>
  <c r="AJ17" i="6"/>
  <c r="V8" i="2"/>
  <c r="V260" i="2"/>
  <c r="V264" i="2"/>
  <c r="V258" i="2"/>
  <c r="V201" i="7"/>
  <c r="X201" i="6"/>
  <c r="V81" i="8"/>
  <c r="X81" i="7"/>
  <c r="X165" i="7"/>
  <c r="V74" i="9"/>
  <c r="V74" i="10"/>
  <c r="X74" i="10" s="1"/>
  <c r="X74" i="8"/>
  <c r="N31" i="5"/>
  <c r="M31" i="5"/>
  <c r="F108" i="7"/>
  <c r="AE50" i="5"/>
  <c r="V254" i="7"/>
  <c r="X254" i="6"/>
  <c r="E81" i="6"/>
  <c r="AZ13" i="5"/>
  <c r="G76" i="5"/>
  <c r="D53" i="8"/>
  <c r="V58" i="6"/>
  <c r="X59" i="6"/>
  <c r="V38" i="9"/>
  <c r="X38" i="8"/>
  <c r="AE84" i="5"/>
  <c r="X33" i="5"/>
  <c r="N116" i="6"/>
  <c r="M116" i="6"/>
  <c r="D22" i="5"/>
  <c r="F23" i="5"/>
  <c r="W227" i="7"/>
  <c r="W226" i="6"/>
  <c r="BC11" i="5"/>
  <c r="X19" i="7"/>
  <c r="D54" i="6"/>
  <c r="F55" i="6"/>
  <c r="M38" i="7"/>
  <c r="N38" i="7"/>
  <c r="W170" i="6"/>
  <c r="W171" i="7"/>
  <c r="AI47" i="8"/>
  <c r="AH47" i="8"/>
  <c r="AJ47" i="8"/>
  <c r="X204" i="5"/>
  <c r="M80" i="5"/>
  <c r="N80" i="5"/>
  <c r="D115" i="7"/>
  <c r="F115" i="6"/>
  <c r="AH251" i="5"/>
  <c r="AJ251" i="5"/>
  <c r="AI251" i="5"/>
  <c r="N62" i="8"/>
  <c r="N50" i="7"/>
  <c r="M50" i="7"/>
  <c r="X29" i="5"/>
  <c r="AI132" i="6"/>
  <c r="AH132" i="6"/>
  <c r="AJ132" i="6"/>
  <c r="X170" i="5"/>
  <c r="W141" i="6"/>
  <c r="W142" i="7"/>
  <c r="W219" i="5"/>
  <c r="AH199" i="5"/>
  <c r="AJ199" i="5"/>
  <c r="AI199" i="5"/>
  <c r="X115" i="6"/>
  <c r="V115" i="7"/>
  <c r="AR22" i="6"/>
  <c r="BP10" i="7"/>
  <c r="D32" i="5"/>
  <c r="X163" i="8"/>
  <c r="V126" i="7"/>
  <c r="X126" i="6"/>
  <c r="BN19" i="6"/>
  <c r="E42" i="6"/>
  <c r="G70" i="5"/>
  <c r="G49" i="5"/>
  <c r="T33" i="7"/>
  <c r="F15" i="9"/>
  <c r="F49" i="5"/>
  <c r="D48" i="5"/>
  <c r="AI189" i="8"/>
  <c r="AH189" i="8"/>
  <c r="AJ189" i="8"/>
  <c r="V119" i="9"/>
  <c r="V119" i="10"/>
  <c r="V119" i="11" s="1"/>
  <c r="V119" i="12" s="1"/>
  <c r="V119" i="13" s="1"/>
  <c r="C126" i="5"/>
  <c r="C130" i="5"/>
  <c r="Q128" i="6"/>
  <c r="P128" i="6"/>
  <c r="B24" i="7"/>
  <c r="D13" i="6"/>
  <c r="D10" i="6"/>
  <c r="F13" i="5"/>
  <c r="N89" i="6"/>
  <c r="M89" i="6"/>
  <c r="AQ12" i="6"/>
  <c r="F43" i="5"/>
  <c r="D42" i="5"/>
  <c r="AJ130" i="6"/>
  <c r="AI130" i="6"/>
  <c r="AH130" i="6"/>
  <c r="AE211" i="5"/>
  <c r="V255" i="7"/>
  <c r="X255" i="6"/>
  <c r="E75" i="7"/>
  <c r="V105" i="6"/>
  <c r="X106" i="6"/>
  <c r="D37" i="8"/>
  <c r="D92" i="8"/>
  <c r="F92" i="7"/>
  <c r="G90" i="8"/>
  <c r="I90" i="8"/>
  <c r="AW13" i="7"/>
  <c r="AR13" i="7"/>
  <c r="D71" i="7"/>
  <c r="F71" i="6"/>
  <c r="AJ134" i="6"/>
  <c r="AI134" i="6"/>
  <c r="AH134" i="6"/>
  <c r="V206" i="7"/>
  <c r="X206" i="6"/>
  <c r="E85" i="6"/>
  <c r="AE21" i="5"/>
  <c r="V216" i="7"/>
  <c r="X216" i="6"/>
  <c r="AH80" i="6"/>
  <c r="AJ80" i="6"/>
  <c r="AI80" i="6"/>
  <c r="AH22" i="5"/>
  <c r="AJ22" i="5"/>
  <c r="AI22" i="5"/>
  <c r="D12" i="7"/>
  <c r="F12" i="6"/>
  <c r="AH30" i="6"/>
  <c r="AJ30" i="6"/>
  <c r="AI30" i="6"/>
  <c r="N79" i="5"/>
  <c r="D118" i="8"/>
  <c r="F118" i="7"/>
  <c r="AJ26" i="7"/>
  <c r="AI26" i="7"/>
  <c r="AH26" i="7"/>
  <c r="X166" i="8"/>
  <c r="AH108" i="11"/>
  <c r="L55" i="14"/>
  <c r="AD262" i="4"/>
  <c r="AE157" i="7"/>
  <c r="BN12" i="4"/>
  <c r="BN9" i="4"/>
  <c r="AG262" i="4"/>
  <c r="X157" i="5"/>
  <c r="X155" i="5"/>
  <c r="AJ166" i="6"/>
  <c r="X261" i="5"/>
  <c r="BN31" i="5"/>
  <c r="BH15" i="5"/>
  <c r="BC19" i="5"/>
  <c r="BN16" i="5"/>
  <c r="M92" i="5"/>
  <c r="AA262" i="4"/>
  <c r="V12" i="4"/>
  <c r="X155" i="4"/>
  <c r="BN15" i="4"/>
  <c r="BN17" i="5"/>
  <c r="W261" i="7"/>
  <c r="V155" i="5"/>
  <c r="V145" i="5"/>
  <c r="E8" i="4"/>
  <c r="E126" i="4"/>
  <c r="E130" i="4"/>
  <c r="AH166" i="7"/>
  <c r="BO31" i="4"/>
  <c r="BI15" i="4"/>
  <c r="BN11" i="5"/>
  <c r="Y255" i="6"/>
  <c r="AE255" i="6"/>
  <c r="AJ31" i="6"/>
  <c r="I128" i="4"/>
  <c r="Y176" i="9"/>
  <c r="AA176" i="9"/>
  <c r="BO23" i="9"/>
  <c r="BP16" i="4"/>
  <c r="BP15" i="4"/>
  <c r="BP23" i="9"/>
  <c r="V261" i="6"/>
  <c r="Y254" i="9"/>
  <c r="AA254" i="9"/>
  <c r="Y254" i="10"/>
  <c r="AA254" i="10"/>
  <c r="AI248" i="8"/>
  <c r="AJ248" i="8"/>
  <c r="AA196" i="4"/>
  <c r="BO28" i="4"/>
  <c r="AD196" i="4"/>
  <c r="BP28" i="4"/>
  <c r="X196" i="4"/>
  <c r="BN28" i="4"/>
  <c r="X210" i="4"/>
  <c r="X209" i="4"/>
  <c r="BN27" i="4"/>
  <c r="X221" i="5"/>
  <c r="BK12" i="5"/>
  <c r="BK16" i="5"/>
  <c r="AE110" i="4"/>
  <c r="N75" i="4"/>
  <c r="X188" i="9"/>
  <c r="V188" i="10"/>
  <c r="X188" i="10" s="1"/>
  <c r="AJ188" i="8"/>
  <c r="AI188" i="8"/>
  <c r="AH188" i="8"/>
  <c r="M92" i="6"/>
  <c r="V168" i="5"/>
  <c r="BK12" i="6"/>
  <c r="BK16" i="6"/>
  <c r="AJ250" i="5"/>
  <c r="AS30" i="4"/>
  <c r="AX30" i="4"/>
  <c r="AH250" i="5"/>
  <c r="AJ171" i="4"/>
  <c r="W14" i="5"/>
  <c r="AE193" i="4"/>
  <c r="N133" i="4"/>
  <c r="AJ218" i="4"/>
  <c r="Y175" i="5"/>
  <c r="Y174" i="5"/>
  <c r="AI31" i="5"/>
  <c r="Y118" i="7"/>
  <c r="AA118" i="7"/>
  <c r="BJ13" i="4"/>
  <c r="V10" i="4"/>
  <c r="AH218" i="4"/>
  <c r="AH33" i="4"/>
  <c r="AH262" i="4"/>
  <c r="AD16" i="4"/>
  <c r="BP12" i="4"/>
  <c r="BP9" i="4"/>
  <c r="BJ15" i="4"/>
  <c r="Y124" i="5"/>
  <c r="Y123" i="5"/>
  <c r="BI14" i="4"/>
  <c r="AJ31" i="5"/>
  <c r="AI218" i="4"/>
  <c r="X58" i="5"/>
  <c r="X57" i="5"/>
  <c r="AI18" i="5"/>
  <c r="X234" i="4"/>
  <c r="X232" i="4"/>
  <c r="AH228" i="6"/>
  <c r="AJ228" i="6"/>
  <c r="D128" i="6"/>
  <c r="V38" i="10"/>
  <c r="M117" i="10"/>
  <c r="X41" i="11"/>
  <c r="AI41" i="11" s="1"/>
  <c r="F25" i="5"/>
  <c r="AQ8" i="5"/>
  <c r="F128" i="5"/>
  <c r="E27" i="7"/>
  <c r="E25" i="7"/>
  <c r="E128" i="6"/>
  <c r="F126" i="3"/>
  <c r="F130" i="3"/>
  <c r="AU17" i="3"/>
  <c r="AV17" i="3"/>
  <c r="I8" i="3"/>
  <c r="B5" i="3"/>
  <c r="AA258" i="3"/>
  <c r="BO33" i="3"/>
  <c r="AU14" i="3"/>
  <c r="AJ23" i="10"/>
  <c r="AQ31" i="3"/>
  <c r="AH203" i="5"/>
  <c r="AH60" i="5"/>
  <c r="AQ9" i="4"/>
  <c r="AZ9" i="4"/>
  <c r="Y20" i="5"/>
  <c r="BC18" i="5"/>
  <c r="V112" i="5"/>
  <c r="AI203" i="5"/>
  <c r="I79" i="5"/>
  <c r="G79" i="6"/>
  <c r="I79" i="6"/>
  <c r="M79" i="6"/>
  <c r="V90" i="5"/>
  <c r="V63" i="5"/>
  <c r="N96" i="5"/>
  <c r="AD145" i="4"/>
  <c r="F81" i="5"/>
  <c r="F94" i="5"/>
  <c r="AI227" i="4"/>
  <c r="X169" i="4"/>
  <c r="D113" i="6"/>
  <c r="X163" i="11"/>
  <c r="AJ163" i="11" s="1"/>
  <c r="V57" i="6"/>
  <c r="D28" i="5"/>
  <c r="AH20" i="4"/>
  <c r="AR16" i="4"/>
  <c r="AW16" i="4"/>
  <c r="AE217" i="5"/>
  <c r="AG210" i="4"/>
  <c r="AG209" i="4"/>
  <c r="AS29" i="4"/>
  <c r="AX29" i="4"/>
  <c r="AD210" i="4"/>
  <c r="AD209" i="4"/>
  <c r="BP27" i="4"/>
  <c r="BP25" i="4"/>
  <c r="Y217" i="5"/>
  <c r="Y172" i="11"/>
  <c r="AA172" i="11" s="1"/>
  <c r="Y172" i="12" s="1"/>
  <c r="AA172" i="12" s="1"/>
  <c r="Y172" i="13" s="1"/>
  <c r="AA172" i="13" s="1"/>
  <c r="Y193" i="4"/>
  <c r="Y143" i="11"/>
  <c r="AA143" i="11"/>
  <c r="Y143" i="12" s="1"/>
  <c r="AA143" i="12" s="1"/>
  <c r="Y143" i="13" s="1"/>
  <c r="AA143" i="13" s="1"/>
  <c r="AZ9" i="2"/>
  <c r="AY9" i="2"/>
  <c r="BL7" i="7"/>
  <c r="AB110" i="4"/>
  <c r="AJ166" i="11"/>
  <c r="AH166" i="11"/>
  <c r="AJ161" i="11"/>
  <c r="AH161" i="11"/>
  <c r="AH23" i="11"/>
  <c r="AI23" i="11"/>
  <c r="AJ23" i="11"/>
  <c r="W41" i="12"/>
  <c r="W41" i="13" s="1"/>
  <c r="X26" i="10"/>
  <c r="AI26" i="10" s="1"/>
  <c r="AH26" i="10"/>
  <c r="V74" i="11"/>
  <c r="W214" i="13"/>
  <c r="AI52" i="10"/>
  <c r="AJ44" i="4"/>
  <c r="V83" i="6"/>
  <c r="AI248" i="10"/>
  <c r="X17" i="10"/>
  <c r="AJ17" i="10" s="1"/>
  <c r="X210" i="5"/>
  <c r="BN27" i="5"/>
  <c r="W157" i="6"/>
  <c r="W155" i="6"/>
  <c r="AG145" i="4"/>
  <c r="AG110" i="4"/>
  <c r="AH227" i="4"/>
  <c r="M81" i="4"/>
  <c r="AU25" i="2"/>
  <c r="BN8" i="2"/>
  <c r="BN7" i="2"/>
  <c r="BN32" i="2"/>
  <c r="AV25" i="2"/>
  <c r="M22" i="4"/>
  <c r="AY25" i="2"/>
  <c r="AH222" i="4"/>
  <c r="E104" i="6"/>
  <c r="X114" i="5"/>
  <c r="X166" i="10"/>
  <c r="AJ166" i="10"/>
  <c r="V234" i="6"/>
  <c r="V233" i="6"/>
  <c r="X112" i="4"/>
  <c r="V96" i="6"/>
  <c r="AB63" i="4"/>
  <c r="W63" i="5"/>
  <c r="AI125" i="5"/>
  <c r="E113" i="6"/>
  <c r="X163" i="10"/>
  <c r="AJ227" i="4"/>
  <c r="AJ220" i="4"/>
  <c r="N83" i="5"/>
  <c r="X152" i="10"/>
  <c r="AI152" i="10" s="1"/>
  <c r="AH125" i="5"/>
  <c r="AQ28" i="2"/>
  <c r="AZ28" i="2"/>
  <c r="M75" i="4"/>
  <c r="AJ20" i="4"/>
  <c r="X104" i="5"/>
  <c r="Y63" i="4"/>
  <c r="V91" i="6"/>
  <c r="X83" i="5"/>
  <c r="X96" i="5"/>
  <c r="V242" i="6"/>
  <c r="X196" i="5"/>
  <c r="BN28" i="5"/>
  <c r="N104" i="4"/>
  <c r="AJ57" i="4"/>
  <c r="AJ35" i="4"/>
  <c r="AH35" i="4"/>
  <c r="G28" i="4"/>
  <c r="G21" i="4"/>
  <c r="G19" i="4"/>
  <c r="G17" i="4"/>
  <c r="BH9" i="4"/>
  <c r="V231" i="5"/>
  <c r="V219" i="6"/>
  <c r="AD43" i="4"/>
  <c r="X90" i="4"/>
  <c r="X63" i="4"/>
  <c r="N63" i="4"/>
  <c r="AJ104" i="4"/>
  <c r="G43" i="5"/>
  <c r="G42" i="5"/>
  <c r="N29" i="4"/>
  <c r="AI211" i="4"/>
  <c r="AI60" i="5"/>
  <c r="AJ33" i="4"/>
  <c r="M113" i="4"/>
  <c r="V174" i="6"/>
  <c r="AH235" i="4"/>
  <c r="AH234" i="4"/>
  <c r="W110" i="5"/>
  <c r="AH197" i="4"/>
  <c r="AH196" i="4"/>
  <c r="AH195" i="4"/>
  <c r="X91" i="5"/>
  <c r="BF22" i="4"/>
  <c r="X234" i="5"/>
  <c r="BN29" i="5"/>
  <c r="AZ15" i="4"/>
  <c r="BC20" i="5"/>
  <c r="AJ96" i="4"/>
  <c r="AI57" i="4"/>
  <c r="X174" i="5"/>
  <c r="X168" i="5"/>
  <c r="BN24" i="5"/>
  <c r="V114" i="6"/>
  <c r="AU15" i="4"/>
  <c r="X123" i="5"/>
  <c r="AB14" i="4"/>
  <c r="AI114" i="4"/>
  <c r="V14" i="5"/>
  <c r="AH96" i="4"/>
  <c r="AQ24" i="4"/>
  <c r="AZ24" i="4"/>
  <c r="AA90" i="4"/>
  <c r="G29" i="5"/>
  <c r="AJ83" i="4"/>
  <c r="N85" i="4"/>
  <c r="Y110" i="4"/>
  <c r="N113" i="4"/>
  <c r="AI83" i="4"/>
  <c r="BK16" i="2"/>
  <c r="BL16" i="4"/>
  <c r="D107" i="10"/>
  <c r="F107" i="10"/>
  <c r="M107" i="10" s="1"/>
  <c r="F107" i="11"/>
  <c r="D124" i="11"/>
  <c r="D124" i="10"/>
  <c r="AS13" i="8"/>
  <c r="AX13" i="8"/>
  <c r="E21" i="5"/>
  <c r="E19" i="5"/>
  <c r="E17" i="5"/>
  <c r="E8" i="5"/>
  <c r="E126" i="5"/>
  <c r="E130" i="5"/>
  <c r="D120" i="11"/>
  <c r="F120" i="11"/>
  <c r="N120" i="11" s="1"/>
  <c r="D120" i="10"/>
  <c r="F120" i="10"/>
  <c r="N120" i="10" s="1"/>
  <c r="D110" i="10"/>
  <c r="F110" i="10" s="1"/>
  <c r="M110" i="10" s="1"/>
  <c r="F110" i="11"/>
  <c r="F113" i="5"/>
  <c r="AQ15" i="5"/>
  <c r="AG8" i="2"/>
  <c r="AG260" i="2"/>
  <c r="AG264" i="2"/>
  <c r="U8" i="12"/>
  <c r="U259" i="12"/>
  <c r="U263" i="12"/>
  <c r="M94" i="4"/>
  <c r="AJ197" i="4"/>
  <c r="AJ196" i="4"/>
  <c r="AJ195" i="4"/>
  <c r="AI20" i="4"/>
  <c r="M42" i="4"/>
  <c r="AH157" i="4"/>
  <c r="AH155" i="4"/>
  <c r="AH145" i="4"/>
  <c r="M104" i="4"/>
  <c r="E124" i="7"/>
  <c r="F124" i="6"/>
  <c r="BK16" i="8"/>
  <c r="BL7" i="8"/>
  <c r="P55" i="14"/>
  <c r="F106" i="11"/>
  <c r="D106" i="10"/>
  <c r="F106" i="10"/>
  <c r="AR13" i="8"/>
  <c r="AW13" i="8"/>
  <c r="V104" i="6"/>
  <c r="AE33" i="5"/>
  <c r="AR11" i="8"/>
  <c r="AW11" i="8"/>
  <c r="AS12" i="8"/>
  <c r="AX12" i="8"/>
  <c r="D123" i="11"/>
  <c r="F123" i="11"/>
  <c r="D123" i="10"/>
  <c r="F123" i="10"/>
  <c r="N123" i="10" s="1"/>
  <c r="BC13" i="5"/>
  <c r="D116" i="11"/>
  <c r="D116" i="10"/>
  <c r="G89" i="8"/>
  <c r="I89" i="8"/>
  <c r="G89" i="9"/>
  <c r="I89" i="9"/>
  <c r="AR12" i="7"/>
  <c r="AG16" i="4"/>
  <c r="AS23" i="4"/>
  <c r="AX23" i="4"/>
  <c r="N57" i="4"/>
  <c r="M85" i="4"/>
  <c r="BL10" i="7"/>
  <c r="BL10" i="11"/>
  <c r="BL10" i="8"/>
  <c r="BL10" i="12"/>
  <c r="BL10" i="9"/>
  <c r="BL7" i="9"/>
  <c r="BK7" i="12"/>
  <c r="BL8" i="12"/>
  <c r="D111" i="10"/>
  <c r="D111" i="11"/>
  <c r="D118" i="11"/>
  <c r="F118" i="11"/>
  <c r="N118" i="11" s="1"/>
  <c r="D118" i="10"/>
  <c r="F118" i="10"/>
  <c r="Y33" i="5"/>
  <c r="K24" i="14"/>
  <c r="AQ12" i="7"/>
  <c r="AS11" i="8"/>
  <c r="AX11" i="8"/>
  <c r="AI33" i="4"/>
  <c r="AH114" i="4"/>
  <c r="BD13" i="4"/>
  <c r="AI91" i="4"/>
  <c r="V196" i="6"/>
  <c r="V195" i="6"/>
  <c r="V194" i="6"/>
  <c r="V192" i="6"/>
  <c r="AJ157" i="4"/>
  <c r="AJ155" i="4"/>
  <c r="AJ145" i="4"/>
  <c r="AE206" i="10"/>
  <c r="AG206" i="10"/>
  <c r="AE206" i="11" s="1"/>
  <c r="AG206" i="11" s="1"/>
  <c r="AE206" i="12" s="1"/>
  <c r="AG206" i="12" s="1"/>
  <c r="M124" i="5"/>
  <c r="N124" i="5"/>
  <c r="E34" i="11"/>
  <c r="E34" i="12" s="1"/>
  <c r="E34" i="13" s="1"/>
  <c r="AE224" i="10"/>
  <c r="AG224" i="10"/>
  <c r="AA224" i="8"/>
  <c r="G34" i="9"/>
  <c r="I34" i="9"/>
  <c r="G34" i="10"/>
  <c r="I34" i="10"/>
  <c r="G34" i="11" s="1"/>
  <c r="I34" i="11" s="1"/>
  <c r="G34" i="12" s="1"/>
  <c r="I34" i="12" s="1"/>
  <c r="G34" i="13" s="1"/>
  <c r="W12" i="4"/>
  <c r="W10" i="4"/>
  <c r="W8" i="4"/>
  <c r="W260" i="4"/>
  <c r="W264" i="4"/>
  <c r="I24" i="7"/>
  <c r="AJ51" i="5"/>
  <c r="D126" i="4"/>
  <c r="D130" i="4"/>
  <c r="BH11" i="2"/>
  <c r="BH7" i="2"/>
  <c r="BH16" i="2"/>
  <c r="BH17" i="2"/>
  <c r="M53" i="5"/>
  <c r="AI245" i="5"/>
  <c r="AJ245" i="5"/>
  <c r="AH245" i="5"/>
  <c r="X215" i="6"/>
  <c r="V215" i="7"/>
  <c r="V210" i="7"/>
  <c r="V209" i="7"/>
  <c r="V208" i="7"/>
  <c r="W213" i="7"/>
  <c r="W210" i="7"/>
  <c r="W209" i="7"/>
  <c r="W208" i="7"/>
  <c r="X213" i="6"/>
  <c r="M109" i="5"/>
  <c r="N109" i="5"/>
  <c r="D94" i="7"/>
  <c r="F97" i="6"/>
  <c r="F94" i="6"/>
  <c r="V217" i="8"/>
  <c r="X217" i="7"/>
  <c r="X133" i="6"/>
  <c r="V133" i="7"/>
  <c r="V190" i="7"/>
  <c r="X190" i="6"/>
  <c r="AQ7" i="4"/>
  <c r="F21" i="4"/>
  <c r="F19" i="4"/>
  <c r="AH138" i="5"/>
  <c r="AJ138" i="5"/>
  <c r="AI138" i="5"/>
  <c r="AJ235" i="4"/>
  <c r="AJ234" i="4"/>
  <c r="AI118" i="5"/>
  <c r="AH118" i="5"/>
  <c r="AJ118" i="5"/>
  <c r="AJ121" i="5"/>
  <c r="AH121" i="5"/>
  <c r="AI121" i="5"/>
  <c r="M26" i="4"/>
  <c r="M25" i="4"/>
  <c r="I25" i="4"/>
  <c r="AR8" i="4"/>
  <c r="AU8" i="4"/>
  <c r="BD11" i="4"/>
  <c r="AW8" i="4"/>
  <c r="AY8" i="4"/>
  <c r="G26" i="5"/>
  <c r="AH119" i="5"/>
  <c r="AJ119" i="5"/>
  <c r="AI119" i="5"/>
  <c r="V72" i="7"/>
  <c r="X72" i="6"/>
  <c r="AJ107" i="5"/>
  <c r="AH107" i="5"/>
  <c r="AI107" i="5"/>
  <c r="G15" i="7"/>
  <c r="I15" i="7"/>
  <c r="M15" i="6"/>
  <c r="V187" i="7"/>
  <c r="V185" i="7"/>
  <c r="X187" i="6"/>
  <c r="X185" i="6"/>
  <c r="D24" i="7"/>
  <c r="F24" i="6"/>
  <c r="I35" i="4"/>
  <c r="M36" i="4"/>
  <c r="M35" i="4"/>
  <c r="AH25" i="5"/>
  <c r="AJ25" i="5"/>
  <c r="AI25" i="5"/>
  <c r="X95" i="6"/>
  <c r="X159" i="6"/>
  <c r="L45" i="4"/>
  <c r="AX14" i="4"/>
  <c r="N46" i="4"/>
  <c r="N45" i="4"/>
  <c r="AD123" i="4"/>
  <c r="AD112" i="4"/>
  <c r="AD110" i="4"/>
  <c r="AI124" i="4"/>
  <c r="AI123" i="4"/>
  <c r="AI202" i="5"/>
  <c r="AH202" i="5"/>
  <c r="AJ202" i="5"/>
  <c r="AA195" i="4"/>
  <c r="V253" i="7"/>
  <c r="X253" i="6"/>
  <c r="X108" i="6"/>
  <c r="N81" i="4"/>
  <c r="AI157" i="4"/>
  <c r="AI155" i="4"/>
  <c r="AI145" i="4"/>
  <c r="X53" i="7"/>
  <c r="V79" i="7"/>
  <c r="X79" i="6"/>
  <c r="X137" i="6"/>
  <c r="V137" i="7"/>
  <c r="AJ177" i="5"/>
  <c r="AI177" i="5"/>
  <c r="AH177" i="5"/>
  <c r="N122" i="5"/>
  <c r="AJ236" i="5"/>
  <c r="AI236" i="5"/>
  <c r="AH236" i="5"/>
  <c r="AJ178" i="5"/>
  <c r="AH178" i="5"/>
  <c r="AI178" i="5"/>
  <c r="V200" i="7"/>
  <c r="X200" i="6"/>
  <c r="AE51" i="10"/>
  <c r="AG51" i="10"/>
  <c r="AE51" i="11" s="1"/>
  <c r="AG51" i="11" s="1"/>
  <c r="AE51" i="12" s="1"/>
  <c r="AG51" i="12" s="1"/>
  <c r="G62" i="5"/>
  <c r="M62" i="4"/>
  <c r="M60" i="4"/>
  <c r="I60" i="4"/>
  <c r="V219" i="5"/>
  <c r="I42" i="4"/>
  <c r="AR10" i="4"/>
  <c r="AU10" i="4"/>
  <c r="BD16" i="4"/>
  <c r="AW10" i="4"/>
  <c r="AY10" i="4"/>
  <c r="V180" i="7"/>
  <c r="X180" i="6"/>
  <c r="X100" i="6"/>
  <c r="AH104" i="4"/>
  <c r="AH156" i="5"/>
  <c r="AJ156" i="5"/>
  <c r="AI156" i="5"/>
  <c r="AJ69" i="4"/>
  <c r="AJ65" i="4"/>
  <c r="AJ128" i="5"/>
  <c r="AI128" i="5"/>
  <c r="AH128" i="5"/>
  <c r="AI88" i="5"/>
  <c r="AH88" i="5"/>
  <c r="AJ88" i="5"/>
  <c r="W136" i="8"/>
  <c r="X136" i="7"/>
  <c r="N39" i="5"/>
  <c r="M39" i="5"/>
  <c r="AI129" i="5"/>
  <c r="AJ129" i="5"/>
  <c r="AH129" i="5"/>
  <c r="X158" i="6"/>
  <c r="AJ252" i="5"/>
  <c r="AI252" i="5"/>
  <c r="AH252" i="5"/>
  <c r="V39" i="7"/>
  <c r="X39" i="6"/>
  <c r="AD195" i="4"/>
  <c r="V249" i="7"/>
  <c r="X249" i="6"/>
  <c r="M111" i="5"/>
  <c r="N111" i="5"/>
  <c r="AI76" i="5"/>
  <c r="AH76" i="5"/>
  <c r="AJ76" i="5"/>
  <c r="F101" i="7"/>
  <c r="X61" i="6"/>
  <c r="AQ23" i="4"/>
  <c r="V183" i="6"/>
  <c r="M38" i="10"/>
  <c r="N38" i="10"/>
  <c r="V123" i="6"/>
  <c r="F104" i="5"/>
  <c r="V157" i="6"/>
  <c r="V155" i="6"/>
  <c r="E53" i="7"/>
  <c r="F53" i="6"/>
  <c r="X245" i="6"/>
  <c r="V245" i="7"/>
  <c r="AJ98" i="5"/>
  <c r="AI98" i="5"/>
  <c r="AH98" i="5"/>
  <c r="L66" i="4"/>
  <c r="N68" i="4"/>
  <c r="N66" i="4"/>
  <c r="F109" i="6"/>
  <c r="BC19" i="6"/>
  <c r="BD21" i="4"/>
  <c r="G122" i="5"/>
  <c r="G113" i="5"/>
  <c r="AH44" i="4"/>
  <c r="AW14" i="4"/>
  <c r="AJ190" i="5"/>
  <c r="AH190" i="5"/>
  <c r="AI190" i="5"/>
  <c r="X138" i="6"/>
  <c r="V138" i="7"/>
  <c r="AH164" i="5"/>
  <c r="AI164" i="5"/>
  <c r="AJ164" i="5"/>
  <c r="I22" i="4"/>
  <c r="BD12" i="4"/>
  <c r="AW7" i="4"/>
  <c r="V121" i="7"/>
  <c r="X121" i="6"/>
  <c r="AJ131" i="5"/>
  <c r="AI131" i="5"/>
  <c r="AH131" i="5"/>
  <c r="AI197" i="4"/>
  <c r="AI196" i="4"/>
  <c r="AI195" i="4"/>
  <c r="AH135" i="5"/>
  <c r="AJ135" i="5"/>
  <c r="AI135" i="5"/>
  <c r="AJ55" i="5"/>
  <c r="AI55" i="5"/>
  <c r="AH55" i="5"/>
  <c r="W119" i="7"/>
  <c r="W114" i="7"/>
  <c r="X119" i="6"/>
  <c r="W105" i="7"/>
  <c r="W104" i="7"/>
  <c r="X107" i="6"/>
  <c r="X105" i="6"/>
  <c r="AJ187" i="5"/>
  <c r="AI187" i="5"/>
  <c r="AH187" i="5"/>
  <c r="AV10" i="4"/>
  <c r="AJ175" i="4"/>
  <c r="AJ127" i="5"/>
  <c r="AH127" i="5"/>
  <c r="AI101" i="5"/>
  <c r="AH101" i="5"/>
  <c r="AJ101" i="5"/>
  <c r="X25" i="6"/>
  <c r="AJ143" i="5"/>
  <c r="AI143" i="5"/>
  <c r="AH143" i="5"/>
  <c r="AH48" i="5"/>
  <c r="AI48" i="5"/>
  <c r="AJ48" i="5"/>
  <c r="AH159" i="5"/>
  <c r="AJ159" i="5"/>
  <c r="AI159" i="5"/>
  <c r="N47" i="6"/>
  <c r="M47" i="6"/>
  <c r="V202" i="7"/>
  <c r="X202" i="6"/>
  <c r="F41" i="8"/>
  <c r="L128" i="4"/>
  <c r="J22" i="4"/>
  <c r="J21" i="4"/>
  <c r="J19" i="4"/>
  <c r="J17" i="4"/>
  <c r="AH253" i="5"/>
  <c r="AJ253" i="5"/>
  <c r="AI253" i="5"/>
  <c r="Y39" i="5"/>
  <c r="AA39" i="5"/>
  <c r="Y39" i="6"/>
  <c r="AA39" i="6"/>
  <c r="Y39" i="7"/>
  <c r="AA39" i="7"/>
  <c r="Y39" i="8"/>
  <c r="AA39" i="8"/>
  <c r="Y39" i="9"/>
  <c r="AA39" i="9"/>
  <c r="AA35" i="4"/>
  <c r="BO14" i="4"/>
  <c r="AJ176" i="5"/>
  <c r="AI176" i="5"/>
  <c r="AH176" i="5"/>
  <c r="AI79" i="5"/>
  <c r="AH79" i="5"/>
  <c r="AJ79" i="5"/>
  <c r="AH151" i="6"/>
  <c r="AI151" i="6"/>
  <c r="AJ151" i="6"/>
  <c r="X177" i="6"/>
  <c r="V177" i="7"/>
  <c r="AJ77" i="5"/>
  <c r="AH77" i="5"/>
  <c r="AI77" i="5"/>
  <c r="W236" i="7"/>
  <c r="W234" i="7"/>
  <c r="W233" i="7"/>
  <c r="X236" i="6"/>
  <c r="V178" i="7"/>
  <c r="X178" i="6"/>
  <c r="AI96" i="4"/>
  <c r="N119" i="5"/>
  <c r="M119" i="5"/>
  <c r="AY16" i="4"/>
  <c r="AV16" i="4"/>
  <c r="AU16" i="4"/>
  <c r="AI162" i="6"/>
  <c r="AH162" i="6"/>
  <c r="AJ162" i="6"/>
  <c r="AJ37" i="5"/>
  <c r="AH37" i="5"/>
  <c r="AV9" i="2"/>
  <c r="AI49" i="4"/>
  <c r="X156" i="6"/>
  <c r="AI69" i="4"/>
  <c r="AI65" i="4"/>
  <c r="W128" i="7"/>
  <c r="W123" i="7"/>
  <c r="X128" i="6"/>
  <c r="AA232" i="4"/>
  <c r="BO29" i="4"/>
  <c r="V125" i="7"/>
  <c r="X125" i="6"/>
  <c r="AJ125" i="6"/>
  <c r="V88" i="7"/>
  <c r="X88" i="6"/>
  <c r="AI243" i="4"/>
  <c r="F39" i="6"/>
  <c r="V129" i="7"/>
  <c r="X129" i="6"/>
  <c r="AJ114" i="4"/>
  <c r="AJ186" i="4"/>
  <c r="AJ184" i="4"/>
  <c r="X252" i="6"/>
  <c r="V252" i="7"/>
  <c r="N121" i="5"/>
  <c r="M121" i="5"/>
  <c r="M77" i="5"/>
  <c r="N77" i="5"/>
  <c r="AD35" i="4"/>
  <c r="BP14" i="4"/>
  <c r="AI37" i="4"/>
  <c r="AI35" i="4"/>
  <c r="E111" i="7"/>
  <c r="F111" i="6"/>
  <c r="X76" i="6"/>
  <c r="V76" i="7"/>
  <c r="AI141" i="4"/>
  <c r="N101" i="6"/>
  <c r="M101" i="6"/>
  <c r="N65" i="5"/>
  <c r="M65" i="5"/>
  <c r="AH229" i="5"/>
  <c r="AJ229" i="5"/>
  <c r="AI229" i="5"/>
  <c r="W96" i="7"/>
  <c r="X98" i="6"/>
  <c r="AI244" i="5"/>
  <c r="AJ244" i="5"/>
  <c r="AH244" i="5"/>
  <c r="BJ14" i="4"/>
  <c r="AR30" i="4"/>
  <c r="AW30" i="4"/>
  <c r="AJ139" i="5"/>
  <c r="AI139" i="5"/>
  <c r="AH139" i="5"/>
  <c r="AE93" i="5"/>
  <c r="AG93" i="5"/>
  <c r="AE93" i="6"/>
  <c r="AG93" i="6"/>
  <c r="AE93" i="7"/>
  <c r="AG93" i="7"/>
  <c r="AE93" i="8"/>
  <c r="AG93" i="8"/>
  <c r="AE93" i="9"/>
  <c r="AG93" i="9"/>
  <c r="AG91" i="4"/>
  <c r="AG90" i="4"/>
  <c r="AE46" i="5"/>
  <c r="AG46" i="5"/>
  <c r="AE46" i="6"/>
  <c r="AG46" i="6"/>
  <c r="AE46" i="7"/>
  <c r="AG46" i="7"/>
  <c r="AE46" i="8"/>
  <c r="AG46" i="8"/>
  <c r="AE46" i="9"/>
  <c r="AG46" i="9"/>
  <c r="AG44" i="4"/>
  <c r="AG43" i="4"/>
  <c r="AI46" i="5"/>
  <c r="AH46" i="5"/>
  <c r="AJ102" i="5"/>
  <c r="AI102" i="5"/>
  <c r="AH102" i="5"/>
  <c r="L51" i="4"/>
  <c r="N53" i="4"/>
  <c r="N51" i="4"/>
  <c r="AU11" i="4"/>
  <c r="AV11" i="4"/>
  <c r="AZ11" i="4"/>
  <c r="AY11" i="4"/>
  <c r="AJ179" i="5"/>
  <c r="AI179" i="5"/>
  <c r="AH179" i="5"/>
  <c r="X145" i="4"/>
  <c r="BC10" i="4"/>
  <c r="BC9" i="4"/>
  <c r="BC8" i="4"/>
  <c r="BC22" i="4"/>
  <c r="BC25" i="4"/>
  <c r="X164" i="6"/>
  <c r="V131" i="7"/>
  <c r="X131" i="6"/>
  <c r="V135" i="7"/>
  <c r="X135" i="6"/>
  <c r="X55" i="6"/>
  <c r="F83" i="7"/>
  <c r="D83" i="8"/>
  <c r="AA211" i="4"/>
  <c r="Y212" i="5"/>
  <c r="AA212" i="5"/>
  <c r="AH213" i="4"/>
  <c r="AH211" i="4"/>
  <c r="M37" i="5"/>
  <c r="AQ14" i="2"/>
  <c r="X127" i="6"/>
  <c r="AI127" i="6"/>
  <c r="V127" i="7"/>
  <c r="X101" i="6"/>
  <c r="V143" i="7"/>
  <c r="V141" i="7"/>
  <c r="X143" i="6"/>
  <c r="X141" i="6"/>
  <c r="BN20" i="6"/>
  <c r="I32" i="4"/>
  <c r="M33" i="4"/>
  <c r="M32" i="4"/>
  <c r="G33" i="5"/>
  <c r="X48" i="6"/>
  <c r="AD175" i="4"/>
  <c r="AI176" i="4"/>
  <c r="AI175" i="4"/>
  <c r="E47" i="8"/>
  <c r="F47" i="7"/>
  <c r="AJ93" i="4"/>
  <c r="AJ91" i="4"/>
  <c r="AI160" i="5"/>
  <c r="AH160" i="5"/>
  <c r="AJ160" i="5"/>
  <c r="AH83" i="4"/>
  <c r="N88" i="5"/>
  <c r="AQ11" i="5"/>
  <c r="M88" i="5"/>
  <c r="Y14" i="4"/>
  <c r="W176" i="7"/>
  <c r="W174" i="7"/>
  <c r="X176" i="6"/>
  <c r="BN23" i="6"/>
  <c r="AJ237" i="5"/>
  <c r="AH237" i="5"/>
  <c r="AI237" i="5"/>
  <c r="W151" i="8"/>
  <c r="X151" i="7"/>
  <c r="V77" i="7"/>
  <c r="X77" i="6"/>
  <c r="AH24" i="5"/>
  <c r="AJ24" i="5"/>
  <c r="AI24" i="5"/>
  <c r="AD90" i="4"/>
  <c r="AD63" i="4"/>
  <c r="E119" i="7"/>
  <c r="F119" i="6"/>
  <c r="AH186" i="4"/>
  <c r="AH184" i="4"/>
  <c r="X162" i="7"/>
  <c r="AI198" i="5"/>
  <c r="AJ198" i="5"/>
  <c r="AH198" i="5"/>
  <c r="AI75" i="5"/>
  <c r="AJ75" i="5"/>
  <c r="AH75" i="5"/>
  <c r="AE14" i="4"/>
  <c r="AE12" i="4"/>
  <c r="AE10" i="4"/>
  <c r="AE8" i="4"/>
  <c r="W37" i="7"/>
  <c r="W35" i="7"/>
  <c r="X37" i="6"/>
  <c r="BH14" i="4"/>
  <c r="AH223" i="5"/>
  <c r="AJ223" i="5"/>
  <c r="AI223" i="5"/>
  <c r="AI44" i="4"/>
  <c r="M29" i="4"/>
  <c r="AI239" i="5"/>
  <c r="AJ239" i="5"/>
  <c r="AH239" i="5"/>
  <c r="L35" i="4"/>
  <c r="L28" i="4"/>
  <c r="AS9" i="4"/>
  <c r="N37" i="4"/>
  <c r="N35" i="4"/>
  <c r="AA175" i="4"/>
  <c r="AH176" i="4"/>
  <c r="AH175" i="4"/>
  <c r="AI93" i="5"/>
  <c r="AH93" i="5"/>
  <c r="M63" i="4"/>
  <c r="AI85" i="5"/>
  <c r="AH85" i="5"/>
  <c r="AJ85" i="5"/>
  <c r="AI86" i="5"/>
  <c r="AH86" i="5"/>
  <c r="AJ86" i="5"/>
  <c r="AI66" i="5"/>
  <c r="AQ22" i="5"/>
  <c r="AU22" i="5"/>
  <c r="AH66" i="5"/>
  <c r="BI10" i="4"/>
  <c r="AA123" i="4"/>
  <c r="AA112" i="4"/>
  <c r="AA110" i="4"/>
  <c r="AH124" i="4"/>
  <c r="AH123" i="4"/>
  <c r="AJ211" i="4"/>
  <c r="X94" i="6"/>
  <c r="AI222" i="4"/>
  <c r="AJ18" i="5"/>
  <c r="AH18" i="5"/>
  <c r="AJ117" i="5"/>
  <c r="AI117" i="5"/>
  <c r="AH117" i="5"/>
  <c r="D121" i="7"/>
  <c r="F121" i="6"/>
  <c r="D77" i="7"/>
  <c r="D75" i="7"/>
  <c r="F77" i="6"/>
  <c r="F75" i="6"/>
  <c r="Y51" i="5"/>
  <c r="AA51" i="5"/>
  <c r="AH51" i="4"/>
  <c r="AH49" i="4"/>
  <c r="AA49" i="4"/>
  <c r="AA43" i="4"/>
  <c r="BO13" i="4"/>
  <c r="AJ141" i="4"/>
  <c r="D65" i="7"/>
  <c r="F65" i="6"/>
  <c r="X229" i="6"/>
  <c r="V229" i="7"/>
  <c r="V226" i="7"/>
  <c r="W210" i="6"/>
  <c r="W209" i="6"/>
  <c r="W208" i="6"/>
  <c r="X242" i="5"/>
  <c r="N94" i="4"/>
  <c r="AI215" i="5"/>
  <c r="AJ215" i="5"/>
  <c r="AH215" i="5"/>
  <c r="V244" i="7"/>
  <c r="X244" i="6"/>
  <c r="I69" i="4"/>
  <c r="G71" i="5"/>
  <c r="I71" i="5"/>
  <c r="M71" i="4"/>
  <c r="M69" i="4"/>
  <c r="AJ213" i="5"/>
  <c r="AI213" i="5"/>
  <c r="AH213" i="5"/>
  <c r="V139" i="7"/>
  <c r="X139" i="6"/>
  <c r="N97" i="5"/>
  <c r="M97" i="5"/>
  <c r="AU22" i="4"/>
  <c r="AY22" i="4"/>
  <c r="AZ22" i="4"/>
  <c r="AV22" i="4"/>
  <c r="AS28" i="4"/>
  <c r="AX28" i="4"/>
  <c r="X46" i="6"/>
  <c r="X102" i="6"/>
  <c r="W60" i="13"/>
  <c r="M57" i="4"/>
  <c r="AH133" i="5"/>
  <c r="AJ133" i="5"/>
  <c r="AI133" i="5"/>
  <c r="V179" i="7"/>
  <c r="X179" i="6"/>
  <c r="V118" i="7"/>
  <c r="X118" i="6"/>
  <c r="AA16" i="4"/>
  <c r="AI184" i="4"/>
  <c r="N83" i="6"/>
  <c r="M83" i="6"/>
  <c r="AJ72" i="5"/>
  <c r="AI72" i="5"/>
  <c r="AH72" i="5"/>
  <c r="N42" i="4"/>
  <c r="E37" i="7"/>
  <c r="E35" i="7"/>
  <c r="F37" i="6"/>
  <c r="M24" i="5"/>
  <c r="I113" i="4"/>
  <c r="AR15" i="4"/>
  <c r="AW15" i="4"/>
  <c r="AY15" i="4"/>
  <c r="AI95" i="5"/>
  <c r="AH95" i="5"/>
  <c r="AJ95" i="5"/>
  <c r="X160" i="6"/>
  <c r="AA69" i="4"/>
  <c r="AA65" i="4"/>
  <c r="Y71" i="5"/>
  <c r="AA71" i="5"/>
  <c r="AH71" i="4"/>
  <c r="AH69" i="4"/>
  <c r="AH65" i="4"/>
  <c r="F88" i="6"/>
  <c r="F85" i="6"/>
  <c r="D85" i="7"/>
  <c r="AJ108" i="5"/>
  <c r="AI108" i="5"/>
  <c r="AH108" i="5"/>
  <c r="AJ123" i="4"/>
  <c r="X237" i="6"/>
  <c r="V237" i="7"/>
  <c r="AJ53" i="6"/>
  <c r="AI53" i="6"/>
  <c r="AH53" i="6"/>
  <c r="AJ137" i="5"/>
  <c r="AI137" i="5"/>
  <c r="AH137" i="5"/>
  <c r="D122" i="7"/>
  <c r="F122" i="6"/>
  <c r="X24" i="6"/>
  <c r="AI200" i="5"/>
  <c r="AH200" i="5"/>
  <c r="AJ200" i="5"/>
  <c r="V198" i="7"/>
  <c r="X198" i="6"/>
  <c r="AJ49" i="4"/>
  <c r="V75" i="7"/>
  <c r="X75" i="6"/>
  <c r="V223" i="7"/>
  <c r="V221" i="7"/>
  <c r="X223" i="6"/>
  <c r="AJ180" i="5"/>
  <c r="AI180" i="5"/>
  <c r="AH180" i="5"/>
  <c r="AH91" i="4"/>
  <c r="AW9" i="4"/>
  <c r="AY9" i="4"/>
  <c r="V239" i="7"/>
  <c r="X239" i="6"/>
  <c r="AH57" i="4"/>
  <c r="AZ10" i="4"/>
  <c r="AJ100" i="5"/>
  <c r="AI100" i="5"/>
  <c r="AH100" i="5"/>
  <c r="AJ243" i="4"/>
  <c r="X93" i="6"/>
  <c r="W250" i="12"/>
  <c r="W250" i="13" s="1"/>
  <c r="AI104" i="4"/>
  <c r="X85" i="6"/>
  <c r="V85" i="7"/>
  <c r="V86" i="7"/>
  <c r="X86" i="6"/>
  <c r="V66" i="7"/>
  <c r="X66" i="6"/>
  <c r="BN10" i="6"/>
  <c r="AH243" i="4"/>
  <c r="AI235" i="4"/>
  <c r="AI234" i="4"/>
  <c r="AJ136" i="6"/>
  <c r="AI136" i="6"/>
  <c r="AH136" i="6"/>
  <c r="AJ94" i="5"/>
  <c r="AI94" i="5"/>
  <c r="AH94" i="5"/>
  <c r="X18" i="6"/>
  <c r="AH158" i="5"/>
  <c r="AI158" i="5"/>
  <c r="AJ158" i="5"/>
  <c r="V117" i="7"/>
  <c r="X117" i="6"/>
  <c r="AI39" i="5"/>
  <c r="AJ39" i="5"/>
  <c r="AH249" i="5"/>
  <c r="AI249" i="5"/>
  <c r="AJ249" i="5"/>
  <c r="AH61" i="5"/>
  <c r="AJ61" i="5"/>
  <c r="AI61" i="5"/>
  <c r="X14" i="4"/>
  <c r="X20" i="5"/>
  <c r="X16" i="5"/>
  <c r="AA258" i="2"/>
  <c r="BO33" i="2"/>
  <c r="U257" i="5"/>
  <c r="AH12" i="2"/>
  <c r="AH110" i="2"/>
  <c r="Y148" i="7"/>
  <c r="AA148" i="7"/>
  <c r="Y126" i="7"/>
  <c r="AA126" i="7"/>
  <c r="BO19" i="7"/>
  <c r="Y125" i="7"/>
  <c r="AA125" i="7"/>
  <c r="BP19" i="7"/>
  <c r="AI41" i="6"/>
  <c r="Y41" i="7"/>
  <c r="AA41" i="7"/>
  <c r="AH41" i="6"/>
  <c r="AI17" i="7"/>
  <c r="AH17" i="7"/>
  <c r="U257" i="7"/>
  <c r="U257" i="6"/>
  <c r="AW12" i="7"/>
  <c r="G77" i="9"/>
  <c r="I77" i="9"/>
  <c r="G77" i="10"/>
  <c r="I77" i="10"/>
  <c r="AZ13" i="6"/>
  <c r="W43" i="6"/>
  <c r="W14" i="6"/>
  <c r="AF258" i="2"/>
  <c r="BQ33" i="2"/>
  <c r="W231" i="6"/>
  <c r="AD258" i="2"/>
  <c r="BP33" i="2"/>
  <c r="AD8" i="2"/>
  <c r="AJ110" i="2"/>
  <c r="U257" i="9"/>
  <c r="AI110" i="2"/>
  <c r="AY26" i="2"/>
  <c r="AV26" i="2"/>
  <c r="AZ26" i="2"/>
  <c r="X10" i="2"/>
  <c r="X8" i="2"/>
  <c r="X260" i="2"/>
  <c r="X264" i="2"/>
  <c r="BC17" i="5"/>
  <c r="U257" i="8"/>
  <c r="AJ12" i="2"/>
  <c r="AI12" i="2"/>
  <c r="AE258" i="2"/>
  <c r="M8" i="2"/>
  <c r="M126" i="2"/>
  <c r="M130" i="2"/>
  <c r="N71" i="6"/>
  <c r="N92" i="7"/>
  <c r="M92" i="7"/>
  <c r="D37" i="9"/>
  <c r="D37" i="10"/>
  <c r="BC16" i="5"/>
  <c r="F42" i="5"/>
  <c r="AQ10" i="5"/>
  <c r="AB221" i="5"/>
  <c r="N118" i="7"/>
  <c r="M118" i="7"/>
  <c r="J104" i="5"/>
  <c r="AJ216" i="6"/>
  <c r="AI216" i="6"/>
  <c r="AH216" i="6"/>
  <c r="D92" i="9"/>
  <c r="D92" i="10"/>
  <c r="F92" i="8"/>
  <c r="V105" i="7"/>
  <c r="X106" i="7"/>
  <c r="D42" i="6"/>
  <c r="F43" i="6"/>
  <c r="N13" i="5"/>
  <c r="M13" i="5"/>
  <c r="X166" i="9"/>
  <c r="D118" i="9"/>
  <c r="F118" i="8"/>
  <c r="V216" i="8"/>
  <c r="X216" i="7"/>
  <c r="V206" i="8"/>
  <c r="X206" i="7"/>
  <c r="E75" i="10"/>
  <c r="E75" i="8"/>
  <c r="V255" i="8"/>
  <c r="X255" i="7"/>
  <c r="AE210" i="5"/>
  <c r="AG211" i="5"/>
  <c r="AV12" i="6"/>
  <c r="AU12" i="6"/>
  <c r="D13" i="7"/>
  <c r="D10" i="7"/>
  <c r="F13" i="6"/>
  <c r="I49" i="5"/>
  <c r="BD15" i="5"/>
  <c r="G48" i="5"/>
  <c r="AJ126" i="6"/>
  <c r="AI126" i="6"/>
  <c r="AH126" i="6"/>
  <c r="AW22" i="6"/>
  <c r="N36" i="5"/>
  <c r="AB114" i="5"/>
  <c r="W171" i="8"/>
  <c r="W170" i="7"/>
  <c r="AJ19" i="7"/>
  <c r="AI19" i="7"/>
  <c r="AH19" i="7"/>
  <c r="D22" i="6"/>
  <c r="F23" i="6"/>
  <c r="AI38" i="8"/>
  <c r="AH38" i="8"/>
  <c r="AJ38" i="8"/>
  <c r="X165" i="11"/>
  <c r="AJ165" i="11" s="1"/>
  <c r="X165" i="8"/>
  <c r="V201" i="8"/>
  <c r="X201" i="7"/>
  <c r="W149" i="7"/>
  <c r="W147" i="7"/>
  <c r="W150" i="8"/>
  <c r="X203" i="7"/>
  <c r="V203" i="8"/>
  <c r="Y17" i="8"/>
  <c r="AA17" i="8"/>
  <c r="BO10" i="8"/>
  <c r="F61" i="7"/>
  <c r="D60" i="7"/>
  <c r="V247" i="8"/>
  <c r="X247" i="7"/>
  <c r="AH250" i="6"/>
  <c r="AJ250" i="6"/>
  <c r="AI250" i="6"/>
  <c r="E72" i="7"/>
  <c r="D81" i="7"/>
  <c r="F82" i="7"/>
  <c r="AJ73" i="5"/>
  <c r="AI73" i="5"/>
  <c r="AH73" i="5"/>
  <c r="V238" i="8"/>
  <c r="X238" i="7"/>
  <c r="AJ181" i="8"/>
  <c r="AI181" i="8"/>
  <c r="AH181" i="8"/>
  <c r="X97" i="7"/>
  <c r="Y157" i="5"/>
  <c r="Y155" i="5"/>
  <c r="I55" i="5"/>
  <c r="G54" i="5"/>
  <c r="W222" i="8"/>
  <c r="W221" i="7"/>
  <c r="X51" i="7"/>
  <c r="M120" i="7"/>
  <c r="N120" i="7"/>
  <c r="N117" i="9"/>
  <c r="M117" i="9"/>
  <c r="X69" i="5"/>
  <c r="X65" i="5"/>
  <c r="AA211" i="5"/>
  <c r="V222" i="8"/>
  <c r="X222" i="7"/>
  <c r="E69" i="7"/>
  <c r="F95" i="7"/>
  <c r="AE157" i="5"/>
  <c r="AE155" i="5"/>
  <c r="V150" i="8"/>
  <c r="V149" i="7"/>
  <c r="V147" i="7"/>
  <c r="X150" i="7"/>
  <c r="AE59" i="5"/>
  <c r="AB58" i="5"/>
  <c r="AB57" i="5"/>
  <c r="N91" i="7"/>
  <c r="M91" i="7"/>
  <c r="N110" i="8"/>
  <c r="M110" i="8"/>
  <c r="N41" i="7"/>
  <c r="AG184" i="5"/>
  <c r="M64" i="5"/>
  <c r="F63" i="5"/>
  <c r="BC14" i="5"/>
  <c r="AB69" i="5"/>
  <c r="AB65" i="5"/>
  <c r="W44" i="7"/>
  <c r="AH246" i="6"/>
  <c r="AJ246" i="6"/>
  <c r="AI246" i="6"/>
  <c r="AE123" i="5"/>
  <c r="AA197" i="5"/>
  <c r="BO26" i="5"/>
  <c r="Y196" i="5"/>
  <c r="AI52" i="8"/>
  <c r="AH52" i="8"/>
  <c r="AJ52" i="8"/>
  <c r="W90" i="6"/>
  <c r="W63" i="6"/>
  <c r="BC11" i="6"/>
  <c r="D44" i="7"/>
  <c r="F44" i="6"/>
  <c r="D51" i="8"/>
  <c r="AA36" i="5"/>
  <c r="AH36" i="5"/>
  <c r="X27" i="6"/>
  <c r="M29" i="5"/>
  <c r="X26" i="9"/>
  <c r="AI45" i="5"/>
  <c r="AB44" i="5"/>
  <c r="AE96" i="5"/>
  <c r="AG97" i="5"/>
  <c r="AG186" i="5"/>
  <c r="AE185" i="5"/>
  <c r="AE183" i="5"/>
  <c r="M59" i="5"/>
  <c r="N59" i="5"/>
  <c r="V186" i="8"/>
  <c r="X186" i="7"/>
  <c r="AA106" i="5"/>
  <c r="Y105" i="5"/>
  <c r="Y104" i="5"/>
  <c r="F89" i="10"/>
  <c r="F89" i="8"/>
  <c r="J69" i="5"/>
  <c r="AI248" i="9"/>
  <c r="AJ248" i="9"/>
  <c r="AH248" i="9"/>
  <c r="AB96" i="5"/>
  <c r="G30" i="6"/>
  <c r="I29" i="5"/>
  <c r="J75" i="5"/>
  <c r="F50" i="9"/>
  <c r="X17" i="9"/>
  <c r="AA142" i="5"/>
  <c r="Y141" i="5"/>
  <c r="AI251" i="6"/>
  <c r="AH251" i="6"/>
  <c r="AJ251" i="6"/>
  <c r="V49" i="7"/>
  <c r="X54" i="6"/>
  <c r="D80" i="8"/>
  <c r="F80" i="7"/>
  <c r="AB185" i="5"/>
  <c r="AB183" i="5"/>
  <c r="AJ47" i="9"/>
  <c r="AI47" i="9"/>
  <c r="AH47" i="9"/>
  <c r="N38" i="8"/>
  <c r="M38" i="8"/>
  <c r="M116" i="7"/>
  <c r="N116" i="7"/>
  <c r="F69" i="6"/>
  <c r="D31" i="8"/>
  <c r="F31" i="7"/>
  <c r="X219" i="5"/>
  <c r="BN30" i="5"/>
  <c r="D102" i="11"/>
  <c r="E29" i="7"/>
  <c r="W196" i="7"/>
  <c r="W197" i="8"/>
  <c r="W58" i="7"/>
  <c r="W57" i="7"/>
  <c r="AE234" i="5"/>
  <c r="AE233" i="5"/>
  <c r="AG235" i="5"/>
  <c r="M40" i="5"/>
  <c r="N40" i="5"/>
  <c r="AZ12" i="6"/>
  <c r="G41" i="7"/>
  <c r="I41" i="7"/>
  <c r="M41" i="6"/>
  <c r="I105" i="5"/>
  <c r="G104" i="5"/>
  <c r="AJ166" i="8"/>
  <c r="AI166" i="8"/>
  <c r="AH166" i="8"/>
  <c r="G23" i="5"/>
  <c r="AJ206" i="6"/>
  <c r="AI206" i="6"/>
  <c r="AH206" i="6"/>
  <c r="D71" i="8"/>
  <c r="F71" i="7"/>
  <c r="AB91" i="5"/>
  <c r="D12" i="8"/>
  <c r="F12" i="7"/>
  <c r="AE20" i="5"/>
  <c r="AG21" i="5"/>
  <c r="E85" i="7"/>
  <c r="V41" i="12"/>
  <c r="V41" i="13" s="1"/>
  <c r="G90" i="9"/>
  <c r="I90" i="9"/>
  <c r="H126" i="6"/>
  <c r="H130" i="6"/>
  <c r="AE149" i="5"/>
  <c r="AE147" i="5"/>
  <c r="E42" i="7"/>
  <c r="V126" i="8"/>
  <c r="X126" i="7"/>
  <c r="BN19" i="7"/>
  <c r="AH29" i="5"/>
  <c r="AJ29" i="5"/>
  <c r="AI29" i="5"/>
  <c r="D115" i="8"/>
  <c r="F115" i="7"/>
  <c r="W168" i="6"/>
  <c r="F54" i="6"/>
  <c r="X19" i="8"/>
  <c r="W226" i="7"/>
  <c r="W227" i="8"/>
  <c r="X33" i="6"/>
  <c r="X38" i="9"/>
  <c r="V58" i="7"/>
  <c r="X59" i="7"/>
  <c r="I76" i="5"/>
  <c r="G75" i="5"/>
  <c r="E81" i="7"/>
  <c r="M108" i="7"/>
  <c r="N108" i="7"/>
  <c r="AI74" i="8"/>
  <c r="AH74" i="8"/>
  <c r="AJ74" i="8"/>
  <c r="N98" i="9"/>
  <c r="M98" i="9"/>
  <c r="AA92" i="5"/>
  <c r="Y91" i="5"/>
  <c r="D124" i="9"/>
  <c r="AE17" i="8"/>
  <c r="AG17" i="8"/>
  <c r="AJ224" i="6"/>
  <c r="AI224" i="6"/>
  <c r="AH224" i="6"/>
  <c r="V128" i="9"/>
  <c r="V128" i="10"/>
  <c r="AJ31" i="7"/>
  <c r="AI31" i="7"/>
  <c r="AH31" i="7"/>
  <c r="F60" i="6"/>
  <c r="AI60" i="6"/>
  <c r="AH60" i="6"/>
  <c r="AJ60" i="6"/>
  <c r="M78" i="5"/>
  <c r="N78" i="5"/>
  <c r="AB149" i="5"/>
  <c r="AB147" i="5"/>
  <c r="V250" i="8"/>
  <c r="X250" i="7"/>
  <c r="Y21" i="6"/>
  <c r="AA20" i="5"/>
  <c r="BP17" i="5"/>
  <c r="AB123" i="5"/>
  <c r="AJ68" i="5"/>
  <c r="AI68" i="5"/>
  <c r="AH68" i="5"/>
  <c r="V73" i="7"/>
  <c r="X73" i="6"/>
  <c r="J72" i="5"/>
  <c r="N73" i="5"/>
  <c r="N72" i="5"/>
  <c r="AB20" i="5"/>
  <c r="X181" i="9"/>
  <c r="J57" i="5"/>
  <c r="AJ130" i="7"/>
  <c r="AI130" i="7"/>
  <c r="AH130" i="7"/>
  <c r="E32" i="7"/>
  <c r="AJ78" i="6"/>
  <c r="AI78" i="6"/>
  <c r="AH78" i="6"/>
  <c r="AI152" i="8"/>
  <c r="AH152" i="8"/>
  <c r="AJ152" i="8"/>
  <c r="W219" i="6"/>
  <c r="AA70" i="5"/>
  <c r="AH70" i="5"/>
  <c r="I12" i="5"/>
  <c r="G10" i="5"/>
  <c r="X35" i="5"/>
  <c r="BN14" i="5"/>
  <c r="AE66" i="5"/>
  <c r="AB170" i="5"/>
  <c r="D120" i="9"/>
  <c r="F120" i="8"/>
  <c r="D66" i="6"/>
  <c r="F67" i="6"/>
  <c r="J48" i="5"/>
  <c r="N49" i="5"/>
  <c r="N48" i="5"/>
  <c r="BC15" i="5"/>
  <c r="M46" i="5"/>
  <c r="M45" i="5"/>
  <c r="F45" i="5"/>
  <c r="AH87" i="7"/>
  <c r="AJ87" i="7"/>
  <c r="AI87" i="7"/>
  <c r="E57" i="7"/>
  <c r="G46" i="6"/>
  <c r="I45" i="5"/>
  <c r="E78" i="7"/>
  <c r="X50" i="7"/>
  <c r="AH28" i="5"/>
  <c r="AJ28" i="5"/>
  <c r="AI28" i="5"/>
  <c r="F86" i="7"/>
  <c r="F91" i="10"/>
  <c r="M91" i="10" s="1"/>
  <c r="F91" i="8"/>
  <c r="F110" i="9"/>
  <c r="W112" i="6"/>
  <c r="V227" i="8"/>
  <c r="X227" i="7"/>
  <c r="F10" i="5"/>
  <c r="M14" i="7"/>
  <c r="N14" i="7"/>
  <c r="N67" i="5"/>
  <c r="V246" i="8"/>
  <c r="X246" i="7"/>
  <c r="N107" i="8"/>
  <c r="M107" i="8"/>
  <c r="V243" i="8"/>
  <c r="X243" i="7"/>
  <c r="Y149" i="5"/>
  <c r="Y147" i="5"/>
  <c r="AA150" i="5"/>
  <c r="F72" i="5"/>
  <c r="AB157" i="5"/>
  <c r="AB155" i="5"/>
  <c r="N23" i="5"/>
  <c r="AB141" i="5"/>
  <c r="X52" i="9"/>
  <c r="G88" i="9"/>
  <c r="I88" i="9"/>
  <c r="W91" i="7"/>
  <c r="AB226" i="5"/>
  <c r="I52" i="5"/>
  <c r="G51" i="5"/>
  <c r="Y58" i="5"/>
  <c r="Y57" i="5"/>
  <c r="AA59" i="5"/>
  <c r="N99" i="7"/>
  <c r="M99" i="7"/>
  <c r="AG171" i="5"/>
  <c r="AE170" i="5"/>
  <c r="W70" i="8"/>
  <c r="W69" i="7"/>
  <c r="W65" i="7"/>
  <c r="AI228" i="7"/>
  <c r="AH228" i="7"/>
  <c r="AJ228" i="7"/>
  <c r="F78" i="6"/>
  <c r="G57" i="5"/>
  <c r="I58" i="5"/>
  <c r="F76" i="7"/>
  <c r="AW28" i="2"/>
  <c r="AY28" i="2"/>
  <c r="J32" i="5"/>
  <c r="AJ134" i="7"/>
  <c r="AI134" i="7"/>
  <c r="AH134" i="7"/>
  <c r="AA222" i="5"/>
  <c r="Y221" i="5"/>
  <c r="D59" i="7"/>
  <c r="D57" i="7"/>
  <c r="F59" i="6"/>
  <c r="F57" i="6"/>
  <c r="D57" i="6"/>
  <c r="F35" i="5"/>
  <c r="F28" i="5"/>
  <c r="AQ9" i="5"/>
  <c r="I86" i="5"/>
  <c r="G85" i="5"/>
  <c r="M89" i="7"/>
  <c r="N89" i="7"/>
  <c r="J42" i="5"/>
  <c r="M68" i="6"/>
  <c r="AB210" i="5"/>
  <c r="X21" i="7"/>
  <c r="AH199" i="6"/>
  <c r="AJ199" i="6"/>
  <c r="AI199" i="6"/>
  <c r="J113" i="5"/>
  <c r="V170" i="7"/>
  <c r="X171" i="7"/>
  <c r="V171" i="8"/>
  <c r="AH132" i="7"/>
  <c r="AJ132" i="7"/>
  <c r="AI132" i="7"/>
  <c r="AG227" i="5"/>
  <c r="AE226" i="5"/>
  <c r="N62" i="9"/>
  <c r="V251" i="8"/>
  <c r="X251" i="7"/>
  <c r="G67" i="5"/>
  <c r="X204" i="6"/>
  <c r="F38" i="9"/>
  <c r="D116" i="9"/>
  <c r="F116" i="8"/>
  <c r="AG175" i="5"/>
  <c r="AE174" i="5"/>
  <c r="G36" i="5"/>
  <c r="AJ67" i="5"/>
  <c r="AI67" i="5"/>
  <c r="AH67" i="5"/>
  <c r="D69" i="7"/>
  <c r="F70" i="7"/>
  <c r="M100" i="6"/>
  <c r="N100" i="6"/>
  <c r="AI71" i="7"/>
  <c r="AJ71" i="7"/>
  <c r="AA243" i="5"/>
  <c r="Y242" i="5"/>
  <c r="E63" i="7"/>
  <c r="E60" i="7"/>
  <c r="F40" i="6"/>
  <c r="Y226" i="5"/>
  <c r="AA227" i="5"/>
  <c r="AJ120" i="7"/>
  <c r="AI120" i="7"/>
  <c r="AH120" i="7"/>
  <c r="N74" i="8"/>
  <c r="M74" i="8"/>
  <c r="P128" i="7"/>
  <c r="B24" i="8"/>
  <c r="Q128" i="7"/>
  <c r="P126" i="6"/>
  <c r="P130" i="6"/>
  <c r="F48" i="5"/>
  <c r="N15" i="9"/>
  <c r="T33" i="8"/>
  <c r="I70" i="5"/>
  <c r="AH163" i="8"/>
  <c r="AJ163" i="8"/>
  <c r="AI163" i="8"/>
  <c r="BP10" i="8"/>
  <c r="AR22" i="7"/>
  <c r="X29" i="6"/>
  <c r="K1" i="2"/>
  <c r="J5" i="2"/>
  <c r="D54" i="7"/>
  <c r="F55" i="7"/>
  <c r="BC12" i="5"/>
  <c r="F22" i="5"/>
  <c r="AH254" i="6"/>
  <c r="AJ254" i="6"/>
  <c r="AI254" i="6"/>
  <c r="N64" i="5"/>
  <c r="J63" i="5"/>
  <c r="AE49" i="5"/>
  <c r="AG50" i="5"/>
  <c r="F108" i="8"/>
  <c r="X74" i="9"/>
  <c r="V81" i="9"/>
  <c r="V81" i="10"/>
  <c r="V81" i="11" s="1"/>
  <c r="X81" i="8"/>
  <c r="J29" i="5"/>
  <c r="I115" i="5"/>
  <c r="V224" i="8"/>
  <c r="X224" i="7"/>
  <c r="X31" i="8"/>
  <c r="X60" i="7"/>
  <c r="AI36" i="5"/>
  <c r="J85" i="5"/>
  <c r="V68" i="7"/>
  <c r="X68" i="6"/>
  <c r="V130" i="9"/>
  <c r="V130" i="10"/>
  <c r="V130" i="11" s="1"/>
  <c r="X130" i="11" s="1"/>
  <c r="AJ130" i="11" s="1"/>
  <c r="X130" i="8"/>
  <c r="X175" i="7"/>
  <c r="V175" i="8"/>
  <c r="V78" i="8"/>
  <c r="X78" i="7"/>
  <c r="AJ240" i="6"/>
  <c r="AI240" i="6"/>
  <c r="AH240" i="6"/>
  <c r="X152" i="9"/>
  <c r="E22" i="6"/>
  <c r="I73" i="5"/>
  <c r="M73" i="5"/>
  <c r="M72" i="5"/>
  <c r="G72" i="5"/>
  <c r="AJ212" i="6"/>
  <c r="AI212" i="6"/>
  <c r="M56" i="7"/>
  <c r="N56" i="7"/>
  <c r="Y83" i="5"/>
  <c r="AA84" i="5"/>
  <c r="V70" i="7"/>
  <c r="V69" i="6"/>
  <c r="V65" i="6"/>
  <c r="X70" i="6"/>
  <c r="X44" i="5"/>
  <c r="X43" i="5"/>
  <c r="E94" i="7"/>
  <c r="J25" i="5"/>
  <c r="V87" i="9"/>
  <c r="V87" i="10"/>
  <c r="V87" i="11"/>
  <c r="V87" i="12" s="1"/>
  <c r="X87" i="8"/>
  <c r="N27" i="5"/>
  <c r="M27" i="5"/>
  <c r="BC21" i="5"/>
  <c r="V211" i="8"/>
  <c r="X211" i="7"/>
  <c r="AJ32" i="7"/>
  <c r="AI32" i="7"/>
  <c r="AH32" i="7"/>
  <c r="N106" i="7"/>
  <c r="M106" i="7"/>
  <c r="D104" i="7"/>
  <c r="F105" i="7"/>
  <c r="X28" i="6"/>
  <c r="X149" i="6"/>
  <c r="X147" i="6"/>
  <c r="AE141" i="5"/>
  <c r="AB174" i="5"/>
  <c r="AA153" i="5"/>
  <c r="W115" i="8"/>
  <c r="AJ148" i="7"/>
  <c r="D14" i="9"/>
  <c r="D14" i="10"/>
  <c r="F14" i="10" s="1"/>
  <c r="F14" i="8"/>
  <c r="AJ116" i="7"/>
  <c r="AI116" i="7"/>
  <c r="AH116" i="7"/>
  <c r="E54" i="7"/>
  <c r="N90" i="7"/>
  <c r="AQ13" i="7"/>
  <c r="AY13" i="7"/>
  <c r="M90" i="7"/>
  <c r="D63" i="6"/>
  <c r="F64" i="6"/>
  <c r="AA175" i="5"/>
  <c r="W205" i="8"/>
  <c r="W204" i="7"/>
  <c r="F107" i="9"/>
  <c r="AI214" i="6"/>
  <c r="AH214" i="6"/>
  <c r="AJ214" i="6"/>
  <c r="W185" i="7"/>
  <c r="W183" i="7"/>
  <c r="W186" i="8"/>
  <c r="N34" i="5"/>
  <c r="M34" i="5"/>
  <c r="AB234" i="5"/>
  <c r="AB233" i="5"/>
  <c r="V153" i="8"/>
  <c r="X153" i="7"/>
  <c r="W84" i="8"/>
  <c r="W83" i="7"/>
  <c r="F26" i="7"/>
  <c r="AG81" i="6"/>
  <c r="AA171" i="5"/>
  <c r="Y170" i="5"/>
  <c r="AB49" i="5"/>
  <c r="X92" i="7"/>
  <c r="F99" i="10"/>
  <c r="F99" i="8"/>
  <c r="W211" i="8"/>
  <c r="V228" i="9"/>
  <c r="V228" i="10"/>
  <c r="V228" i="11"/>
  <c r="V228" i="12" s="1"/>
  <c r="X228" i="11"/>
  <c r="AH228" i="11" s="1"/>
  <c r="X228" i="8"/>
  <c r="D78" i="7"/>
  <c r="F79" i="7"/>
  <c r="AA81" i="6"/>
  <c r="AJ30" i="7"/>
  <c r="AI30" i="7"/>
  <c r="AH30" i="7"/>
  <c r="AJ22" i="6"/>
  <c r="AI22" i="6"/>
  <c r="AH22" i="6"/>
  <c r="AJ80" i="7"/>
  <c r="AI80" i="7"/>
  <c r="AH80" i="7"/>
  <c r="M123" i="7"/>
  <c r="N123" i="7"/>
  <c r="W235" i="8"/>
  <c r="V134" i="9"/>
  <c r="V134" i="10"/>
  <c r="X134" i="10" s="1"/>
  <c r="V134" i="11"/>
  <c r="X134" i="11"/>
  <c r="AJ134" i="11" s="1"/>
  <c r="X134" i="8"/>
  <c r="AB204" i="5"/>
  <c r="AY12" i="6"/>
  <c r="N96" i="6"/>
  <c r="M96" i="6"/>
  <c r="D68" i="8"/>
  <c r="F68" i="7"/>
  <c r="X199" i="7"/>
  <c r="V199" i="8"/>
  <c r="V132" i="9"/>
  <c r="V132" i="10"/>
  <c r="V132" i="11" s="1"/>
  <c r="X132" i="8"/>
  <c r="D62" i="11"/>
  <c r="F62" i="11" s="1"/>
  <c r="AZ30" i="2"/>
  <c r="AV30" i="2"/>
  <c r="AY30" i="2"/>
  <c r="AU30" i="2"/>
  <c r="V67" i="7"/>
  <c r="X67" i="6"/>
  <c r="I82" i="5"/>
  <c r="G81" i="5"/>
  <c r="AJ40" i="5"/>
  <c r="AI40" i="5"/>
  <c r="AH40" i="5"/>
  <c r="F100" i="7"/>
  <c r="AE221" i="5"/>
  <c r="AG222" i="5"/>
  <c r="AH99" i="7"/>
  <c r="AI99" i="7"/>
  <c r="AJ99" i="7"/>
  <c r="E12" i="8"/>
  <c r="E10" i="7"/>
  <c r="V71" i="9"/>
  <c r="V71" i="10"/>
  <c r="X71" i="8"/>
  <c r="V142" i="8"/>
  <c r="X142" i="7"/>
  <c r="V84" i="8"/>
  <c r="X84" i="7"/>
  <c r="N87" i="7"/>
  <c r="M87" i="7"/>
  <c r="AH172" i="7"/>
  <c r="AJ172" i="7"/>
  <c r="AI172" i="7"/>
  <c r="F29" i="6"/>
  <c r="V120" i="9"/>
  <c r="V120" i="10"/>
  <c r="X120" i="8"/>
  <c r="E45" i="7"/>
  <c r="F74" i="9"/>
  <c r="AB83" i="5"/>
  <c r="C126" i="6"/>
  <c r="C130" i="6"/>
  <c r="Q126" i="6"/>
  <c r="Q130" i="6"/>
  <c r="D48" i="6"/>
  <c r="F49" i="6"/>
  <c r="D15" i="11"/>
  <c r="X163" i="9"/>
  <c r="V115" i="8"/>
  <c r="X115" i="7"/>
  <c r="W142" i="8"/>
  <c r="W141" i="7"/>
  <c r="D21" i="5"/>
  <c r="D19" i="5"/>
  <c r="D17" i="5"/>
  <c r="AG84" i="5"/>
  <c r="AE83" i="5"/>
  <c r="X58" i="6"/>
  <c r="D53" i="9"/>
  <c r="D53" i="10"/>
  <c r="V254" i="8"/>
  <c r="X254" i="7"/>
  <c r="AH165" i="7"/>
  <c r="AI165" i="7"/>
  <c r="AJ165" i="7"/>
  <c r="AE114" i="5"/>
  <c r="AJ201" i="6"/>
  <c r="AI201" i="6"/>
  <c r="AH201" i="6"/>
  <c r="BP26" i="5"/>
  <c r="AB196" i="5"/>
  <c r="AE69" i="5"/>
  <c r="AG70" i="5"/>
  <c r="AJ70" i="5"/>
  <c r="AA205" i="5"/>
  <c r="Y204" i="5"/>
  <c r="BP11" i="7"/>
  <c r="AH203" i="6"/>
  <c r="AJ203" i="6"/>
  <c r="AI203" i="6"/>
  <c r="AI247" i="6"/>
  <c r="AH247" i="6"/>
  <c r="AJ247" i="6"/>
  <c r="AA115" i="5"/>
  <c r="Y114" i="5"/>
  <c r="AG106" i="5"/>
  <c r="AE105" i="5"/>
  <c r="AE104" i="5"/>
  <c r="F81" i="6"/>
  <c r="AH238" i="6"/>
  <c r="AJ238" i="6"/>
  <c r="AI238" i="6"/>
  <c r="Y44" i="5"/>
  <c r="AA45" i="5"/>
  <c r="AH45" i="5"/>
  <c r="AB242" i="5"/>
  <c r="Y18" i="8"/>
  <c r="AA18" i="8"/>
  <c r="BO11" i="8"/>
  <c r="G64" i="6"/>
  <c r="BD14" i="5"/>
  <c r="I63" i="5"/>
  <c r="V240" i="8"/>
  <c r="X240" i="7"/>
  <c r="AI51" i="6"/>
  <c r="AJ51" i="6"/>
  <c r="V36" i="7"/>
  <c r="V35" i="6"/>
  <c r="X36" i="6"/>
  <c r="AA235" i="5"/>
  <c r="Y234" i="5"/>
  <c r="Y233" i="5"/>
  <c r="V212" i="8"/>
  <c r="X212" i="7"/>
  <c r="F66" i="5"/>
  <c r="D56" i="9"/>
  <c r="D56" i="10"/>
  <c r="F56" i="10" s="1"/>
  <c r="F56" i="8"/>
  <c r="W184" i="8"/>
  <c r="X45" i="6"/>
  <c r="V44" i="6"/>
  <c r="V43" i="6"/>
  <c r="W36" i="8"/>
  <c r="D45" i="6"/>
  <c r="F46" i="6"/>
  <c r="D27" i="7"/>
  <c r="F27" i="6"/>
  <c r="E48" i="7"/>
  <c r="V184" i="8"/>
  <c r="X184" i="7"/>
  <c r="X32" i="8"/>
  <c r="D106" i="9"/>
  <c r="F106" i="8"/>
  <c r="I95" i="5"/>
  <c r="G94" i="5"/>
  <c r="V148" i="9"/>
  <c r="V148" i="10"/>
  <c r="V148" i="11" s="1"/>
  <c r="X148" i="8"/>
  <c r="AE196" i="5"/>
  <c r="AG197" i="5"/>
  <c r="V116" i="9"/>
  <c r="V116" i="10"/>
  <c r="V116" i="11" s="1"/>
  <c r="X116" i="8"/>
  <c r="F90" i="8"/>
  <c r="AQ13" i="8"/>
  <c r="AE204" i="5"/>
  <c r="AG205" i="5"/>
  <c r="AG92" i="5"/>
  <c r="D72" i="6"/>
  <c r="F73" i="6"/>
  <c r="V214" i="8"/>
  <c r="X214" i="7"/>
  <c r="Y185" i="5"/>
  <c r="Y183" i="5"/>
  <c r="D34" i="7"/>
  <c r="D32" i="7"/>
  <c r="F34" i="6"/>
  <c r="J54" i="5"/>
  <c r="W175" i="8"/>
  <c r="M44" i="5"/>
  <c r="N44" i="5"/>
  <c r="J94" i="5"/>
  <c r="AE35" i="5"/>
  <c r="AG36" i="5"/>
  <c r="W124" i="8"/>
  <c r="V235" i="8"/>
  <c r="X235" i="7"/>
  <c r="AH27" i="5"/>
  <c r="AJ27" i="5"/>
  <c r="AI27" i="5"/>
  <c r="E66" i="7"/>
  <c r="F52" i="8"/>
  <c r="E51" i="7"/>
  <c r="AJ26" i="8"/>
  <c r="AI26" i="8"/>
  <c r="AH26" i="8"/>
  <c r="X30" i="8"/>
  <c r="X22" i="7"/>
  <c r="V80" i="9"/>
  <c r="V80" i="10"/>
  <c r="V80" i="11" s="1"/>
  <c r="X80" i="11" s="1"/>
  <c r="AJ80" i="11" s="1"/>
  <c r="X80" i="8"/>
  <c r="D123" i="9"/>
  <c r="F123" i="8"/>
  <c r="W20" i="7"/>
  <c r="W16" i="7"/>
  <c r="AG45" i="5"/>
  <c r="AV13" i="6"/>
  <c r="AU13" i="6"/>
  <c r="F58" i="7"/>
  <c r="D35" i="6"/>
  <c r="D28" i="6"/>
  <c r="F36" i="6"/>
  <c r="W49" i="7"/>
  <c r="F96" i="7"/>
  <c r="AH189" i="9"/>
  <c r="AJ189" i="9"/>
  <c r="AI189" i="9"/>
  <c r="AD106" i="5"/>
  <c r="AB105" i="5"/>
  <c r="AB104" i="5"/>
  <c r="J81" i="5"/>
  <c r="F33" i="7"/>
  <c r="V20" i="6"/>
  <c r="V16" i="6"/>
  <c r="X170" i="6"/>
  <c r="W243" i="8"/>
  <c r="W242" i="7"/>
  <c r="N50" i="8"/>
  <c r="M50" i="8"/>
  <c r="AJ54" i="5"/>
  <c r="AI54" i="5"/>
  <c r="AH54" i="5"/>
  <c r="M80" i="6"/>
  <c r="E115" i="8"/>
  <c r="V205" i="8"/>
  <c r="V204" i="7"/>
  <c r="X205" i="7"/>
  <c r="I61" i="5"/>
  <c r="V124" i="8"/>
  <c r="X124" i="7"/>
  <c r="AE242" i="5"/>
  <c r="AG243" i="5"/>
  <c r="Y50" i="5"/>
  <c r="V197" i="8"/>
  <c r="X197" i="7"/>
  <c r="BN26" i="7"/>
  <c r="N31" i="6"/>
  <c r="M31" i="6"/>
  <c r="V40" i="7"/>
  <c r="X40" i="6"/>
  <c r="N102" i="9"/>
  <c r="M102" i="9"/>
  <c r="X99" i="8"/>
  <c r="E28" i="6"/>
  <c r="AZ27" i="2"/>
  <c r="AV27" i="2"/>
  <c r="AY27" i="2"/>
  <c r="AU27" i="2"/>
  <c r="AA97" i="5"/>
  <c r="Y96" i="5"/>
  <c r="W195" i="6"/>
  <c r="W194" i="6"/>
  <c r="AH23" i="9"/>
  <c r="AJ23" i="9"/>
  <c r="AI23" i="9"/>
  <c r="F87" i="10"/>
  <c r="N87" i="10" s="1"/>
  <c r="F87" i="8"/>
  <c r="X172" i="10"/>
  <c r="X172" i="8"/>
  <c r="F30" i="7"/>
  <c r="D29" i="7"/>
  <c r="AI108" i="11"/>
  <c r="BN16" i="6"/>
  <c r="AE155" i="7"/>
  <c r="BN11" i="6"/>
  <c r="AJ262" i="4"/>
  <c r="AI262" i="4"/>
  <c r="W261" i="8"/>
  <c r="X12" i="4"/>
  <c r="AV9" i="4"/>
  <c r="X261" i="6"/>
  <c r="BN31" i="6"/>
  <c r="BN25" i="5"/>
  <c r="BN18" i="5"/>
  <c r="BN15" i="5"/>
  <c r="AI220" i="4"/>
  <c r="AB261" i="5"/>
  <c r="AQ29" i="4"/>
  <c r="AV29" i="4"/>
  <c r="BN17" i="6"/>
  <c r="BN12" i="5"/>
  <c r="BN9" i="5"/>
  <c r="X195" i="5"/>
  <c r="AQ27" i="4"/>
  <c r="BN24" i="4"/>
  <c r="BN22" i="4"/>
  <c r="W258" i="4"/>
  <c r="Y118" i="8"/>
  <c r="AA118" i="8"/>
  <c r="V261" i="7"/>
  <c r="AG255" i="6"/>
  <c r="BN13" i="4"/>
  <c r="BN8" i="4"/>
  <c r="BN7" i="4"/>
  <c r="BO12" i="4"/>
  <c r="BO9" i="4"/>
  <c r="BO8" i="4"/>
  <c r="BP13" i="4"/>
  <c r="BP8" i="4"/>
  <c r="Y261" i="5"/>
  <c r="AE261" i="5"/>
  <c r="X195" i="4"/>
  <c r="X193" i="4"/>
  <c r="BP23" i="10"/>
  <c r="AA255" i="6"/>
  <c r="BN22" i="5"/>
  <c r="BH11" i="5"/>
  <c r="V110" i="5"/>
  <c r="BN25" i="4"/>
  <c r="BH12" i="4"/>
  <c r="Y176" i="10"/>
  <c r="AA176" i="10"/>
  <c r="BO23" i="10"/>
  <c r="Y254" i="11"/>
  <c r="AA254" i="11" s="1"/>
  <c r="Y254" i="12" s="1"/>
  <c r="AA254" i="12" s="1"/>
  <c r="Y223" i="12"/>
  <c r="AA223" i="12" s="1"/>
  <c r="Y223" i="13" s="1"/>
  <c r="AA223" i="13" s="1"/>
  <c r="W145" i="6"/>
  <c r="W110" i="6"/>
  <c r="V145" i="6"/>
  <c r="X145" i="5"/>
  <c r="V8" i="4"/>
  <c r="V260" i="4"/>
  <c r="V264" i="4"/>
  <c r="V258" i="4"/>
  <c r="AA169" i="4"/>
  <c r="BO24" i="4"/>
  <c r="BO22" i="4"/>
  <c r="AD169" i="4"/>
  <c r="BP24" i="4"/>
  <c r="BP22" i="4"/>
  <c r="BJ11" i="4"/>
  <c r="AA210" i="4"/>
  <c r="AA209" i="4"/>
  <c r="BO27" i="4"/>
  <c r="BO25" i="4"/>
  <c r="G79" i="7"/>
  <c r="I79" i="7"/>
  <c r="M79" i="7"/>
  <c r="X209" i="5"/>
  <c r="X208" i="5"/>
  <c r="AQ29" i="5"/>
  <c r="W12" i="5"/>
  <c r="W10" i="5"/>
  <c r="W8" i="5"/>
  <c r="AS26" i="4"/>
  <c r="AX26" i="4"/>
  <c r="AR26" i="4"/>
  <c r="AW26" i="4"/>
  <c r="AJ210" i="4"/>
  <c r="AJ209" i="4"/>
  <c r="AJ193" i="4"/>
  <c r="AE260" i="4"/>
  <c r="AE264" i="4"/>
  <c r="AH52" i="10"/>
  <c r="AJ188" i="9"/>
  <c r="AI188" i="9"/>
  <c r="AH188" i="9"/>
  <c r="V188" i="11"/>
  <c r="V188" i="12" s="1"/>
  <c r="V188" i="13" s="1"/>
  <c r="X188" i="13" s="1"/>
  <c r="AH188" i="13" s="1"/>
  <c r="AR23" i="4"/>
  <c r="AW23" i="4"/>
  <c r="AH210" i="4"/>
  <c r="AH209" i="4"/>
  <c r="AH193" i="4"/>
  <c r="V168" i="6"/>
  <c r="BL12" i="9"/>
  <c r="BL12" i="11"/>
  <c r="BL12" i="8"/>
  <c r="BL12" i="12"/>
  <c r="BL12" i="7"/>
  <c r="AH16" i="4"/>
  <c r="AA124" i="5"/>
  <c r="BO17" i="5"/>
  <c r="E113" i="7"/>
  <c r="AI210" i="4"/>
  <c r="AI209" i="4"/>
  <c r="BJ10" i="4"/>
  <c r="BH15" i="6"/>
  <c r="I62" i="5"/>
  <c r="I128" i="5"/>
  <c r="G128" i="5"/>
  <c r="BI13" i="4"/>
  <c r="BH13" i="4"/>
  <c r="X210" i="6"/>
  <c r="BN27" i="6"/>
  <c r="AI33" i="5"/>
  <c r="M128" i="4"/>
  <c r="X221" i="6"/>
  <c r="BH11" i="4"/>
  <c r="Y1" i="2"/>
  <c r="AD260" i="2"/>
  <c r="AD264" i="2"/>
  <c r="AI18" i="6"/>
  <c r="AI148" i="7"/>
  <c r="AH148" i="7"/>
  <c r="AH74" i="10"/>
  <c r="D128" i="7"/>
  <c r="F128" i="6"/>
  <c r="E27" i="8"/>
  <c r="E25" i="8"/>
  <c r="E128" i="7"/>
  <c r="AX31" i="3"/>
  <c r="AX32" i="3"/>
  <c r="AQ32" i="3"/>
  <c r="AW31" i="3"/>
  <c r="AW32" i="3"/>
  <c r="AV31" i="3"/>
  <c r="AU31" i="3"/>
  <c r="I126" i="3"/>
  <c r="I130" i="3"/>
  <c r="K1" i="3"/>
  <c r="J5" i="3"/>
  <c r="AB209" i="5"/>
  <c r="AB208" i="5"/>
  <c r="V234" i="7"/>
  <c r="V233" i="7"/>
  <c r="X90" i="5"/>
  <c r="BN13" i="5"/>
  <c r="G78" i="6"/>
  <c r="I78" i="6"/>
  <c r="M78" i="6"/>
  <c r="AH90" i="4"/>
  <c r="AH63" i="4"/>
  <c r="V91" i="7"/>
  <c r="V183" i="7"/>
  <c r="M79" i="5"/>
  <c r="AY22" i="5"/>
  <c r="V112" i="6"/>
  <c r="I43" i="5"/>
  <c r="AW10" i="5"/>
  <c r="AY10" i="5"/>
  <c r="AE16" i="5"/>
  <c r="V90" i="6"/>
  <c r="V63" i="6"/>
  <c r="AE209" i="5"/>
  <c r="AE208" i="5"/>
  <c r="AJ90" i="4"/>
  <c r="AJ63" i="4"/>
  <c r="W192" i="6"/>
  <c r="Y69" i="5"/>
  <c r="Y65" i="5"/>
  <c r="AV24" i="4"/>
  <c r="AJ43" i="4"/>
  <c r="BC13" i="6"/>
  <c r="X226" i="6"/>
  <c r="AH220" i="4"/>
  <c r="BC20" i="6"/>
  <c r="AG193" i="4"/>
  <c r="AG217" i="5"/>
  <c r="AR29" i="4"/>
  <c r="BJ12" i="4"/>
  <c r="AD261" i="5"/>
  <c r="BP31" i="5"/>
  <c r="AA217" i="5"/>
  <c r="AJ26" i="10"/>
  <c r="N28" i="4"/>
  <c r="X258" i="2"/>
  <c r="BN33" i="2"/>
  <c r="AI166" i="10"/>
  <c r="AH166" i="10"/>
  <c r="AH125" i="6"/>
  <c r="X112" i="5"/>
  <c r="X110" i="4"/>
  <c r="AH232" i="4"/>
  <c r="AG14" i="4"/>
  <c r="AY7" i="4"/>
  <c r="X233" i="5"/>
  <c r="X231" i="5"/>
  <c r="AQ30" i="5"/>
  <c r="AQ30" i="4"/>
  <c r="AV30" i="4"/>
  <c r="AE224" i="11"/>
  <c r="AH112" i="4"/>
  <c r="AH110" i="4"/>
  <c r="AB12" i="4"/>
  <c r="AB10" i="4"/>
  <c r="AB8" i="4"/>
  <c r="AE51" i="13"/>
  <c r="AG51" i="13" s="1"/>
  <c r="AU28" i="2"/>
  <c r="AV28" i="2"/>
  <c r="X161" i="12"/>
  <c r="D113" i="7"/>
  <c r="AZ23" i="4"/>
  <c r="X80" i="10"/>
  <c r="X30" i="10"/>
  <c r="AJ30" i="10" s="1"/>
  <c r="X31" i="10"/>
  <c r="X19" i="10"/>
  <c r="X96" i="6"/>
  <c r="X32" i="10"/>
  <c r="Y12" i="4"/>
  <c r="Y10" i="4"/>
  <c r="Y8" i="4"/>
  <c r="Y16" i="5"/>
  <c r="Y35" i="5"/>
  <c r="X183" i="6"/>
  <c r="AA33" i="5"/>
  <c r="AH39" i="5"/>
  <c r="AH35" i="5"/>
  <c r="AA63" i="4"/>
  <c r="BC18" i="6"/>
  <c r="G60" i="5"/>
  <c r="M63" i="5"/>
  <c r="AG33" i="5"/>
  <c r="AJ33" i="5"/>
  <c r="V231" i="6"/>
  <c r="J51" i="5"/>
  <c r="X196" i="6"/>
  <c r="BN28" i="6"/>
  <c r="V12" i="5"/>
  <c r="V10" i="5"/>
  <c r="V8" i="5"/>
  <c r="V83" i="7"/>
  <c r="V174" i="7"/>
  <c r="V157" i="7"/>
  <c r="X165" i="10"/>
  <c r="X83" i="6"/>
  <c r="AJ163" i="10"/>
  <c r="V123" i="7"/>
  <c r="AJ169" i="4"/>
  <c r="AI16" i="4"/>
  <c r="BL16" i="7"/>
  <c r="AJ152" i="10"/>
  <c r="X132" i="10"/>
  <c r="AH132" i="10" s="1"/>
  <c r="X91" i="6"/>
  <c r="X130" i="10"/>
  <c r="X157" i="6"/>
  <c r="X155" i="6"/>
  <c r="X174" i="6"/>
  <c r="W157" i="7"/>
  <c r="X148" i="10"/>
  <c r="AI148" i="10" s="1"/>
  <c r="X228" i="10"/>
  <c r="AJ228" i="10" s="1"/>
  <c r="V196" i="7"/>
  <c r="V195" i="7"/>
  <c r="V194" i="7"/>
  <c r="V192" i="7"/>
  <c r="V96" i="7"/>
  <c r="I28" i="4"/>
  <c r="AR9" i="4"/>
  <c r="AU9" i="4"/>
  <c r="X234" i="6"/>
  <c r="BN29" i="6"/>
  <c r="AQ25" i="4"/>
  <c r="AI43" i="4"/>
  <c r="BH8" i="4"/>
  <c r="F78" i="7"/>
  <c r="AI125" i="6"/>
  <c r="BJ8" i="4"/>
  <c r="F104" i="6"/>
  <c r="AB35" i="5"/>
  <c r="AH169" i="4"/>
  <c r="V242" i="7"/>
  <c r="X57" i="6"/>
  <c r="AI169" i="4"/>
  <c r="X242" i="6"/>
  <c r="X104" i="6"/>
  <c r="N110" i="10"/>
  <c r="M49" i="5"/>
  <c r="M48" i="5"/>
  <c r="AE44" i="5"/>
  <c r="AE43" i="5"/>
  <c r="V114" i="7"/>
  <c r="BI12" i="4"/>
  <c r="AJ16" i="4"/>
  <c r="V104" i="7"/>
  <c r="AI193" i="4"/>
  <c r="Y231" i="5"/>
  <c r="AB16" i="5"/>
  <c r="AJ93" i="5"/>
  <c r="AE219" i="5"/>
  <c r="J35" i="5"/>
  <c r="J28" i="5"/>
  <c r="AH20" i="5"/>
  <c r="V57" i="7"/>
  <c r="AI112" i="4"/>
  <c r="AI110" i="4"/>
  <c r="AI232" i="4"/>
  <c r="AI90" i="4"/>
  <c r="AI63" i="4"/>
  <c r="J66" i="5"/>
  <c r="M28" i="4"/>
  <c r="M21" i="4"/>
  <c r="M19" i="4"/>
  <c r="M17" i="4"/>
  <c r="X20" i="6"/>
  <c r="X16" i="6"/>
  <c r="G69" i="5"/>
  <c r="N107" i="10"/>
  <c r="AR25" i="4"/>
  <c r="AW25" i="4"/>
  <c r="AH44" i="5"/>
  <c r="Y210" i="5"/>
  <c r="Y209" i="5"/>
  <c r="Y208" i="5"/>
  <c r="X123" i="6"/>
  <c r="AE91" i="5"/>
  <c r="AE90" i="5"/>
  <c r="AI44" i="5"/>
  <c r="AQ12" i="8"/>
  <c r="AV12" i="8"/>
  <c r="E115" i="10"/>
  <c r="E115" i="11"/>
  <c r="D108" i="10"/>
  <c r="F108" i="10" s="1"/>
  <c r="M108" i="10" s="1"/>
  <c r="N108" i="10"/>
  <c r="F108" i="11"/>
  <c r="F116" i="10"/>
  <c r="N116" i="10" s="1"/>
  <c r="G89" i="10"/>
  <c r="I89" i="10"/>
  <c r="AW12" i="9"/>
  <c r="AR12" i="9"/>
  <c r="D115" i="11"/>
  <c r="D115" i="10"/>
  <c r="AE206" i="13"/>
  <c r="AG206" i="13" s="1"/>
  <c r="M118" i="11"/>
  <c r="E124" i="8"/>
  <c r="F124" i="7"/>
  <c r="AS13" i="9"/>
  <c r="AX13" i="9"/>
  <c r="AX12" i="9"/>
  <c r="AS12" i="9"/>
  <c r="AR22" i="8"/>
  <c r="G90" i="10"/>
  <c r="I90" i="10"/>
  <c r="G90" i="11" s="1"/>
  <c r="I90" i="11" s="1"/>
  <c r="M90" i="10"/>
  <c r="AW13" i="9"/>
  <c r="AR13" i="9"/>
  <c r="E104" i="7"/>
  <c r="BK16" i="12"/>
  <c r="BL16" i="12"/>
  <c r="BL7" i="12"/>
  <c r="BL16" i="8"/>
  <c r="AZ13" i="8"/>
  <c r="AU13" i="8"/>
  <c r="AV13" i="8"/>
  <c r="P128" i="8"/>
  <c r="Q128" i="8"/>
  <c r="AW11" i="9"/>
  <c r="AR11" i="9"/>
  <c r="AX11" i="9"/>
  <c r="AS11" i="9"/>
  <c r="BL16" i="9"/>
  <c r="AW12" i="8"/>
  <c r="AR12" i="8"/>
  <c r="AY13" i="8"/>
  <c r="N124" i="6"/>
  <c r="M124" i="6"/>
  <c r="N89" i="10"/>
  <c r="AJ17" i="8"/>
  <c r="G88" i="10"/>
  <c r="I88" i="10"/>
  <c r="Y224" i="9"/>
  <c r="G24" i="8"/>
  <c r="N63" i="5"/>
  <c r="BH10" i="4"/>
  <c r="X18" i="7"/>
  <c r="V86" i="8"/>
  <c r="X86" i="7"/>
  <c r="AH239" i="6"/>
  <c r="AJ239" i="6"/>
  <c r="AI239" i="6"/>
  <c r="AH198" i="6"/>
  <c r="AJ198" i="6"/>
  <c r="AI198" i="6"/>
  <c r="N122" i="6"/>
  <c r="D85" i="8"/>
  <c r="F88" i="7"/>
  <c r="F85" i="7"/>
  <c r="E37" i="8"/>
  <c r="E35" i="8"/>
  <c r="F37" i="7"/>
  <c r="AJ118" i="6"/>
  <c r="AI118" i="6"/>
  <c r="AH118" i="6"/>
  <c r="X179" i="7"/>
  <c r="V179" i="8"/>
  <c r="X46" i="7"/>
  <c r="AJ139" i="6"/>
  <c r="AI139" i="6"/>
  <c r="AH139" i="6"/>
  <c r="AJ244" i="6"/>
  <c r="AI244" i="6"/>
  <c r="AH244" i="6"/>
  <c r="V229" i="8"/>
  <c r="X229" i="7"/>
  <c r="X226" i="7"/>
  <c r="Y51" i="6"/>
  <c r="AA51" i="6"/>
  <c r="AH51" i="5"/>
  <c r="D121" i="8"/>
  <c r="F121" i="7"/>
  <c r="AI94" i="6"/>
  <c r="AH94" i="6"/>
  <c r="AJ94" i="6"/>
  <c r="BI11" i="4"/>
  <c r="X162" i="11"/>
  <c r="AH162" i="11" s="1"/>
  <c r="X162" i="8"/>
  <c r="V77" i="8"/>
  <c r="X77" i="7"/>
  <c r="W176" i="8"/>
  <c r="W174" i="8"/>
  <c r="X176" i="7"/>
  <c r="BN23" i="7"/>
  <c r="M47" i="7"/>
  <c r="N47" i="7"/>
  <c r="AJ101" i="6"/>
  <c r="AH101" i="6"/>
  <c r="AI101" i="6"/>
  <c r="AJ55" i="6"/>
  <c r="AI55" i="6"/>
  <c r="AH55" i="6"/>
  <c r="AH131" i="6"/>
  <c r="AI131" i="6"/>
  <c r="AJ131" i="6"/>
  <c r="AJ46" i="5"/>
  <c r="AE93" i="10"/>
  <c r="AG93" i="10"/>
  <c r="AE93" i="11" s="1"/>
  <c r="AG93" i="11" s="1"/>
  <c r="AE93" i="12" s="1"/>
  <c r="AG93" i="12" s="1"/>
  <c r="AE93" i="13" s="1"/>
  <c r="AG93" i="13" s="1"/>
  <c r="AJ76" i="6"/>
  <c r="AI76" i="6"/>
  <c r="AH76" i="6"/>
  <c r="BJ9" i="4"/>
  <c r="AR24" i="4"/>
  <c r="N39" i="6"/>
  <c r="M39" i="6"/>
  <c r="AJ156" i="6"/>
  <c r="AI156" i="6"/>
  <c r="AH156" i="6"/>
  <c r="AI37" i="5"/>
  <c r="AI35" i="5"/>
  <c r="V178" i="8"/>
  <c r="X178" i="7"/>
  <c r="J128" i="5"/>
  <c r="N24" i="4"/>
  <c r="N128" i="4"/>
  <c r="L22" i="4"/>
  <c r="AX7" i="4"/>
  <c r="AJ202" i="6"/>
  <c r="AI202" i="6"/>
  <c r="AH202" i="6"/>
  <c r="AH119" i="6"/>
  <c r="AJ119" i="6"/>
  <c r="AI119" i="6"/>
  <c r="AI121" i="6"/>
  <c r="AH121" i="6"/>
  <c r="AJ121" i="6"/>
  <c r="AR7" i="4"/>
  <c r="AU7" i="4"/>
  <c r="I122" i="5"/>
  <c r="I113" i="5"/>
  <c r="AR15" i="5"/>
  <c r="F109" i="7"/>
  <c r="BC19" i="7"/>
  <c r="X245" i="7"/>
  <c r="V245" i="8"/>
  <c r="F51" i="6"/>
  <c r="N53" i="6"/>
  <c r="M53" i="6"/>
  <c r="AJ61" i="6"/>
  <c r="AI61" i="6"/>
  <c r="AH61" i="6"/>
  <c r="X158" i="7"/>
  <c r="W136" i="9"/>
  <c r="W136" i="10"/>
  <c r="W136" i="11" s="1"/>
  <c r="X136" i="8"/>
  <c r="V137" i="8"/>
  <c r="X137" i="7"/>
  <c r="AI53" i="7"/>
  <c r="AH53" i="7"/>
  <c r="AJ53" i="7"/>
  <c r="AI108" i="6"/>
  <c r="AH108" i="6"/>
  <c r="AJ108" i="6"/>
  <c r="AA193" i="4"/>
  <c r="AJ159" i="6"/>
  <c r="AH159" i="6"/>
  <c r="AI159" i="6"/>
  <c r="AJ187" i="6"/>
  <c r="AI187" i="6"/>
  <c r="AH187" i="6"/>
  <c r="AJ232" i="4"/>
  <c r="AI190" i="6"/>
  <c r="AH190" i="6"/>
  <c r="AJ190" i="6"/>
  <c r="AI133" i="6"/>
  <c r="AH133" i="6"/>
  <c r="AJ133" i="6"/>
  <c r="D94" i="8"/>
  <c r="F97" i="7"/>
  <c r="BC18" i="7"/>
  <c r="AH213" i="6"/>
  <c r="AJ213" i="6"/>
  <c r="AI213" i="6"/>
  <c r="AZ27" i="4"/>
  <c r="AV27" i="4"/>
  <c r="M56" i="10"/>
  <c r="N56" i="10"/>
  <c r="AH66" i="6"/>
  <c r="AI66" i="6"/>
  <c r="AQ22" i="6"/>
  <c r="AU22" i="6"/>
  <c r="X85" i="7"/>
  <c r="V85" i="8"/>
  <c r="V239" i="8"/>
  <c r="X239" i="7"/>
  <c r="AI223" i="6"/>
  <c r="AH223" i="6"/>
  <c r="AJ223" i="6"/>
  <c r="AH75" i="6"/>
  <c r="AJ75" i="6"/>
  <c r="AI75" i="6"/>
  <c r="V198" i="8"/>
  <c r="X198" i="7"/>
  <c r="D122" i="8"/>
  <c r="F122" i="7"/>
  <c r="X237" i="7"/>
  <c r="V237" i="8"/>
  <c r="AQ11" i="6"/>
  <c r="N88" i="6"/>
  <c r="M88" i="6"/>
  <c r="AH160" i="6"/>
  <c r="AI160" i="6"/>
  <c r="AJ160" i="6"/>
  <c r="V118" i="8"/>
  <c r="X118" i="7"/>
  <c r="AJ102" i="6"/>
  <c r="AI102" i="6"/>
  <c r="AH102" i="6"/>
  <c r="V139" i="8"/>
  <c r="X139" i="7"/>
  <c r="V244" i="8"/>
  <c r="X244" i="7"/>
  <c r="AJ229" i="6"/>
  <c r="AH229" i="6"/>
  <c r="AI229" i="6"/>
  <c r="M77" i="6"/>
  <c r="N77" i="6"/>
  <c r="X94" i="7"/>
  <c r="AH37" i="6"/>
  <c r="AJ37" i="6"/>
  <c r="AI37" i="6"/>
  <c r="AJ151" i="7"/>
  <c r="AI151" i="7"/>
  <c r="AH151" i="7"/>
  <c r="E47" i="9"/>
  <c r="F47" i="8"/>
  <c r="AH48" i="6"/>
  <c r="AJ48" i="6"/>
  <c r="AI48" i="6"/>
  <c r="X101" i="7"/>
  <c r="X55" i="7"/>
  <c r="V131" i="8"/>
  <c r="X131" i="7"/>
  <c r="AI98" i="6"/>
  <c r="AJ98" i="6"/>
  <c r="AH98" i="6"/>
  <c r="M111" i="6"/>
  <c r="N111" i="6"/>
  <c r="AH129" i="6"/>
  <c r="AI129" i="6"/>
  <c r="AJ129" i="6"/>
  <c r="V125" i="8"/>
  <c r="X125" i="7"/>
  <c r="AJ125" i="7"/>
  <c r="AI128" i="6"/>
  <c r="AJ128" i="6"/>
  <c r="AH128" i="6"/>
  <c r="X156" i="7"/>
  <c r="AH236" i="6"/>
  <c r="AJ236" i="6"/>
  <c r="AI236" i="6"/>
  <c r="V202" i="8"/>
  <c r="X202" i="7"/>
  <c r="AI25" i="6"/>
  <c r="AH25" i="6"/>
  <c r="AJ25" i="6"/>
  <c r="W119" i="8"/>
  <c r="W114" i="8"/>
  <c r="X119" i="7"/>
  <c r="X121" i="7"/>
  <c r="V121" i="8"/>
  <c r="V138" i="8"/>
  <c r="X138" i="7"/>
  <c r="AH43" i="4"/>
  <c r="AH14" i="4"/>
  <c r="AH245" i="6"/>
  <c r="AJ245" i="6"/>
  <c r="AI245" i="6"/>
  <c r="E53" i="8"/>
  <c r="E51" i="8"/>
  <c r="F53" i="7"/>
  <c r="X61" i="7"/>
  <c r="AD193" i="4"/>
  <c r="AR28" i="4"/>
  <c r="AW28" i="4"/>
  <c r="AH100" i="6"/>
  <c r="AI100" i="6"/>
  <c r="AJ100" i="6"/>
  <c r="AI180" i="6"/>
  <c r="AH180" i="6"/>
  <c r="AJ180" i="6"/>
  <c r="AI200" i="6"/>
  <c r="AH200" i="6"/>
  <c r="AJ200" i="6"/>
  <c r="AJ137" i="6"/>
  <c r="AI137" i="6"/>
  <c r="AH137" i="6"/>
  <c r="X53" i="8"/>
  <c r="X108" i="7"/>
  <c r="M24" i="6"/>
  <c r="V187" i="8"/>
  <c r="V185" i="8"/>
  <c r="X187" i="7"/>
  <c r="X185" i="7"/>
  <c r="AH72" i="6"/>
  <c r="AJ72" i="6"/>
  <c r="AI72" i="6"/>
  <c r="BD10" i="4"/>
  <c r="BD9" i="4"/>
  <c r="BD8" i="4"/>
  <c r="BD22" i="4"/>
  <c r="G8" i="4"/>
  <c r="G126" i="4"/>
  <c r="G130" i="4"/>
  <c r="AQ14" i="4"/>
  <c r="AY14" i="4"/>
  <c r="F17" i="4"/>
  <c r="V190" i="8"/>
  <c r="X190" i="7"/>
  <c r="W213" i="8"/>
  <c r="W210" i="8"/>
  <c r="W209" i="8"/>
  <c r="W208" i="8"/>
  <c r="X213" i="7"/>
  <c r="X215" i="7"/>
  <c r="V215" i="8"/>
  <c r="V210" i="8"/>
  <c r="V209" i="8"/>
  <c r="V208" i="8"/>
  <c r="M87" i="10"/>
  <c r="N91" i="10"/>
  <c r="AH117" i="6"/>
  <c r="AJ117" i="6"/>
  <c r="AI117" i="6"/>
  <c r="V66" i="8"/>
  <c r="X66" i="7"/>
  <c r="BN10" i="7"/>
  <c r="AH85" i="6"/>
  <c r="AJ85" i="6"/>
  <c r="AI85" i="6"/>
  <c r="AI93" i="6"/>
  <c r="AH93" i="6"/>
  <c r="AJ93" i="6"/>
  <c r="V223" i="8"/>
  <c r="V221" i="8"/>
  <c r="X223" i="7"/>
  <c r="X221" i="7"/>
  <c r="X75" i="7"/>
  <c r="V75" i="8"/>
  <c r="X24" i="7"/>
  <c r="AI237" i="6"/>
  <c r="AH237" i="6"/>
  <c r="AJ237" i="6"/>
  <c r="X160" i="7"/>
  <c r="AA14" i="4"/>
  <c r="X102" i="7"/>
  <c r="G71" i="6"/>
  <c r="M71" i="5"/>
  <c r="M65" i="6"/>
  <c r="N65" i="6"/>
  <c r="D77" i="8"/>
  <c r="D75" i="8"/>
  <c r="F77" i="7"/>
  <c r="F75" i="7"/>
  <c r="W37" i="8"/>
  <c r="W35" i="8"/>
  <c r="X37" i="7"/>
  <c r="M119" i="6"/>
  <c r="N119" i="6"/>
  <c r="W151" i="9"/>
  <c r="W151" i="10"/>
  <c r="W151" i="11" s="1"/>
  <c r="W151" i="12" s="1"/>
  <c r="W151" i="13" s="1"/>
  <c r="X151" i="8"/>
  <c r="X48" i="7"/>
  <c r="AJ143" i="6"/>
  <c r="AI143" i="6"/>
  <c r="AH143" i="6"/>
  <c r="X127" i="7"/>
  <c r="AI127" i="7"/>
  <c r="V127" i="8"/>
  <c r="Y212" i="6"/>
  <c r="AA212" i="6"/>
  <c r="AH212" i="5"/>
  <c r="D83" i="9"/>
  <c r="F83" i="8"/>
  <c r="AH135" i="6"/>
  <c r="AJ135" i="6"/>
  <c r="AI135" i="6"/>
  <c r="AH164" i="6"/>
  <c r="AJ164" i="6"/>
  <c r="AI164" i="6"/>
  <c r="AE46" i="10"/>
  <c r="AG46" i="10"/>
  <c r="W96" i="8"/>
  <c r="X98" i="7"/>
  <c r="E111" i="8"/>
  <c r="F111" i="7"/>
  <c r="V252" i="8"/>
  <c r="X252" i="7"/>
  <c r="AJ112" i="4"/>
  <c r="AJ110" i="4"/>
  <c r="X129" i="7"/>
  <c r="V129" i="8"/>
  <c r="AH88" i="6"/>
  <c r="AJ88" i="6"/>
  <c r="AI88" i="6"/>
  <c r="W128" i="8"/>
  <c r="W123" i="8"/>
  <c r="X128" i="7"/>
  <c r="W236" i="8"/>
  <c r="X236" i="7"/>
  <c r="V177" i="8"/>
  <c r="X177" i="7"/>
  <c r="Y39" i="10"/>
  <c r="AA39" i="10"/>
  <c r="Y39" i="11" s="1"/>
  <c r="AA39" i="11" s="1"/>
  <c r="Y39" i="12" s="1"/>
  <c r="AA39" i="12" s="1"/>
  <c r="Y39" i="13" s="1"/>
  <c r="AA39" i="13" s="1"/>
  <c r="AK39" i="13" s="1"/>
  <c r="AN39" i="13" s="1"/>
  <c r="F41" i="10"/>
  <c r="F41" i="9"/>
  <c r="X25" i="7"/>
  <c r="AI107" i="6"/>
  <c r="AH107" i="6"/>
  <c r="AJ107" i="6"/>
  <c r="AH138" i="6"/>
  <c r="AJ138" i="6"/>
  <c r="AI138" i="6"/>
  <c r="F101" i="8"/>
  <c r="AJ249" i="6"/>
  <c r="AI249" i="6"/>
  <c r="AH249" i="6"/>
  <c r="AJ39" i="6"/>
  <c r="AI39" i="6"/>
  <c r="AH39" i="6"/>
  <c r="X100" i="7"/>
  <c r="V180" i="8"/>
  <c r="X180" i="7"/>
  <c r="V200" i="8"/>
  <c r="X200" i="7"/>
  <c r="AH79" i="6"/>
  <c r="AJ79" i="6"/>
  <c r="AI79" i="6"/>
  <c r="AI253" i="6"/>
  <c r="AH253" i="6"/>
  <c r="AJ253" i="6"/>
  <c r="AJ95" i="6"/>
  <c r="AI95" i="6"/>
  <c r="AH95" i="6"/>
  <c r="D24" i="8"/>
  <c r="F24" i="7"/>
  <c r="V72" i="8"/>
  <c r="X72" i="7"/>
  <c r="X217" i="8"/>
  <c r="V217" i="9"/>
  <c r="V217" i="10"/>
  <c r="X217" i="10" s="1"/>
  <c r="V217" i="11"/>
  <c r="AH215" i="6"/>
  <c r="AJ215" i="6"/>
  <c r="AI215" i="6"/>
  <c r="N53" i="5"/>
  <c r="N14" i="10"/>
  <c r="F113" i="6"/>
  <c r="AQ15" i="6"/>
  <c r="X114" i="6"/>
  <c r="X117" i="7"/>
  <c r="V117" i="8"/>
  <c r="AJ18" i="6"/>
  <c r="AH18" i="6"/>
  <c r="AJ86" i="6"/>
  <c r="AH86" i="6"/>
  <c r="AI86" i="6"/>
  <c r="X93" i="7"/>
  <c r="AH24" i="6"/>
  <c r="AI24" i="6"/>
  <c r="AJ24" i="6"/>
  <c r="Y71" i="6"/>
  <c r="AA71" i="6"/>
  <c r="AH71" i="5"/>
  <c r="AH69" i="5"/>
  <c r="AH65" i="5"/>
  <c r="M37" i="6"/>
  <c r="N37" i="6"/>
  <c r="AI179" i="6"/>
  <c r="AH179" i="6"/>
  <c r="AJ179" i="6"/>
  <c r="AJ46" i="6"/>
  <c r="AI46" i="6"/>
  <c r="AH46" i="6"/>
  <c r="D65" i="8"/>
  <c r="F65" i="7"/>
  <c r="M121" i="6"/>
  <c r="N121" i="6"/>
  <c r="AJ162" i="7"/>
  <c r="AH162" i="7"/>
  <c r="AI162" i="7"/>
  <c r="E119" i="8"/>
  <c r="F119" i="7"/>
  <c r="AH77" i="6"/>
  <c r="AI77" i="6"/>
  <c r="AJ77" i="6"/>
  <c r="AH176" i="6"/>
  <c r="AI176" i="6"/>
  <c r="AJ176" i="6"/>
  <c r="AY11" i="5"/>
  <c r="AU11" i="5"/>
  <c r="AZ11" i="5"/>
  <c r="AV11" i="5"/>
  <c r="I33" i="5"/>
  <c r="G32" i="5"/>
  <c r="X143" i="7"/>
  <c r="X141" i="7"/>
  <c r="BN20" i="7"/>
  <c r="V143" i="8"/>
  <c r="AH127" i="6"/>
  <c r="AJ127" i="6"/>
  <c r="N37" i="5"/>
  <c r="N35" i="5"/>
  <c r="N83" i="7"/>
  <c r="M83" i="7"/>
  <c r="V135" i="8"/>
  <c r="X135" i="7"/>
  <c r="X164" i="7"/>
  <c r="AS25" i="4"/>
  <c r="AX25" i="4"/>
  <c r="AG63" i="4"/>
  <c r="V76" i="8"/>
  <c r="X76" i="7"/>
  <c r="AI252" i="6"/>
  <c r="AJ252" i="6"/>
  <c r="AH252" i="6"/>
  <c r="F39" i="7"/>
  <c r="V88" i="8"/>
  <c r="X88" i="7"/>
  <c r="AI178" i="6"/>
  <c r="AH178" i="6"/>
  <c r="AJ178" i="6"/>
  <c r="AI177" i="6"/>
  <c r="AH177" i="6"/>
  <c r="AJ177" i="6"/>
  <c r="J8" i="4"/>
  <c r="J126" i="4"/>
  <c r="J130" i="4"/>
  <c r="W105" i="8"/>
  <c r="W104" i="8"/>
  <c r="X107" i="7"/>
  <c r="X105" i="7"/>
  <c r="N109" i="6"/>
  <c r="M109" i="6"/>
  <c r="N68" i="5"/>
  <c r="N66" i="5"/>
  <c r="AU23" i="4"/>
  <c r="AY23" i="4"/>
  <c r="AV23" i="4"/>
  <c r="N101" i="7"/>
  <c r="M101" i="7"/>
  <c r="V249" i="8"/>
  <c r="X249" i="7"/>
  <c r="X39" i="7"/>
  <c r="V39" i="8"/>
  <c r="AJ158" i="6"/>
  <c r="AI158" i="6"/>
  <c r="AH158" i="6"/>
  <c r="AH136" i="7"/>
  <c r="AJ136" i="7"/>
  <c r="AI136" i="7"/>
  <c r="V79" i="8"/>
  <c r="X79" i="7"/>
  <c r="V253" i="8"/>
  <c r="X253" i="7"/>
  <c r="X159" i="7"/>
  <c r="X95" i="7"/>
  <c r="G15" i="8"/>
  <c r="I15" i="8"/>
  <c r="M15" i="7"/>
  <c r="G25" i="5"/>
  <c r="I26" i="5"/>
  <c r="V133" i="8"/>
  <c r="X133" i="7"/>
  <c r="N97" i="6"/>
  <c r="M97" i="6"/>
  <c r="AD14" i="4"/>
  <c r="AD12" i="4"/>
  <c r="AD10" i="4"/>
  <c r="AD8" i="4"/>
  <c r="AY12" i="7"/>
  <c r="AH10" i="2"/>
  <c r="AH8" i="2"/>
  <c r="AH260" i="2"/>
  <c r="AH264" i="2"/>
  <c r="V14" i="6"/>
  <c r="G78" i="7"/>
  <c r="I78" i="7"/>
  <c r="Y148" i="8"/>
  <c r="AA148" i="8"/>
  <c r="Y125" i="8"/>
  <c r="AA125" i="8"/>
  <c r="Y126" i="8"/>
  <c r="AA126" i="8"/>
  <c r="BO19" i="8"/>
  <c r="BP19" i="8"/>
  <c r="AI41" i="7"/>
  <c r="Y41" i="8"/>
  <c r="AA41" i="8"/>
  <c r="AH41" i="7"/>
  <c r="AI17" i="8"/>
  <c r="AH17" i="8"/>
  <c r="BH13" i="5"/>
  <c r="B5" i="2"/>
  <c r="G79" i="8"/>
  <c r="I79" i="8"/>
  <c r="G79" i="9"/>
  <c r="W90" i="7"/>
  <c r="W63" i="7"/>
  <c r="AR31" i="2"/>
  <c r="AR32" i="2"/>
  <c r="AV35" i="2"/>
  <c r="AB195" i="5"/>
  <c r="AB194" i="5"/>
  <c r="AB192" i="5"/>
  <c r="BC10" i="5"/>
  <c r="BC9" i="5"/>
  <c r="BC8" i="5"/>
  <c r="AC1" i="2"/>
  <c r="AE145" i="5"/>
  <c r="AJ10" i="2"/>
  <c r="AJ258" i="2"/>
  <c r="AE112" i="5"/>
  <c r="AB90" i="5"/>
  <c r="AB63" i="5"/>
  <c r="Y112" i="5"/>
  <c r="AI10" i="2"/>
  <c r="AI8" i="2"/>
  <c r="AI260" i="2"/>
  <c r="AI264" i="2"/>
  <c r="AJ69" i="5"/>
  <c r="N87" i="8"/>
  <c r="M87" i="8"/>
  <c r="L54" i="5"/>
  <c r="N55" i="5"/>
  <c r="N54" i="5"/>
  <c r="AA185" i="5"/>
  <c r="AA183" i="5"/>
  <c r="AH186" i="5"/>
  <c r="AH185" i="5"/>
  <c r="X116" i="9"/>
  <c r="AE197" i="6"/>
  <c r="AG196" i="5"/>
  <c r="AJ197" i="5"/>
  <c r="AJ196" i="5"/>
  <c r="AI32" i="8"/>
  <c r="AH32" i="8"/>
  <c r="AJ32" i="8"/>
  <c r="N27" i="6"/>
  <c r="M27" i="6"/>
  <c r="BC21" i="6"/>
  <c r="W184" i="9"/>
  <c r="W184" i="10"/>
  <c r="W184" i="11"/>
  <c r="AI212" i="7"/>
  <c r="AJ212" i="7"/>
  <c r="AA234" i="5"/>
  <c r="BO29" i="5"/>
  <c r="Y235" i="6"/>
  <c r="AH235" i="5"/>
  <c r="AH234" i="5"/>
  <c r="AH233" i="5"/>
  <c r="Y18" i="9"/>
  <c r="AA18" i="9"/>
  <c r="BO11" i="9"/>
  <c r="Y115" i="6"/>
  <c r="AA114" i="5"/>
  <c r="AH115" i="5"/>
  <c r="AH114" i="5"/>
  <c r="AG114" i="5"/>
  <c r="AJ115" i="5"/>
  <c r="AJ114" i="5"/>
  <c r="V115" i="9"/>
  <c r="V115" i="10"/>
  <c r="V115" i="11"/>
  <c r="X115" i="8"/>
  <c r="AD83" i="5"/>
  <c r="AI84" i="5"/>
  <c r="AI83" i="5"/>
  <c r="E45" i="8"/>
  <c r="V84" i="9"/>
  <c r="V84" i="10"/>
  <c r="V84" i="11"/>
  <c r="X84" i="8"/>
  <c r="F100" i="10"/>
  <c r="M100" i="10" s="1"/>
  <c r="F100" i="8"/>
  <c r="V67" i="8"/>
  <c r="X67" i="7"/>
  <c r="AJ132" i="8"/>
  <c r="AI132" i="8"/>
  <c r="AH132" i="8"/>
  <c r="V199" i="9"/>
  <c r="V199" i="10"/>
  <c r="V199" i="11"/>
  <c r="X199" i="11"/>
  <c r="AI199" i="11" s="1"/>
  <c r="X199" i="8"/>
  <c r="AD204" i="5"/>
  <c r="AI205" i="5"/>
  <c r="AI204" i="5"/>
  <c r="W231" i="7"/>
  <c r="W211" i="9"/>
  <c r="W211" i="10"/>
  <c r="W211" i="11"/>
  <c r="AE81" i="7"/>
  <c r="AJ81" i="6"/>
  <c r="Y175" i="6"/>
  <c r="AA174" i="5"/>
  <c r="AH175" i="5"/>
  <c r="AH174" i="5"/>
  <c r="E54" i="10"/>
  <c r="E54" i="8"/>
  <c r="N14" i="8"/>
  <c r="M14" i="8"/>
  <c r="Y153" i="6"/>
  <c r="AH153" i="5"/>
  <c r="L25" i="5"/>
  <c r="AS8" i="5"/>
  <c r="AV8" i="5"/>
  <c r="AX8" i="5"/>
  <c r="AZ8" i="5"/>
  <c r="N26" i="5"/>
  <c r="N25" i="5"/>
  <c r="X69" i="6"/>
  <c r="X65" i="6"/>
  <c r="E21" i="6"/>
  <c r="E19" i="6"/>
  <c r="E17" i="6"/>
  <c r="V78" i="9"/>
  <c r="V78" i="10"/>
  <c r="X78" i="8"/>
  <c r="X130" i="9"/>
  <c r="AI68" i="6"/>
  <c r="AJ68" i="6"/>
  <c r="AH68" i="6"/>
  <c r="AI60" i="7"/>
  <c r="AH60" i="7"/>
  <c r="AJ60" i="7"/>
  <c r="AZ13" i="7"/>
  <c r="AJ29" i="6"/>
  <c r="AI29" i="6"/>
  <c r="AH29" i="6"/>
  <c r="G70" i="6"/>
  <c r="I69" i="5"/>
  <c r="M70" i="5"/>
  <c r="Q126" i="7"/>
  <c r="Q130" i="7"/>
  <c r="Y227" i="6"/>
  <c r="AA226" i="5"/>
  <c r="AH227" i="5"/>
  <c r="AH226" i="5"/>
  <c r="E63" i="8"/>
  <c r="I67" i="5"/>
  <c r="BD17" i="5"/>
  <c r="G66" i="5"/>
  <c r="L113" i="5"/>
  <c r="AS15" i="5"/>
  <c r="N115" i="5"/>
  <c r="N113" i="5"/>
  <c r="AD210" i="5"/>
  <c r="BP27" i="5"/>
  <c r="AI211" i="5"/>
  <c r="AI210" i="5"/>
  <c r="V248" i="12"/>
  <c r="D59" i="8"/>
  <c r="D57" i="8"/>
  <c r="F59" i="7"/>
  <c r="F57" i="7"/>
  <c r="F76" i="8"/>
  <c r="G58" i="6"/>
  <c r="I57" i="5"/>
  <c r="M58" i="5"/>
  <c r="M57" i="5"/>
  <c r="AE168" i="5"/>
  <c r="G52" i="6"/>
  <c r="I51" i="5"/>
  <c r="M52" i="5"/>
  <c r="M51" i="5"/>
  <c r="AI153" i="5"/>
  <c r="W91" i="8"/>
  <c r="N91" i="8"/>
  <c r="M91" i="8"/>
  <c r="F86" i="8"/>
  <c r="L48" i="5"/>
  <c r="L57" i="5"/>
  <c r="N58" i="5"/>
  <c r="N57" i="5"/>
  <c r="AD20" i="5"/>
  <c r="AD16" i="5"/>
  <c r="AI21" i="5"/>
  <c r="AI20" i="5"/>
  <c r="AI73" i="6"/>
  <c r="AJ73" i="6"/>
  <c r="AH73" i="6"/>
  <c r="AJ250" i="7"/>
  <c r="AI250" i="7"/>
  <c r="AH250" i="7"/>
  <c r="Y124" i="6"/>
  <c r="AA123" i="5"/>
  <c r="AH124" i="5"/>
  <c r="AH123" i="5"/>
  <c r="AJ38" i="9"/>
  <c r="AI38" i="9"/>
  <c r="AH38" i="9"/>
  <c r="X19" i="9"/>
  <c r="D115" i="9"/>
  <c r="F115" i="8"/>
  <c r="AG149" i="5"/>
  <c r="AG147" i="5"/>
  <c r="AJ150" i="5"/>
  <c r="AJ149" i="5"/>
  <c r="E85" i="8"/>
  <c r="D71" i="9"/>
  <c r="D71" i="10"/>
  <c r="F71" i="10"/>
  <c r="N71" i="10" s="1"/>
  <c r="F71" i="8"/>
  <c r="AE231" i="5"/>
  <c r="W58" i="11"/>
  <c r="W57" i="11" s="1"/>
  <c r="W58" i="8"/>
  <c r="W57" i="8"/>
  <c r="E28" i="7"/>
  <c r="M31" i="7"/>
  <c r="N31" i="7"/>
  <c r="AD185" i="5"/>
  <c r="AD183" i="5"/>
  <c r="AI186" i="5"/>
  <c r="AI185" i="5"/>
  <c r="X54" i="7"/>
  <c r="N50" i="9"/>
  <c r="M50" i="9"/>
  <c r="L69" i="5"/>
  <c r="N70" i="5"/>
  <c r="N69" i="5"/>
  <c r="AE186" i="6"/>
  <c r="AG185" i="5"/>
  <c r="AG183" i="5"/>
  <c r="AJ186" i="5"/>
  <c r="AJ185" i="5"/>
  <c r="AB43" i="5"/>
  <c r="AH26" i="9"/>
  <c r="AJ26" i="9"/>
  <c r="AI26" i="9"/>
  <c r="Y36" i="6"/>
  <c r="AA35" i="5"/>
  <c r="D51" i="9"/>
  <c r="D44" i="8"/>
  <c r="F44" i="7"/>
  <c r="J60" i="5"/>
  <c r="Y195" i="5"/>
  <c r="Y194" i="5"/>
  <c r="W44" i="8"/>
  <c r="AE58" i="5"/>
  <c r="AE57" i="5"/>
  <c r="AG59" i="5"/>
  <c r="AG157" i="5"/>
  <c r="AG155" i="5"/>
  <c r="AJ157" i="5"/>
  <c r="AJ155" i="5"/>
  <c r="V222" i="9"/>
  <c r="V222" i="10"/>
  <c r="V222" i="11"/>
  <c r="X222" i="8"/>
  <c r="G55" i="6"/>
  <c r="I54" i="5"/>
  <c r="M55" i="5"/>
  <c r="M54" i="5"/>
  <c r="X97" i="8"/>
  <c r="V238" i="9"/>
  <c r="V238" i="10"/>
  <c r="V238" i="11" s="1"/>
  <c r="X238" i="8"/>
  <c r="V247" i="9"/>
  <c r="V247" i="10"/>
  <c r="X247" i="8"/>
  <c r="AJ203" i="7"/>
  <c r="AI203" i="7"/>
  <c r="AH203" i="7"/>
  <c r="W150" i="9"/>
  <c r="W150" i="10"/>
  <c r="W150" i="11" s="1"/>
  <c r="W149" i="8"/>
  <c r="W147" i="8"/>
  <c r="AI201" i="7"/>
  <c r="AH201" i="7"/>
  <c r="AJ201" i="7"/>
  <c r="AD114" i="5"/>
  <c r="AI115" i="5"/>
  <c r="AI114" i="5"/>
  <c r="N13" i="6"/>
  <c r="M13" i="6"/>
  <c r="V216" i="9"/>
  <c r="V216" i="10"/>
  <c r="V216" i="11" s="1"/>
  <c r="X216" i="8"/>
  <c r="AJ166" i="9"/>
  <c r="AH166" i="9"/>
  <c r="AI166" i="9"/>
  <c r="BC16" i="6"/>
  <c r="F42" i="6"/>
  <c r="AQ10" i="6"/>
  <c r="F92" i="9"/>
  <c r="AI184" i="5"/>
  <c r="F29" i="7"/>
  <c r="AH99" i="8"/>
  <c r="AJ99" i="8"/>
  <c r="AI99" i="8"/>
  <c r="V40" i="8"/>
  <c r="X40" i="7"/>
  <c r="V197" i="9"/>
  <c r="V197" i="10"/>
  <c r="V197" i="11" s="1"/>
  <c r="X197" i="8"/>
  <c r="BN26" i="8"/>
  <c r="X204" i="7"/>
  <c r="E115" i="9"/>
  <c r="L81" i="5"/>
  <c r="N82" i="5"/>
  <c r="N81" i="5"/>
  <c r="F123" i="9"/>
  <c r="AJ80" i="8"/>
  <c r="AI80" i="8"/>
  <c r="AH80" i="8"/>
  <c r="AI30" i="8"/>
  <c r="AH30" i="8"/>
  <c r="AJ30" i="8"/>
  <c r="E66" i="10"/>
  <c r="E66" i="8"/>
  <c r="D29" i="8"/>
  <c r="F30" i="8"/>
  <c r="F87" i="9"/>
  <c r="X99" i="9"/>
  <c r="W243" i="9"/>
  <c r="W243" i="10"/>
  <c r="W243" i="11"/>
  <c r="W243" i="12" s="1"/>
  <c r="W242" i="8"/>
  <c r="F33" i="8"/>
  <c r="F96" i="10"/>
  <c r="M96" i="10" s="1"/>
  <c r="F96" i="8"/>
  <c r="F35" i="6"/>
  <c r="X80" i="9"/>
  <c r="X30" i="9"/>
  <c r="V235" i="9"/>
  <c r="X235" i="8"/>
  <c r="AE36" i="6"/>
  <c r="AG35" i="5"/>
  <c r="AJ214" i="7"/>
  <c r="AI214" i="7"/>
  <c r="AH214" i="7"/>
  <c r="D72" i="7"/>
  <c r="F73" i="7"/>
  <c r="N90" i="8"/>
  <c r="M90" i="8"/>
  <c r="AE195" i="5"/>
  <c r="AE194" i="5"/>
  <c r="G95" i="6"/>
  <c r="BD18" i="5"/>
  <c r="I94" i="5"/>
  <c r="M95" i="5"/>
  <c r="M94" i="5"/>
  <c r="X32" i="9"/>
  <c r="D27" i="8"/>
  <c r="D25" i="8"/>
  <c r="F27" i="7"/>
  <c r="N56" i="8"/>
  <c r="M56" i="8"/>
  <c r="V212" i="9"/>
  <c r="V212" i="10"/>
  <c r="V212" i="11" s="1"/>
  <c r="X212" i="8"/>
  <c r="V36" i="8"/>
  <c r="V35" i="7"/>
  <c r="X36" i="7"/>
  <c r="I64" i="6"/>
  <c r="G63" i="6"/>
  <c r="Y45" i="6"/>
  <c r="AA44" i="5"/>
  <c r="AA204" i="5"/>
  <c r="Y205" i="6"/>
  <c r="AH205" i="5"/>
  <c r="AH204" i="5"/>
  <c r="AE70" i="6"/>
  <c r="AG69" i="5"/>
  <c r="AJ254" i="7"/>
  <c r="AI254" i="7"/>
  <c r="AH254" i="7"/>
  <c r="AE84" i="6"/>
  <c r="AG83" i="5"/>
  <c r="AJ84" i="5"/>
  <c r="AJ83" i="5"/>
  <c r="W142" i="9"/>
  <c r="W142" i="10"/>
  <c r="W142" i="11" s="1"/>
  <c r="W141" i="8"/>
  <c r="D15" i="12"/>
  <c r="F15" i="12" s="1"/>
  <c r="N15" i="12" s="1"/>
  <c r="F15" i="11"/>
  <c r="V142" i="9"/>
  <c r="V142" i="10"/>
  <c r="V142" i="11" s="1"/>
  <c r="X142" i="8"/>
  <c r="E12" i="9"/>
  <c r="E12" i="10"/>
  <c r="E10" i="8"/>
  <c r="AE222" i="6"/>
  <c r="AG221" i="5"/>
  <c r="AJ222" i="5"/>
  <c r="AJ221" i="5"/>
  <c r="G82" i="6"/>
  <c r="I81" i="5"/>
  <c r="M82" i="5"/>
  <c r="M81" i="5"/>
  <c r="X132" i="9"/>
  <c r="AJ199" i="7"/>
  <c r="AI199" i="7"/>
  <c r="AH199" i="7"/>
  <c r="W235" i="9"/>
  <c r="Y81" i="7"/>
  <c r="AH81" i="6"/>
  <c r="D78" i="8"/>
  <c r="F79" i="8"/>
  <c r="N99" i="8"/>
  <c r="M99" i="8"/>
  <c r="X92" i="8"/>
  <c r="AD49" i="5"/>
  <c r="AI50" i="5"/>
  <c r="AI49" i="5"/>
  <c r="BC11" i="7"/>
  <c r="W84" i="9"/>
  <c r="W84" i="10"/>
  <c r="W83" i="8"/>
  <c r="AD234" i="5"/>
  <c r="BP29" i="5"/>
  <c r="AI235" i="5"/>
  <c r="AI234" i="5"/>
  <c r="AI233" i="5"/>
  <c r="F63" i="6"/>
  <c r="BC14" i="6"/>
  <c r="AV13" i="7"/>
  <c r="AU13" i="7"/>
  <c r="F14" i="9"/>
  <c r="Y145" i="5"/>
  <c r="X28" i="7"/>
  <c r="D104" i="8"/>
  <c r="F105" i="8"/>
  <c r="V211" i="9"/>
  <c r="V211" i="10"/>
  <c r="X211" i="8"/>
  <c r="AH87" i="8"/>
  <c r="AJ87" i="8"/>
  <c r="AI87" i="8"/>
  <c r="E94" i="8"/>
  <c r="G73" i="6"/>
  <c r="I72" i="5"/>
  <c r="E22" i="7"/>
  <c r="V175" i="9"/>
  <c r="V175" i="10"/>
  <c r="V175" i="11" s="1"/>
  <c r="V175" i="12" s="1"/>
  <c r="X175" i="8"/>
  <c r="V68" i="8"/>
  <c r="X68" i="7"/>
  <c r="X60" i="8"/>
  <c r="AI31" i="8"/>
  <c r="AH31" i="8"/>
  <c r="AJ31" i="8"/>
  <c r="AI224" i="7"/>
  <c r="AH224" i="7"/>
  <c r="AJ224" i="7"/>
  <c r="L29" i="5"/>
  <c r="AX9" i="5"/>
  <c r="AZ9" i="5"/>
  <c r="N30" i="5"/>
  <c r="N29" i="5"/>
  <c r="X81" i="9"/>
  <c r="M108" i="8"/>
  <c r="N108" i="8"/>
  <c r="D54" i="8"/>
  <c r="F55" i="8"/>
  <c r="X29" i="7"/>
  <c r="AW22" i="7"/>
  <c r="T33" i="9"/>
  <c r="T33" i="10"/>
  <c r="K126" i="7"/>
  <c r="D69" i="8"/>
  <c r="F70" i="8"/>
  <c r="N116" i="8"/>
  <c r="M116" i="8"/>
  <c r="AJ251" i="7"/>
  <c r="AI251" i="7"/>
  <c r="AH251" i="7"/>
  <c r="AE227" i="6"/>
  <c r="AG226" i="5"/>
  <c r="AJ227" i="5"/>
  <c r="AJ226" i="5"/>
  <c r="V171" i="9"/>
  <c r="V171" i="10"/>
  <c r="V170" i="10" s="1"/>
  <c r="V170" i="8"/>
  <c r="X171" i="8"/>
  <c r="V20" i="7"/>
  <c r="V16" i="7"/>
  <c r="L42" i="5"/>
  <c r="AS10" i="5"/>
  <c r="AV10" i="5"/>
  <c r="AX10" i="5"/>
  <c r="AZ10" i="5"/>
  <c r="AU12" i="7"/>
  <c r="AV12" i="7"/>
  <c r="V236" i="12"/>
  <c r="V236" i="13" s="1"/>
  <c r="Y219" i="5"/>
  <c r="AZ12" i="7"/>
  <c r="AG170" i="5"/>
  <c r="AE171" i="6"/>
  <c r="AJ171" i="5"/>
  <c r="AJ170" i="5"/>
  <c r="Y59" i="6"/>
  <c r="AA58" i="5"/>
  <c r="AA57" i="5"/>
  <c r="AH59" i="5"/>
  <c r="AH58" i="5"/>
  <c r="AH57" i="5"/>
  <c r="AD226" i="5"/>
  <c r="AI227" i="5"/>
  <c r="AI226" i="5"/>
  <c r="AB145" i="5"/>
  <c r="AJ52" i="9"/>
  <c r="AI52" i="9"/>
  <c r="AH52" i="9"/>
  <c r="AD141" i="5"/>
  <c r="BP20" i="5"/>
  <c r="AI142" i="5"/>
  <c r="AI141" i="5"/>
  <c r="L66" i="5"/>
  <c r="F91" i="9"/>
  <c r="E57" i="8"/>
  <c r="N120" i="8"/>
  <c r="M120" i="8"/>
  <c r="AQ24" i="5"/>
  <c r="G12" i="6"/>
  <c r="I10" i="5"/>
  <c r="M12" i="5"/>
  <c r="E32" i="8"/>
  <c r="E32" i="10"/>
  <c r="AJ181" i="9"/>
  <c r="AH181" i="9"/>
  <c r="AI181" i="9"/>
  <c r="L72" i="5"/>
  <c r="V73" i="8"/>
  <c r="X73" i="7"/>
  <c r="AD123" i="5"/>
  <c r="AI124" i="5"/>
  <c r="AI123" i="5"/>
  <c r="V250" i="9"/>
  <c r="V250" i="10"/>
  <c r="X250" i="8"/>
  <c r="X58" i="7"/>
  <c r="AH19" i="8"/>
  <c r="AJ19" i="8"/>
  <c r="AI19" i="8"/>
  <c r="E42" i="8"/>
  <c r="AH184" i="5"/>
  <c r="AE21" i="6"/>
  <c r="AG20" i="5"/>
  <c r="AJ21" i="5"/>
  <c r="AJ20" i="5"/>
  <c r="D12" i="9"/>
  <c r="D12" i="10"/>
  <c r="D12" i="11" s="1"/>
  <c r="F12" i="8"/>
  <c r="E29" i="8"/>
  <c r="D31" i="9"/>
  <c r="D31" i="10"/>
  <c r="D31" i="11" s="1"/>
  <c r="F31" i="8"/>
  <c r="M80" i="7"/>
  <c r="Y142" i="6"/>
  <c r="AA141" i="5"/>
  <c r="BO20" i="5"/>
  <c r="AH142" i="5"/>
  <c r="AH141" i="5"/>
  <c r="I30" i="6"/>
  <c r="G29" i="6"/>
  <c r="I42" i="5"/>
  <c r="AR10" i="5"/>
  <c r="AU10" i="5"/>
  <c r="M89" i="8"/>
  <c r="N89" i="8"/>
  <c r="AE97" i="6"/>
  <c r="AG96" i="5"/>
  <c r="AJ97" i="5"/>
  <c r="AJ96" i="5"/>
  <c r="AD44" i="5"/>
  <c r="F25" i="6"/>
  <c r="AQ8" i="6"/>
  <c r="Y197" i="6"/>
  <c r="AA196" i="5"/>
  <c r="BO28" i="5"/>
  <c r="AH197" i="5"/>
  <c r="AH196" i="5"/>
  <c r="W43" i="7"/>
  <c r="W14" i="7"/>
  <c r="W12" i="6"/>
  <c r="AD58" i="5"/>
  <c r="AD57" i="5"/>
  <c r="AI59" i="5"/>
  <c r="AI58" i="5"/>
  <c r="AI57" i="5"/>
  <c r="X149" i="7"/>
  <c r="X147" i="7"/>
  <c r="V219" i="7"/>
  <c r="F81" i="7"/>
  <c r="V201" i="9"/>
  <c r="V201" i="10"/>
  <c r="V201" i="11" s="1"/>
  <c r="X201" i="11" s="1"/>
  <c r="AJ201" i="11" s="1"/>
  <c r="X201" i="8"/>
  <c r="X194" i="5"/>
  <c r="BC12" i="6"/>
  <c r="F22" i="6"/>
  <c r="W168" i="7"/>
  <c r="D13" i="8"/>
  <c r="D10" i="8"/>
  <c r="F13" i="7"/>
  <c r="F10" i="7"/>
  <c r="V255" i="9"/>
  <c r="X255" i="8"/>
  <c r="AI206" i="7"/>
  <c r="AH206" i="7"/>
  <c r="AJ206" i="7"/>
  <c r="F10" i="6"/>
  <c r="N43" i="5"/>
  <c r="N42" i="5"/>
  <c r="Y97" i="6"/>
  <c r="AA96" i="5"/>
  <c r="AH97" i="5"/>
  <c r="AH96" i="5"/>
  <c r="AE106" i="6"/>
  <c r="AG105" i="5"/>
  <c r="AG104" i="5"/>
  <c r="AJ106" i="5"/>
  <c r="AJ105" i="5"/>
  <c r="AJ104" i="5"/>
  <c r="V254" i="9"/>
  <c r="V254" i="10"/>
  <c r="V254" i="11"/>
  <c r="X254" i="11" s="1"/>
  <c r="X254" i="8"/>
  <c r="AI163" i="9"/>
  <c r="AJ163" i="9"/>
  <c r="AH163" i="9"/>
  <c r="N74" i="9"/>
  <c r="M74" i="9"/>
  <c r="AH120" i="8"/>
  <c r="AJ120" i="8"/>
  <c r="AI120" i="8"/>
  <c r="AJ71" i="8"/>
  <c r="AI71" i="8"/>
  <c r="AJ228" i="8"/>
  <c r="AI228" i="8"/>
  <c r="AH228" i="8"/>
  <c r="F99" i="9"/>
  <c r="F26" i="8"/>
  <c r="BC11" i="8"/>
  <c r="AB231" i="5"/>
  <c r="W205" i="9"/>
  <c r="W205" i="10"/>
  <c r="W205" i="11" s="1"/>
  <c r="W204" i="8"/>
  <c r="W112" i="7"/>
  <c r="AI28" i="6"/>
  <c r="AH28" i="6"/>
  <c r="AJ28" i="6"/>
  <c r="X87" i="9"/>
  <c r="V70" i="8"/>
  <c r="V69" i="7"/>
  <c r="V65" i="7"/>
  <c r="X70" i="7"/>
  <c r="AH152" i="9"/>
  <c r="AJ152" i="9"/>
  <c r="AI152" i="9"/>
  <c r="L85" i="5"/>
  <c r="N86" i="5"/>
  <c r="N85" i="5"/>
  <c r="X31" i="9"/>
  <c r="V224" i="9"/>
  <c r="V224" i="10"/>
  <c r="V224" i="11" s="1"/>
  <c r="X224" i="8"/>
  <c r="F108" i="9"/>
  <c r="L63" i="5"/>
  <c r="F21" i="5"/>
  <c r="F19" i="5"/>
  <c r="AQ7" i="5"/>
  <c r="H126" i="7"/>
  <c r="B24" i="9"/>
  <c r="P126" i="7"/>
  <c r="P130" i="7"/>
  <c r="N40" i="6"/>
  <c r="M40" i="6"/>
  <c r="E60" i="10"/>
  <c r="E60" i="8"/>
  <c r="AA242" i="5"/>
  <c r="Y243" i="6"/>
  <c r="AH243" i="5"/>
  <c r="AH242" i="5"/>
  <c r="G35" i="5"/>
  <c r="I36" i="5"/>
  <c r="F116" i="9"/>
  <c r="V251" i="9"/>
  <c r="V251" i="10"/>
  <c r="X251" i="8"/>
  <c r="X170" i="7"/>
  <c r="X21" i="8"/>
  <c r="AI81" i="6"/>
  <c r="AA221" i="5"/>
  <c r="Y222" i="6"/>
  <c r="AH222" i="5"/>
  <c r="AH221" i="5"/>
  <c r="AD157" i="5"/>
  <c r="BP18" i="5"/>
  <c r="AI157" i="5"/>
  <c r="AI155" i="5"/>
  <c r="AJ246" i="7"/>
  <c r="AI246" i="7"/>
  <c r="AH246" i="7"/>
  <c r="V227" i="9"/>
  <c r="V227" i="10"/>
  <c r="V227" i="11" s="1"/>
  <c r="X227" i="8"/>
  <c r="N110" i="9"/>
  <c r="M110" i="9"/>
  <c r="X50" i="8"/>
  <c r="F66" i="6"/>
  <c r="BC17" i="6"/>
  <c r="F120" i="9"/>
  <c r="AB168" i="5"/>
  <c r="AA21" i="6"/>
  <c r="Y20" i="6"/>
  <c r="AE17" i="9"/>
  <c r="AG17" i="9"/>
  <c r="Y90" i="5"/>
  <c r="G76" i="6"/>
  <c r="I75" i="5"/>
  <c r="M76" i="5"/>
  <c r="M75" i="5"/>
  <c r="X33" i="7"/>
  <c r="W227" i="9"/>
  <c r="W227" i="10"/>
  <c r="W227" i="11" s="1"/>
  <c r="W226" i="8"/>
  <c r="AJ126" i="7"/>
  <c r="AI126" i="7"/>
  <c r="AH126" i="7"/>
  <c r="I23" i="5"/>
  <c r="G22" i="5"/>
  <c r="V23" i="12"/>
  <c r="X23" i="12" s="1"/>
  <c r="W197" i="9"/>
  <c r="W197" i="10"/>
  <c r="W197" i="11"/>
  <c r="W196" i="8"/>
  <c r="D102" i="12"/>
  <c r="BH14" i="5"/>
  <c r="D80" i="9"/>
  <c r="D80" i="10"/>
  <c r="D80" i="11" s="1"/>
  <c r="D78" i="11" s="1"/>
  <c r="F80" i="8"/>
  <c r="L75" i="5"/>
  <c r="N76" i="5"/>
  <c r="N75" i="5"/>
  <c r="F89" i="9"/>
  <c r="V186" i="9"/>
  <c r="V186" i="10"/>
  <c r="V186" i="11"/>
  <c r="X186" i="8"/>
  <c r="AJ27" i="6"/>
  <c r="AI27" i="6"/>
  <c r="AH27" i="6"/>
  <c r="E69" i="10"/>
  <c r="E69" i="8"/>
  <c r="AI51" i="7"/>
  <c r="AJ51" i="7"/>
  <c r="W219" i="7"/>
  <c r="AA157" i="5"/>
  <c r="BO18" i="5"/>
  <c r="AH157" i="5"/>
  <c r="AH155" i="5"/>
  <c r="D81" i="8"/>
  <c r="F82" i="8"/>
  <c r="F60" i="7"/>
  <c r="Y17" i="9"/>
  <c r="AA17" i="9"/>
  <c r="BO10" i="9"/>
  <c r="AJ165" i="8"/>
  <c r="AI165" i="8"/>
  <c r="AH165" i="8"/>
  <c r="D21" i="6"/>
  <c r="D19" i="6"/>
  <c r="D17" i="6"/>
  <c r="W171" i="9"/>
  <c r="W171" i="10"/>
  <c r="W170" i="8"/>
  <c r="L35" i="5"/>
  <c r="G49" i="6"/>
  <c r="I48" i="5"/>
  <c r="AE211" i="6"/>
  <c r="AG210" i="5"/>
  <c r="AG209" i="5"/>
  <c r="AG208" i="5"/>
  <c r="AS29" i="5"/>
  <c r="AX29" i="5"/>
  <c r="AJ211" i="5"/>
  <c r="AJ210" i="5"/>
  <c r="V206" i="9"/>
  <c r="V206" i="10"/>
  <c r="V206" i="11"/>
  <c r="X206" i="11" s="1"/>
  <c r="X206" i="8"/>
  <c r="M118" i="8"/>
  <c r="N118" i="8"/>
  <c r="F43" i="7"/>
  <c r="D42" i="7"/>
  <c r="V105" i="8"/>
  <c r="X106" i="8"/>
  <c r="AD221" i="5"/>
  <c r="AI222" i="5"/>
  <c r="AI221" i="5"/>
  <c r="AJ172" i="8"/>
  <c r="AI172" i="8"/>
  <c r="AH172" i="8"/>
  <c r="V205" i="9"/>
  <c r="V205" i="10"/>
  <c r="V205" i="11" s="1"/>
  <c r="V204" i="8"/>
  <c r="X205" i="8"/>
  <c r="M96" i="7"/>
  <c r="N96" i="7"/>
  <c r="F58" i="8"/>
  <c r="W20" i="8"/>
  <c r="W16" i="8"/>
  <c r="AJ22" i="7"/>
  <c r="AI22" i="7"/>
  <c r="AH22" i="7"/>
  <c r="F52" i="10"/>
  <c r="W124" i="9"/>
  <c r="W124" i="10"/>
  <c r="W124" i="11" s="1"/>
  <c r="M34" i="6"/>
  <c r="N34" i="6"/>
  <c r="V214" i="9"/>
  <c r="V214" i="10"/>
  <c r="X214" i="8"/>
  <c r="AJ153" i="5"/>
  <c r="F90" i="9"/>
  <c r="AQ13" i="9"/>
  <c r="AJ148" i="8"/>
  <c r="N106" i="8"/>
  <c r="M106" i="8"/>
  <c r="V184" i="9"/>
  <c r="V184" i="10"/>
  <c r="X184" i="8"/>
  <c r="BC15" i="6"/>
  <c r="F45" i="6"/>
  <c r="W36" i="9"/>
  <c r="W36" i="10"/>
  <c r="W36" i="11"/>
  <c r="W36" i="12" s="1"/>
  <c r="X44" i="6"/>
  <c r="F56" i="9"/>
  <c r="AH240" i="7"/>
  <c r="AJ240" i="7"/>
  <c r="AI240" i="7"/>
  <c r="J45" i="5"/>
  <c r="F48" i="6"/>
  <c r="F32" i="6"/>
  <c r="M68" i="7"/>
  <c r="AH134" i="8"/>
  <c r="AI134" i="8"/>
  <c r="AJ134" i="8"/>
  <c r="Y168" i="5"/>
  <c r="X172" i="9"/>
  <c r="AH40" i="6"/>
  <c r="AI40" i="6"/>
  <c r="AJ40" i="6"/>
  <c r="Y49" i="5"/>
  <c r="Y43" i="5"/>
  <c r="AA50" i="5"/>
  <c r="AE243" i="6"/>
  <c r="AG242" i="5"/>
  <c r="AJ243" i="5"/>
  <c r="AJ242" i="5"/>
  <c r="V124" i="9"/>
  <c r="V124" i="10"/>
  <c r="V124" i="11"/>
  <c r="X124" i="8"/>
  <c r="G61" i="6"/>
  <c r="M61" i="5"/>
  <c r="AB106" i="6"/>
  <c r="AD105" i="5"/>
  <c r="AD104" i="5"/>
  <c r="AI106" i="5"/>
  <c r="AI105" i="5"/>
  <c r="AI104" i="5"/>
  <c r="W49" i="8"/>
  <c r="D35" i="7"/>
  <c r="D28" i="7"/>
  <c r="F36" i="7"/>
  <c r="AE45" i="6"/>
  <c r="AG44" i="5"/>
  <c r="N123" i="8"/>
  <c r="M123" i="8"/>
  <c r="X22" i="8"/>
  <c r="L94" i="5"/>
  <c r="N95" i="5"/>
  <c r="N94" i="5"/>
  <c r="W175" i="9"/>
  <c r="W175" i="10"/>
  <c r="W175" i="11"/>
  <c r="D34" i="8"/>
  <c r="F34" i="7"/>
  <c r="F72" i="6"/>
  <c r="AE92" i="6"/>
  <c r="AG91" i="5"/>
  <c r="AJ92" i="5"/>
  <c r="AE205" i="6"/>
  <c r="AG204" i="5"/>
  <c r="AJ205" i="5"/>
  <c r="AJ204" i="5"/>
  <c r="AH116" i="8"/>
  <c r="AJ116" i="8"/>
  <c r="AI116" i="8"/>
  <c r="X148" i="9"/>
  <c r="F106" i="9"/>
  <c r="E48" i="10"/>
  <c r="E48" i="8"/>
  <c r="D45" i="7"/>
  <c r="F46" i="7"/>
  <c r="V44" i="7"/>
  <c r="V43" i="7"/>
  <c r="X45" i="7"/>
  <c r="X35" i="6"/>
  <c r="BN14" i="6"/>
  <c r="V240" i="9"/>
  <c r="V240" i="10"/>
  <c r="X240" i="10" s="1"/>
  <c r="X240" i="8"/>
  <c r="AD242" i="5"/>
  <c r="AI243" i="5"/>
  <c r="AI242" i="5"/>
  <c r="BP11" i="8"/>
  <c r="AD196" i="5"/>
  <c r="BP28" i="5"/>
  <c r="AI197" i="5"/>
  <c r="AI196" i="5"/>
  <c r="AQ23" i="5"/>
  <c r="X14" i="5"/>
  <c r="D8" i="5"/>
  <c r="D126" i="5"/>
  <c r="D130" i="5"/>
  <c r="D48" i="7"/>
  <c r="F49" i="7"/>
  <c r="D74" i="11"/>
  <c r="X120" i="9"/>
  <c r="X71" i="9"/>
  <c r="N100" i="7"/>
  <c r="M100" i="7"/>
  <c r="AH67" i="6"/>
  <c r="AJ67" i="6"/>
  <c r="AI67" i="6"/>
  <c r="D62" i="12"/>
  <c r="D62" i="13" s="1"/>
  <c r="D68" i="9"/>
  <c r="D68" i="10"/>
  <c r="F68" i="10" s="1"/>
  <c r="M68" i="10" s="1"/>
  <c r="F68" i="8"/>
  <c r="X134" i="9"/>
  <c r="X228" i="9"/>
  <c r="Y171" i="6"/>
  <c r="AA170" i="5"/>
  <c r="AH171" i="5"/>
  <c r="AH170" i="5"/>
  <c r="D25" i="7"/>
  <c r="V153" i="9"/>
  <c r="V153" i="10"/>
  <c r="X153" i="10" s="1"/>
  <c r="V153" i="11"/>
  <c r="X153" i="8"/>
  <c r="W186" i="9"/>
  <c r="W186" i="10"/>
  <c r="W186" i="11" s="1"/>
  <c r="W185" i="8"/>
  <c r="W183" i="8"/>
  <c r="N107" i="9"/>
  <c r="M107" i="9"/>
  <c r="D63" i="7"/>
  <c r="F64" i="7"/>
  <c r="W115" i="9"/>
  <c r="W115" i="10"/>
  <c r="AD174" i="5"/>
  <c r="AI175" i="5"/>
  <c r="AI174" i="5"/>
  <c r="AG141" i="5"/>
  <c r="AJ142" i="5"/>
  <c r="AJ141" i="5"/>
  <c r="AJ45" i="5"/>
  <c r="Y84" i="6"/>
  <c r="AA83" i="5"/>
  <c r="AH84" i="5"/>
  <c r="AH83" i="5"/>
  <c r="AI78" i="7"/>
  <c r="AH78" i="7"/>
  <c r="AJ78" i="7"/>
  <c r="AH130" i="8"/>
  <c r="AI130" i="8"/>
  <c r="AJ130" i="8"/>
  <c r="AD35" i="5"/>
  <c r="BP14" i="5"/>
  <c r="F98" i="11"/>
  <c r="N98" i="11" s="1"/>
  <c r="G115" i="6"/>
  <c r="BD20" i="5"/>
  <c r="M115" i="5"/>
  <c r="AJ74" i="9"/>
  <c r="AI74" i="9"/>
  <c r="AH74" i="9"/>
  <c r="AE50" i="6"/>
  <c r="AG49" i="5"/>
  <c r="AJ50" i="5"/>
  <c r="AJ49" i="5"/>
  <c r="F54" i="7"/>
  <c r="BP10" i="9"/>
  <c r="C126" i="7"/>
  <c r="C130" i="7"/>
  <c r="F40" i="7"/>
  <c r="F69" i="7"/>
  <c r="AG174" i="5"/>
  <c r="AE175" i="6"/>
  <c r="AJ175" i="5"/>
  <c r="AJ174" i="5"/>
  <c r="N38" i="9"/>
  <c r="M38" i="9"/>
  <c r="L51" i="5"/>
  <c r="N52" i="5"/>
  <c r="G86" i="6"/>
  <c r="I85" i="5"/>
  <c r="M86" i="5"/>
  <c r="M85" i="5"/>
  <c r="N59" i="6"/>
  <c r="M59" i="6"/>
  <c r="L32" i="5"/>
  <c r="N33" i="5"/>
  <c r="N32" i="5"/>
  <c r="W70" i="9"/>
  <c r="W70" i="10"/>
  <c r="W69" i="10" s="1"/>
  <c r="W65" i="10" s="1"/>
  <c r="W69" i="8"/>
  <c r="W65" i="8"/>
  <c r="Y150" i="6"/>
  <c r="AA149" i="5"/>
  <c r="BO16" i="5"/>
  <c r="AH150" i="5"/>
  <c r="AH149" i="5"/>
  <c r="V243" i="9"/>
  <c r="V243" i="10"/>
  <c r="V243" i="11"/>
  <c r="X243" i="8"/>
  <c r="V246" i="9"/>
  <c r="V246" i="10"/>
  <c r="X246" i="10" s="1"/>
  <c r="V246" i="11"/>
  <c r="X246" i="11" s="1"/>
  <c r="X246" i="8"/>
  <c r="AQ16" i="5"/>
  <c r="BC7" i="5"/>
  <c r="E78" i="10"/>
  <c r="E78" i="8"/>
  <c r="I46" i="6"/>
  <c r="G45" i="6"/>
  <c r="F67" i="7"/>
  <c r="D66" i="7"/>
  <c r="AD170" i="5"/>
  <c r="AI171" i="5"/>
  <c r="AI170" i="5"/>
  <c r="AG66" i="5"/>
  <c r="AE65" i="5"/>
  <c r="AJ36" i="5"/>
  <c r="AJ35" i="5"/>
  <c r="Y70" i="6"/>
  <c r="AA69" i="5"/>
  <c r="AA65" i="5"/>
  <c r="J10" i="5"/>
  <c r="AD149" i="5"/>
  <c r="BP16" i="5"/>
  <c r="AI150" i="5"/>
  <c r="AI149" i="5"/>
  <c r="Y92" i="6"/>
  <c r="AA91" i="5"/>
  <c r="AH92" i="5"/>
  <c r="AH91" i="5"/>
  <c r="E81" i="8"/>
  <c r="V58" i="8"/>
  <c r="X59" i="8"/>
  <c r="V126" i="9"/>
  <c r="V126" i="10"/>
  <c r="X126" i="10" s="1"/>
  <c r="X126" i="8"/>
  <c r="BN19" i="8"/>
  <c r="AD91" i="5"/>
  <c r="AI92" i="5"/>
  <c r="AI91" i="5"/>
  <c r="N71" i="7"/>
  <c r="G105" i="6"/>
  <c r="BD19" i="5"/>
  <c r="I104" i="5"/>
  <c r="M105" i="5"/>
  <c r="M104" i="5"/>
  <c r="G41" i="8"/>
  <c r="I41" i="8"/>
  <c r="M41" i="7"/>
  <c r="AE235" i="6"/>
  <c r="AG234" i="5"/>
  <c r="AG233" i="5"/>
  <c r="AJ235" i="5"/>
  <c r="AJ234" i="5"/>
  <c r="AJ233" i="5"/>
  <c r="W195" i="7"/>
  <c r="W194" i="7"/>
  <c r="W192" i="7"/>
  <c r="AH54" i="6"/>
  <c r="AJ54" i="6"/>
  <c r="AI54" i="6"/>
  <c r="AD96" i="5"/>
  <c r="AI97" i="5"/>
  <c r="AI96" i="5"/>
  <c r="Y106" i="6"/>
  <c r="AA105" i="5"/>
  <c r="AA104" i="5"/>
  <c r="AH106" i="5"/>
  <c r="AH105" i="5"/>
  <c r="AH104" i="5"/>
  <c r="X106" i="11"/>
  <c r="X27" i="7"/>
  <c r="N44" i="6"/>
  <c r="M44" i="6"/>
  <c r="AG123" i="5"/>
  <c r="AJ124" i="5"/>
  <c r="AJ123" i="5"/>
  <c r="AD69" i="5"/>
  <c r="AD65" i="5"/>
  <c r="AE184" i="6"/>
  <c r="AJ184" i="5"/>
  <c r="N41" i="8"/>
  <c r="V150" i="9"/>
  <c r="V150" i="10"/>
  <c r="V149" i="10" s="1"/>
  <c r="V147" i="10" s="1"/>
  <c r="V149" i="8"/>
  <c r="V147" i="8"/>
  <c r="X150" i="8"/>
  <c r="X49" i="6"/>
  <c r="F95" i="8"/>
  <c r="Y211" i="6"/>
  <c r="AA210" i="5"/>
  <c r="BO27" i="5"/>
  <c r="AH211" i="5"/>
  <c r="AI70" i="5"/>
  <c r="AI69" i="5"/>
  <c r="AI65" i="5"/>
  <c r="X51" i="8"/>
  <c r="W222" i="9"/>
  <c r="W222" i="10"/>
  <c r="W221" i="8"/>
  <c r="AJ238" i="7"/>
  <c r="AI238" i="7"/>
  <c r="AH238" i="7"/>
  <c r="E72" i="8"/>
  <c r="AJ247" i="7"/>
  <c r="AI247" i="7"/>
  <c r="AH247" i="7"/>
  <c r="D60" i="8"/>
  <c r="F61" i="8"/>
  <c r="V203" i="9"/>
  <c r="V203" i="10"/>
  <c r="V203" i="11"/>
  <c r="X203" i="8"/>
  <c r="X165" i="9"/>
  <c r="D22" i="7"/>
  <c r="F23" i="7"/>
  <c r="AB112" i="5"/>
  <c r="E75" i="9"/>
  <c r="AI216" i="7"/>
  <c r="AH216" i="7"/>
  <c r="AJ216" i="7"/>
  <c r="F118" i="9"/>
  <c r="N92" i="8"/>
  <c r="M92" i="8"/>
  <c r="L104" i="5"/>
  <c r="N105" i="5"/>
  <c r="N104" i="5"/>
  <c r="AB219" i="5"/>
  <c r="BN12" i="6"/>
  <c r="BN9" i="6"/>
  <c r="BN16" i="7"/>
  <c r="BN8" i="5"/>
  <c r="BN7" i="5"/>
  <c r="BN32" i="5"/>
  <c r="AR27" i="4"/>
  <c r="AW27" i="4"/>
  <c r="AY27" i="4"/>
  <c r="X10" i="4"/>
  <c r="AZ29" i="4"/>
  <c r="BN11" i="7"/>
  <c r="AQ28" i="4"/>
  <c r="Y118" i="9"/>
  <c r="AA118" i="9"/>
  <c r="BN17" i="7"/>
  <c r="BN25" i="6"/>
  <c r="BP7" i="4"/>
  <c r="BP32" i="4"/>
  <c r="BN18" i="6"/>
  <c r="BN15" i="6"/>
  <c r="BH10" i="6"/>
  <c r="W261" i="9"/>
  <c r="V261" i="8"/>
  <c r="AA155" i="5"/>
  <c r="BO15" i="5"/>
  <c r="BO14" i="5"/>
  <c r="V155" i="7"/>
  <c r="V145" i="7"/>
  <c r="AI255" i="6"/>
  <c r="Y255" i="7"/>
  <c r="AH255" i="6"/>
  <c r="BP23" i="11"/>
  <c r="BO7" i="4"/>
  <c r="BO32" i="4"/>
  <c r="AA233" i="5"/>
  <c r="Y118" i="10"/>
  <c r="AA118" i="10"/>
  <c r="Y176" i="11"/>
  <c r="AA176" i="11" s="1"/>
  <c r="BN32" i="4"/>
  <c r="AD155" i="5"/>
  <c r="BP15" i="5"/>
  <c r="V255" i="10"/>
  <c r="X255" i="10" s="1"/>
  <c r="AA261" i="5"/>
  <c r="BO31" i="5"/>
  <c r="AG261" i="5"/>
  <c r="AE255" i="7"/>
  <c r="AJ255" i="6"/>
  <c r="AD233" i="5"/>
  <c r="BP12" i="5"/>
  <c r="BP9" i="5"/>
  <c r="W155" i="7"/>
  <c r="W145" i="7"/>
  <c r="W110" i="7"/>
  <c r="X261" i="7"/>
  <c r="BN31" i="7"/>
  <c r="V110" i="6"/>
  <c r="X145" i="6"/>
  <c r="BJ15" i="5"/>
  <c r="X110" i="5"/>
  <c r="AQ26" i="5"/>
  <c r="BH10" i="5"/>
  <c r="AB260" i="4"/>
  <c r="AB264" i="4"/>
  <c r="Y260" i="4"/>
  <c r="Y264" i="4"/>
  <c r="BH12" i="5"/>
  <c r="AQ26" i="4"/>
  <c r="AY26" i="4"/>
  <c r="X209" i="6"/>
  <c r="X208" i="6"/>
  <c r="AQ29" i="6"/>
  <c r="AA209" i="5"/>
  <c r="AA208" i="5"/>
  <c r="BH9" i="6"/>
  <c r="AE192" i="5"/>
  <c r="I60" i="5"/>
  <c r="AI16" i="5"/>
  <c r="M62" i="5"/>
  <c r="M128" i="5"/>
  <c r="G62" i="6"/>
  <c r="I62" i="6"/>
  <c r="G62" i="7"/>
  <c r="I62" i="7"/>
  <c r="AJ14" i="4"/>
  <c r="AJ12" i="4"/>
  <c r="AJ10" i="4"/>
  <c r="AJ8" i="4"/>
  <c r="V231" i="7"/>
  <c r="AZ29" i="5"/>
  <c r="AQ25" i="5"/>
  <c r="X63" i="5"/>
  <c r="X12" i="5"/>
  <c r="AH33" i="5"/>
  <c r="AH16" i="5"/>
  <c r="BI15" i="5"/>
  <c r="BI9" i="4"/>
  <c r="AJ91" i="5"/>
  <c r="AJ90" i="5"/>
  <c r="BD16" i="5"/>
  <c r="AZ31" i="3"/>
  <c r="AZ32" i="3"/>
  <c r="X195" i="6"/>
  <c r="X194" i="6"/>
  <c r="AY31" i="3"/>
  <c r="AY32" i="3"/>
  <c r="AZ35" i="3"/>
  <c r="AQ27" i="5"/>
  <c r="X219" i="6"/>
  <c r="BN30" i="6"/>
  <c r="AI18" i="7"/>
  <c r="AH148" i="8"/>
  <c r="X90" i="6"/>
  <c r="X63" i="6"/>
  <c r="V168" i="7"/>
  <c r="D128" i="8"/>
  <c r="AH80" i="10"/>
  <c r="F128" i="7"/>
  <c r="E113" i="8"/>
  <c r="X83" i="7"/>
  <c r="E27" i="9"/>
  <c r="E25" i="9"/>
  <c r="E128" i="8"/>
  <c r="I71" i="6"/>
  <c r="AG12" i="4"/>
  <c r="AG10" i="4"/>
  <c r="AG8" i="4"/>
  <c r="AG260" i="4"/>
  <c r="AG264" i="4"/>
  <c r="AV32" i="3"/>
  <c r="AQ33" i="3"/>
  <c r="AU32" i="3"/>
  <c r="AD209" i="5"/>
  <c r="AD208" i="5"/>
  <c r="M43" i="5"/>
  <c r="M42" i="5"/>
  <c r="G43" i="6"/>
  <c r="G42" i="6"/>
  <c r="F115" i="10"/>
  <c r="V90" i="7"/>
  <c r="V63" i="7"/>
  <c r="X168" i="6"/>
  <c r="BN24" i="6"/>
  <c r="BN22" i="6"/>
  <c r="X96" i="7"/>
  <c r="Y63" i="5"/>
  <c r="AY22" i="6"/>
  <c r="AH31" i="10"/>
  <c r="Y14" i="5"/>
  <c r="Y12" i="5"/>
  <c r="AI43" i="5"/>
  <c r="AI14" i="5"/>
  <c r="AY17" i="4"/>
  <c r="AE46" i="11"/>
  <c r="AG46" i="11" s="1"/>
  <c r="AE46" i="12" s="1"/>
  <c r="AG46" i="12" s="1"/>
  <c r="AE46" i="13" s="1"/>
  <c r="AG46" i="13" s="1"/>
  <c r="X104" i="7"/>
  <c r="X210" i="7"/>
  <c r="BN27" i="7"/>
  <c r="X196" i="7"/>
  <c r="BN28" i="7"/>
  <c r="BN25" i="7"/>
  <c r="V112" i="7"/>
  <c r="I21" i="4"/>
  <c r="I19" i="4"/>
  <c r="I17" i="4"/>
  <c r="AE217" i="6"/>
  <c r="AJ217" i="5"/>
  <c r="AJ261" i="5"/>
  <c r="AB261" i="6"/>
  <c r="AI217" i="5"/>
  <c r="AI261" i="5"/>
  <c r="AW29" i="4"/>
  <c r="AY29" i="4"/>
  <c r="AU29" i="4"/>
  <c r="Y217" i="6"/>
  <c r="AH217" i="5"/>
  <c r="AH261" i="5"/>
  <c r="X112" i="6"/>
  <c r="AQ31" i="2"/>
  <c r="AX31" i="2"/>
  <c r="AX32" i="2"/>
  <c r="AV26" i="4"/>
  <c r="AH134" i="10"/>
  <c r="BH9" i="5"/>
  <c r="W257" i="5"/>
  <c r="V257" i="5"/>
  <c r="V235" i="10"/>
  <c r="V235" i="11"/>
  <c r="AU30" i="4"/>
  <c r="X233" i="6"/>
  <c r="AY30" i="4"/>
  <c r="AZ30" i="4"/>
  <c r="W235" i="10"/>
  <c r="X234" i="7"/>
  <c r="BN29" i="7"/>
  <c r="AG224" i="11"/>
  <c r="AE224" i="12" s="1"/>
  <c r="AG224" i="12" s="1"/>
  <c r="AE224" i="13" s="1"/>
  <c r="AG224" i="13" s="1"/>
  <c r="AB258" i="4"/>
  <c r="AI14" i="4"/>
  <c r="AI12" i="4"/>
  <c r="AI10" i="4"/>
  <c r="AI8" i="4"/>
  <c r="AI32" i="11"/>
  <c r="AH32" i="11"/>
  <c r="AJ32" i="11"/>
  <c r="AH19" i="10"/>
  <c r="AH19" i="11"/>
  <c r="AI19" i="11"/>
  <c r="X205" i="11"/>
  <c r="AI205" i="11" s="1"/>
  <c r="AI204" i="11" s="1"/>
  <c r="X22" i="10"/>
  <c r="AI22" i="10" s="1"/>
  <c r="W20" i="10"/>
  <c r="W20" i="11"/>
  <c r="X92" i="11"/>
  <c r="E81" i="10"/>
  <c r="E81" i="11" s="1"/>
  <c r="AI51" i="10"/>
  <c r="X78" i="10"/>
  <c r="V78" i="11"/>
  <c r="X78" i="11" s="1"/>
  <c r="E85" i="10"/>
  <c r="X242" i="7"/>
  <c r="E104" i="8"/>
  <c r="X224" i="11"/>
  <c r="W44" i="10"/>
  <c r="W44" i="11"/>
  <c r="V242" i="8"/>
  <c r="AY25" i="4"/>
  <c r="M78" i="7"/>
  <c r="AA12" i="4"/>
  <c r="AA10" i="4"/>
  <c r="AA8" i="4"/>
  <c r="AB14" i="5"/>
  <c r="AB12" i="5"/>
  <c r="AI228" i="10"/>
  <c r="Y258" i="4"/>
  <c r="AA16" i="5"/>
  <c r="BO12" i="5"/>
  <c r="BO9" i="5"/>
  <c r="Y33" i="6"/>
  <c r="Y16" i="6"/>
  <c r="AJ16" i="5"/>
  <c r="AE33" i="6"/>
  <c r="AG33" i="6"/>
  <c r="AG16" i="5"/>
  <c r="BC20" i="7"/>
  <c r="AI132" i="10"/>
  <c r="D113" i="8"/>
  <c r="AU27" i="4"/>
  <c r="W141" i="10"/>
  <c r="X57" i="7"/>
  <c r="X238" i="10"/>
  <c r="AI238" i="10" s="1"/>
  <c r="Y192" i="5"/>
  <c r="AU25" i="4"/>
  <c r="X136" i="10"/>
  <c r="X162" i="10"/>
  <c r="AI162" i="10" s="1"/>
  <c r="AJ162" i="10"/>
  <c r="AZ25" i="4"/>
  <c r="V83" i="8"/>
  <c r="X199" i="10"/>
  <c r="AJ199" i="10" s="1"/>
  <c r="X157" i="7"/>
  <c r="BN18" i="7"/>
  <c r="X254" i="10"/>
  <c r="AI254" i="10" s="1"/>
  <c r="X206" i="10"/>
  <c r="AJ206" i="10" s="1"/>
  <c r="W58" i="10"/>
  <c r="W57" i="10" s="1"/>
  <c r="X114" i="7"/>
  <c r="X224" i="10"/>
  <c r="AJ224" i="10" s="1"/>
  <c r="AU12" i="8"/>
  <c r="AY12" i="8"/>
  <c r="AJ148" i="10"/>
  <c r="X91" i="7"/>
  <c r="BH7" i="4"/>
  <c r="BH16" i="4"/>
  <c r="BH17" i="4"/>
  <c r="V226" i="8"/>
  <c r="V219" i="8"/>
  <c r="X216" i="10"/>
  <c r="AJ216" i="10" s="1"/>
  <c r="V91" i="8"/>
  <c r="X201" i="10"/>
  <c r="X197" i="10"/>
  <c r="BN26" i="10" s="1"/>
  <c r="X21" i="10"/>
  <c r="X222" i="10"/>
  <c r="V58" i="10"/>
  <c r="AV25" i="4"/>
  <c r="M60" i="5"/>
  <c r="W234" i="8"/>
  <c r="W233" i="8"/>
  <c r="W231" i="8"/>
  <c r="AI125" i="7"/>
  <c r="AZ12" i="8"/>
  <c r="AI219" i="5"/>
  <c r="F94" i="7"/>
  <c r="V12" i="6"/>
  <c r="V10" i="6"/>
  <c r="V8" i="6"/>
  <c r="AH210" i="5"/>
  <c r="AD219" i="5"/>
  <c r="V104" i="8"/>
  <c r="F104" i="7"/>
  <c r="AQ17" i="4"/>
  <c r="V96" i="8"/>
  <c r="N51" i="5"/>
  <c r="BJ7" i="4"/>
  <c r="BJ16" i="4"/>
  <c r="AE63" i="5"/>
  <c r="X219" i="7"/>
  <c r="BN30" i="7"/>
  <c r="AJ44" i="5"/>
  <c r="AJ43" i="5"/>
  <c r="V234" i="8"/>
  <c r="V233" i="8"/>
  <c r="M69" i="5"/>
  <c r="V57" i="8"/>
  <c r="AH125" i="7"/>
  <c r="X123" i="7"/>
  <c r="W10" i="6"/>
  <c r="W8" i="6"/>
  <c r="F28" i="6"/>
  <c r="AQ9" i="6"/>
  <c r="V183" i="8"/>
  <c r="L24" i="14"/>
  <c r="F113" i="7"/>
  <c r="AQ15" i="7"/>
  <c r="V141" i="8"/>
  <c r="D105" i="10"/>
  <c r="E119" i="10"/>
  <c r="D122" i="11"/>
  <c r="D122" i="10"/>
  <c r="F122" i="10"/>
  <c r="N122" i="10" s="1"/>
  <c r="AW11" i="10"/>
  <c r="AR11" i="10"/>
  <c r="AR12" i="10"/>
  <c r="N41" i="10"/>
  <c r="AR22" i="9"/>
  <c r="AY13" i="9"/>
  <c r="AV13" i="9"/>
  <c r="AU13" i="9"/>
  <c r="AA219" i="5"/>
  <c r="BO30" i="5"/>
  <c r="W157" i="8"/>
  <c r="W155" i="8"/>
  <c r="V157" i="8"/>
  <c r="X183" i="7"/>
  <c r="X174" i="7"/>
  <c r="D121" i="11"/>
  <c r="F121" i="11"/>
  <c r="D121" i="10"/>
  <c r="F121" i="10"/>
  <c r="N121" i="10" s="1"/>
  <c r="AW22" i="8"/>
  <c r="AS13" i="10"/>
  <c r="AX13" i="10"/>
  <c r="M124" i="7"/>
  <c r="N124" i="7"/>
  <c r="F115" i="11"/>
  <c r="M116" i="10"/>
  <c r="AI148" i="8"/>
  <c r="V196" i="8"/>
  <c r="V195" i="8"/>
  <c r="V194" i="8"/>
  <c r="V192" i="8"/>
  <c r="AX11" i="10"/>
  <c r="AS11" i="10"/>
  <c r="AW13" i="10"/>
  <c r="AR13" i="10"/>
  <c r="E124" i="9"/>
  <c r="F124" i="9"/>
  <c r="N124" i="9"/>
  <c r="E124" i="11"/>
  <c r="E124" i="10"/>
  <c r="F124" i="8"/>
  <c r="B24" i="10"/>
  <c r="V114" i="8"/>
  <c r="AS12" i="10"/>
  <c r="AX12" i="10"/>
  <c r="AZ13" i="9"/>
  <c r="V174" i="8"/>
  <c r="V123" i="8"/>
  <c r="BP10" i="10"/>
  <c r="AA224" i="9"/>
  <c r="AH12" i="4"/>
  <c r="AH10" i="4"/>
  <c r="AH8" i="4"/>
  <c r="I24" i="8"/>
  <c r="G28" i="5"/>
  <c r="G21" i="5"/>
  <c r="G19" i="5"/>
  <c r="G17" i="5"/>
  <c r="G8" i="5"/>
  <c r="G126" i="5"/>
  <c r="G130" i="5"/>
  <c r="Y17" i="10"/>
  <c r="AA17" i="10"/>
  <c r="Y17" i="11" s="1"/>
  <c r="AA17" i="11" s="1"/>
  <c r="BO10" i="10"/>
  <c r="D69" i="10"/>
  <c r="F70" i="10"/>
  <c r="F69" i="10" s="1"/>
  <c r="F30" i="10"/>
  <c r="F86" i="10"/>
  <c r="G26" i="6"/>
  <c r="I25" i="5"/>
  <c r="AR8" i="5"/>
  <c r="AU8" i="5"/>
  <c r="M26" i="5"/>
  <c r="M25" i="5"/>
  <c r="BD11" i="5"/>
  <c r="AW8" i="5"/>
  <c r="AY8" i="5"/>
  <c r="AI95" i="7"/>
  <c r="AJ95" i="7"/>
  <c r="AH95" i="7"/>
  <c r="AI253" i="7"/>
  <c r="AH253" i="7"/>
  <c r="AJ253" i="7"/>
  <c r="AJ249" i="7"/>
  <c r="AI249" i="7"/>
  <c r="AH249" i="7"/>
  <c r="N68" i="6"/>
  <c r="X107" i="8"/>
  <c r="N39" i="7"/>
  <c r="M39" i="7"/>
  <c r="AH135" i="7"/>
  <c r="AJ135" i="7"/>
  <c r="AI135" i="7"/>
  <c r="AJ143" i="7"/>
  <c r="AI143" i="7"/>
  <c r="AH143" i="7"/>
  <c r="Y71" i="7"/>
  <c r="AA71" i="7"/>
  <c r="AH71" i="6"/>
  <c r="X217" i="9"/>
  <c r="M24" i="7"/>
  <c r="AJ200" i="7"/>
  <c r="AI200" i="7"/>
  <c r="AH200" i="7"/>
  <c r="AI100" i="7"/>
  <c r="AH100" i="7"/>
  <c r="AJ100" i="7"/>
  <c r="F101" i="9"/>
  <c r="X25" i="8"/>
  <c r="X177" i="8"/>
  <c r="V177" i="9"/>
  <c r="W128" i="9"/>
  <c r="W128" i="10"/>
  <c r="W128" i="11" s="1"/>
  <c r="W128" i="12" s="1"/>
  <c r="W128" i="13" s="1"/>
  <c r="X128" i="8"/>
  <c r="V129" i="9"/>
  <c r="V129" i="10"/>
  <c r="X129" i="10" s="1"/>
  <c r="X129" i="8"/>
  <c r="X252" i="8"/>
  <c r="V252" i="9"/>
  <c r="M83" i="8"/>
  <c r="N83" i="8"/>
  <c r="V127" i="9"/>
  <c r="X127" i="8"/>
  <c r="AI127" i="8"/>
  <c r="AH37" i="7"/>
  <c r="AJ37" i="7"/>
  <c r="AI37" i="7"/>
  <c r="N77" i="7"/>
  <c r="M77" i="7"/>
  <c r="BI8" i="4"/>
  <c r="AJ24" i="7"/>
  <c r="AI24" i="7"/>
  <c r="AH24" i="7"/>
  <c r="V223" i="9"/>
  <c r="X223" i="8"/>
  <c r="X221" i="8"/>
  <c r="AI66" i="7"/>
  <c r="AH66" i="7"/>
  <c r="AQ22" i="7"/>
  <c r="AU22" i="7"/>
  <c r="V215" i="9"/>
  <c r="V210" i="9"/>
  <c r="X215" i="8"/>
  <c r="X190" i="8"/>
  <c r="V190" i="9"/>
  <c r="AD260" i="4"/>
  <c r="AD264" i="4"/>
  <c r="N53" i="7"/>
  <c r="M53" i="7"/>
  <c r="F51" i="7"/>
  <c r="V121" i="9"/>
  <c r="X121" i="8"/>
  <c r="X202" i="8"/>
  <c r="V202" i="9"/>
  <c r="AH156" i="7"/>
  <c r="AI156" i="7"/>
  <c r="AJ156" i="7"/>
  <c r="V131" i="9"/>
  <c r="V131" i="10"/>
  <c r="X131" i="10" s="1"/>
  <c r="X131" i="8"/>
  <c r="AJ101" i="7"/>
  <c r="AI101" i="7"/>
  <c r="AH101" i="7"/>
  <c r="N47" i="8"/>
  <c r="M47" i="8"/>
  <c r="AJ139" i="7"/>
  <c r="AI139" i="7"/>
  <c r="AH139" i="7"/>
  <c r="N122" i="7"/>
  <c r="V137" i="9"/>
  <c r="X137" i="8"/>
  <c r="X136" i="9"/>
  <c r="N109" i="7"/>
  <c r="M109" i="7"/>
  <c r="AW17" i="4"/>
  <c r="AX17" i="4"/>
  <c r="AZ7" i="4"/>
  <c r="L128" i="5"/>
  <c r="J22" i="5"/>
  <c r="J21" i="5"/>
  <c r="J19" i="5"/>
  <c r="J17" i="5"/>
  <c r="J8" i="5"/>
  <c r="AH176" i="7"/>
  <c r="AJ176" i="7"/>
  <c r="AI176" i="7"/>
  <c r="AJ162" i="8"/>
  <c r="AI162" i="8"/>
  <c r="AH162" i="8"/>
  <c r="D121" i="9"/>
  <c r="F121" i="9"/>
  <c r="F121" i="8"/>
  <c r="V229" i="9"/>
  <c r="V229" i="10"/>
  <c r="X229" i="8"/>
  <c r="X226" i="8"/>
  <c r="AH179" i="7"/>
  <c r="AJ179" i="7"/>
  <c r="AI179" i="7"/>
  <c r="M37" i="7"/>
  <c r="N37" i="7"/>
  <c r="AJ86" i="7"/>
  <c r="AH86" i="7"/>
  <c r="AI86" i="7"/>
  <c r="F79" i="10"/>
  <c r="N96" i="10"/>
  <c r="Y18" i="10"/>
  <c r="AA18" i="10"/>
  <c r="Y18" i="11" s="1"/>
  <c r="BO11" i="10"/>
  <c r="X95" i="8"/>
  <c r="X253" i="8"/>
  <c r="V253" i="9"/>
  <c r="V249" i="9"/>
  <c r="X249" i="8"/>
  <c r="F39" i="8"/>
  <c r="AH76" i="7"/>
  <c r="AI76" i="7"/>
  <c r="AJ76" i="7"/>
  <c r="V135" i="9"/>
  <c r="V135" i="10"/>
  <c r="X135" i="8"/>
  <c r="V117" i="9"/>
  <c r="X117" i="8"/>
  <c r="F24" i="8"/>
  <c r="D24" i="9"/>
  <c r="V200" i="9"/>
  <c r="V200" i="10"/>
  <c r="X200" i="8"/>
  <c r="X100" i="11"/>
  <c r="X100" i="8"/>
  <c r="M101" i="8"/>
  <c r="N101" i="8"/>
  <c r="AI25" i="7"/>
  <c r="AH25" i="7"/>
  <c r="AJ25" i="7"/>
  <c r="AJ236" i="7"/>
  <c r="AI236" i="7"/>
  <c r="AH236" i="7"/>
  <c r="AH129" i="7"/>
  <c r="AJ129" i="7"/>
  <c r="AI129" i="7"/>
  <c r="M111" i="7"/>
  <c r="N111" i="7"/>
  <c r="D83" i="10"/>
  <c r="D81" i="10"/>
  <c r="F83" i="9"/>
  <c r="AJ127" i="7"/>
  <c r="AH127" i="7"/>
  <c r="AI48" i="7"/>
  <c r="AH48" i="7"/>
  <c r="AJ48" i="7"/>
  <c r="X151" i="9"/>
  <c r="W37" i="9"/>
  <c r="X37" i="8"/>
  <c r="F77" i="8"/>
  <c r="F75" i="8"/>
  <c r="D77" i="9"/>
  <c r="D75" i="9"/>
  <c r="V75" i="9"/>
  <c r="X75" i="8"/>
  <c r="V66" i="9"/>
  <c r="X66" i="8"/>
  <c r="BN10" i="8"/>
  <c r="AJ215" i="7"/>
  <c r="AI215" i="7"/>
  <c r="AH215" i="7"/>
  <c r="F8" i="4"/>
  <c r="AH187" i="7"/>
  <c r="AI187" i="7"/>
  <c r="AJ187" i="7"/>
  <c r="AI108" i="7"/>
  <c r="AH108" i="7"/>
  <c r="AJ108" i="7"/>
  <c r="X53" i="9"/>
  <c r="AH61" i="7"/>
  <c r="AI61" i="7"/>
  <c r="AJ61" i="7"/>
  <c r="E53" i="9"/>
  <c r="F53" i="8"/>
  <c r="AH121" i="7"/>
  <c r="AI121" i="7"/>
  <c r="AJ121" i="7"/>
  <c r="X156" i="8"/>
  <c r="AI55" i="7"/>
  <c r="AH55" i="7"/>
  <c r="AJ55" i="7"/>
  <c r="E47" i="10"/>
  <c r="E47" i="11" s="1"/>
  <c r="F47" i="9"/>
  <c r="AJ244" i="7"/>
  <c r="AI244" i="7"/>
  <c r="AH244" i="7"/>
  <c r="V139" i="9"/>
  <c r="V139" i="10"/>
  <c r="V139" i="11" s="1"/>
  <c r="X139" i="8"/>
  <c r="AH118" i="7"/>
  <c r="AJ118" i="7"/>
  <c r="AI118" i="7"/>
  <c r="AU11" i="6"/>
  <c r="AZ11" i="6"/>
  <c r="AV11" i="6"/>
  <c r="AY11" i="6"/>
  <c r="D122" i="9"/>
  <c r="F122" i="8"/>
  <c r="M97" i="7"/>
  <c r="N97" i="7"/>
  <c r="AJ158" i="7"/>
  <c r="AI158" i="7"/>
  <c r="AH158" i="7"/>
  <c r="F109" i="8"/>
  <c r="BC19" i="8"/>
  <c r="AS7" i="4"/>
  <c r="AV7" i="4"/>
  <c r="L21" i="4"/>
  <c r="L19" i="4"/>
  <c r="AI178" i="7"/>
  <c r="AH178" i="7"/>
  <c r="AJ178" i="7"/>
  <c r="W176" i="9"/>
  <c r="W176" i="10"/>
  <c r="W176" i="11"/>
  <c r="W174" i="11" s="1"/>
  <c r="X176" i="8"/>
  <c r="BN23" i="8"/>
  <c r="AI46" i="7"/>
  <c r="AJ46" i="7"/>
  <c r="AH46" i="7"/>
  <c r="E37" i="9"/>
  <c r="E35" i="9"/>
  <c r="F37" i="8"/>
  <c r="V86" i="9"/>
  <c r="X86" i="8"/>
  <c r="D60" i="10"/>
  <c r="F61" i="10"/>
  <c r="F95" i="10"/>
  <c r="F82" i="10"/>
  <c r="AJ17" i="9"/>
  <c r="AE17" i="10"/>
  <c r="AG17" i="10"/>
  <c r="AE17" i="11"/>
  <c r="AG17" i="11" s="1"/>
  <c r="AE17" i="12" s="1"/>
  <c r="AG17" i="12" s="1"/>
  <c r="AE17" i="13" s="1"/>
  <c r="AG17" i="13" s="1"/>
  <c r="F26" i="10"/>
  <c r="BC11" i="10"/>
  <c r="D54" i="10"/>
  <c r="F55" i="10"/>
  <c r="F54" i="10" s="1"/>
  <c r="F76" i="10"/>
  <c r="AI133" i="7"/>
  <c r="AH133" i="7"/>
  <c r="AJ133" i="7"/>
  <c r="X159" i="8"/>
  <c r="AJ79" i="7"/>
  <c r="AI79" i="7"/>
  <c r="AH79" i="7"/>
  <c r="V39" i="9"/>
  <c r="V39" i="10"/>
  <c r="V39" i="11" s="1"/>
  <c r="X39" i="8"/>
  <c r="AJ88" i="7"/>
  <c r="AI88" i="7"/>
  <c r="AH88" i="7"/>
  <c r="V76" i="9"/>
  <c r="X76" i="8"/>
  <c r="AJ164" i="7"/>
  <c r="AH164" i="7"/>
  <c r="AI164" i="7"/>
  <c r="M33" i="5"/>
  <c r="M32" i="5"/>
  <c r="G33" i="6"/>
  <c r="I32" i="5"/>
  <c r="N119" i="7"/>
  <c r="M119" i="7"/>
  <c r="N65" i="7"/>
  <c r="M65" i="7"/>
  <c r="AJ93" i="7"/>
  <c r="AH93" i="7"/>
  <c r="AI93" i="7"/>
  <c r="AH117" i="7"/>
  <c r="AJ117" i="7"/>
  <c r="AI117" i="7"/>
  <c r="AJ72" i="7"/>
  <c r="AI72" i="7"/>
  <c r="AH72" i="7"/>
  <c r="AJ180" i="7"/>
  <c r="AI180" i="7"/>
  <c r="AH180" i="7"/>
  <c r="W236" i="9"/>
  <c r="X236" i="8"/>
  <c r="E111" i="9"/>
  <c r="F111" i="8"/>
  <c r="AI98" i="7"/>
  <c r="AH98" i="7"/>
  <c r="AJ98" i="7"/>
  <c r="X48" i="8"/>
  <c r="X102" i="8"/>
  <c r="AJ160" i="7"/>
  <c r="AH160" i="7"/>
  <c r="AI160" i="7"/>
  <c r="AJ75" i="7"/>
  <c r="AI75" i="7"/>
  <c r="AH75" i="7"/>
  <c r="AH213" i="7"/>
  <c r="AJ213" i="7"/>
  <c r="AI213" i="7"/>
  <c r="V187" i="9"/>
  <c r="X187" i="8"/>
  <c r="X185" i="8"/>
  <c r="X108" i="8"/>
  <c r="X61" i="8"/>
  <c r="AJ138" i="7"/>
  <c r="AI138" i="7"/>
  <c r="AH138" i="7"/>
  <c r="AH119" i="7"/>
  <c r="AJ119" i="7"/>
  <c r="AI119" i="7"/>
  <c r="V125" i="9"/>
  <c r="V125" i="10"/>
  <c r="X125" i="8"/>
  <c r="AJ125" i="8"/>
  <c r="X55" i="8"/>
  <c r="X94" i="8"/>
  <c r="V244" i="9"/>
  <c r="X244" i="8"/>
  <c r="V118" i="9"/>
  <c r="X118" i="8"/>
  <c r="X237" i="8"/>
  <c r="V237" i="9"/>
  <c r="AH198" i="7"/>
  <c r="AI198" i="7"/>
  <c r="AJ198" i="7"/>
  <c r="AI239" i="7"/>
  <c r="AH239" i="7"/>
  <c r="AJ239" i="7"/>
  <c r="V85" i="9"/>
  <c r="X85" i="8"/>
  <c r="F97" i="8"/>
  <c r="BC18" i="8"/>
  <c r="D94" i="9"/>
  <c r="AH136" i="8"/>
  <c r="AJ136" i="8"/>
  <c r="AI136" i="8"/>
  <c r="X158" i="8"/>
  <c r="X245" i="8"/>
  <c r="V245" i="9"/>
  <c r="N22" i="4"/>
  <c r="N21" i="4"/>
  <c r="N19" i="4"/>
  <c r="N17" i="4"/>
  <c r="V178" i="9"/>
  <c r="X178" i="8"/>
  <c r="AH77" i="7"/>
  <c r="AI77" i="7"/>
  <c r="AJ77" i="7"/>
  <c r="X162" i="9"/>
  <c r="Y51" i="7"/>
  <c r="AA51" i="7"/>
  <c r="AH51" i="6"/>
  <c r="X46" i="8"/>
  <c r="AQ11" i="7"/>
  <c r="M88" i="7"/>
  <c r="N88" i="7"/>
  <c r="AU28" i="4"/>
  <c r="X18" i="8"/>
  <c r="F58" i="10"/>
  <c r="F33" i="10"/>
  <c r="V49" i="8"/>
  <c r="N100" i="10"/>
  <c r="V133" i="9"/>
  <c r="X133" i="8"/>
  <c r="G15" i="9"/>
  <c r="I15" i="9"/>
  <c r="M15" i="8"/>
  <c r="AH159" i="7"/>
  <c r="AJ159" i="7"/>
  <c r="AI159" i="7"/>
  <c r="V79" i="9"/>
  <c r="X79" i="8"/>
  <c r="AI39" i="7"/>
  <c r="AH39" i="7"/>
  <c r="AJ39" i="7"/>
  <c r="AJ107" i="7"/>
  <c r="AI107" i="7"/>
  <c r="AH107" i="7"/>
  <c r="V88" i="9"/>
  <c r="X88" i="8"/>
  <c r="X164" i="11"/>
  <c r="AH164" i="11" s="1"/>
  <c r="X164" i="8"/>
  <c r="V143" i="9"/>
  <c r="V143" i="10"/>
  <c r="V143" i="11" s="1"/>
  <c r="X143" i="8"/>
  <c r="X141" i="8"/>
  <c r="BN20" i="8"/>
  <c r="E119" i="9"/>
  <c r="F119" i="8"/>
  <c r="D65" i="9"/>
  <c r="F65" i="8"/>
  <c r="X93" i="8"/>
  <c r="V72" i="9"/>
  <c r="X72" i="8"/>
  <c r="X180" i="8"/>
  <c r="V180" i="9"/>
  <c r="AI177" i="7"/>
  <c r="AJ177" i="7"/>
  <c r="AH177" i="7"/>
  <c r="AJ128" i="7"/>
  <c r="AI128" i="7"/>
  <c r="AH128" i="7"/>
  <c r="AI252" i="7"/>
  <c r="AJ252" i="7"/>
  <c r="AH252" i="7"/>
  <c r="X98" i="8"/>
  <c r="Y212" i="7"/>
  <c r="AA212" i="7"/>
  <c r="AH212" i="6"/>
  <c r="AH151" i="8"/>
  <c r="AJ151" i="8"/>
  <c r="AI151" i="8"/>
  <c r="AI102" i="7"/>
  <c r="AJ102" i="7"/>
  <c r="AH102" i="7"/>
  <c r="X160" i="11"/>
  <c r="AJ160" i="11" s="1"/>
  <c r="X160" i="8"/>
  <c r="X24" i="8"/>
  <c r="AH223" i="7"/>
  <c r="AJ223" i="7"/>
  <c r="AI223" i="7"/>
  <c r="W213" i="9"/>
  <c r="W213" i="10"/>
  <c r="W213" i="11"/>
  <c r="X213" i="11"/>
  <c r="AH213" i="11" s="1"/>
  <c r="X213" i="8"/>
  <c r="AJ190" i="7"/>
  <c r="AI190" i="7"/>
  <c r="AH190" i="7"/>
  <c r="AZ14" i="4"/>
  <c r="AJ53" i="8"/>
  <c r="AI53" i="8"/>
  <c r="AH53" i="8"/>
  <c r="V138" i="9"/>
  <c r="X138" i="8"/>
  <c r="W119" i="9"/>
  <c r="W114" i="9"/>
  <c r="X119" i="8"/>
  <c r="AJ202" i="7"/>
  <c r="AI202" i="7"/>
  <c r="AH202" i="7"/>
  <c r="AH131" i="7"/>
  <c r="AJ131" i="7"/>
  <c r="AI131" i="7"/>
  <c r="X101" i="8"/>
  <c r="AI94" i="7"/>
  <c r="AH94" i="7"/>
  <c r="AJ94" i="7"/>
  <c r="AJ237" i="7"/>
  <c r="AI237" i="7"/>
  <c r="AH237" i="7"/>
  <c r="V198" i="9"/>
  <c r="X198" i="8"/>
  <c r="X239" i="8"/>
  <c r="V239" i="9"/>
  <c r="AJ85" i="7"/>
  <c r="AI85" i="7"/>
  <c r="AH85" i="7"/>
  <c r="AJ137" i="7"/>
  <c r="AH137" i="7"/>
  <c r="AI137" i="7"/>
  <c r="AH245" i="7"/>
  <c r="AJ245" i="7"/>
  <c r="AI245" i="7"/>
  <c r="G122" i="6"/>
  <c r="BD21" i="5"/>
  <c r="M122" i="5"/>
  <c r="M113" i="5"/>
  <c r="AW24" i="4"/>
  <c r="AY24" i="4"/>
  <c r="AU24" i="4"/>
  <c r="V77" i="9"/>
  <c r="X77" i="8"/>
  <c r="AE258" i="4"/>
  <c r="M8" i="4"/>
  <c r="M126" i="4"/>
  <c r="M130" i="4"/>
  <c r="N121" i="7"/>
  <c r="M121" i="7"/>
  <c r="AI229" i="7"/>
  <c r="AH229" i="7"/>
  <c r="AJ229" i="7"/>
  <c r="X179" i="8"/>
  <c r="V179" i="9"/>
  <c r="D85" i="9"/>
  <c r="F88" i="8"/>
  <c r="AQ11" i="8"/>
  <c r="AJ18" i="7"/>
  <c r="AH18" i="7"/>
  <c r="AG231" i="5"/>
  <c r="AE14" i="5"/>
  <c r="AH258" i="2"/>
  <c r="BJ9" i="5"/>
  <c r="AA147" i="5"/>
  <c r="AD147" i="5"/>
  <c r="Y148" i="9"/>
  <c r="AA148" i="9"/>
  <c r="Y126" i="9"/>
  <c r="AA126" i="9"/>
  <c r="BO19" i="9"/>
  <c r="Y125" i="9"/>
  <c r="AA125" i="9"/>
  <c r="BP19" i="9"/>
  <c r="BI9" i="5"/>
  <c r="AI41" i="8"/>
  <c r="Y41" i="9"/>
  <c r="AA41" i="9"/>
  <c r="Y41" i="10"/>
  <c r="AA41" i="10"/>
  <c r="AH41" i="8"/>
  <c r="AI17" i="9"/>
  <c r="AJ8" i="2"/>
  <c r="AJ260" i="2"/>
  <c r="AJ264" i="2"/>
  <c r="AU35" i="2"/>
  <c r="F25" i="7"/>
  <c r="AQ8" i="7"/>
  <c r="BC21" i="7"/>
  <c r="W195" i="8"/>
  <c r="W194" i="8"/>
  <c r="W192" i="8"/>
  <c r="G78" i="8"/>
  <c r="I78" i="8"/>
  <c r="M64" i="6"/>
  <c r="M63" i="6"/>
  <c r="AH219" i="5"/>
  <c r="E21" i="7"/>
  <c r="E19" i="7"/>
  <c r="E17" i="7"/>
  <c r="E8" i="7"/>
  <c r="E126" i="7"/>
  <c r="E130" i="7"/>
  <c r="W219" i="8"/>
  <c r="AJ231" i="5"/>
  <c r="AH183" i="5"/>
  <c r="AH168" i="5"/>
  <c r="AA195" i="5"/>
  <c r="BO25" i="5"/>
  <c r="AA90" i="5"/>
  <c r="AA63" i="5"/>
  <c r="BC22" i="5"/>
  <c r="AJ147" i="5"/>
  <c r="AB110" i="5"/>
  <c r="AV29" i="5"/>
  <c r="AI195" i="5"/>
  <c r="AI194" i="5"/>
  <c r="AD195" i="5"/>
  <c r="BP25" i="5"/>
  <c r="AH195" i="5"/>
  <c r="AH194" i="5"/>
  <c r="AA168" i="5"/>
  <c r="BO24" i="5"/>
  <c r="BO22" i="5"/>
  <c r="AE110" i="5"/>
  <c r="Y110" i="5"/>
  <c r="AG90" i="5"/>
  <c r="AI258" i="2"/>
  <c r="U1" i="2"/>
  <c r="BC17" i="7"/>
  <c r="AJ183" i="5"/>
  <c r="AJ168" i="5"/>
  <c r="AH90" i="5"/>
  <c r="AH63" i="5"/>
  <c r="AI90" i="5"/>
  <c r="AI63" i="5"/>
  <c r="BC10" i="6"/>
  <c r="BC9" i="6"/>
  <c r="BC8" i="6"/>
  <c r="AD43" i="5"/>
  <c r="W112" i="8"/>
  <c r="W12" i="7"/>
  <c r="K130" i="7"/>
  <c r="H130" i="7"/>
  <c r="BH8" i="5"/>
  <c r="F22" i="7"/>
  <c r="BC12" i="7"/>
  <c r="X149" i="8"/>
  <c r="X147" i="8"/>
  <c r="X27" i="8"/>
  <c r="X126" i="9"/>
  <c r="BN19" i="9"/>
  <c r="V58" i="9"/>
  <c r="X59" i="9"/>
  <c r="AE66" i="6"/>
  <c r="AJ66" i="5"/>
  <c r="AJ65" i="5"/>
  <c r="AS22" i="5"/>
  <c r="AG65" i="5"/>
  <c r="X246" i="9"/>
  <c r="AE174" i="6"/>
  <c r="AG175" i="6"/>
  <c r="N40" i="7"/>
  <c r="M40" i="7"/>
  <c r="F98" i="12"/>
  <c r="V152" i="12"/>
  <c r="AE141" i="6"/>
  <c r="AB174" i="6"/>
  <c r="M68" i="8"/>
  <c r="N62" i="11"/>
  <c r="BP11" i="9"/>
  <c r="AJ240" i="8"/>
  <c r="AI240" i="8"/>
  <c r="AH240" i="8"/>
  <c r="AQ24" i="6"/>
  <c r="V44" i="8"/>
  <c r="X45" i="8"/>
  <c r="AJ148" i="9"/>
  <c r="J94" i="6"/>
  <c r="AI22" i="8"/>
  <c r="AH22" i="8"/>
  <c r="AJ22" i="8"/>
  <c r="AG43" i="5"/>
  <c r="D35" i="8"/>
  <c r="F36" i="8"/>
  <c r="AE242" i="6"/>
  <c r="AG243" i="6"/>
  <c r="AI172" i="9"/>
  <c r="AJ172" i="9"/>
  <c r="AH172" i="9"/>
  <c r="L45" i="5"/>
  <c r="AX14" i="5"/>
  <c r="N46" i="5"/>
  <c r="N45" i="5"/>
  <c r="X43" i="6"/>
  <c r="BN13" i="6"/>
  <c r="BN8" i="6"/>
  <c r="BN7" i="6"/>
  <c r="BN32" i="6"/>
  <c r="X184" i="9"/>
  <c r="F58" i="9"/>
  <c r="X204" i="8"/>
  <c r="V105" i="9"/>
  <c r="V105" i="10"/>
  <c r="V104" i="10" s="1"/>
  <c r="X106" i="9"/>
  <c r="I49" i="6"/>
  <c r="BD15" i="6"/>
  <c r="G48" i="6"/>
  <c r="W170" i="9"/>
  <c r="F81" i="8"/>
  <c r="X186" i="9"/>
  <c r="F80" i="9"/>
  <c r="V23" i="13"/>
  <c r="G23" i="6"/>
  <c r="I22" i="5"/>
  <c r="BD12" i="5"/>
  <c r="AW7" i="5"/>
  <c r="AY7" i="5"/>
  <c r="M23" i="5"/>
  <c r="M22" i="5"/>
  <c r="V14" i="7"/>
  <c r="AA20" i="6"/>
  <c r="Y21" i="7"/>
  <c r="AH21" i="6"/>
  <c r="AH20" i="6"/>
  <c r="N120" i="9"/>
  <c r="M120" i="9"/>
  <c r="V20" i="8"/>
  <c r="V16" i="8"/>
  <c r="C126" i="8"/>
  <c r="C130" i="8"/>
  <c r="J63" i="6"/>
  <c r="W204" i="9"/>
  <c r="BC7" i="6"/>
  <c r="AQ16" i="6"/>
  <c r="X192" i="5"/>
  <c r="AQ28" i="5"/>
  <c r="AB58" i="6"/>
  <c r="AB57" i="6"/>
  <c r="Y196" i="6"/>
  <c r="AA197" i="6"/>
  <c r="BO26" i="6"/>
  <c r="AG97" i="6"/>
  <c r="AE96" i="6"/>
  <c r="E42" i="9"/>
  <c r="V73" i="9"/>
  <c r="V73" i="10"/>
  <c r="V73" i="11" s="1"/>
  <c r="X73" i="11" s="1"/>
  <c r="AJ73" i="11" s="1"/>
  <c r="X73" i="8"/>
  <c r="M10" i="5"/>
  <c r="AB226" i="6"/>
  <c r="Y58" i="6"/>
  <c r="Y57" i="6"/>
  <c r="AA59" i="6"/>
  <c r="X170" i="8"/>
  <c r="X29" i="8"/>
  <c r="F54" i="8"/>
  <c r="N28" i="5"/>
  <c r="E22" i="8"/>
  <c r="D104" i="9"/>
  <c r="F105" i="9"/>
  <c r="M14" i="9"/>
  <c r="N14" i="9"/>
  <c r="AB49" i="6"/>
  <c r="D78" i="9"/>
  <c r="F79" i="9"/>
  <c r="AJ132" i="9"/>
  <c r="AI132" i="9"/>
  <c r="AH132" i="9"/>
  <c r="AJ219" i="5"/>
  <c r="E10" i="9"/>
  <c r="D15" i="13"/>
  <c r="AE69" i="6"/>
  <c r="AG70" i="6"/>
  <c r="X35" i="7"/>
  <c r="BN14" i="7"/>
  <c r="AJ32" i="9"/>
  <c r="AI32" i="9"/>
  <c r="AH32" i="9"/>
  <c r="F72" i="7"/>
  <c r="AS24" i="5"/>
  <c r="AX24" i="5"/>
  <c r="AZ24" i="5"/>
  <c r="X235" i="9"/>
  <c r="AJ30" i="9"/>
  <c r="AI30" i="9"/>
  <c r="AH30" i="9"/>
  <c r="F96" i="9"/>
  <c r="F29" i="8"/>
  <c r="J81" i="6"/>
  <c r="X197" i="9"/>
  <c r="BN26" i="9"/>
  <c r="AI112" i="5"/>
  <c r="AI247" i="8"/>
  <c r="AH247" i="8"/>
  <c r="AJ247" i="8"/>
  <c r="X238" i="9"/>
  <c r="I79" i="9"/>
  <c r="G79" i="10"/>
  <c r="G78" i="9"/>
  <c r="I78" i="9"/>
  <c r="D44" i="9"/>
  <c r="D44" i="10"/>
  <c r="F44" i="10"/>
  <c r="N44" i="10" s="1"/>
  <c r="F44" i="8"/>
  <c r="AG186" i="6"/>
  <c r="AE185" i="6"/>
  <c r="AE183" i="6"/>
  <c r="AH54" i="7"/>
  <c r="AJ54" i="7"/>
  <c r="AI54" i="7"/>
  <c r="AB185" i="6"/>
  <c r="AB183" i="6"/>
  <c r="V176" i="13"/>
  <c r="F71" i="9"/>
  <c r="AJ19" i="9"/>
  <c r="AI19" i="9"/>
  <c r="AH19" i="9"/>
  <c r="J57" i="6"/>
  <c r="X49" i="7"/>
  <c r="G88" i="11"/>
  <c r="I88" i="11" s="1"/>
  <c r="W91" i="9"/>
  <c r="W91" i="10"/>
  <c r="W90" i="10" s="1"/>
  <c r="F76" i="9"/>
  <c r="D59" i="9"/>
  <c r="D59" i="10"/>
  <c r="F59" i="8"/>
  <c r="F57" i="8"/>
  <c r="AB210" i="6"/>
  <c r="AH130" i="9"/>
  <c r="AJ130" i="9"/>
  <c r="AI130" i="9"/>
  <c r="E8" i="6"/>
  <c r="E126" i="6"/>
  <c r="E130" i="6"/>
  <c r="AH147" i="5"/>
  <c r="AJ67" i="7"/>
  <c r="AI67" i="7"/>
  <c r="AH67" i="7"/>
  <c r="X84" i="9"/>
  <c r="AE114" i="6"/>
  <c r="AA235" i="6"/>
  <c r="Y234" i="6"/>
  <c r="Y233" i="6"/>
  <c r="AG197" i="6"/>
  <c r="AE196" i="6"/>
  <c r="Y185" i="6"/>
  <c r="Y183" i="6"/>
  <c r="F60" i="8"/>
  <c r="G41" i="9"/>
  <c r="I41" i="9"/>
  <c r="M41" i="8"/>
  <c r="I105" i="6"/>
  <c r="G104" i="6"/>
  <c r="AB149" i="6"/>
  <c r="AB147" i="6"/>
  <c r="M118" i="9"/>
  <c r="N118" i="9"/>
  <c r="D21" i="7"/>
  <c r="D19" i="7"/>
  <c r="D17" i="7"/>
  <c r="AI165" i="9"/>
  <c r="AJ165" i="9"/>
  <c r="AH165" i="9"/>
  <c r="Y210" i="6"/>
  <c r="AA211" i="6"/>
  <c r="N41" i="9"/>
  <c r="AE123" i="6"/>
  <c r="AB96" i="6"/>
  <c r="AD90" i="5"/>
  <c r="AQ23" i="6"/>
  <c r="Y91" i="6"/>
  <c r="AA92" i="6"/>
  <c r="Y69" i="6"/>
  <c r="Y65" i="6"/>
  <c r="AA70" i="6"/>
  <c r="E78" i="9"/>
  <c r="W69" i="9"/>
  <c r="W65" i="9"/>
  <c r="F40" i="10"/>
  <c r="F40" i="8"/>
  <c r="AW15" i="5"/>
  <c r="AY15" i="5"/>
  <c r="AU15" i="5"/>
  <c r="AR24" i="5"/>
  <c r="AW24" i="5"/>
  <c r="AY24" i="5"/>
  <c r="F63" i="7"/>
  <c r="BC14" i="7"/>
  <c r="F68" i="9"/>
  <c r="F62" i="12"/>
  <c r="AH120" i="9"/>
  <c r="AJ120" i="9"/>
  <c r="AI120" i="9"/>
  <c r="F48" i="7"/>
  <c r="BP26" i="6"/>
  <c r="AB196" i="6"/>
  <c r="X240" i="9"/>
  <c r="F45" i="7"/>
  <c r="BC15" i="7"/>
  <c r="E48" i="9"/>
  <c r="G89" i="11"/>
  <c r="I89" i="11"/>
  <c r="AR12" i="11" s="1"/>
  <c r="M34" i="7"/>
  <c r="N34" i="7"/>
  <c r="X22" i="9"/>
  <c r="AE44" i="6"/>
  <c r="AG45" i="6"/>
  <c r="AD106" i="6"/>
  <c r="AB105" i="6"/>
  <c r="AB104" i="6"/>
  <c r="X124" i="9"/>
  <c r="Y50" i="6"/>
  <c r="AA49" i="5"/>
  <c r="AA43" i="5"/>
  <c r="AH50" i="5"/>
  <c r="AH49" i="5"/>
  <c r="AH43" i="5"/>
  <c r="AI214" i="8"/>
  <c r="AH214" i="8"/>
  <c r="AJ214" i="8"/>
  <c r="W20" i="9"/>
  <c r="W16" i="9"/>
  <c r="AB221" i="6"/>
  <c r="D8" i="6"/>
  <c r="D126" i="6"/>
  <c r="D130" i="6"/>
  <c r="N89" i="9"/>
  <c r="M89" i="9"/>
  <c r="J75" i="6"/>
  <c r="G75" i="6"/>
  <c r="I76" i="6"/>
  <c r="X21" i="9"/>
  <c r="G36" i="6"/>
  <c r="I35" i="5"/>
  <c r="BD13" i="5"/>
  <c r="AW9" i="5"/>
  <c r="AY9" i="5"/>
  <c r="M36" i="5"/>
  <c r="M35" i="5"/>
  <c r="Q126" i="8"/>
  <c r="Q130" i="8"/>
  <c r="AR23" i="5"/>
  <c r="AU23" i="5"/>
  <c r="N108" i="9"/>
  <c r="M108" i="9"/>
  <c r="AJ224" i="8"/>
  <c r="AH224" i="8"/>
  <c r="AI224" i="8"/>
  <c r="X69" i="7"/>
  <c r="X65" i="7"/>
  <c r="AJ87" i="9"/>
  <c r="AI87" i="9"/>
  <c r="AH87" i="9"/>
  <c r="F26" i="9"/>
  <c r="BC11" i="9"/>
  <c r="AH254" i="8"/>
  <c r="AJ254" i="8"/>
  <c r="AI254" i="8"/>
  <c r="AE105" i="6"/>
  <c r="AE104" i="6"/>
  <c r="AG106" i="6"/>
  <c r="X255" i="9"/>
  <c r="AJ201" i="8"/>
  <c r="AI201" i="8"/>
  <c r="AH201" i="8"/>
  <c r="AB44" i="6"/>
  <c r="AA142" i="6"/>
  <c r="Y141" i="6"/>
  <c r="N31" i="8"/>
  <c r="M31" i="8"/>
  <c r="E29" i="9"/>
  <c r="AE20" i="6"/>
  <c r="AG21" i="6"/>
  <c r="AR16" i="5"/>
  <c r="AW16" i="5"/>
  <c r="AY16" i="5"/>
  <c r="BD7" i="5"/>
  <c r="E57" i="9"/>
  <c r="AG227" i="6"/>
  <c r="AE226" i="6"/>
  <c r="D69" i="9"/>
  <c r="F70" i="9"/>
  <c r="X211" i="9"/>
  <c r="AJ28" i="7"/>
  <c r="AI28" i="7"/>
  <c r="AH28" i="7"/>
  <c r="D14" i="11"/>
  <c r="D14" i="12" s="1"/>
  <c r="D14" i="13" s="1"/>
  <c r="AI231" i="5"/>
  <c r="W83" i="9"/>
  <c r="AG219" i="5"/>
  <c r="AE83" i="6"/>
  <c r="AG84" i="6"/>
  <c r="I95" i="6"/>
  <c r="G94" i="6"/>
  <c r="AE35" i="6"/>
  <c r="AG36" i="6"/>
  <c r="W242" i="9"/>
  <c r="N123" i="9"/>
  <c r="M123" i="9"/>
  <c r="AI183" i="5"/>
  <c r="AI168" i="5"/>
  <c r="AD112" i="5"/>
  <c r="W149" i="9"/>
  <c r="X247" i="9"/>
  <c r="AE157" i="6"/>
  <c r="AE155" i="6"/>
  <c r="W43" i="8"/>
  <c r="W14" i="8"/>
  <c r="L60" i="5"/>
  <c r="N61" i="5"/>
  <c r="N60" i="5"/>
  <c r="AA36" i="6"/>
  <c r="Y35" i="6"/>
  <c r="X54" i="8"/>
  <c r="AE149" i="6"/>
  <c r="AE147" i="6"/>
  <c r="AA124" i="6"/>
  <c r="BO17" i="6"/>
  <c r="Y123" i="6"/>
  <c r="AB20" i="6"/>
  <c r="AB16" i="6"/>
  <c r="F86" i="9"/>
  <c r="I52" i="6"/>
  <c r="G51" i="6"/>
  <c r="I58" i="6"/>
  <c r="G57" i="6"/>
  <c r="V248" i="13"/>
  <c r="X248" i="13" s="1"/>
  <c r="G67" i="6"/>
  <c r="I66" i="5"/>
  <c r="AW14" i="5"/>
  <c r="M67" i="5"/>
  <c r="M66" i="5"/>
  <c r="Y226" i="6"/>
  <c r="AA227" i="6"/>
  <c r="G69" i="6"/>
  <c r="I70" i="6"/>
  <c r="AA153" i="6"/>
  <c r="AB204" i="6"/>
  <c r="V67" i="9"/>
  <c r="V67" i="10"/>
  <c r="V67" i="11" s="1"/>
  <c r="X67" i="11" s="1"/>
  <c r="X67" i="8"/>
  <c r="AB83" i="6"/>
  <c r="AH112" i="5"/>
  <c r="AA231" i="5"/>
  <c r="AH116" i="9"/>
  <c r="AJ116" i="9"/>
  <c r="AI116" i="9"/>
  <c r="D22" i="8"/>
  <c r="F23" i="8"/>
  <c r="BC12" i="8"/>
  <c r="AI203" i="8"/>
  <c r="AH203" i="8"/>
  <c r="AJ203" i="8"/>
  <c r="AB91" i="6"/>
  <c r="V107" i="12"/>
  <c r="E81" i="9"/>
  <c r="I115" i="6"/>
  <c r="AB35" i="6"/>
  <c r="X153" i="9"/>
  <c r="AA171" i="6"/>
  <c r="Y170" i="6"/>
  <c r="AJ228" i="9"/>
  <c r="AH228" i="9"/>
  <c r="AI228" i="9"/>
  <c r="AH134" i="9"/>
  <c r="AJ134" i="9"/>
  <c r="AI134" i="9"/>
  <c r="AB242" i="6"/>
  <c r="X44" i="7"/>
  <c r="M106" i="9"/>
  <c r="N106" i="9"/>
  <c r="AG92" i="6"/>
  <c r="AE91" i="6"/>
  <c r="D34" i="9"/>
  <c r="D34" i="10"/>
  <c r="D32" i="10" s="1"/>
  <c r="F34" i="8"/>
  <c r="F35" i="7"/>
  <c r="W49" i="9"/>
  <c r="W49" i="10"/>
  <c r="I61" i="6"/>
  <c r="N56" i="9"/>
  <c r="M56" i="9"/>
  <c r="X214" i="9"/>
  <c r="V204" i="9"/>
  <c r="X205" i="9"/>
  <c r="D119" i="12"/>
  <c r="F42" i="7"/>
  <c r="AQ10" i="7"/>
  <c r="BC16" i="7"/>
  <c r="AJ206" i="8"/>
  <c r="AH206" i="8"/>
  <c r="AI206" i="8"/>
  <c r="AG211" i="6"/>
  <c r="AE210" i="6"/>
  <c r="J35" i="6"/>
  <c r="F82" i="9"/>
  <c r="D81" i="9"/>
  <c r="E69" i="9"/>
  <c r="W196" i="9"/>
  <c r="X33" i="8"/>
  <c r="X50" i="9"/>
  <c r="X227" i="9"/>
  <c r="AB157" i="6"/>
  <c r="AB155" i="6"/>
  <c r="AA222" i="6"/>
  <c r="Y221" i="6"/>
  <c r="AI251" i="8"/>
  <c r="AH251" i="8"/>
  <c r="AJ251" i="8"/>
  <c r="E60" i="9"/>
  <c r="P126" i="8"/>
  <c r="P130" i="8"/>
  <c r="X224" i="9"/>
  <c r="M99" i="9"/>
  <c r="N99" i="9"/>
  <c r="X254" i="9"/>
  <c r="V98" i="13"/>
  <c r="N13" i="7"/>
  <c r="M13" i="7"/>
  <c r="X201" i="9"/>
  <c r="V53" i="13"/>
  <c r="F31" i="9"/>
  <c r="E28" i="8"/>
  <c r="F12" i="9"/>
  <c r="AH250" i="8"/>
  <c r="AJ250" i="8"/>
  <c r="AI250" i="8"/>
  <c r="AB123" i="6"/>
  <c r="BP17" i="6"/>
  <c r="J72" i="6"/>
  <c r="E32" i="9"/>
  <c r="G10" i="6"/>
  <c r="I12" i="6"/>
  <c r="M91" i="9"/>
  <c r="N91" i="9"/>
  <c r="AB141" i="6"/>
  <c r="AE170" i="6"/>
  <c r="AG171" i="6"/>
  <c r="J42" i="6"/>
  <c r="V170" i="9"/>
  <c r="X171" i="9"/>
  <c r="F55" i="9"/>
  <c r="D54" i="9"/>
  <c r="L28" i="5"/>
  <c r="AS9" i="5"/>
  <c r="AV9" i="5"/>
  <c r="AH60" i="8"/>
  <c r="AJ60" i="8"/>
  <c r="AI60" i="8"/>
  <c r="AI68" i="7"/>
  <c r="AH68" i="7"/>
  <c r="AJ68" i="7"/>
  <c r="X175" i="9"/>
  <c r="I73" i="6"/>
  <c r="G72" i="6"/>
  <c r="X28" i="8"/>
  <c r="AD231" i="5"/>
  <c r="M79" i="8"/>
  <c r="AA81" i="7"/>
  <c r="AE221" i="6"/>
  <c r="AG222" i="6"/>
  <c r="X142" i="9"/>
  <c r="W141" i="9"/>
  <c r="AA205" i="6"/>
  <c r="Y204" i="6"/>
  <c r="AA45" i="6"/>
  <c r="Y44" i="6"/>
  <c r="V36" i="9"/>
  <c r="V36" i="10"/>
  <c r="X36" i="10" s="1"/>
  <c r="V35" i="8"/>
  <c r="X36" i="8"/>
  <c r="AJ212" i="8"/>
  <c r="AI212" i="8"/>
  <c r="M27" i="7"/>
  <c r="N27" i="7"/>
  <c r="D72" i="8"/>
  <c r="F73" i="8"/>
  <c r="AI80" i="9"/>
  <c r="AH80" i="9"/>
  <c r="AJ80" i="9"/>
  <c r="D32" i="8"/>
  <c r="AJ99" i="9"/>
  <c r="AI99" i="9"/>
  <c r="AH99" i="9"/>
  <c r="M87" i="9"/>
  <c r="N87" i="9"/>
  <c r="D29" i="9"/>
  <c r="F30" i="9"/>
  <c r="E66" i="9"/>
  <c r="F32" i="7"/>
  <c r="AH40" i="7"/>
  <c r="AI40" i="7"/>
  <c r="AJ40" i="7"/>
  <c r="AJ216" i="8"/>
  <c r="AI216" i="8"/>
  <c r="AH216" i="8"/>
  <c r="AB114" i="6"/>
  <c r="G54" i="6"/>
  <c r="I55" i="6"/>
  <c r="X222" i="9"/>
  <c r="AE59" i="6"/>
  <c r="AG58" i="5"/>
  <c r="AG57" i="5"/>
  <c r="AJ59" i="5"/>
  <c r="AJ58" i="5"/>
  <c r="AJ57" i="5"/>
  <c r="W44" i="9"/>
  <c r="F52" i="9"/>
  <c r="J69" i="6"/>
  <c r="E85" i="9"/>
  <c r="AX15" i="5"/>
  <c r="AZ15" i="5"/>
  <c r="AV15" i="5"/>
  <c r="AI78" i="8"/>
  <c r="AH78" i="8"/>
  <c r="AJ78" i="8"/>
  <c r="J25" i="6"/>
  <c r="E54" i="9"/>
  <c r="AA175" i="6"/>
  <c r="Y174" i="6"/>
  <c r="AG81" i="7"/>
  <c r="AI199" i="8"/>
  <c r="AH199" i="8"/>
  <c r="AJ199" i="8"/>
  <c r="N100" i="8"/>
  <c r="M100" i="8"/>
  <c r="E45" i="9"/>
  <c r="X115" i="9"/>
  <c r="AJ112" i="5"/>
  <c r="AA112" i="5"/>
  <c r="AJ195" i="5"/>
  <c r="AJ194" i="5"/>
  <c r="J104" i="6"/>
  <c r="F95" i="9"/>
  <c r="AE234" i="6"/>
  <c r="AE233" i="6"/>
  <c r="AG235" i="6"/>
  <c r="AQ16" i="7"/>
  <c r="BC7" i="7"/>
  <c r="F61" i="9"/>
  <c r="D60" i="9"/>
  <c r="AJ51" i="8"/>
  <c r="AI51" i="8"/>
  <c r="D111" i="12"/>
  <c r="D111" i="13" s="1"/>
  <c r="V149" i="9"/>
  <c r="V147" i="9"/>
  <c r="X150" i="9"/>
  <c r="AB69" i="6"/>
  <c r="AB65" i="6"/>
  <c r="X58" i="8"/>
  <c r="AD168" i="5"/>
  <c r="BP24" i="5"/>
  <c r="BP22" i="5"/>
  <c r="F66" i="7"/>
  <c r="Y149" i="6"/>
  <c r="Y147" i="6"/>
  <c r="AA150" i="6"/>
  <c r="J32" i="6"/>
  <c r="X203" i="9"/>
  <c r="E72" i="9"/>
  <c r="W221" i="9"/>
  <c r="X51" i="9"/>
  <c r="AG184" i="6"/>
  <c r="AJ27" i="7"/>
  <c r="AI27" i="7"/>
  <c r="AH27" i="7"/>
  <c r="AA106" i="6"/>
  <c r="Y105" i="6"/>
  <c r="Y104" i="6"/>
  <c r="V17" i="12"/>
  <c r="V17" i="13" s="1"/>
  <c r="AH126" i="8"/>
  <c r="AI126" i="8"/>
  <c r="AJ126" i="8"/>
  <c r="L10" i="5"/>
  <c r="N12" i="5"/>
  <c r="N10" i="5"/>
  <c r="AB170" i="6"/>
  <c r="F67" i="8"/>
  <c r="D66" i="8"/>
  <c r="I45" i="6"/>
  <c r="G46" i="7"/>
  <c r="AH246" i="8"/>
  <c r="AJ246" i="8"/>
  <c r="AI246" i="8"/>
  <c r="X243" i="9"/>
  <c r="I86" i="6"/>
  <c r="G85" i="6"/>
  <c r="J51" i="6"/>
  <c r="AE49" i="6"/>
  <c r="AG50" i="6"/>
  <c r="M98" i="11"/>
  <c r="Y83" i="6"/>
  <c r="AA84" i="6"/>
  <c r="D63" i="8"/>
  <c r="F64" i="8"/>
  <c r="BC14" i="8"/>
  <c r="W185" i="9"/>
  <c r="AJ71" i="9"/>
  <c r="AI71" i="9"/>
  <c r="F49" i="8"/>
  <c r="D48" i="8"/>
  <c r="D45" i="8"/>
  <c r="F46" i="8"/>
  <c r="AE204" i="6"/>
  <c r="AG205" i="6"/>
  <c r="D56" i="11"/>
  <c r="M46" i="6"/>
  <c r="M45" i="6"/>
  <c r="M90" i="9"/>
  <c r="N90" i="9"/>
  <c r="AG145" i="5"/>
  <c r="F43" i="8"/>
  <c r="BC16" i="8"/>
  <c r="D42" i="8"/>
  <c r="X206" i="9"/>
  <c r="W168" i="8"/>
  <c r="Y157" i="6"/>
  <c r="Y155" i="6"/>
  <c r="AH17" i="9"/>
  <c r="M80" i="8"/>
  <c r="W226" i="9"/>
  <c r="X251" i="9"/>
  <c r="N116" i="9"/>
  <c r="M116" i="9"/>
  <c r="AA243" i="6"/>
  <c r="Y242" i="6"/>
  <c r="K126" i="8"/>
  <c r="K130" i="8"/>
  <c r="Q128" i="9"/>
  <c r="P128" i="9"/>
  <c r="H126" i="8"/>
  <c r="AQ14" i="5"/>
  <c r="F17" i="5"/>
  <c r="AJ31" i="9"/>
  <c r="AI31" i="9"/>
  <c r="AH31" i="9"/>
  <c r="J85" i="6"/>
  <c r="V70" i="9"/>
  <c r="V70" i="10"/>
  <c r="V69" i="8"/>
  <c r="V65" i="8"/>
  <c r="X70" i="8"/>
  <c r="AA97" i="6"/>
  <c r="Y96" i="6"/>
  <c r="F13" i="8"/>
  <c r="D13" i="9"/>
  <c r="D13" i="10"/>
  <c r="F13" i="10" s="1"/>
  <c r="N13" i="10" s="1"/>
  <c r="AQ7" i="6"/>
  <c r="V26" i="12"/>
  <c r="G30" i="7"/>
  <c r="I29" i="6"/>
  <c r="M30" i="6"/>
  <c r="M29" i="6"/>
  <c r="X250" i="9"/>
  <c r="AH73" i="7"/>
  <c r="AJ73" i="7"/>
  <c r="AI73" i="7"/>
  <c r="J66" i="6"/>
  <c r="AG168" i="5"/>
  <c r="AS27" i="5"/>
  <c r="AX27" i="5"/>
  <c r="F69" i="8"/>
  <c r="AJ29" i="7"/>
  <c r="AI29" i="7"/>
  <c r="AH29" i="7"/>
  <c r="J29" i="6"/>
  <c r="X60" i="9"/>
  <c r="V68" i="9"/>
  <c r="V68" i="10"/>
  <c r="X68" i="10" s="1"/>
  <c r="X68" i="8"/>
  <c r="E94" i="9"/>
  <c r="AB234" i="6"/>
  <c r="AB233" i="6"/>
  <c r="X92" i="9"/>
  <c r="F78" i="8"/>
  <c r="G81" i="6"/>
  <c r="I82" i="6"/>
  <c r="N15" i="11"/>
  <c r="G64" i="7"/>
  <c r="BD14" i="6"/>
  <c r="I63" i="6"/>
  <c r="X212" i="9"/>
  <c r="D27" i="9"/>
  <c r="D27" i="10"/>
  <c r="D25" i="10" s="1"/>
  <c r="F27" i="8"/>
  <c r="M96" i="8"/>
  <c r="N96" i="8"/>
  <c r="F33" i="9"/>
  <c r="V40" i="9"/>
  <c r="X40" i="8"/>
  <c r="BC13" i="7"/>
  <c r="M92" i="9"/>
  <c r="N92" i="9"/>
  <c r="X216" i="9"/>
  <c r="AH238" i="8"/>
  <c r="AJ238" i="8"/>
  <c r="AI238" i="8"/>
  <c r="X97" i="9"/>
  <c r="N44" i="7"/>
  <c r="M44" i="7"/>
  <c r="W58" i="9"/>
  <c r="W57" i="9"/>
  <c r="N71" i="8"/>
  <c r="F115" i="9"/>
  <c r="J48" i="6"/>
  <c r="W90" i="8"/>
  <c r="W63" i="8"/>
  <c r="AI147" i="5"/>
  <c r="N59" i="7"/>
  <c r="M59" i="7"/>
  <c r="X20" i="7"/>
  <c r="X16" i="7"/>
  <c r="BN12" i="7"/>
  <c r="BN9" i="7"/>
  <c r="J113" i="6"/>
  <c r="F38" i="11"/>
  <c r="N38" i="11" s="1"/>
  <c r="E63" i="9"/>
  <c r="X78" i="9"/>
  <c r="X199" i="9"/>
  <c r="F100" i="9"/>
  <c r="AG112" i="5"/>
  <c r="Y114" i="6"/>
  <c r="AA115" i="6"/>
  <c r="AH231" i="5"/>
  <c r="AG195" i="5"/>
  <c r="AG194" i="5"/>
  <c r="J54" i="6"/>
  <c r="BN15" i="7"/>
  <c r="BN16" i="8"/>
  <c r="AZ28" i="4"/>
  <c r="AV28" i="4"/>
  <c r="BN17" i="8"/>
  <c r="AE141" i="7"/>
  <c r="BN11" i="8"/>
  <c r="BP30" i="5"/>
  <c r="BJ14" i="5"/>
  <c r="AY28" i="4"/>
  <c r="AG258" i="4"/>
  <c r="AS31" i="4"/>
  <c r="AS32" i="4"/>
  <c r="V110" i="7"/>
  <c r="W261" i="10"/>
  <c r="X261" i="8"/>
  <c r="BN31" i="8"/>
  <c r="BO13" i="5"/>
  <c r="BO8" i="5"/>
  <c r="BO7" i="5"/>
  <c r="V155" i="8"/>
  <c r="V145" i="8"/>
  <c r="AJ156" i="8"/>
  <c r="AA255" i="7"/>
  <c r="W145" i="8"/>
  <c r="Y261" i="6"/>
  <c r="BH10" i="7"/>
  <c r="V261" i="9"/>
  <c r="BP23" i="12"/>
  <c r="AQ27" i="6"/>
  <c r="BN36" i="6"/>
  <c r="AG255" i="7"/>
  <c r="V255" i="11"/>
  <c r="X255" i="11" s="1"/>
  <c r="BP13" i="5"/>
  <c r="BP8" i="5"/>
  <c r="BP7" i="5"/>
  <c r="X195" i="7"/>
  <c r="AE261" i="6"/>
  <c r="X209" i="7"/>
  <c r="X208" i="7"/>
  <c r="BH12" i="7"/>
  <c r="BH14" i="6"/>
  <c r="Y118" i="11"/>
  <c r="AA118" i="11"/>
  <c r="X155" i="7"/>
  <c r="X145" i="7"/>
  <c r="W255" i="12"/>
  <c r="BH7" i="5"/>
  <c r="BH16" i="5"/>
  <c r="BH17" i="5"/>
  <c r="Y254" i="13"/>
  <c r="AA254" i="13"/>
  <c r="X110" i="6"/>
  <c r="AQ26" i="6"/>
  <c r="AZ27" i="5"/>
  <c r="X10" i="5"/>
  <c r="X8" i="5"/>
  <c r="X8" i="4"/>
  <c r="X260" i="4"/>
  <c r="X264" i="4"/>
  <c r="X258" i="4"/>
  <c r="BN33" i="4"/>
  <c r="AA260" i="4"/>
  <c r="AA264" i="4"/>
  <c r="AA33" i="6"/>
  <c r="AU26" i="4"/>
  <c r="AH260" i="4"/>
  <c r="AH264" i="4"/>
  <c r="AZ26" i="4"/>
  <c r="AY35" i="3"/>
  <c r="I128" i="6"/>
  <c r="G60" i="6"/>
  <c r="M62" i="6"/>
  <c r="G128" i="6"/>
  <c r="V226" i="9"/>
  <c r="BI14" i="5"/>
  <c r="BI7" i="4"/>
  <c r="BI16" i="4"/>
  <c r="BH11" i="6"/>
  <c r="X231" i="6"/>
  <c r="AQ30" i="6"/>
  <c r="BH13" i="6"/>
  <c r="F21" i="6"/>
  <c r="F19" i="6"/>
  <c r="F17" i="6"/>
  <c r="X192" i="6"/>
  <c r="BH12" i="6"/>
  <c r="AI18" i="8"/>
  <c r="X233" i="7"/>
  <c r="X231" i="7"/>
  <c r="AQ30" i="7"/>
  <c r="BH13" i="7"/>
  <c r="M71" i="6"/>
  <c r="G71" i="7"/>
  <c r="I71" i="7"/>
  <c r="I128" i="7"/>
  <c r="F128" i="8"/>
  <c r="D113" i="9"/>
  <c r="V40" i="10"/>
  <c r="V40" i="11" s="1"/>
  <c r="V40" i="12" s="1"/>
  <c r="D128" i="9"/>
  <c r="E128" i="9"/>
  <c r="E27" i="10"/>
  <c r="I43" i="6"/>
  <c r="I42" i="6"/>
  <c r="AR29" i="5"/>
  <c r="AU29" i="5"/>
  <c r="AV31" i="2"/>
  <c r="AQ29" i="7"/>
  <c r="M124" i="9"/>
  <c r="V12" i="7"/>
  <c r="V10" i="7"/>
  <c r="V8" i="7"/>
  <c r="E104" i="9"/>
  <c r="AH22" i="10"/>
  <c r="V231" i="8"/>
  <c r="AJ22" i="10"/>
  <c r="X90" i="7"/>
  <c r="X63" i="7"/>
  <c r="V168" i="8"/>
  <c r="AB209" i="6"/>
  <c r="AB208" i="6"/>
  <c r="V157" i="9"/>
  <c r="AR14" i="4"/>
  <c r="AR17" i="4"/>
  <c r="AU17" i="4"/>
  <c r="D32" i="9"/>
  <c r="AH209" i="5"/>
  <c r="AH208" i="5"/>
  <c r="AH192" i="5"/>
  <c r="W16" i="10"/>
  <c r="X57" i="8"/>
  <c r="V112" i="8"/>
  <c r="AJ51" i="10"/>
  <c r="AQ32" i="2"/>
  <c r="AW31" i="2"/>
  <c r="AW32" i="2"/>
  <c r="AU31" i="2"/>
  <c r="W210" i="9"/>
  <c r="W209" i="9"/>
  <c r="W208" i="9"/>
  <c r="AE16" i="6"/>
  <c r="V96" i="9"/>
  <c r="V96" i="10"/>
  <c r="AE209" i="6"/>
  <c r="AE208" i="6"/>
  <c r="W105" i="9"/>
  <c r="W104" i="9"/>
  <c r="Y209" i="6"/>
  <c r="Y208" i="6"/>
  <c r="AG217" i="6"/>
  <c r="AG261" i="6"/>
  <c r="AJ209" i="5"/>
  <c r="AJ208" i="5"/>
  <c r="AJ192" i="5"/>
  <c r="AD261" i="6"/>
  <c r="BP31" i="6"/>
  <c r="AI209" i="5"/>
  <c r="AI208" i="5"/>
  <c r="AI192" i="5"/>
  <c r="AA217" i="6"/>
  <c r="AA261" i="6"/>
  <c r="BO31" i="6"/>
  <c r="AE12" i="5"/>
  <c r="AE10" i="5"/>
  <c r="AE8" i="5"/>
  <c r="AH162" i="10"/>
  <c r="X112" i="7"/>
  <c r="AI199" i="10"/>
  <c r="AH199" i="10"/>
  <c r="AH14" i="5"/>
  <c r="AH12" i="5"/>
  <c r="W257" i="6"/>
  <c r="BH21" i="4"/>
  <c r="AI160" i="11"/>
  <c r="AH160" i="11"/>
  <c r="AH22" i="11"/>
  <c r="AJ22" i="11"/>
  <c r="AI22" i="11"/>
  <c r="W153" i="12"/>
  <c r="V68" i="11"/>
  <c r="X67" i="10"/>
  <c r="AJ67" i="10" s="1"/>
  <c r="AH67" i="10"/>
  <c r="X27" i="10"/>
  <c r="X107" i="11"/>
  <c r="AJ107" i="11" s="1"/>
  <c r="X28" i="10"/>
  <c r="AI28" i="10" s="1"/>
  <c r="AI201" i="10"/>
  <c r="W49" i="11"/>
  <c r="W43" i="11"/>
  <c r="W157" i="11"/>
  <c r="X29" i="10"/>
  <c r="AJ29" i="10"/>
  <c r="X139" i="10"/>
  <c r="AI139" i="10" s="1"/>
  <c r="F119" i="10"/>
  <c r="M119" i="10"/>
  <c r="E119" i="11"/>
  <c r="F119" i="11" s="1"/>
  <c r="N119" i="11" s="1"/>
  <c r="V90" i="8"/>
  <c r="V63" i="8"/>
  <c r="AS30" i="5"/>
  <c r="AX30" i="5"/>
  <c r="AZ30" i="5"/>
  <c r="F85" i="8"/>
  <c r="AI240" i="10"/>
  <c r="F104" i="8"/>
  <c r="AJ260" i="4"/>
  <c r="AJ264" i="4"/>
  <c r="X157" i="8"/>
  <c r="X155" i="8"/>
  <c r="AJ254" i="10"/>
  <c r="X91" i="8"/>
  <c r="AH258" i="4"/>
  <c r="BC20" i="8"/>
  <c r="X83" i="8"/>
  <c r="X164" i="10"/>
  <c r="AJ246" i="10"/>
  <c r="V141" i="9"/>
  <c r="W157" i="10"/>
  <c r="X66" i="9"/>
  <c r="BN10" i="9"/>
  <c r="V66" i="10"/>
  <c r="V66" i="11"/>
  <c r="X55" i="9"/>
  <c r="AJ55" i="9"/>
  <c r="X46" i="9"/>
  <c r="AJ46" i="9"/>
  <c r="X239" i="9"/>
  <c r="AH239" i="9"/>
  <c r="V239" i="10"/>
  <c r="V239" i="11" s="1"/>
  <c r="X239" i="11" s="1"/>
  <c r="W234" i="9"/>
  <c r="W233" i="9"/>
  <c r="W231" i="9"/>
  <c r="W236" i="10"/>
  <c r="X236" i="10" s="1"/>
  <c r="X252" i="9"/>
  <c r="AI252" i="9"/>
  <c r="V252" i="10"/>
  <c r="X252" i="10" s="1"/>
  <c r="AH252" i="10" s="1"/>
  <c r="X86" i="9"/>
  <c r="AI86" i="9"/>
  <c r="V86" i="10"/>
  <c r="V86" i="11" s="1"/>
  <c r="V86" i="12" s="1"/>
  <c r="X86" i="12" s="1"/>
  <c r="AJ86" i="12" s="1"/>
  <c r="X253" i="9"/>
  <c r="AH253" i="9"/>
  <c r="V253" i="10"/>
  <c r="V253" i="11"/>
  <c r="V253" i="12" s="1"/>
  <c r="X253" i="11"/>
  <c r="V49" i="9"/>
  <c r="V49" i="10"/>
  <c r="X77" i="9"/>
  <c r="AI77" i="9"/>
  <c r="V77" i="10"/>
  <c r="X180" i="9"/>
  <c r="AH180" i="9"/>
  <c r="V180" i="10"/>
  <c r="X180" i="10" s="1"/>
  <c r="X88" i="9"/>
  <c r="AI88" i="9"/>
  <c r="V88" i="10"/>
  <c r="X88" i="10" s="1"/>
  <c r="X95" i="9"/>
  <c r="AJ95" i="9"/>
  <c r="X95" i="11"/>
  <c r="AJ95" i="11" s="1"/>
  <c r="X202" i="9"/>
  <c r="AH202" i="9"/>
  <c r="V202" i="10"/>
  <c r="V202" i="11" s="1"/>
  <c r="X202" i="11"/>
  <c r="AJ202" i="11" s="1"/>
  <c r="X187" i="9"/>
  <c r="V187" i="10"/>
  <c r="V187" i="11" s="1"/>
  <c r="X119" i="9"/>
  <c r="AJ119" i="9"/>
  <c r="W119" i="10"/>
  <c r="W119" i="11"/>
  <c r="X137" i="9"/>
  <c r="AI137" i="9"/>
  <c r="V137" i="10"/>
  <c r="X137" i="10" s="1"/>
  <c r="AJ137" i="10" s="1"/>
  <c r="X223" i="9"/>
  <c r="AJ223" i="9"/>
  <c r="V223" i="10"/>
  <c r="V223" i="11" s="1"/>
  <c r="W183" i="9"/>
  <c r="W185" i="10"/>
  <c r="W185" i="11"/>
  <c r="X198" i="9"/>
  <c r="AI198" i="9"/>
  <c r="V198" i="10"/>
  <c r="V196" i="10" s="1"/>
  <c r="X198" i="10"/>
  <c r="AI198" i="10" s="1"/>
  <c r="X85" i="9"/>
  <c r="AI85" i="9"/>
  <c r="V85" i="10"/>
  <c r="V85" i="11" s="1"/>
  <c r="V85" i="12" s="1"/>
  <c r="X138" i="9"/>
  <c r="AH138" i="9"/>
  <c r="V138" i="10"/>
  <c r="X138" i="10" s="1"/>
  <c r="AJ138" i="10" s="1"/>
  <c r="X72" i="9"/>
  <c r="AI72" i="9"/>
  <c r="V72" i="10"/>
  <c r="V72" i="11" s="1"/>
  <c r="X121" i="9"/>
  <c r="AI121" i="9"/>
  <c r="V121" i="10"/>
  <c r="V121" i="11"/>
  <c r="X121" i="11"/>
  <c r="AI121" i="11" s="1"/>
  <c r="W174" i="9"/>
  <c r="X76" i="9"/>
  <c r="AJ76" i="9"/>
  <c r="V76" i="10"/>
  <c r="X76" i="10" s="1"/>
  <c r="AI76" i="10" s="1"/>
  <c r="X79" i="9"/>
  <c r="AI79" i="9"/>
  <c r="V79" i="10"/>
  <c r="X79" i="10" s="1"/>
  <c r="X61" i="9"/>
  <c r="AI61" i="9"/>
  <c r="W96" i="9"/>
  <c r="W90" i="9"/>
  <c r="X237" i="9"/>
  <c r="AI237" i="9"/>
  <c r="V237" i="10"/>
  <c r="X237" i="10"/>
  <c r="AJ237" i="10" s="1"/>
  <c r="X39" i="9"/>
  <c r="AI39" i="9"/>
  <c r="V38" i="11"/>
  <c r="X38" i="11"/>
  <c r="AI38" i="11" s="1"/>
  <c r="X93" i="9"/>
  <c r="AI93" i="9"/>
  <c r="X179" i="9"/>
  <c r="AJ179" i="9"/>
  <c r="V179" i="10"/>
  <c r="X179" i="10" s="1"/>
  <c r="V179" i="11"/>
  <c r="X18" i="9"/>
  <c r="X102" i="9"/>
  <c r="AH102" i="9"/>
  <c r="X25" i="9"/>
  <c r="AJ25" i="9"/>
  <c r="X178" i="9"/>
  <c r="AJ178" i="9"/>
  <c r="V178" i="10"/>
  <c r="V178" i="11" s="1"/>
  <c r="V178" i="12" s="1"/>
  <c r="X178" i="11"/>
  <c r="X117" i="9"/>
  <c r="AI117" i="9"/>
  <c r="V117" i="10"/>
  <c r="X117" i="10" s="1"/>
  <c r="V117" i="11"/>
  <c r="W147" i="9"/>
  <c r="W149" i="10"/>
  <c r="W147" i="10"/>
  <c r="X245" i="9"/>
  <c r="AJ245" i="9"/>
  <c r="V245" i="10"/>
  <c r="X245" i="10" s="1"/>
  <c r="AH245" i="10" s="1"/>
  <c r="X48" i="9"/>
  <c r="AI48" i="9"/>
  <c r="X190" i="9"/>
  <c r="AJ190" i="9"/>
  <c r="V190" i="10"/>
  <c r="V190" i="11"/>
  <c r="X190" i="11" s="1"/>
  <c r="X101" i="9"/>
  <c r="AJ101" i="9"/>
  <c r="X118" i="9"/>
  <c r="V118" i="10"/>
  <c r="V118" i="11"/>
  <c r="X118" i="11" s="1"/>
  <c r="X108" i="9"/>
  <c r="AI108" i="9"/>
  <c r="X177" i="9"/>
  <c r="AJ177" i="9"/>
  <c r="V177" i="10"/>
  <c r="V177" i="11"/>
  <c r="V177" i="12" s="1"/>
  <c r="X177" i="12" s="1"/>
  <c r="W35" i="9"/>
  <c r="W37" i="10"/>
  <c r="X37" i="10" s="1"/>
  <c r="X75" i="9"/>
  <c r="AI75" i="9"/>
  <c r="V75" i="10"/>
  <c r="X75" i="10" s="1"/>
  <c r="AH75" i="10" s="1"/>
  <c r="X158" i="9"/>
  <c r="AH158" i="9"/>
  <c r="X244" i="9"/>
  <c r="AJ244" i="9"/>
  <c r="V244" i="10"/>
  <c r="V244" i="11" s="1"/>
  <c r="X215" i="9"/>
  <c r="AI215" i="9"/>
  <c r="V215" i="10"/>
  <c r="X215" i="10" s="1"/>
  <c r="X133" i="9"/>
  <c r="AI133" i="9"/>
  <c r="V133" i="10"/>
  <c r="X94" i="9"/>
  <c r="AJ94" i="9"/>
  <c r="X159" i="9"/>
  <c r="AI159" i="9"/>
  <c r="X159" i="11"/>
  <c r="V209" i="9"/>
  <c r="V208" i="9"/>
  <c r="V210" i="10"/>
  <c r="V209" i="10" s="1"/>
  <c r="V208" i="10" s="1"/>
  <c r="X24" i="9"/>
  <c r="AI24" i="9"/>
  <c r="X249" i="9"/>
  <c r="AI249" i="9"/>
  <c r="V249" i="10"/>
  <c r="V249" i="11" s="1"/>
  <c r="X249" i="11" s="1"/>
  <c r="AJ249" i="11" s="1"/>
  <c r="X127" i="9"/>
  <c r="AJ127" i="9"/>
  <c r="V127" i="10"/>
  <c r="X127" i="10"/>
  <c r="AH127" i="10" s="1"/>
  <c r="AI17" i="10"/>
  <c r="AE219" i="6"/>
  <c r="X105" i="8"/>
  <c r="X104" i="8"/>
  <c r="X168" i="7"/>
  <c r="BN24" i="7"/>
  <c r="BN22" i="7"/>
  <c r="V83" i="9"/>
  <c r="V185" i="9"/>
  <c r="V185" i="10"/>
  <c r="V185" i="11" s="1"/>
  <c r="X242" i="8"/>
  <c r="E113" i="10"/>
  <c r="U1" i="4"/>
  <c r="D113" i="10"/>
  <c r="AY22" i="7"/>
  <c r="G113" i="6"/>
  <c r="V57" i="9"/>
  <c r="D113" i="11"/>
  <c r="AZ17" i="4"/>
  <c r="V91" i="9"/>
  <c r="V91" i="10"/>
  <c r="BC13" i="8"/>
  <c r="V104" i="9"/>
  <c r="BC15" i="8"/>
  <c r="V242" i="9"/>
  <c r="E113" i="9"/>
  <c r="X196" i="8"/>
  <c r="BN28" i="8"/>
  <c r="AB219" i="6"/>
  <c r="V43" i="8"/>
  <c r="V14" i="8"/>
  <c r="X183" i="8"/>
  <c r="V234" i="9"/>
  <c r="V233" i="9"/>
  <c r="BC17" i="8"/>
  <c r="M28" i="5"/>
  <c r="M21" i="5"/>
  <c r="M19" i="5"/>
  <c r="M17" i="5"/>
  <c r="M24" i="14"/>
  <c r="AS13" i="11"/>
  <c r="AX13" i="11"/>
  <c r="E124" i="12"/>
  <c r="E124" i="13"/>
  <c r="F124" i="11"/>
  <c r="F122" i="11"/>
  <c r="D122" i="12"/>
  <c r="G41" i="10"/>
  <c r="I41" i="10"/>
  <c r="M41" i="10" s="1"/>
  <c r="AX11" i="11"/>
  <c r="AS11" i="11"/>
  <c r="AX12" i="11"/>
  <c r="AS12" i="11"/>
  <c r="Y125" i="10"/>
  <c r="AA125" i="10"/>
  <c r="Y125" i="11" s="1"/>
  <c r="AA125" i="11" s="1"/>
  <c r="Y125" i="12" s="1"/>
  <c r="AA125" i="12" s="1"/>
  <c r="AZ11" i="8"/>
  <c r="AV11" i="8"/>
  <c r="AU11" i="8"/>
  <c r="AY11" i="8"/>
  <c r="X96" i="8"/>
  <c r="Q128" i="10"/>
  <c r="P128" i="10"/>
  <c r="N124" i="8"/>
  <c r="M124" i="8"/>
  <c r="M121" i="11"/>
  <c r="N121" i="11"/>
  <c r="AW22" i="9"/>
  <c r="F105" i="11"/>
  <c r="Y126" i="10"/>
  <c r="AA126" i="10"/>
  <c r="BO19" i="10" s="1"/>
  <c r="AW11" i="11"/>
  <c r="BP19" i="10"/>
  <c r="X174" i="8"/>
  <c r="BC21" i="8"/>
  <c r="AQ22" i="8"/>
  <c r="AY22" i="8"/>
  <c r="AR22" i="10"/>
  <c r="AW22" i="10" s="1"/>
  <c r="F124" i="10"/>
  <c r="V114" i="9"/>
  <c r="V196" i="9"/>
  <c r="V195" i="9"/>
  <c r="V194" i="9"/>
  <c r="V257" i="6"/>
  <c r="Y224" i="10"/>
  <c r="AA224" i="10"/>
  <c r="Y224" i="11" s="1"/>
  <c r="AA224" i="11" s="1"/>
  <c r="Y224" i="12" s="1"/>
  <c r="AA224" i="12" s="1"/>
  <c r="Y224" i="13" s="1"/>
  <c r="AA224" i="13" s="1"/>
  <c r="G24" i="9"/>
  <c r="AH213" i="8"/>
  <c r="AJ213" i="8"/>
  <c r="AI213" i="8"/>
  <c r="AJ24" i="8"/>
  <c r="AI24" i="8"/>
  <c r="AH24" i="8"/>
  <c r="F119" i="9"/>
  <c r="BC20" i="9"/>
  <c r="AJ75" i="8"/>
  <c r="AI75" i="8"/>
  <c r="AH75" i="8"/>
  <c r="AH121" i="8"/>
  <c r="AI121" i="8"/>
  <c r="AJ121" i="8"/>
  <c r="X128" i="9"/>
  <c r="F41" i="11"/>
  <c r="N41" i="11" s="1"/>
  <c r="N101" i="9"/>
  <c r="M101" i="9"/>
  <c r="AH107" i="8"/>
  <c r="AJ107" i="8"/>
  <c r="AI107" i="8"/>
  <c r="N68" i="7"/>
  <c r="AI179" i="8"/>
  <c r="AH179" i="8"/>
  <c r="AJ179" i="8"/>
  <c r="AI260" i="4"/>
  <c r="AI264" i="4"/>
  <c r="AI258" i="4"/>
  <c r="Y212" i="8"/>
  <c r="AA212" i="8"/>
  <c r="AH212" i="7"/>
  <c r="AV11" i="7"/>
  <c r="AU11" i="7"/>
  <c r="AZ11" i="7"/>
  <c r="AY11" i="7"/>
  <c r="M97" i="8"/>
  <c r="N97" i="8"/>
  <c r="AI48" i="8"/>
  <c r="AH48" i="8"/>
  <c r="AJ48" i="8"/>
  <c r="AH39" i="8"/>
  <c r="AJ39" i="8"/>
  <c r="AI39" i="8"/>
  <c r="E53" i="10"/>
  <c r="E53" i="11" s="1"/>
  <c r="F53" i="9"/>
  <c r="F51" i="9"/>
  <c r="N121" i="9"/>
  <c r="M121" i="9"/>
  <c r="X210" i="8"/>
  <c r="BN27" i="8"/>
  <c r="F49" i="10"/>
  <c r="V123" i="9"/>
  <c r="F36" i="10"/>
  <c r="AH125" i="8"/>
  <c r="AH148" i="9"/>
  <c r="Y148" i="10"/>
  <c r="AA148" i="10"/>
  <c r="M88" i="8"/>
  <c r="N88" i="8"/>
  <c r="AJ77" i="8"/>
  <c r="AI77" i="8"/>
  <c r="AH77" i="8"/>
  <c r="AH98" i="8"/>
  <c r="AJ98" i="8"/>
  <c r="AI98" i="8"/>
  <c r="AJ180" i="8"/>
  <c r="AI180" i="8"/>
  <c r="AH180" i="8"/>
  <c r="N65" i="8"/>
  <c r="M65" i="8"/>
  <c r="AI143" i="8"/>
  <c r="AH143" i="8"/>
  <c r="AJ143" i="8"/>
  <c r="AI88" i="8"/>
  <c r="AH88" i="8"/>
  <c r="AJ88" i="8"/>
  <c r="G15" i="10"/>
  <c r="I15" i="10"/>
  <c r="M15" i="10"/>
  <c r="M15" i="9"/>
  <c r="AH46" i="8"/>
  <c r="AJ46" i="8"/>
  <c r="AI46" i="8"/>
  <c r="Y51" i="8"/>
  <c r="AA51" i="8"/>
  <c r="AH51" i="7"/>
  <c r="AI158" i="8"/>
  <c r="AH158" i="8"/>
  <c r="AJ158" i="8"/>
  <c r="AJ237" i="8"/>
  <c r="AI237" i="8"/>
  <c r="AH237" i="8"/>
  <c r="AH61" i="8"/>
  <c r="AI61" i="8"/>
  <c r="AJ61" i="8"/>
  <c r="G62" i="8"/>
  <c r="I62" i="8"/>
  <c r="M62" i="7"/>
  <c r="N111" i="8"/>
  <c r="M111" i="8"/>
  <c r="X236" i="9"/>
  <c r="G32" i="6"/>
  <c r="I33" i="6"/>
  <c r="M37" i="8"/>
  <c r="N37" i="8"/>
  <c r="AJ176" i="8"/>
  <c r="AI176" i="8"/>
  <c r="AH176" i="8"/>
  <c r="M109" i="8"/>
  <c r="N109" i="8"/>
  <c r="F122" i="9"/>
  <c r="AI139" i="8"/>
  <c r="AH139" i="8"/>
  <c r="AJ139" i="8"/>
  <c r="AI156" i="8"/>
  <c r="AH156" i="8"/>
  <c r="AI66" i="8"/>
  <c r="AH66" i="8"/>
  <c r="D77" i="10"/>
  <c r="F77" i="10" s="1"/>
  <c r="F77" i="9"/>
  <c r="F75" i="9"/>
  <c r="X37" i="9"/>
  <c r="M83" i="9"/>
  <c r="N83" i="9"/>
  <c r="X200" i="9"/>
  <c r="AH135" i="8"/>
  <c r="AI135" i="8"/>
  <c r="AJ135" i="8"/>
  <c r="AI249" i="8"/>
  <c r="AH249" i="8"/>
  <c r="AJ249" i="8"/>
  <c r="AH253" i="8"/>
  <c r="AJ253" i="8"/>
  <c r="AI253" i="8"/>
  <c r="J128" i="6"/>
  <c r="N24" i="5"/>
  <c r="N128" i="5"/>
  <c r="L22" i="5"/>
  <c r="AS7" i="5"/>
  <c r="AV7" i="5"/>
  <c r="AX7" i="5"/>
  <c r="AZ7" i="5"/>
  <c r="AH137" i="8"/>
  <c r="AI137" i="8"/>
  <c r="AJ137" i="8"/>
  <c r="X131" i="9"/>
  <c r="AJ215" i="8"/>
  <c r="AI215" i="8"/>
  <c r="AH215" i="8"/>
  <c r="AJ252" i="8"/>
  <c r="AI252" i="8"/>
  <c r="AH252" i="8"/>
  <c r="X129" i="9"/>
  <c r="AJ25" i="8"/>
  <c r="AH25" i="8"/>
  <c r="AI25" i="8"/>
  <c r="F101" i="10"/>
  <c r="N101" i="10" s="1"/>
  <c r="Y71" i="8"/>
  <c r="AA71" i="8"/>
  <c r="AH71" i="7"/>
  <c r="AC1" i="4"/>
  <c r="M13" i="10"/>
  <c r="F67" i="10"/>
  <c r="D66" i="10"/>
  <c r="BP11" i="10"/>
  <c r="AI239" i="8"/>
  <c r="AH239" i="8"/>
  <c r="AJ239" i="8"/>
  <c r="X160" i="9"/>
  <c r="AI164" i="8"/>
  <c r="AH164" i="8"/>
  <c r="AJ164" i="8"/>
  <c r="AA258" i="4"/>
  <c r="BO33" i="4"/>
  <c r="I8" i="4"/>
  <c r="I126" i="4"/>
  <c r="I130" i="4"/>
  <c r="AJ102" i="8"/>
  <c r="AH102" i="8"/>
  <c r="AI102" i="8"/>
  <c r="N122" i="8"/>
  <c r="AH53" i="9"/>
  <c r="AJ53" i="9"/>
  <c r="AI53" i="9"/>
  <c r="F126" i="4"/>
  <c r="F130" i="4"/>
  <c r="AI100" i="8"/>
  <c r="AH100" i="8"/>
  <c r="AJ100" i="8"/>
  <c r="F39" i="9"/>
  <c r="AJ229" i="8"/>
  <c r="AI229" i="8"/>
  <c r="AH229" i="8"/>
  <c r="F64" i="10"/>
  <c r="BC14" i="10"/>
  <c r="X123" i="8"/>
  <c r="F46" i="10"/>
  <c r="D45" i="10"/>
  <c r="W43" i="9"/>
  <c r="V221" i="9"/>
  <c r="X234" i="8"/>
  <c r="BN29" i="8"/>
  <c r="V174" i="9"/>
  <c r="F23" i="10"/>
  <c r="M23" i="10" s="1"/>
  <c r="F113" i="8"/>
  <c r="AQ15" i="8"/>
  <c r="I28" i="5"/>
  <c r="AR9" i="5"/>
  <c r="AU9" i="5"/>
  <c r="M40" i="10"/>
  <c r="N40" i="10"/>
  <c r="G78" i="10"/>
  <c r="I78" i="10" s="1"/>
  <c r="I79" i="10"/>
  <c r="G79" i="11" s="1"/>
  <c r="I79" i="11" s="1"/>
  <c r="M79" i="10"/>
  <c r="E51" i="9"/>
  <c r="AI148" i="9"/>
  <c r="F88" i="9"/>
  <c r="AQ11" i="9"/>
  <c r="AI198" i="8"/>
  <c r="AJ198" i="8"/>
  <c r="AH198" i="8"/>
  <c r="AH138" i="8"/>
  <c r="AI138" i="8"/>
  <c r="AJ138" i="8"/>
  <c r="X213" i="9"/>
  <c r="AI160" i="8"/>
  <c r="AH160" i="8"/>
  <c r="AJ160" i="8"/>
  <c r="AJ93" i="8"/>
  <c r="AI93" i="8"/>
  <c r="AH93" i="8"/>
  <c r="D65" i="10"/>
  <c r="D63" i="10" s="1"/>
  <c r="F65" i="9"/>
  <c r="X143" i="10"/>
  <c r="V141" i="10"/>
  <c r="X164" i="9"/>
  <c r="AI79" i="8"/>
  <c r="AH79" i="8"/>
  <c r="AJ79" i="8"/>
  <c r="AH133" i="8"/>
  <c r="AI133" i="8"/>
  <c r="AJ133" i="8"/>
  <c r="AJ162" i="9"/>
  <c r="AH162" i="9"/>
  <c r="AI162" i="9"/>
  <c r="AJ244" i="8"/>
  <c r="AI244" i="8"/>
  <c r="AH244" i="8"/>
  <c r="AJ94" i="8"/>
  <c r="AI94" i="8"/>
  <c r="AH94" i="8"/>
  <c r="AJ55" i="8"/>
  <c r="AI55" i="8"/>
  <c r="AH55" i="8"/>
  <c r="X125" i="9"/>
  <c r="AJ125" i="9"/>
  <c r="E111" i="10"/>
  <c r="E104" i="10" s="1"/>
  <c r="E111" i="11"/>
  <c r="E104" i="11" s="1"/>
  <c r="F111" i="9"/>
  <c r="AJ76" i="8"/>
  <c r="AI76" i="8"/>
  <c r="AH76" i="8"/>
  <c r="X39" i="10"/>
  <c r="AJ159" i="8"/>
  <c r="AI159" i="8"/>
  <c r="AH159" i="8"/>
  <c r="AI86" i="8"/>
  <c r="AH86" i="8"/>
  <c r="AJ86" i="8"/>
  <c r="E37" i="10"/>
  <c r="E37" i="11" s="1"/>
  <c r="E37" i="12" s="1"/>
  <c r="E37" i="13" s="1"/>
  <c r="F37" i="9"/>
  <c r="X176" i="10"/>
  <c r="AI176" i="10" s="1"/>
  <c r="W174" i="10"/>
  <c r="F109" i="11"/>
  <c r="M109" i="11" s="1"/>
  <c r="F109" i="9"/>
  <c r="BC19" i="9"/>
  <c r="X156" i="10"/>
  <c r="M77" i="8"/>
  <c r="N77" i="8"/>
  <c r="AJ151" i="9"/>
  <c r="AH151" i="9"/>
  <c r="AI151" i="9"/>
  <c r="F83" i="10"/>
  <c r="N83" i="10" s="1"/>
  <c r="D83" i="11"/>
  <c r="F83" i="11" s="1"/>
  <c r="X100" i="9"/>
  <c r="D24" i="10"/>
  <c r="F24" i="9"/>
  <c r="AJ117" i="8"/>
  <c r="AI117" i="8"/>
  <c r="AH117" i="8"/>
  <c r="X229" i="9"/>
  <c r="X226" i="9"/>
  <c r="AH202" i="8"/>
  <c r="AI202" i="8"/>
  <c r="AJ202" i="8"/>
  <c r="Y1" i="4"/>
  <c r="AI128" i="8"/>
  <c r="AH128" i="8"/>
  <c r="AJ128" i="8"/>
  <c r="AH177" i="8"/>
  <c r="AI177" i="8"/>
  <c r="AJ177" i="8"/>
  <c r="X107" i="9"/>
  <c r="X105" i="9"/>
  <c r="G25" i="6"/>
  <c r="I26" i="6"/>
  <c r="F73" i="10"/>
  <c r="F72" i="10" s="1"/>
  <c r="D42" i="10"/>
  <c r="F43" i="10"/>
  <c r="BC16" i="10"/>
  <c r="F94" i="8"/>
  <c r="W157" i="9"/>
  <c r="W155" i="9"/>
  <c r="X114" i="8"/>
  <c r="W123" i="9"/>
  <c r="W112" i="9"/>
  <c r="AI125" i="8"/>
  <c r="J126" i="5"/>
  <c r="J130" i="5"/>
  <c r="I122" i="6"/>
  <c r="I113" i="6"/>
  <c r="AJ101" i="8"/>
  <c r="AI101" i="8"/>
  <c r="AH101" i="8"/>
  <c r="AI119" i="8"/>
  <c r="AH119" i="8"/>
  <c r="AJ119" i="8"/>
  <c r="X160" i="10"/>
  <c r="X98" i="9"/>
  <c r="AH72" i="8"/>
  <c r="AJ72" i="8"/>
  <c r="AI72" i="8"/>
  <c r="M119" i="8"/>
  <c r="N119" i="8"/>
  <c r="X143" i="9"/>
  <c r="X141" i="9"/>
  <c r="BN20" i="9"/>
  <c r="D10" i="10"/>
  <c r="AJ18" i="8"/>
  <c r="AH18" i="8"/>
  <c r="AJ178" i="8"/>
  <c r="AI178" i="8"/>
  <c r="AH178" i="8"/>
  <c r="N8" i="4"/>
  <c r="N126" i="4"/>
  <c r="N130" i="4"/>
  <c r="AF258" i="4"/>
  <c r="BQ33" i="4"/>
  <c r="AJ245" i="8"/>
  <c r="AI245" i="8"/>
  <c r="AH245" i="8"/>
  <c r="F97" i="9"/>
  <c r="BC18" i="9"/>
  <c r="AJ85" i="8"/>
  <c r="AI85" i="8"/>
  <c r="AH85" i="8"/>
  <c r="AJ118" i="8"/>
  <c r="AH118" i="8"/>
  <c r="AI118" i="8"/>
  <c r="AJ108" i="8"/>
  <c r="AI108" i="8"/>
  <c r="AH108" i="8"/>
  <c r="AH187" i="8"/>
  <c r="AJ187" i="8"/>
  <c r="AI187" i="8"/>
  <c r="AH236" i="8"/>
  <c r="AJ236" i="8"/>
  <c r="AI236" i="8"/>
  <c r="X176" i="9"/>
  <c r="BN23" i="9"/>
  <c r="AS14" i="4"/>
  <c r="L17" i="4"/>
  <c r="X139" i="9"/>
  <c r="M47" i="9"/>
  <c r="N47" i="9"/>
  <c r="X156" i="9"/>
  <c r="F51" i="8"/>
  <c r="M53" i="8"/>
  <c r="N53" i="8"/>
  <c r="AJ37" i="8"/>
  <c r="AH37" i="8"/>
  <c r="AI37" i="8"/>
  <c r="AI200" i="8"/>
  <c r="AJ200" i="8"/>
  <c r="AH200" i="8"/>
  <c r="M24" i="8"/>
  <c r="X135" i="9"/>
  <c r="M39" i="8"/>
  <c r="N39" i="8"/>
  <c r="AI95" i="8"/>
  <c r="AH95" i="8"/>
  <c r="AJ95" i="8"/>
  <c r="M121" i="8"/>
  <c r="N121" i="8"/>
  <c r="AJ136" i="9"/>
  <c r="AI136" i="9"/>
  <c r="AH136" i="9"/>
  <c r="AI131" i="8"/>
  <c r="AJ131" i="8"/>
  <c r="AH131" i="8"/>
  <c r="AJ190" i="8"/>
  <c r="AI190" i="8"/>
  <c r="AH190" i="8"/>
  <c r="AI223" i="8"/>
  <c r="AH223" i="8"/>
  <c r="AJ223" i="8"/>
  <c r="AH127" i="8"/>
  <c r="AJ127" i="8"/>
  <c r="AI129" i="8"/>
  <c r="AJ129" i="8"/>
  <c r="AH129" i="8"/>
  <c r="Y219" i="6"/>
  <c r="AQ28" i="6"/>
  <c r="AA145" i="5"/>
  <c r="AA110" i="5"/>
  <c r="G77" i="11"/>
  <c r="I77" i="11" s="1"/>
  <c r="G77" i="12" s="1"/>
  <c r="I77" i="12" s="1"/>
  <c r="G77" i="13" s="1"/>
  <c r="AA194" i="5"/>
  <c r="AD145" i="5"/>
  <c r="AD110" i="5"/>
  <c r="AR26" i="5"/>
  <c r="AW26" i="5"/>
  <c r="AY26" i="5"/>
  <c r="BI10" i="5"/>
  <c r="BJ10" i="5"/>
  <c r="BI13" i="5"/>
  <c r="BJ13" i="5"/>
  <c r="AD194" i="5"/>
  <c r="BI11" i="5"/>
  <c r="AD14" i="5"/>
  <c r="AI41" i="9"/>
  <c r="AH41" i="9"/>
  <c r="X194" i="7"/>
  <c r="X192" i="7"/>
  <c r="X14" i="6"/>
  <c r="X12" i="6"/>
  <c r="X10" i="6"/>
  <c r="X8" i="6"/>
  <c r="AU16" i="5"/>
  <c r="W10" i="7"/>
  <c r="W257" i="7"/>
  <c r="X20" i="8"/>
  <c r="X16" i="8"/>
  <c r="V20" i="9"/>
  <c r="X219" i="8"/>
  <c r="BN30" i="8"/>
  <c r="X43" i="7"/>
  <c r="BN13" i="7"/>
  <c r="BN8" i="7"/>
  <c r="BN7" i="7"/>
  <c r="BN32" i="7"/>
  <c r="AB231" i="6"/>
  <c r="AJ145" i="5"/>
  <c r="AJ110" i="5"/>
  <c r="AB10" i="5"/>
  <c r="AB8" i="5"/>
  <c r="AG14" i="5"/>
  <c r="AB90" i="6"/>
  <c r="AB63" i="6"/>
  <c r="AE231" i="6"/>
  <c r="AB112" i="6"/>
  <c r="AG63" i="5"/>
  <c r="AJ63" i="5"/>
  <c r="AR25" i="5"/>
  <c r="AU25" i="5"/>
  <c r="BC22" i="6"/>
  <c r="Y10" i="5"/>
  <c r="Y8" i="5"/>
  <c r="AE90" i="6"/>
  <c r="AV24" i="5"/>
  <c r="AI12" i="5"/>
  <c r="AA14" i="5"/>
  <c r="AA12" i="5"/>
  <c r="J28" i="6"/>
  <c r="AG110" i="5"/>
  <c r="AS26" i="5"/>
  <c r="AX26" i="5"/>
  <c r="AZ26" i="5"/>
  <c r="Y112" i="6"/>
  <c r="AU24" i="5"/>
  <c r="AB43" i="6"/>
  <c r="AB14" i="6"/>
  <c r="AH145" i="5"/>
  <c r="AH110" i="5"/>
  <c r="H130" i="8"/>
  <c r="F28" i="7"/>
  <c r="AQ9" i="7"/>
  <c r="D28" i="8"/>
  <c r="D21" i="8"/>
  <c r="D19" i="8"/>
  <c r="D17" i="8"/>
  <c r="AD63" i="5"/>
  <c r="W110" i="8"/>
  <c r="AS23" i="5"/>
  <c r="AV23" i="5"/>
  <c r="W195" i="9"/>
  <c r="W194" i="9"/>
  <c r="AJ14" i="5"/>
  <c r="AV27" i="5"/>
  <c r="AQ23" i="7"/>
  <c r="Y145" i="6"/>
  <c r="W12" i="8"/>
  <c r="Y115" i="7"/>
  <c r="AA114" i="6"/>
  <c r="AH115" i="6"/>
  <c r="AH114" i="6"/>
  <c r="M38" i="11"/>
  <c r="X40" i="9"/>
  <c r="V80" i="12"/>
  <c r="V80" i="13" s="1"/>
  <c r="X80" i="13" s="1"/>
  <c r="AJ212" i="9"/>
  <c r="AI212" i="9"/>
  <c r="L66" i="6"/>
  <c r="N67" i="6"/>
  <c r="N66" i="6"/>
  <c r="AJ78" i="9"/>
  <c r="AI78" i="9"/>
  <c r="AH78" i="9"/>
  <c r="AI145" i="5"/>
  <c r="AI110" i="5"/>
  <c r="N27" i="8"/>
  <c r="M27" i="8"/>
  <c r="BC10" i="7"/>
  <c r="BC9" i="7"/>
  <c r="BC8" i="7"/>
  <c r="BC22" i="7"/>
  <c r="F91" i="11"/>
  <c r="N91" i="11" s="1"/>
  <c r="Y97" i="7"/>
  <c r="AA96" i="6"/>
  <c r="AH97" i="6"/>
  <c r="AH96" i="6"/>
  <c r="F99" i="11"/>
  <c r="B24" i="11"/>
  <c r="Y243" i="7"/>
  <c r="AA242" i="6"/>
  <c r="AH243" i="6"/>
  <c r="AH242" i="6"/>
  <c r="AJ206" i="9"/>
  <c r="AH206" i="9"/>
  <c r="AI206" i="9"/>
  <c r="D42" i="9"/>
  <c r="F43" i="9"/>
  <c r="BC16" i="9"/>
  <c r="F110" i="12"/>
  <c r="AB168" i="6"/>
  <c r="E75" i="11"/>
  <c r="AD114" i="6"/>
  <c r="AI115" i="6"/>
  <c r="AI114" i="6"/>
  <c r="X35" i="8"/>
  <c r="BN14" i="8"/>
  <c r="AA44" i="6"/>
  <c r="Y45" i="7"/>
  <c r="AH45" i="6"/>
  <c r="AH44" i="6"/>
  <c r="Y205" i="7"/>
  <c r="AA204" i="6"/>
  <c r="AH205" i="6"/>
  <c r="AH204" i="6"/>
  <c r="AY31" i="2"/>
  <c r="AY32" i="2"/>
  <c r="G73" i="7"/>
  <c r="I72" i="6"/>
  <c r="M73" i="6"/>
  <c r="M72" i="6"/>
  <c r="AE171" i="7"/>
  <c r="AE170" i="7"/>
  <c r="AG170" i="6"/>
  <c r="AJ171" i="6"/>
  <c r="AJ170" i="6"/>
  <c r="G12" i="7"/>
  <c r="I10" i="6"/>
  <c r="M12" i="6"/>
  <c r="AJ224" i="9"/>
  <c r="AH224" i="9"/>
  <c r="AI224" i="9"/>
  <c r="AQ17" i="5"/>
  <c r="X33" i="9"/>
  <c r="F89" i="11"/>
  <c r="N89" i="11" s="1"/>
  <c r="F81" i="9"/>
  <c r="AJ153" i="6"/>
  <c r="AG91" i="6"/>
  <c r="AE92" i="7"/>
  <c r="AJ92" i="6"/>
  <c r="AJ91" i="6"/>
  <c r="AD242" i="6"/>
  <c r="AI243" i="6"/>
  <c r="AI242" i="6"/>
  <c r="Y171" i="7"/>
  <c r="AA170" i="6"/>
  <c r="AH171" i="6"/>
  <c r="AH170" i="6"/>
  <c r="G115" i="7"/>
  <c r="BD20" i="6"/>
  <c r="M115" i="6"/>
  <c r="AD83" i="6"/>
  <c r="AI84" i="6"/>
  <c r="AI83" i="6"/>
  <c r="AY14" i="5"/>
  <c r="AY17" i="5"/>
  <c r="G52" i="7"/>
  <c r="I51" i="6"/>
  <c r="M52" i="6"/>
  <c r="M51" i="6"/>
  <c r="AA35" i="6"/>
  <c r="Y36" i="7"/>
  <c r="AH36" i="6"/>
  <c r="AH35" i="6"/>
  <c r="AH247" i="9"/>
  <c r="AJ247" i="9"/>
  <c r="AI247" i="9"/>
  <c r="AG35" i="6"/>
  <c r="AE36" i="7"/>
  <c r="AE35" i="7"/>
  <c r="AJ36" i="6"/>
  <c r="AJ35" i="6"/>
  <c r="AE84" i="7"/>
  <c r="AE83" i="7"/>
  <c r="AG83" i="6"/>
  <c r="AJ84" i="6"/>
  <c r="AJ83" i="6"/>
  <c r="F69" i="9"/>
  <c r="AE227" i="7"/>
  <c r="AG226" i="6"/>
  <c r="AJ227" i="6"/>
  <c r="AJ226" i="6"/>
  <c r="AE106" i="7"/>
  <c r="AG105" i="6"/>
  <c r="AG104" i="6"/>
  <c r="AJ106" i="6"/>
  <c r="AJ105" i="6"/>
  <c r="AJ104" i="6"/>
  <c r="D124" i="12"/>
  <c r="V172" i="12"/>
  <c r="AB106" i="7"/>
  <c r="AD105" i="6"/>
  <c r="AD104" i="6"/>
  <c r="AI106" i="6"/>
  <c r="AI105" i="6"/>
  <c r="AI104" i="6"/>
  <c r="AI240" i="9"/>
  <c r="AH240" i="9"/>
  <c r="AJ240" i="9"/>
  <c r="X163" i="12"/>
  <c r="AI163" i="12" s="1"/>
  <c r="D68" i="11"/>
  <c r="D68" i="12" s="1"/>
  <c r="D68" i="13" s="1"/>
  <c r="Y211" i="7"/>
  <c r="AA210" i="6"/>
  <c r="BO27" i="6"/>
  <c r="AH211" i="6"/>
  <c r="AH210" i="6"/>
  <c r="AE197" i="7"/>
  <c r="AG196" i="6"/>
  <c r="AJ197" i="6"/>
  <c r="AJ196" i="6"/>
  <c r="AG114" i="6"/>
  <c r="AE114" i="7"/>
  <c r="AJ115" i="6"/>
  <c r="AJ114" i="6"/>
  <c r="L57" i="6"/>
  <c r="N58" i="6"/>
  <c r="N57" i="6"/>
  <c r="F44" i="9"/>
  <c r="M79" i="9"/>
  <c r="AD49" i="6"/>
  <c r="AI50" i="6"/>
  <c r="AI49" i="6"/>
  <c r="AH73" i="8"/>
  <c r="AJ73" i="8"/>
  <c r="AI73" i="8"/>
  <c r="AE97" i="7"/>
  <c r="AG96" i="6"/>
  <c r="AJ97" i="6"/>
  <c r="AJ96" i="6"/>
  <c r="L63" i="6"/>
  <c r="N64" i="6"/>
  <c r="N63" i="6"/>
  <c r="AA21" i="7"/>
  <c r="Y20" i="7"/>
  <c r="BD10" i="5"/>
  <c r="BD9" i="5"/>
  <c r="BD8" i="5"/>
  <c r="BD22" i="5"/>
  <c r="J45" i="6"/>
  <c r="AE243" i="7"/>
  <c r="AG242" i="6"/>
  <c r="AJ243" i="6"/>
  <c r="AJ242" i="6"/>
  <c r="D35" i="9"/>
  <c r="F36" i="9"/>
  <c r="V44" i="9"/>
  <c r="X45" i="9"/>
  <c r="AX22" i="5"/>
  <c r="AV22" i="5"/>
  <c r="AI27" i="8"/>
  <c r="AH27" i="8"/>
  <c r="AJ27" i="8"/>
  <c r="L54" i="6"/>
  <c r="N55" i="6"/>
  <c r="N54" i="6"/>
  <c r="N100" i="9"/>
  <c r="M100" i="9"/>
  <c r="L113" i="6"/>
  <c r="N115" i="6"/>
  <c r="N113" i="6"/>
  <c r="L48" i="6"/>
  <c r="N49" i="6"/>
  <c r="N48" i="6"/>
  <c r="AJ40" i="8"/>
  <c r="AI40" i="8"/>
  <c r="AH40" i="8"/>
  <c r="F87" i="11"/>
  <c r="M87" i="11" s="1"/>
  <c r="F27" i="9"/>
  <c r="I81" i="6"/>
  <c r="G82" i="7"/>
  <c r="M82" i="6"/>
  <c r="M81" i="6"/>
  <c r="AH68" i="8"/>
  <c r="AJ68" i="8"/>
  <c r="AI68" i="8"/>
  <c r="AI250" i="9"/>
  <c r="AJ250" i="9"/>
  <c r="AH250" i="9"/>
  <c r="F13" i="9"/>
  <c r="X69" i="8"/>
  <c r="X65" i="8"/>
  <c r="K126" i="9"/>
  <c r="K130" i="9"/>
  <c r="H126" i="9"/>
  <c r="H130" i="9"/>
  <c r="F46" i="9"/>
  <c r="D45" i="9"/>
  <c r="F63" i="8"/>
  <c r="AE50" i="7"/>
  <c r="AE49" i="7"/>
  <c r="AG49" i="6"/>
  <c r="AJ50" i="6"/>
  <c r="AJ49" i="6"/>
  <c r="BP10" i="11"/>
  <c r="L51" i="6"/>
  <c r="N52" i="6"/>
  <c r="N51" i="6"/>
  <c r="G86" i="7"/>
  <c r="I85" i="6"/>
  <c r="M86" i="6"/>
  <c r="M85" i="6"/>
  <c r="AD170" i="6"/>
  <c r="AI171" i="6"/>
  <c r="AI170" i="6"/>
  <c r="AS16" i="5"/>
  <c r="AE184" i="7"/>
  <c r="AJ184" i="6"/>
  <c r="AJ51" i="9"/>
  <c r="AI51" i="9"/>
  <c r="L32" i="6"/>
  <c r="N33" i="6"/>
  <c r="N32" i="6"/>
  <c r="Y150" i="7"/>
  <c r="AA149" i="6"/>
  <c r="BO16" i="6"/>
  <c r="AH150" i="6"/>
  <c r="AH149" i="6"/>
  <c r="AD69" i="6"/>
  <c r="AD65" i="6"/>
  <c r="AI70" i="6"/>
  <c r="AI69" i="6"/>
  <c r="AI65" i="6"/>
  <c r="AE58" i="6"/>
  <c r="AE57" i="6"/>
  <c r="AG59" i="6"/>
  <c r="I54" i="6"/>
  <c r="G55" i="7"/>
  <c r="M55" i="6"/>
  <c r="M54" i="6"/>
  <c r="F29" i="9"/>
  <c r="D72" i="9"/>
  <c r="F73" i="9"/>
  <c r="AE222" i="7"/>
  <c r="AE221" i="7"/>
  <c r="AG221" i="6"/>
  <c r="AJ222" i="6"/>
  <c r="AJ221" i="6"/>
  <c r="AZ31" i="2"/>
  <c r="AZ32" i="2"/>
  <c r="AI28" i="8"/>
  <c r="AH28" i="8"/>
  <c r="AJ28" i="8"/>
  <c r="AE168" i="6"/>
  <c r="L72" i="6"/>
  <c r="N73" i="6"/>
  <c r="N72" i="6"/>
  <c r="D10" i="9"/>
  <c r="AI254" i="9"/>
  <c r="AJ254" i="9"/>
  <c r="AH254" i="9"/>
  <c r="AI33" i="6"/>
  <c r="Y222" i="7"/>
  <c r="AA221" i="6"/>
  <c r="AH222" i="6"/>
  <c r="AH221" i="6"/>
  <c r="AE145" i="6"/>
  <c r="N34" i="8"/>
  <c r="M34" i="8"/>
  <c r="V107" i="13"/>
  <c r="F22" i="8"/>
  <c r="AQ7" i="8"/>
  <c r="AD204" i="6"/>
  <c r="AI205" i="6"/>
  <c r="AI204" i="6"/>
  <c r="Y153" i="7"/>
  <c r="AH153" i="6"/>
  <c r="V130" i="12"/>
  <c r="Y227" i="7"/>
  <c r="AA226" i="6"/>
  <c r="AH227" i="6"/>
  <c r="AH226" i="6"/>
  <c r="AB145" i="6"/>
  <c r="AD20" i="6"/>
  <c r="AD16" i="6"/>
  <c r="AI21" i="6"/>
  <c r="AI20" i="6"/>
  <c r="AG149" i="6"/>
  <c r="AG147" i="6"/>
  <c r="AJ150" i="6"/>
  <c r="AJ149" i="6"/>
  <c r="AJ54" i="8"/>
  <c r="AI54" i="8"/>
  <c r="AH54" i="8"/>
  <c r="AG157" i="6"/>
  <c r="AG155" i="6"/>
  <c r="AJ157" i="6"/>
  <c r="AJ155" i="6"/>
  <c r="F32" i="8"/>
  <c r="V32" i="12"/>
  <c r="X32" i="12" s="1"/>
  <c r="AJ32" i="12" s="1"/>
  <c r="AH184" i="6"/>
  <c r="E28" i="9"/>
  <c r="G43" i="7"/>
  <c r="M43" i="6"/>
  <c r="M42" i="6"/>
  <c r="X166" i="12"/>
  <c r="AJ166" i="12" s="1"/>
  <c r="G76" i="7"/>
  <c r="I75" i="6"/>
  <c r="M76" i="6"/>
  <c r="M75" i="6"/>
  <c r="BH15" i="7"/>
  <c r="L75" i="6"/>
  <c r="N76" i="6"/>
  <c r="N75" i="6"/>
  <c r="AE45" i="7"/>
  <c r="AG44" i="6"/>
  <c r="AJ45" i="6"/>
  <c r="AJ44" i="6"/>
  <c r="N62" i="12"/>
  <c r="N40" i="8"/>
  <c r="M40" i="8"/>
  <c r="Y92" i="7"/>
  <c r="AA91" i="6"/>
  <c r="AH92" i="6"/>
  <c r="AH91" i="6"/>
  <c r="AE123" i="7"/>
  <c r="AG123" i="6"/>
  <c r="AJ124" i="6"/>
  <c r="AJ123" i="6"/>
  <c r="I104" i="6"/>
  <c r="G105" i="7"/>
  <c r="BD19" i="6"/>
  <c r="M105" i="6"/>
  <c r="M104" i="6"/>
  <c r="M41" i="9"/>
  <c r="AA185" i="6"/>
  <c r="AA183" i="6"/>
  <c r="AH186" i="6"/>
  <c r="AH185" i="6"/>
  <c r="AE112" i="6"/>
  <c r="AD210" i="6"/>
  <c r="BP27" i="6"/>
  <c r="AI211" i="6"/>
  <c r="AI210" i="6"/>
  <c r="N59" i="8"/>
  <c r="M59" i="8"/>
  <c r="N71" i="9"/>
  <c r="AG185" i="6"/>
  <c r="AG183" i="6"/>
  <c r="AE186" i="7"/>
  <c r="AE185" i="7"/>
  <c r="AJ186" i="6"/>
  <c r="AJ185" i="6"/>
  <c r="AI238" i="9"/>
  <c r="AH238" i="9"/>
  <c r="AJ238" i="9"/>
  <c r="F78" i="9"/>
  <c r="AI29" i="8"/>
  <c r="AH29" i="8"/>
  <c r="AJ29" i="8"/>
  <c r="X73" i="9"/>
  <c r="Y197" i="7"/>
  <c r="AA196" i="6"/>
  <c r="BO28" i="6"/>
  <c r="AH197" i="6"/>
  <c r="AH196" i="6"/>
  <c r="AR7" i="5"/>
  <c r="I48" i="6"/>
  <c r="G49" i="7"/>
  <c r="M49" i="6"/>
  <c r="M48" i="6"/>
  <c r="F52" i="11"/>
  <c r="F90" i="11"/>
  <c r="AQ25" i="6"/>
  <c r="AS25" i="5"/>
  <c r="L94" i="6"/>
  <c r="N95" i="6"/>
  <c r="N94" i="6"/>
  <c r="AD174" i="6"/>
  <c r="AI175" i="6"/>
  <c r="AI174" i="6"/>
  <c r="N98" i="12"/>
  <c r="M98" i="12"/>
  <c r="X27" i="9"/>
  <c r="AG192" i="5"/>
  <c r="AS28" i="5"/>
  <c r="AX28" i="5"/>
  <c r="AZ28" i="5"/>
  <c r="AJ216" i="9"/>
  <c r="AH216" i="9"/>
  <c r="AI216" i="9"/>
  <c r="I64" i="7"/>
  <c r="G63" i="7"/>
  <c r="AD234" i="6"/>
  <c r="BP29" i="6"/>
  <c r="AI235" i="6"/>
  <c r="AI234" i="6"/>
  <c r="AI233" i="6"/>
  <c r="X68" i="9"/>
  <c r="M13" i="8"/>
  <c r="N13" i="8"/>
  <c r="F48" i="8"/>
  <c r="F66" i="8"/>
  <c r="AE33" i="7"/>
  <c r="AJ33" i="6"/>
  <c r="J10" i="6"/>
  <c r="AA105" i="6"/>
  <c r="AA104" i="6"/>
  <c r="Y106" i="7"/>
  <c r="AH106" i="6"/>
  <c r="AH105" i="6"/>
  <c r="AH104" i="6"/>
  <c r="AR27" i="5"/>
  <c r="BJ11" i="5"/>
  <c r="X149" i="9"/>
  <c r="X147" i="9"/>
  <c r="L104" i="6"/>
  <c r="N105" i="6"/>
  <c r="N104" i="6"/>
  <c r="AA18" i="11"/>
  <c r="BO11" i="11" s="1"/>
  <c r="N23" i="6"/>
  <c r="V35" i="9"/>
  <c r="X36" i="9"/>
  <c r="X28" i="9"/>
  <c r="AD141" i="6"/>
  <c r="BP20" i="6"/>
  <c r="AI142" i="6"/>
  <c r="AI141" i="6"/>
  <c r="AD123" i="6"/>
  <c r="AI124" i="6"/>
  <c r="AI123" i="6"/>
  <c r="N31" i="9"/>
  <c r="M31" i="9"/>
  <c r="AJ201" i="9"/>
  <c r="AH201" i="9"/>
  <c r="AI201" i="9"/>
  <c r="AI81" i="7"/>
  <c r="AE211" i="7"/>
  <c r="AG210" i="6"/>
  <c r="AJ211" i="6"/>
  <c r="AJ210" i="6"/>
  <c r="X204" i="9"/>
  <c r="AH214" i="9"/>
  <c r="AJ214" i="9"/>
  <c r="AI214" i="9"/>
  <c r="G61" i="7"/>
  <c r="I60" i="6"/>
  <c r="M61" i="6"/>
  <c r="M60" i="6"/>
  <c r="F34" i="9"/>
  <c r="AD35" i="6"/>
  <c r="BP14" i="6"/>
  <c r="AI36" i="6"/>
  <c r="AI35" i="6"/>
  <c r="AJ67" i="8"/>
  <c r="AI67" i="8"/>
  <c r="AH67" i="8"/>
  <c r="I67" i="6"/>
  <c r="G66" i="6"/>
  <c r="I57" i="6"/>
  <c r="G58" i="7"/>
  <c r="M58" i="6"/>
  <c r="M57" i="6"/>
  <c r="AI153" i="6"/>
  <c r="Y124" i="7"/>
  <c r="AA123" i="6"/>
  <c r="AH124" i="6"/>
  <c r="AH123" i="6"/>
  <c r="Y33" i="7"/>
  <c r="AA16" i="6"/>
  <c r="AH33" i="6"/>
  <c r="X54" i="9"/>
  <c r="X49" i="9"/>
  <c r="V132" i="12"/>
  <c r="Y142" i="7"/>
  <c r="AA141" i="6"/>
  <c r="BO20" i="6"/>
  <c r="AH142" i="6"/>
  <c r="AH141" i="6"/>
  <c r="D25" i="9"/>
  <c r="D120" i="12"/>
  <c r="AD221" i="6"/>
  <c r="AI222" i="6"/>
  <c r="AI221" i="6"/>
  <c r="AE43" i="6"/>
  <c r="AB195" i="6"/>
  <c r="AB194" i="6"/>
  <c r="F40" i="9"/>
  <c r="Y70" i="7"/>
  <c r="AA69" i="6"/>
  <c r="AA65" i="6"/>
  <c r="AH70" i="6"/>
  <c r="AH69" i="6"/>
  <c r="AH65" i="6"/>
  <c r="Y90" i="6"/>
  <c r="Y63" i="6"/>
  <c r="AD96" i="6"/>
  <c r="AI97" i="6"/>
  <c r="AI96" i="6"/>
  <c r="Y231" i="6"/>
  <c r="F59" i="9"/>
  <c r="F57" i="9"/>
  <c r="D71" i="11"/>
  <c r="AD185" i="6"/>
  <c r="AD183" i="6"/>
  <c r="AI186" i="6"/>
  <c r="AI185" i="6"/>
  <c r="AQ24" i="7"/>
  <c r="AG69" i="6"/>
  <c r="AE70" i="7"/>
  <c r="AJ70" i="6"/>
  <c r="AJ69" i="6"/>
  <c r="E21" i="8"/>
  <c r="E19" i="8"/>
  <c r="E17" i="8"/>
  <c r="X29" i="9"/>
  <c r="AD226" i="6"/>
  <c r="AI227" i="6"/>
  <c r="AI226" i="6"/>
  <c r="Y195" i="6"/>
  <c r="Y194" i="6"/>
  <c r="AD58" i="6"/>
  <c r="AD57" i="6"/>
  <c r="AI59" i="6"/>
  <c r="AI58" i="6"/>
  <c r="AI57" i="6"/>
  <c r="V31" i="12"/>
  <c r="X49" i="8"/>
  <c r="G22" i="6"/>
  <c r="I23" i="6"/>
  <c r="AR30" i="5"/>
  <c r="D57" i="9"/>
  <c r="AZ14" i="5"/>
  <c r="F35" i="8"/>
  <c r="X44" i="8"/>
  <c r="V152" i="13"/>
  <c r="X152" i="13" s="1"/>
  <c r="AI152" i="13" s="1"/>
  <c r="X152" i="12"/>
  <c r="AI152" i="12" s="1"/>
  <c r="AE175" i="7"/>
  <c r="AE174" i="7"/>
  <c r="AG174" i="6"/>
  <c r="AJ175" i="6"/>
  <c r="AJ174" i="6"/>
  <c r="AG66" i="6"/>
  <c r="AE65" i="6"/>
  <c r="AH126" i="9"/>
  <c r="AJ126" i="9"/>
  <c r="AI126" i="9"/>
  <c r="P126" i="9"/>
  <c r="P130" i="9"/>
  <c r="AH199" i="9"/>
  <c r="AJ199" i="9"/>
  <c r="AI199" i="9"/>
  <c r="F38" i="12"/>
  <c r="AI184" i="6"/>
  <c r="M78" i="8"/>
  <c r="AJ60" i="9"/>
  <c r="AI60" i="9"/>
  <c r="AH60" i="9"/>
  <c r="L29" i="6"/>
  <c r="AX9" i="6"/>
  <c r="AZ9" i="6"/>
  <c r="N30" i="6"/>
  <c r="N29" i="6"/>
  <c r="G29" i="7"/>
  <c r="I30" i="7"/>
  <c r="V26" i="13"/>
  <c r="X26" i="12"/>
  <c r="AJ26" i="12" s="1"/>
  <c r="F25" i="8"/>
  <c r="AQ8" i="8"/>
  <c r="V69" i="9"/>
  <c r="V65" i="9"/>
  <c r="X70" i="9"/>
  <c r="L85" i="6"/>
  <c r="N86" i="6"/>
  <c r="N85" i="6"/>
  <c r="X257" i="5"/>
  <c r="F8" i="5"/>
  <c r="C126" i="9"/>
  <c r="C130" i="9"/>
  <c r="Q126" i="9"/>
  <c r="Q130" i="9"/>
  <c r="AH251" i="9"/>
  <c r="AJ251" i="9"/>
  <c r="AI251" i="9"/>
  <c r="AA157" i="6"/>
  <c r="BO18" i="6"/>
  <c r="AH157" i="6"/>
  <c r="AH155" i="6"/>
  <c r="F42" i="8"/>
  <c r="AQ10" i="8"/>
  <c r="AE205" i="7"/>
  <c r="AG204" i="6"/>
  <c r="AJ205" i="6"/>
  <c r="AJ204" i="6"/>
  <c r="F45" i="8"/>
  <c r="D48" i="9"/>
  <c r="F49" i="9"/>
  <c r="V134" i="12"/>
  <c r="D63" i="9"/>
  <c r="F64" i="9"/>
  <c r="BC14" i="9"/>
  <c r="AA83" i="6"/>
  <c r="Y84" i="7"/>
  <c r="AH84" i="6"/>
  <c r="AH83" i="6"/>
  <c r="T15" i="5"/>
  <c r="I46" i="7"/>
  <c r="G45" i="7"/>
  <c r="D66" i="9"/>
  <c r="F67" i="9"/>
  <c r="BH14" i="7"/>
  <c r="W219" i="9"/>
  <c r="AH203" i="9"/>
  <c r="AJ203" i="9"/>
  <c r="AI203" i="9"/>
  <c r="F60" i="9"/>
  <c r="AE235" i="7"/>
  <c r="AG234" i="6"/>
  <c r="AG233" i="6"/>
  <c r="AJ235" i="6"/>
  <c r="AJ234" i="6"/>
  <c r="AJ233" i="6"/>
  <c r="AE81" i="8"/>
  <c r="AJ81" i="7"/>
  <c r="Y175" i="7"/>
  <c r="AA174" i="6"/>
  <c r="AH175" i="6"/>
  <c r="AH174" i="6"/>
  <c r="L25" i="6"/>
  <c r="AX8" i="6"/>
  <c r="AZ8" i="6"/>
  <c r="N26" i="6"/>
  <c r="N25" i="6"/>
  <c r="W81" i="12"/>
  <c r="W81" i="13" s="1"/>
  <c r="L69" i="6"/>
  <c r="N70" i="6"/>
  <c r="N69" i="6"/>
  <c r="F72" i="8"/>
  <c r="AQ33" i="2"/>
  <c r="AU32" i="2"/>
  <c r="AV32" i="2"/>
  <c r="Y81" i="8"/>
  <c r="AH81" i="7"/>
  <c r="F54" i="9"/>
  <c r="X170" i="9"/>
  <c r="L42" i="6"/>
  <c r="AX10" i="6"/>
  <c r="AZ10" i="6"/>
  <c r="N43" i="6"/>
  <c r="N42" i="6"/>
  <c r="AD157" i="6"/>
  <c r="BP18" i="6"/>
  <c r="AI157" i="6"/>
  <c r="AI155" i="6"/>
  <c r="L35" i="6"/>
  <c r="N36" i="6"/>
  <c r="N35" i="6"/>
  <c r="D119" i="13"/>
  <c r="Y168" i="6"/>
  <c r="AD91" i="6"/>
  <c r="AI92" i="6"/>
  <c r="AI91" i="6"/>
  <c r="D22" i="9"/>
  <c r="F23" i="9"/>
  <c r="BC12" i="9"/>
  <c r="X67" i="9"/>
  <c r="G70" i="7"/>
  <c r="I69" i="6"/>
  <c r="M70" i="6"/>
  <c r="V19" i="12"/>
  <c r="J60" i="6"/>
  <c r="V30" i="12"/>
  <c r="X30" i="12" s="1"/>
  <c r="AJ30" i="12" s="1"/>
  <c r="BD18" i="6"/>
  <c r="I94" i="6"/>
  <c r="G95" i="7"/>
  <c r="M95" i="6"/>
  <c r="M94" i="6"/>
  <c r="AE21" i="7"/>
  <c r="AG20" i="6"/>
  <c r="AG16" i="6"/>
  <c r="AJ21" i="6"/>
  <c r="AJ20" i="6"/>
  <c r="AD44" i="6"/>
  <c r="AI45" i="6"/>
  <c r="AI44" i="6"/>
  <c r="I36" i="6"/>
  <c r="G35" i="6"/>
  <c r="AA50" i="6"/>
  <c r="Y49" i="6"/>
  <c r="Y43" i="6"/>
  <c r="Y14" i="6"/>
  <c r="AJ22" i="9"/>
  <c r="AI22" i="9"/>
  <c r="AH22" i="9"/>
  <c r="AD196" i="6"/>
  <c r="BP28" i="6"/>
  <c r="AI197" i="6"/>
  <c r="AI196" i="6"/>
  <c r="M68" i="9"/>
  <c r="D8" i="7"/>
  <c r="D126" i="7"/>
  <c r="D130" i="7"/>
  <c r="AD149" i="6"/>
  <c r="BP16" i="6"/>
  <c r="BP15" i="6"/>
  <c r="AI150" i="6"/>
  <c r="AI149" i="6"/>
  <c r="AE195" i="6"/>
  <c r="AE194" i="6"/>
  <c r="Y235" i="7"/>
  <c r="AA234" i="6"/>
  <c r="BO29" i="6"/>
  <c r="AH235" i="6"/>
  <c r="AH234" i="6"/>
  <c r="AH233" i="6"/>
  <c r="N44" i="8"/>
  <c r="M44" i="8"/>
  <c r="L81" i="6"/>
  <c r="N82" i="6"/>
  <c r="N81" i="6"/>
  <c r="N96" i="9"/>
  <c r="M96" i="9"/>
  <c r="E22" i="9"/>
  <c r="T33" i="11"/>
  <c r="AA58" i="6"/>
  <c r="AA57" i="6"/>
  <c r="Y59" i="7"/>
  <c r="AH59" i="6"/>
  <c r="AH58" i="6"/>
  <c r="AH57" i="6"/>
  <c r="F10" i="8"/>
  <c r="AI23" i="12"/>
  <c r="AH23" i="12"/>
  <c r="M80" i="9"/>
  <c r="AG141" i="6"/>
  <c r="AJ142" i="6"/>
  <c r="AJ141" i="6"/>
  <c r="AI246" i="9"/>
  <c r="AJ246" i="9"/>
  <c r="AH246" i="9"/>
  <c r="X58" i="9"/>
  <c r="AQ7" i="7"/>
  <c r="BO15" i="6"/>
  <c r="AE112" i="7"/>
  <c r="BO14" i="6"/>
  <c r="BO12" i="6"/>
  <c r="BO9" i="6"/>
  <c r="BO25" i="6"/>
  <c r="BP25" i="6"/>
  <c r="BP12" i="6"/>
  <c r="BP9" i="6"/>
  <c r="BN25" i="8"/>
  <c r="BN12" i="8"/>
  <c r="BN9" i="8"/>
  <c r="V219" i="9"/>
  <c r="BN17" i="9"/>
  <c r="AE183" i="7"/>
  <c r="BN16" i="9"/>
  <c r="AE168" i="7"/>
  <c r="BN11" i="9"/>
  <c r="BP32" i="5"/>
  <c r="BO32" i="5"/>
  <c r="BN18" i="8"/>
  <c r="BN15" i="8"/>
  <c r="BH10" i="8"/>
  <c r="V110" i="8"/>
  <c r="W255" i="13"/>
  <c r="AE255" i="8"/>
  <c r="AJ255" i="7"/>
  <c r="V261" i="10"/>
  <c r="BP23" i="13"/>
  <c r="E46" i="14" s="1"/>
  <c r="AA233" i="6"/>
  <c r="AD233" i="6"/>
  <c r="X110" i="7"/>
  <c r="AQ26" i="7"/>
  <c r="V155" i="9"/>
  <c r="V145" i="9"/>
  <c r="AI255" i="7"/>
  <c r="W155" i="10"/>
  <c r="X261" i="9"/>
  <c r="Y255" i="8"/>
  <c r="AH255" i="7"/>
  <c r="AD155" i="6"/>
  <c r="AA155" i="6"/>
  <c r="X209" i="8"/>
  <c r="X208" i="8"/>
  <c r="X195" i="8"/>
  <c r="X194" i="8"/>
  <c r="X145" i="8"/>
  <c r="AW10" i="6"/>
  <c r="AY10" i="6"/>
  <c r="BD16" i="6"/>
  <c r="D28" i="9"/>
  <c r="D21" i="9"/>
  <c r="D19" i="9"/>
  <c r="D17" i="9"/>
  <c r="D8" i="9"/>
  <c r="D126" i="9"/>
  <c r="D130" i="9"/>
  <c r="X190" i="10"/>
  <c r="AI190" i="10" s="1"/>
  <c r="BJ15" i="6"/>
  <c r="BI15" i="6"/>
  <c r="AR28" i="5"/>
  <c r="AW28" i="5"/>
  <c r="AY28" i="5"/>
  <c r="AA192" i="5"/>
  <c r="BI12" i="5"/>
  <c r="X25" i="10"/>
  <c r="AI25" i="10" s="1"/>
  <c r="AH121" i="9"/>
  <c r="AJ258" i="4"/>
  <c r="AH46" i="9"/>
  <c r="M128" i="6"/>
  <c r="M69" i="6"/>
  <c r="X158" i="10"/>
  <c r="AH76" i="9"/>
  <c r="AE192" i="6"/>
  <c r="AG209" i="6"/>
  <c r="AG208" i="6"/>
  <c r="AS29" i="6"/>
  <c r="AX29" i="6"/>
  <c r="AZ29" i="6"/>
  <c r="AI25" i="9"/>
  <c r="AI244" i="9"/>
  <c r="AH107" i="10"/>
  <c r="AJ93" i="9"/>
  <c r="BI9" i="6"/>
  <c r="AW29" i="5"/>
  <c r="AY29" i="5"/>
  <c r="AI46" i="9"/>
  <c r="AH215" i="9"/>
  <c r="AQ14" i="6"/>
  <c r="AQ17" i="6"/>
  <c r="AJ121" i="9"/>
  <c r="AQ31" i="4"/>
  <c r="AW31" i="4"/>
  <c r="AW32" i="4"/>
  <c r="AH118" i="9"/>
  <c r="AH18" i="9"/>
  <c r="AQ25" i="7"/>
  <c r="AH25" i="9"/>
  <c r="AJ117" i="9"/>
  <c r="AH93" i="9"/>
  <c r="AH117" i="9"/>
  <c r="AI76" i="9"/>
  <c r="AH244" i="9"/>
  <c r="AJ133" i="9"/>
  <c r="AJ239" i="9"/>
  <c r="AJ61" i="9"/>
  <c r="X85" i="10"/>
  <c r="AI85" i="10" s="1"/>
  <c r="AJ85" i="10"/>
  <c r="X221" i="9"/>
  <c r="X219" i="9"/>
  <c r="BN30" i="9"/>
  <c r="AH24" i="9"/>
  <c r="AJ253" i="9"/>
  <c r="W105" i="10"/>
  <c r="W105" i="11" s="1"/>
  <c r="W104" i="11" s="1"/>
  <c r="W104" i="10"/>
  <c r="AQ27" i="7"/>
  <c r="W210" i="10"/>
  <c r="F128" i="9"/>
  <c r="BC21" i="9"/>
  <c r="AH88" i="9"/>
  <c r="AU14" i="4"/>
  <c r="AJ27" i="10"/>
  <c r="AA209" i="6"/>
  <c r="AA208" i="6"/>
  <c r="AV30" i="5"/>
  <c r="X33" i="10"/>
  <c r="AI180" i="9"/>
  <c r="Y192" i="6"/>
  <c r="AB192" i="6"/>
  <c r="AD209" i="6"/>
  <c r="AD208" i="6"/>
  <c r="AR29" i="6"/>
  <c r="AJ108" i="9"/>
  <c r="X104" i="9"/>
  <c r="AJ215" i="9"/>
  <c r="X210" i="9"/>
  <c r="BN27" i="9"/>
  <c r="AJ72" i="9"/>
  <c r="AH108" i="9"/>
  <c r="N119" i="10"/>
  <c r="AI55" i="9"/>
  <c r="BC20" i="10"/>
  <c r="AH79" i="9"/>
  <c r="AH95" i="9"/>
  <c r="AJ180" i="9"/>
  <c r="AH68" i="10"/>
  <c r="AJ79" i="9"/>
  <c r="AI95" i="9"/>
  <c r="AI179" i="9"/>
  <c r="X244" i="10"/>
  <c r="AJ244" i="10" s="1"/>
  <c r="X90" i="8"/>
  <c r="X63" i="8"/>
  <c r="W192" i="9"/>
  <c r="F113" i="9"/>
  <c r="AQ15" i="9"/>
  <c r="AH72" i="9"/>
  <c r="AJ85" i="9"/>
  <c r="AI107" i="10"/>
  <c r="AH28" i="10"/>
  <c r="AH85" i="9"/>
  <c r="AI29" i="10"/>
  <c r="AJ28" i="10"/>
  <c r="AH55" i="10"/>
  <c r="AJ107" i="10"/>
  <c r="AH29" i="10"/>
  <c r="AJ239" i="11"/>
  <c r="W16" i="11"/>
  <c r="AI95" i="11"/>
  <c r="AH95" i="11"/>
  <c r="AE217" i="7"/>
  <c r="AE261" i="7"/>
  <c r="AJ217" i="6"/>
  <c r="AJ261" i="6"/>
  <c r="AB261" i="7"/>
  <c r="AI217" i="6"/>
  <c r="AI261" i="6"/>
  <c r="Y217" i="7"/>
  <c r="Y261" i="7"/>
  <c r="AH217" i="6"/>
  <c r="AH261" i="6"/>
  <c r="AJ138" i="9"/>
  <c r="AI138" i="9"/>
  <c r="X168" i="8"/>
  <c r="BN24" i="8"/>
  <c r="BN22" i="8"/>
  <c r="AJ39" i="9"/>
  <c r="AI190" i="9"/>
  <c r="AH190" i="9"/>
  <c r="X112" i="8"/>
  <c r="M119" i="11"/>
  <c r="AH133" i="9"/>
  <c r="AH39" i="9"/>
  <c r="W145" i="9"/>
  <c r="W110" i="9"/>
  <c r="X83" i="9"/>
  <c r="AJ88" i="9"/>
  <c r="AI202" i="11"/>
  <c r="AH159" i="11"/>
  <c r="AJ159" i="11"/>
  <c r="AI159" i="11"/>
  <c r="AH118" i="11"/>
  <c r="AJ121" i="11"/>
  <c r="AJ86" i="9"/>
  <c r="AH86" i="9"/>
  <c r="AJ38" i="11"/>
  <c r="AJ29" i="11"/>
  <c r="AI29" i="11"/>
  <c r="AH29" i="11"/>
  <c r="X162" i="12"/>
  <c r="AJ162" i="12" s="1"/>
  <c r="N109" i="11"/>
  <c r="X94" i="11"/>
  <c r="AH94" i="11" s="1"/>
  <c r="V215" i="11"/>
  <c r="X215" i="11" s="1"/>
  <c r="AI215" i="11" s="1"/>
  <c r="X158" i="11"/>
  <c r="AJ158" i="11" s="1"/>
  <c r="V157" i="11"/>
  <c r="AH101" i="10"/>
  <c r="V237" i="11"/>
  <c r="X237" i="11" s="1"/>
  <c r="V57" i="10"/>
  <c r="AJ76" i="10"/>
  <c r="V76" i="11"/>
  <c r="X76" i="11" s="1"/>
  <c r="X119" i="11"/>
  <c r="AH119" i="11" s="1"/>
  <c r="X72" i="10"/>
  <c r="AJ72" i="10" s="1"/>
  <c r="X85" i="11"/>
  <c r="V127" i="11"/>
  <c r="V127" i="12" s="1"/>
  <c r="V127" i="13" s="1"/>
  <c r="X127" i="13" s="1"/>
  <c r="X24" i="10"/>
  <c r="AH24" i="10" s="1"/>
  <c r="V24" i="12"/>
  <c r="X24" i="12" s="1"/>
  <c r="AI24" i="12" s="1"/>
  <c r="AI75" i="10"/>
  <c r="X102" i="11"/>
  <c r="AI98" i="10"/>
  <c r="AI79" i="10"/>
  <c r="V79" i="11"/>
  <c r="X79" i="11" s="1"/>
  <c r="W63" i="9"/>
  <c r="AI138" i="10"/>
  <c r="V138" i="11"/>
  <c r="X138" i="11" s="1"/>
  <c r="AI245" i="9"/>
  <c r="X242" i="9"/>
  <c r="AH198" i="9"/>
  <c r="AH245" i="9"/>
  <c r="AI253" i="9"/>
  <c r="V90" i="9"/>
  <c r="V63" i="9"/>
  <c r="AH61" i="9"/>
  <c r="AJ158" i="9"/>
  <c r="X57" i="9"/>
  <c r="F85" i="9"/>
  <c r="AQ22" i="9"/>
  <c r="AU22" i="9"/>
  <c r="AJ198" i="9"/>
  <c r="AJ24" i="9"/>
  <c r="AH252" i="9"/>
  <c r="BC17" i="9"/>
  <c r="AH66" i="9"/>
  <c r="AI66" i="9"/>
  <c r="AH137" i="9"/>
  <c r="AH237" i="9"/>
  <c r="W14" i="9"/>
  <c r="AH119" i="9"/>
  <c r="AJ237" i="9"/>
  <c r="AH131" i="10"/>
  <c r="AJ77" i="9"/>
  <c r="AI119" i="9"/>
  <c r="AI158" i="9"/>
  <c r="AH77" i="9"/>
  <c r="AI177" i="9"/>
  <c r="AJ75" i="9"/>
  <c r="AH177" i="9"/>
  <c r="X121" i="10"/>
  <c r="AJ121" i="10" s="1"/>
  <c r="X253" i="10"/>
  <c r="AJ253" i="10" s="1"/>
  <c r="X159" i="10"/>
  <c r="AJ137" i="9"/>
  <c r="X187" i="10"/>
  <c r="AH187" i="10" s="1"/>
  <c r="V83" i="10"/>
  <c r="AH179" i="9"/>
  <c r="AJ48" i="9"/>
  <c r="AH48" i="9"/>
  <c r="X118" i="10"/>
  <c r="AI118" i="10" s="1"/>
  <c r="X178" i="10"/>
  <c r="AI178" i="10" s="1"/>
  <c r="X239" i="10"/>
  <c r="AJ239" i="10" s="1"/>
  <c r="W183" i="10"/>
  <c r="AH90" i="6"/>
  <c r="AH63" i="6"/>
  <c r="AH55" i="9"/>
  <c r="V231" i="9"/>
  <c r="AI239" i="9"/>
  <c r="AH101" i="9"/>
  <c r="AJ202" i="9"/>
  <c r="AI18" i="9"/>
  <c r="X96" i="9"/>
  <c r="AI101" i="9"/>
  <c r="AI202" i="9"/>
  <c r="W168" i="9"/>
  <c r="V183" i="9"/>
  <c r="V168" i="9"/>
  <c r="AH178" i="9"/>
  <c r="AH223" i="9"/>
  <c r="AI178" i="9"/>
  <c r="V112" i="9"/>
  <c r="V221" i="10"/>
  <c r="AI223" i="9"/>
  <c r="AH249" i="9"/>
  <c r="AJ249" i="9"/>
  <c r="X249" i="10"/>
  <c r="AI249" i="10" s="1"/>
  <c r="V192" i="9"/>
  <c r="X174" i="9"/>
  <c r="AI125" i="9"/>
  <c r="X185" i="9"/>
  <c r="X183" i="9"/>
  <c r="AJ118" i="9"/>
  <c r="V18" i="12"/>
  <c r="AI102" i="9"/>
  <c r="AI118" i="9"/>
  <c r="V16" i="9"/>
  <c r="V20" i="10"/>
  <c r="V16" i="10"/>
  <c r="X18" i="10"/>
  <c r="BN11" i="10" s="1"/>
  <c r="AJ102" i="9"/>
  <c r="V43" i="9"/>
  <c r="V44" i="10"/>
  <c r="X91" i="9"/>
  <c r="X202" i="10"/>
  <c r="AH202" i="10" s="1"/>
  <c r="AH75" i="9"/>
  <c r="AH108" i="10"/>
  <c r="AI108" i="10"/>
  <c r="X114" i="9"/>
  <c r="AH159" i="9"/>
  <c r="AJ159" i="9"/>
  <c r="AH187" i="9"/>
  <c r="AJ187" i="9"/>
  <c r="AH94" i="9"/>
  <c r="AJ252" i="9"/>
  <c r="X38" i="10"/>
  <c r="AH38" i="10" s="1"/>
  <c r="X234" i="9"/>
  <c r="BN29" i="9"/>
  <c r="AI94" i="9"/>
  <c r="V157" i="10"/>
  <c r="AI127" i="9"/>
  <c r="W96" i="10"/>
  <c r="X196" i="9"/>
  <c r="BN28" i="9"/>
  <c r="AH127" i="9"/>
  <c r="AJ18" i="9"/>
  <c r="F94" i="9"/>
  <c r="V12" i="8"/>
  <c r="F104" i="9"/>
  <c r="BC13" i="9"/>
  <c r="BC10" i="8"/>
  <c r="BC9" i="8"/>
  <c r="BC8" i="8"/>
  <c r="G15" i="11"/>
  <c r="I15" i="11"/>
  <c r="M15" i="11" s="1"/>
  <c r="BC15" i="10"/>
  <c r="G71" i="8"/>
  <c r="AX13" i="12"/>
  <c r="AS13" i="12"/>
  <c r="BC15" i="9"/>
  <c r="X157" i="9"/>
  <c r="BN18" i="9"/>
  <c r="AU22" i="8"/>
  <c r="BP19" i="11"/>
  <c r="N124" i="11"/>
  <c r="M124" i="11"/>
  <c r="AR22" i="11"/>
  <c r="AW22" i="11" s="1"/>
  <c r="AQ24" i="8"/>
  <c r="BH9" i="8"/>
  <c r="P128" i="11"/>
  <c r="H126" i="11"/>
  <c r="H130" i="11"/>
  <c r="K126" i="11"/>
  <c r="K130" i="11"/>
  <c r="BE21" i="11"/>
  <c r="BE22" i="11"/>
  <c r="Q128" i="11"/>
  <c r="BH14" i="8"/>
  <c r="AQ23" i="8"/>
  <c r="X233" i="8"/>
  <c r="X231" i="8"/>
  <c r="AQ30" i="8"/>
  <c r="BH13" i="8"/>
  <c r="F122" i="12"/>
  <c r="N122" i="12"/>
  <c r="D122" i="13"/>
  <c r="N122" i="11"/>
  <c r="AX12" i="12"/>
  <c r="AS12" i="12"/>
  <c r="AQ16" i="8"/>
  <c r="BC7" i="8"/>
  <c r="AY11" i="9"/>
  <c r="AV11" i="9"/>
  <c r="AU11" i="9"/>
  <c r="AZ11" i="9"/>
  <c r="AQ29" i="8"/>
  <c r="V90" i="10"/>
  <c r="X123" i="9"/>
  <c r="AH125" i="9"/>
  <c r="M71" i="7"/>
  <c r="V257" i="7"/>
  <c r="AI224" i="10"/>
  <c r="I24" i="9"/>
  <c r="L21" i="5"/>
  <c r="L19" i="5"/>
  <c r="L17" i="5"/>
  <c r="G28" i="6"/>
  <c r="G21" i="6"/>
  <c r="G19" i="6"/>
  <c r="G17" i="6"/>
  <c r="I21" i="5"/>
  <c r="I19" i="5"/>
  <c r="V249" i="12"/>
  <c r="X249" i="12" s="1"/>
  <c r="AH135" i="9"/>
  <c r="AI135" i="9"/>
  <c r="AJ135" i="9"/>
  <c r="AH156" i="9"/>
  <c r="AI139" i="9"/>
  <c r="AJ139" i="9"/>
  <c r="AH139" i="9"/>
  <c r="AI176" i="9"/>
  <c r="AH176" i="9"/>
  <c r="AJ176" i="9"/>
  <c r="N97" i="9"/>
  <c r="M97" i="9"/>
  <c r="AJ98" i="9"/>
  <c r="AI98" i="9"/>
  <c r="AH98" i="9"/>
  <c r="F42" i="10"/>
  <c r="AQ10" i="10" s="1"/>
  <c r="AZ10" i="10" s="1"/>
  <c r="AJ107" i="9"/>
  <c r="AI107" i="9"/>
  <c r="AH107" i="9"/>
  <c r="AI229" i="9"/>
  <c r="AJ229" i="9"/>
  <c r="AH229" i="9"/>
  <c r="AI100" i="9"/>
  <c r="AJ100" i="9"/>
  <c r="AH100" i="9"/>
  <c r="M109" i="9"/>
  <c r="N109" i="9"/>
  <c r="N37" i="9"/>
  <c r="M37" i="9"/>
  <c r="F111" i="10"/>
  <c r="N88" i="9"/>
  <c r="M88" i="9"/>
  <c r="AI127" i="10"/>
  <c r="AI37" i="9"/>
  <c r="AH37" i="9"/>
  <c r="AJ37" i="9"/>
  <c r="AI236" i="9"/>
  <c r="AH236" i="9"/>
  <c r="AJ236" i="9"/>
  <c r="N53" i="9"/>
  <c r="M53" i="9"/>
  <c r="Y212" i="9"/>
  <c r="AA212" i="9"/>
  <c r="AH212" i="8"/>
  <c r="N68" i="8"/>
  <c r="AH128" i="9"/>
  <c r="AJ128" i="9"/>
  <c r="AI128" i="9"/>
  <c r="AH16" i="6"/>
  <c r="W176" i="12"/>
  <c r="W176" i="13" s="1"/>
  <c r="F97" i="10"/>
  <c r="D94" i="11"/>
  <c r="D94" i="10"/>
  <c r="AI143" i="9"/>
  <c r="AH143" i="9"/>
  <c r="AJ143" i="9"/>
  <c r="V25" i="12"/>
  <c r="F109" i="10"/>
  <c r="E35" i="10"/>
  <c r="E28" i="10" s="1"/>
  <c r="F88" i="10"/>
  <c r="N39" i="9"/>
  <c r="M39" i="9"/>
  <c r="AJ160" i="9"/>
  <c r="AH160" i="9"/>
  <c r="AI160" i="9"/>
  <c r="Y71" i="9"/>
  <c r="AA71" i="9"/>
  <c r="AH71" i="8"/>
  <c r="N22" i="5"/>
  <c r="N21" i="5"/>
  <c r="N19" i="5"/>
  <c r="N17" i="5"/>
  <c r="AF257" i="5"/>
  <c r="AH100" i="10"/>
  <c r="AI100" i="10"/>
  <c r="AJ100" i="10"/>
  <c r="G62" i="9"/>
  <c r="I62" i="9"/>
  <c r="M62" i="8"/>
  <c r="Y51" i="9"/>
  <c r="AA51" i="9"/>
  <c r="AH51" i="8"/>
  <c r="F48" i="10"/>
  <c r="V117" i="12"/>
  <c r="F53" i="10"/>
  <c r="F51" i="10" s="1"/>
  <c r="E51" i="10"/>
  <c r="M119" i="9"/>
  <c r="N119" i="9"/>
  <c r="AD258" i="4"/>
  <c r="BP33" i="4"/>
  <c r="L8" i="4"/>
  <c r="V143" i="12"/>
  <c r="AW8" i="6"/>
  <c r="AY8" i="6"/>
  <c r="I25" i="6"/>
  <c r="AR8" i="6"/>
  <c r="AU8" i="6"/>
  <c r="M26" i="6"/>
  <c r="M25" i="6"/>
  <c r="G26" i="7"/>
  <c r="BD11" i="6"/>
  <c r="D83" i="12"/>
  <c r="D81" i="12" s="1"/>
  <c r="AH237" i="10"/>
  <c r="AH164" i="9"/>
  <c r="AJ164" i="9"/>
  <c r="AI164" i="9"/>
  <c r="M65" i="9"/>
  <c r="N65" i="9"/>
  <c r="AJ213" i="9"/>
  <c r="AI213" i="9"/>
  <c r="AH213" i="9"/>
  <c r="F39" i="10"/>
  <c r="BC13" i="10"/>
  <c r="F101" i="11"/>
  <c r="N101" i="11" s="1"/>
  <c r="AJ129" i="9"/>
  <c r="AI129" i="9"/>
  <c r="AH129" i="9"/>
  <c r="AH131" i="9"/>
  <c r="AI131" i="9"/>
  <c r="AJ131" i="9"/>
  <c r="AJ200" i="9"/>
  <c r="AI200" i="9"/>
  <c r="AH200" i="9"/>
  <c r="M77" i="9"/>
  <c r="N77" i="9"/>
  <c r="W53" i="13"/>
  <c r="E47" i="12"/>
  <c r="E45" i="12" s="1"/>
  <c r="N122" i="9"/>
  <c r="G33" i="7"/>
  <c r="I32" i="6"/>
  <c r="M33" i="6"/>
  <c r="M32" i="6"/>
  <c r="AS17" i="4"/>
  <c r="AV14" i="4"/>
  <c r="AI160" i="10"/>
  <c r="G122" i="7"/>
  <c r="G128" i="7"/>
  <c r="BD21" i="6"/>
  <c r="M122" i="6"/>
  <c r="M113" i="6"/>
  <c r="AH176" i="10"/>
  <c r="M111" i="9"/>
  <c r="N111" i="9"/>
  <c r="D65" i="11"/>
  <c r="W213" i="12"/>
  <c r="J22" i="6"/>
  <c r="J21" i="6"/>
  <c r="J19" i="6"/>
  <c r="J17" i="6"/>
  <c r="J8" i="6"/>
  <c r="J126" i="6"/>
  <c r="J130" i="6"/>
  <c r="F41" i="12"/>
  <c r="AJ231" i="6"/>
  <c r="AJ219" i="6"/>
  <c r="AQ28" i="7"/>
  <c r="W8" i="7"/>
  <c r="BJ8" i="5"/>
  <c r="BJ7" i="5"/>
  <c r="AD192" i="5"/>
  <c r="AD12" i="5"/>
  <c r="AD10" i="5"/>
  <c r="AA147" i="6"/>
  <c r="AD147" i="6"/>
  <c r="AJ12" i="5"/>
  <c r="AJ10" i="5"/>
  <c r="AJ8" i="5"/>
  <c r="Y41" i="11"/>
  <c r="AA41" i="11" s="1"/>
  <c r="Y41" i="12" s="1"/>
  <c r="AA41" i="12" s="1"/>
  <c r="Y41" i="13" s="1"/>
  <c r="AA41" i="13" s="1"/>
  <c r="X14" i="7"/>
  <c r="X12" i="7"/>
  <c r="AI195" i="6"/>
  <c r="AI194" i="6"/>
  <c r="E21" i="9"/>
  <c r="E19" i="9"/>
  <c r="E17" i="9"/>
  <c r="E8" i="9"/>
  <c r="E126" i="9"/>
  <c r="E130" i="9"/>
  <c r="AU26" i="5"/>
  <c r="AS15" i="6"/>
  <c r="AX15" i="6"/>
  <c r="AZ15" i="6"/>
  <c r="AS8" i="6"/>
  <c r="AV8" i="6"/>
  <c r="AR15" i="6"/>
  <c r="AW15" i="6"/>
  <c r="AY15" i="6"/>
  <c r="AR10" i="6"/>
  <c r="AU10" i="6"/>
  <c r="AS10" i="6"/>
  <c r="AV10" i="6"/>
  <c r="X20" i="9"/>
  <c r="X16" i="9"/>
  <c r="X43" i="8"/>
  <c r="AI231" i="6"/>
  <c r="AH231" i="6"/>
  <c r="AG219" i="6"/>
  <c r="AB110" i="6"/>
  <c r="AB257" i="5"/>
  <c r="AD43" i="6"/>
  <c r="AE63" i="6"/>
  <c r="AG12" i="5"/>
  <c r="AG10" i="5"/>
  <c r="AG231" i="6"/>
  <c r="AW25" i="5"/>
  <c r="AY25" i="5"/>
  <c r="AB12" i="6"/>
  <c r="AD90" i="6"/>
  <c r="AD63" i="6"/>
  <c r="AA231" i="6"/>
  <c r="AD195" i="6"/>
  <c r="Y110" i="6"/>
  <c r="AE14" i="6"/>
  <c r="AE257" i="5"/>
  <c r="BI8" i="5"/>
  <c r="BI7" i="5"/>
  <c r="AA10" i="5"/>
  <c r="AA8" i="5"/>
  <c r="AV26" i="5"/>
  <c r="AG43" i="6"/>
  <c r="Y257" i="5"/>
  <c r="AI10" i="5"/>
  <c r="AI8" i="5"/>
  <c r="AA90" i="6"/>
  <c r="AA63" i="6"/>
  <c r="AX23" i="5"/>
  <c r="AZ23" i="5"/>
  <c r="AV29" i="6"/>
  <c r="AH195" i="6"/>
  <c r="AH194" i="6"/>
  <c r="AE110" i="6"/>
  <c r="AH147" i="6"/>
  <c r="AI183" i="6"/>
  <c r="AI168" i="6"/>
  <c r="BH8" i="6"/>
  <c r="BH7" i="6"/>
  <c r="BH16" i="6"/>
  <c r="BH17" i="6"/>
  <c r="AH10" i="5"/>
  <c r="M8" i="5"/>
  <c r="M126" i="5"/>
  <c r="M130" i="5"/>
  <c r="AI90" i="6"/>
  <c r="AI63" i="6"/>
  <c r="AI43" i="6"/>
  <c r="W10" i="8"/>
  <c r="W8" i="8"/>
  <c r="F21" i="7"/>
  <c r="F19" i="7"/>
  <c r="AQ14" i="7"/>
  <c r="AD219" i="6"/>
  <c r="AD231" i="6"/>
  <c r="AJ43" i="6"/>
  <c r="Y12" i="6"/>
  <c r="AH183" i="6"/>
  <c r="AH168" i="6"/>
  <c r="F28" i="8"/>
  <c r="AQ9" i="8"/>
  <c r="AA195" i="6"/>
  <c r="AA219" i="6"/>
  <c r="BO30" i="6"/>
  <c r="AG145" i="6"/>
  <c r="AR23" i="6"/>
  <c r="AA59" i="7"/>
  <c r="Y58" i="7"/>
  <c r="Y57" i="7"/>
  <c r="J81" i="7"/>
  <c r="AB91" i="7"/>
  <c r="T33" i="12"/>
  <c r="T33" i="13" s="1"/>
  <c r="BP26" i="7"/>
  <c r="AB196" i="7"/>
  <c r="AB44" i="7"/>
  <c r="F86" i="11"/>
  <c r="N86" i="11" s="1"/>
  <c r="J35" i="7"/>
  <c r="AB157" i="7"/>
  <c r="AB155" i="7"/>
  <c r="V201" i="12"/>
  <c r="X201" i="12" s="1"/>
  <c r="E32" i="11"/>
  <c r="J42" i="7"/>
  <c r="F30" i="11"/>
  <c r="AA175" i="7"/>
  <c r="Y174" i="7"/>
  <c r="F66" i="9"/>
  <c r="G46" i="8"/>
  <c r="I45" i="7"/>
  <c r="M46" i="7"/>
  <c r="M45" i="7"/>
  <c r="F63" i="9"/>
  <c r="V134" i="13"/>
  <c r="X134" i="12"/>
  <c r="AI134" i="12" s="1"/>
  <c r="F126" i="5"/>
  <c r="F130" i="5"/>
  <c r="A1" i="5"/>
  <c r="L28" i="6"/>
  <c r="AB58" i="7"/>
  <c r="AB57" i="7"/>
  <c r="AJ29" i="9"/>
  <c r="AI29" i="9"/>
  <c r="AH29" i="9"/>
  <c r="AB185" i="7"/>
  <c r="AB183" i="7"/>
  <c r="W33" i="12"/>
  <c r="D59" i="11"/>
  <c r="V124" i="12"/>
  <c r="V124" i="13" s="1"/>
  <c r="W21" i="12"/>
  <c r="W21" i="13" s="1"/>
  <c r="D120" i="13"/>
  <c r="F120" i="12"/>
  <c r="M120" i="12" s="1"/>
  <c r="V132" i="13"/>
  <c r="X132" i="13" s="1"/>
  <c r="X132" i="12"/>
  <c r="AI132" i="12" s="1"/>
  <c r="Y123" i="7"/>
  <c r="AA124" i="7"/>
  <c r="BO17" i="7"/>
  <c r="G67" i="7"/>
  <c r="I66" i="6"/>
  <c r="M67" i="6"/>
  <c r="M66" i="6"/>
  <c r="AW14" i="6"/>
  <c r="AB35" i="7"/>
  <c r="Y17" i="12"/>
  <c r="AA17" i="12" s="1"/>
  <c r="Y17" i="13" s="1"/>
  <c r="AA17" i="13" s="1"/>
  <c r="BO10" i="13" s="1"/>
  <c r="D33" i="14" s="1"/>
  <c r="BP17" i="7"/>
  <c r="AB123" i="7"/>
  <c r="AB141" i="7"/>
  <c r="F106" i="12"/>
  <c r="AJ68" i="9"/>
  <c r="AI68" i="9"/>
  <c r="AH68" i="9"/>
  <c r="AB234" i="7"/>
  <c r="AB233" i="7"/>
  <c r="AJ27" i="9"/>
  <c r="AI27" i="9"/>
  <c r="AH27" i="9"/>
  <c r="J94" i="7"/>
  <c r="I49" i="7"/>
  <c r="G48" i="7"/>
  <c r="Y185" i="7"/>
  <c r="Y183" i="7"/>
  <c r="I105" i="7"/>
  <c r="G104" i="7"/>
  <c r="F95" i="11"/>
  <c r="AJ183" i="6"/>
  <c r="AJ168" i="6"/>
  <c r="AX16" i="5"/>
  <c r="AV16" i="5"/>
  <c r="AB170" i="7"/>
  <c r="AG50" i="7"/>
  <c r="M13" i="9"/>
  <c r="N13" i="9"/>
  <c r="G81" i="7"/>
  <c r="I82" i="7"/>
  <c r="F87" i="12"/>
  <c r="J113" i="7"/>
  <c r="AZ22" i="5"/>
  <c r="BP11" i="11"/>
  <c r="AG243" i="7"/>
  <c r="AE242" i="7"/>
  <c r="AU28" i="5"/>
  <c r="N44" i="9"/>
  <c r="M44" i="9"/>
  <c r="AG112" i="6"/>
  <c r="AA211" i="7"/>
  <c r="Y210" i="7"/>
  <c r="V22" i="12"/>
  <c r="AW23" i="5"/>
  <c r="AG36" i="7"/>
  <c r="AA36" i="7"/>
  <c r="Y35" i="7"/>
  <c r="BD17" i="6"/>
  <c r="I115" i="7"/>
  <c r="AA168" i="6"/>
  <c r="BO24" i="6"/>
  <c r="BO22" i="6"/>
  <c r="AE91" i="7"/>
  <c r="AG92" i="7"/>
  <c r="AJ147" i="6"/>
  <c r="V205" i="12"/>
  <c r="I12" i="7"/>
  <c r="G10" i="7"/>
  <c r="AA205" i="7"/>
  <c r="Y204" i="7"/>
  <c r="AB114" i="7"/>
  <c r="E85" i="11"/>
  <c r="B24" i="12"/>
  <c r="P128" i="12" s="1"/>
  <c r="F99" i="12"/>
  <c r="X80" i="12"/>
  <c r="AI80" i="12" s="1"/>
  <c r="AI40" i="9"/>
  <c r="AH40" i="9"/>
  <c r="AJ40" i="9"/>
  <c r="AA115" i="7"/>
  <c r="Y114" i="7"/>
  <c r="I95" i="7"/>
  <c r="G94" i="7"/>
  <c r="E69" i="11"/>
  <c r="AB149" i="7"/>
  <c r="AB147" i="7"/>
  <c r="E48" i="11"/>
  <c r="I35" i="6"/>
  <c r="G36" i="7"/>
  <c r="M36" i="6"/>
  <c r="M35" i="6"/>
  <c r="BD13" i="6"/>
  <c r="AW9" i="6"/>
  <c r="AY9" i="6"/>
  <c r="V19" i="13"/>
  <c r="X19" i="13" s="1"/>
  <c r="AI19" i="13" s="1"/>
  <c r="X19" i="12"/>
  <c r="AI67" i="9"/>
  <c r="AH67" i="9"/>
  <c r="AJ67" i="9"/>
  <c r="F22" i="9"/>
  <c r="AQ7" i="9"/>
  <c r="AA81" i="8"/>
  <c r="W184" i="12"/>
  <c r="W184" i="13" s="1"/>
  <c r="V243" i="12"/>
  <c r="V243" i="13" s="1"/>
  <c r="BH19" i="5"/>
  <c r="BH20" i="5"/>
  <c r="AQ31" i="5"/>
  <c r="X69" i="9"/>
  <c r="X65" i="9"/>
  <c r="G30" i="8"/>
  <c r="I29" i="7"/>
  <c r="M30" i="7"/>
  <c r="M29" i="7"/>
  <c r="N28" i="6"/>
  <c r="AE66" i="7"/>
  <c r="AJ66" i="6"/>
  <c r="AJ65" i="6"/>
  <c r="AS22" i="6"/>
  <c r="AG65" i="6"/>
  <c r="W205" i="12"/>
  <c r="W204" i="12" s="1"/>
  <c r="F79" i="11"/>
  <c r="AE69" i="7"/>
  <c r="AG70" i="7"/>
  <c r="E78" i="11"/>
  <c r="AI219" i="6"/>
  <c r="F70" i="11"/>
  <c r="AI54" i="9"/>
  <c r="AH54" i="9"/>
  <c r="AJ54" i="9"/>
  <c r="AI147" i="6"/>
  <c r="I58" i="7"/>
  <c r="G57" i="7"/>
  <c r="D8" i="8"/>
  <c r="D126" i="8"/>
  <c r="D130" i="8"/>
  <c r="N34" i="9"/>
  <c r="M34" i="9"/>
  <c r="I61" i="7"/>
  <c r="G60" i="7"/>
  <c r="V115" i="12"/>
  <c r="X165" i="12"/>
  <c r="AW27" i="5"/>
  <c r="AY27" i="5"/>
  <c r="AU27" i="5"/>
  <c r="AG33" i="7"/>
  <c r="F33" i="11"/>
  <c r="AX25" i="5"/>
  <c r="AZ25" i="5"/>
  <c r="AV25" i="5"/>
  <c r="F90" i="12"/>
  <c r="AQ13" i="12"/>
  <c r="AA197" i="7"/>
  <c r="BO26" i="7"/>
  <c r="Y196" i="7"/>
  <c r="G41" i="11"/>
  <c r="I41" i="11" s="1"/>
  <c r="G41" i="12" s="1"/>
  <c r="I41" i="12" s="1"/>
  <c r="AE44" i="7"/>
  <c r="AE43" i="7"/>
  <c r="AG45" i="7"/>
  <c r="I76" i="7"/>
  <c r="G75" i="7"/>
  <c r="V21" i="12"/>
  <c r="AI166" i="12"/>
  <c r="AH166" i="12"/>
  <c r="G42" i="7"/>
  <c r="I43" i="7"/>
  <c r="W197" i="12"/>
  <c r="W197" i="13" s="1"/>
  <c r="AA222" i="7"/>
  <c r="Y221" i="7"/>
  <c r="AI16" i="6"/>
  <c r="AE59" i="7"/>
  <c r="AG58" i="6"/>
  <c r="AG57" i="6"/>
  <c r="AJ59" i="6"/>
  <c r="AJ58" i="6"/>
  <c r="AJ57" i="6"/>
  <c r="AA150" i="7"/>
  <c r="Y149" i="7"/>
  <c r="Y147" i="7"/>
  <c r="BP10" i="12"/>
  <c r="D13" i="11"/>
  <c r="D13" i="12" s="1"/>
  <c r="F13" i="12" s="1"/>
  <c r="J48" i="7"/>
  <c r="X44" i="9"/>
  <c r="X43" i="9"/>
  <c r="Y21" i="8"/>
  <c r="AA20" i="7"/>
  <c r="AH21" i="7"/>
  <c r="AH20" i="7"/>
  <c r="D44" i="11"/>
  <c r="D44" i="12" s="1"/>
  <c r="D42" i="12" s="1"/>
  <c r="AJ195" i="6"/>
  <c r="AJ194" i="6"/>
  <c r="AH163" i="12"/>
  <c r="AJ163" i="12"/>
  <c r="V172" i="13"/>
  <c r="X172" i="13" s="1"/>
  <c r="X172" i="12"/>
  <c r="AI172" i="12" s="1"/>
  <c r="AE105" i="7"/>
  <c r="AE104" i="7"/>
  <c r="AG106" i="7"/>
  <c r="AS24" i="6"/>
  <c r="AB83" i="7"/>
  <c r="AA171" i="7"/>
  <c r="Y170" i="7"/>
  <c r="AG90" i="6"/>
  <c r="E66" i="11"/>
  <c r="V203" i="12"/>
  <c r="V203" i="13" s="1"/>
  <c r="X257" i="6"/>
  <c r="F8" i="6"/>
  <c r="F32" i="9"/>
  <c r="D115" i="12"/>
  <c r="J66" i="7"/>
  <c r="W211" i="12"/>
  <c r="W210" i="12" s="1"/>
  <c r="W209" i="12" s="1"/>
  <c r="W208" i="12" s="1"/>
  <c r="AA235" i="7"/>
  <c r="Y234" i="7"/>
  <c r="Y233" i="7"/>
  <c r="AA49" i="6"/>
  <c r="AA43" i="6"/>
  <c r="BO13" i="6"/>
  <c r="BO8" i="6"/>
  <c r="BO7" i="6"/>
  <c r="BO32" i="6"/>
  <c r="Y50" i="7"/>
  <c r="AH50" i="6"/>
  <c r="AH49" i="6"/>
  <c r="AH43" i="6"/>
  <c r="E115" i="12"/>
  <c r="E115" i="13" s="1"/>
  <c r="J69" i="7"/>
  <c r="J25" i="7"/>
  <c r="AG235" i="7"/>
  <c r="AE234" i="7"/>
  <c r="AE233" i="7"/>
  <c r="AE231" i="7"/>
  <c r="T15" i="6"/>
  <c r="Y83" i="7"/>
  <c r="AA84" i="7"/>
  <c r="F48" i="9"/>
  <c r="Y157" i="7"/>
  <c r="Y155" i="7"/>
  <c r="J29" i="7"/>
  <c r="AW30" i="5"/>
  <c r="AY30" i="5"/>
  <c r="AU30" i="5"/>
  <c r="G23" i="7"/>
  <c r="BD12" i="6"/>
  <c r="I22" i="6"/>
  <c r="AW7" i="6"/>
  <c r="AY7" i="6"/>
  <c r="M23" i="6"/>
  <c r="M22" i="6"/>
  <c r="AB226" i="7"/>
  <c r="E8" i="8"/>
  <c r="E126" i="8"/>
  <c r="E130" i="8"/>
  <c r="V197" i="12"/>
  <c r="AB96" i="7"/>
  <c r="N40" i="9"/>
  <c r="M40" i="9"/>
  <c r="AA33" i="7"/>
  <c r="Y16" i="7"/>
  <c r="D34" i="11"/>
  <c r="AE210" i="7"/>
  <c r="AE209" i="7"/>
  <c r="AE208" i="7"/>
  <c r="AG211" i="7"/>
  <c r="D12" i="12"/>
  <c r="W142" i="12"/>
  <c r="W142" i="13" s="1"/>
  <c r="X35" i="9"/>
  <c r="BN14" i="9"/>
  <c r="J104" i="7"/>
  <c r="L10" i="6"/>
  <c r="N12" i="6"/>
  <c r="N10" i="6"/>
  <c r="G64" i="8"/>
  <c r="I63" i="7"/>
  <c r="BD14" i="7"/>
  <c r="M64" i="7"/>
  <c r="M63" i="7"/>
  <c r="F100" i="11"/>
  <c r="M100" i="11" s="1"/>
  <c r="AB174" i="7"/>
  <c r="AU7" i="5"/>
  <c r="AG186" i="7"/>
  <c r="F76" i="11"/>
  <c r="AA92" i="7"/>
  <c r="Y91" i="7"/>
  <c r="AA227" i="7"/>
  <c r="Y226" i="7"/>
  <c r="AB204" i="7"/>
  <c r="F82" i="11"/>
  <c r="N82" i="11" s="1"/>
  <c r="N81" i="11" s="1"/>
  <c r="D81" i="11"/>
  <c r="V224" i="12"/>
  <c r="X224" i="12" s="1"/>
  <c r="J72" i="7"/>
  <c r="AG184" i="7"/>
  <c r="J51" i="7"/>
  <c r="V228" i="13"/>
  <c r="X228" i="13" s="1"/>
  <c r="X228" i="12"/>
  <c r="V206" i="12"/>
  <c r="N27" i="9"/>
  <c r="M27" i="9"/>
  <c r="V78" i="12"/>
  <c r="V78" i="13" s="1"/>
  <c r="L45" i="6"/>
  <c r="N46" i="6"/>
  <c r="N45" i="6"/>
  <c r="BH11" i="7"/>
  <c r="J63" i="7"/>
  <c r="AV28" i="5"/>
  <c r="AB49" i="7"/>
  <c r="J57" i="7"/>
  <c r="AJ112" i="6"/>
  <c r="AG195" i="6"/>
  <c r="AG194" i="6"/>
  <c r="F68" i="11"/>
  <c r="M68" i="11" s="1"/>
  <c r="D124" i="13"/>
  <c r="F124" i="12"/>
  <c r="AE226" i="7"/>
  <c r="AE219" i="7"/>
  <c r="AG227" i="7"/>
  <c r="AB242" i="7"/>
  <c r="F89" i="12"/>
  <c r="M10" i="6"/>
  <c r="AG168" i="6"/>
  <c r="AS27" i="6"/>
  <c r="I73" i="7"/>
  <c r="G72" i="7"/>
  <c r="V142" i="12"/>
  <c r="AA45" i="7"/>
  <c r="Y44" i="7"/>
  <c r="AI112" i="6"/>
  <c r="D60" i="11"/>
  <c r="F61" i="11"/>
  <c r="F60" i="11" s="1"/>
  <c r="AA243" i="7"/>
  <c r="Y242" i="7"/>
  <c r="M91" i="11"/>
  <c r="E94" i="11"/>
  <c r="AH112" i="6"/>
  <c r="F58" i="11"/>
  <c r="W124" i="12"/>
  <c r="W124" i="13" s="1"/>
  <c r="V186" i="12"/>
  <c r="AE20" i="7"/>
  <c r="AE16" i="7"/>
  <c r="AG21" i="7"/>
  <c r="L60" i="6"/>
  <c r="N61" i="6"/>
  <c r="N60" i="6"/>
  <c r="I70" i="7"/>
  <c r="G69" i="7"/>
  <c r="V153" i="12"/>
  <c r="X153" i="12" s="1"/>
  <c r="F108" i="12"/>
  <c r="AG81" i="8"/>
  <c r="AE204" i="7"/>
  <c r="AG205" i="7"/>
  <c r="J85" i="7"/>
  <c r="AH26" i="12"/>
  <c r="AG175" i="7"/>
  <c r="BH9" i="7"/>
  <c r="V235" i="12"/>
  <c r="V235" i="13" s="1"/>
  <c r="N59" i="9"/>
  <c r="M59" i="9"/>
  <c r="V84" i="12"/>
  <c r="AA70" i="7"/>
  <c r="Y69" i="7"/>
  <c r="Y65" i="7"/>
  <c r="AB221" i="7"/>
  <c r="Y141" i="7"/>
  <c r="AA142" i="7"/>
  <c r="AR24" i="6"/>
  <c r="V227" i="12"/>
  <c r="V254" i="12"/>
  <c r="V254" i="13" s="1"/>
  <c r="X254" i="13" s="1"/>
  <c r="AJ254" i="13" s="1"/>
  <c r="AJ28" i="9"/>
  <c r="AI28" i="9"/>
  <c r="AH28" i="9"/>
  <c r="AA106" i="7"/>
  <c r="Y105" i="7"/>
  <c r="Y104" i="7"/>
  <c r="AJ16" i="6"/>
  <c r="F52" i="12"/>
  <c r="AJ73" i="9"/>
  <c r="AI73" i="9"/>
  <c r="AH73" i="9"/>
  <c r="M78" i="9"/>
  <c r="AB210" i="7"/>
  <c r="J75" i="7"/>
  <c r="F26" i="11"/>
  <c r="BC11" i="11" s="1"/>
  <c r="AE149" i="7"/>
  <c r="AE147" i="7"/>
  <c r="AE145" i="7"/>
  <c r="AE110" i="7"/>
  <c r="AB20" i="7"/>
  <c r="AB16" i="7"/>
  <c r="AA153" i="7"/>
  <c r="AH219" i="6"/>
  <c r="AG222" i="7"/>
  <c r="F72" i="9"/>
  <c r="G54" i="7"/>
  <c r="I55" i="7"/>
  <c r="E54" i="11"/>
  <c r="AB69" i="7"/>
  <c r="AB65" i="7"/>
  <c r="J32" i="7"/>
  <c r="AD168" i="6"/>
  <c r="BP24" i="6"/>
  <c r="BP22" i="6"/>
  <c r="I86" i="7"/>
  <c r="G85" i="7"/>
  <c r="F45" i="9"/>
  <c r="N87" i="11"/>
  <c r="AV15" i="6"/>
  <c r="J54" i="7"/>
  <c r="V246" i="12"/>
  <c r="F35" i="9"/>
  <c r="V106" i="12"/>
  <c r="AE96" i="7"/>
  <c r="AG97" i="7"/>
  <c r="F96" i="11"/>
  <c r="AE196" i="7"/>
  <c r="AE195" i="7"/>
  <c r="AE194" i="7"/>
  <c r="AG197" i="7"/>
  <c r="AD106" i="7"/>
  <c r="AB105" i="7"/>
  <c r="AB104" i="7"/>
  <c r="F25" i="9"/>
  <c r="AQ8" i="9"/>
  <c r="AG84" i="7"/>
  <c r="G51" i="7"/>
  <c r="I52" i="7"/>
  <c r="AU15" i="6"/>
  <c r="AJ90" i="6"/>
  <c r="W175" i="12"/>
  <c r="E60" i="11"/>
  <c r="F10" i="9"/>
  <c r="AR16" i="6"/>
  <c r="BD7" i="6"/>
  <c r="AG171" i="7"/>
  <c r="F55" i="11"/>
  <c r="AD112" i="6"/>
  <c r="V222" i="12"/>
  <c r="E45" i="11"/>
  <c r="E75" i="13"/>
  <c r="E75" i="12"/>
  <c r="F42" i="9"/>
  <c r="AQ10" i="9"/>
  <c r="N99" i="11"/>
  <c r="M99" i="11"/>
  <c r="Y96" i="7"/>
  <c r="AA97" i="7"/>
  <c r="F91" i="12"/>
  <c r="N91" i="12" s="1"/>
  <c r="E35" i="11"/>
  <c r="V199" i="12"/>
  <c r="AA112" i="6"/>
  <c r="Q126" i="11"/>
  <c r="Q130" i="11" s="1"/>
  <c r="BK21" i="11"/>
  <c r="BK22" i="11" s="1"/>
  <c r="BN13" i="8"/>
  <c r="BN8" i="8"/>
  <c r="BN7" i="8"/>
  <c r="BN32" i="8"/>
  <c r="V10" i="8"/>
  <c r="V8" i="8"/>
  <c r="BN12" i="9"/>
  <c r="BN9" i="9"/>
  <c r="V110" i="9"/>
  <c r="BN25" i="9"/>
  <c r="BP30" i="6"/>
  <c r="BJ14" i="6"/>
  <c r="BN15" i="9"/>
  <c r="BH10" i="9"/>
  <c r="BP13" i="6"/>
  <c r="BP8" i="6"/>
  <c r="BP7" i="6"/>
  <c r="BN31" i="9"/>
  <c r="BH15" i="9"/>
  <c r="X10" i="7"/>
  <c r="X8" i="7"/>
  <c r="X110" i="8"/>
  <c r="AQ26" i="8"/>
  <c r="AD8" i="5"/>
  <c r="AG255" i="8"/>
  <c r="V155" i="11"/>
  <c r="X209" i="9"/>
  <c r="X208" i="9"/>
  <c r="AQ29" i="9"/>
  <c r="V155" i="10"/>
  <c r="X195" i="9"/>
  <c r="AA255" i="8"/>
  <c r="X156" i="11"/>
  <c r="W155" i="11"/>
  <c r="X155" i="9"/>
  <c r="X145" i="9"/>
  <c r="AJ190" i="10"/>
  <c r="AQ28" i="8"/>
  <c r="BH12" i="8"/>
  <c r="AG257" i="5"/>
  <c r="AS31" i="5"/>
  <c r="AS32" i="5"/>
  <c r="AG8" i="5"/>
  <c r="BI16" i="5"/>
  <c r="AH257" i="5"/>
  <c r="AH8" i="5"/>
  <c r="U1" i="5"/>
  <c r="BJ12" i="5"/>
  <c r="BJ16" i="5"/>
  <c r="AI253" i="10"/>
  <c r="AH244" i="10"/>
  <c r="AJ75" i="10"/>
  <c r="AH98" i="10"/>
  <c r="AJ98" i="10"/>
  <c r="AJ158" i="10"/>
  <c r="AI137" i="10"/>
  <c r="A1" i="6"/>
  <c r="X20" i="10"/>
  <c r="X16" i="10" s="1"/>
  <c r="AI244" i="10"/>
  <c r="AJ252" i="10"/>
  <c r="AI252" i="10"/>
  <c r="BH9" i="9"/>
  <c r="AX31" i="4"/>
  <c r="AX32" i="4"/>
  <c r="AH137" i="10"/>
  <c r="AI55" i="10"/>
  <c r="BI11" i="6"/>
  <c r="AY14" i="6"/>
  <c r="AJ55" i="10"/>
  <c r="X233" i="9"/>
  <c r="X231" i="9"/>
  <c r="BH13" i="9"/>
  <c r="BJ9" i="6"/>
  <c r="AV31" i="4"/>
  <c r="AQ32" i="4"/>
  <c r="AQ33" i="4"/>
  <c r="AJ61" i="10"/>
  <c r="V138" i="12"/>
  <c r="AI18" i="10"/>
  <c r="W12" i="9"/>
  <c r="W10" i="9"/>
  <c r="W257" i="9"/>
  <c r="AJ101" i="10"/>
  <c r="AB209" i="7"/>
  <c r="AB208" i="7"/>
  <c r="AI101" i="10"/>
  <c r="AJ180" i="10"/>
  <c r="I71" i="8"/>
  <c r="I128" i="8"/>
  <c r="M24" i="9"/>
  <c r="Y209" i="7"/>
  <c r="Y208" i="7"/>
  <c r="AJ179" i="10"/>
  <c r="AJ187" i="10"/>
  <c r="AI72" i="10"/>
  <c r="AH79" i="10"/>
  <c r="AI202" i="10"/>
  <c r="AH138" i="10"/>
  <c r="G113" i="7"/>
  <c r="AH61" i="10"/>
  <c r="AJ79" i="10"/>
  <c r="AH76" i="10"/>
  <c r="AI61" i="10"/>
  <c r="V237" i="12"/>
  <c r="V237" i="13" s="1"/>
  <c r="X237" i="12"/>
  <c r="AI237" i="12" s="1"/>
  <c r="V91" i="11"/>
  <c r="AH102" i="11"/>
  <c r="AJ102" i="11"/>
  <c r="AI102" i="11"/>
  <c r="AG217" i="7"/>
  <c r="AG261" i="7"/>
  <c r="AJ209" i="6"/>
  <c r="AJ208" i="6"/>
  <c r="AJ192" i="6"/>
  <c r="AD261" i="7"/>
  <c r="BP31" i="7"/>
  <c r="AI209" i="6"/>
  <c r="AI208" i="6"/>
  <c r="AI192" i="6"/>
  <c r="AA217" i="7"/>
  <c r="AA261" i="7"/>
  <c r="BO31" i="7"/>
  <c r="AH209" i="6"/>
  <c r="AH208" i="6"/>
  <c r="AH192" i="6"/>
  <c r="AQ27" i="8"/>
  <c r="F21" i="8"/>
  <c r="F19" i="8"/>
  <c r="AQ14" i="8"/>
  <c r="AQ17" i="8"/>
  <c r="AY22" i="9"/>
  <c r="AJ159" i="10"/>
  <c r="X168" i="9"/>
  <c r="BN24" i="9"/>
  <c r="BN22" i="9"/>
  <c r="AH158" i="11"/>
  <c r="AJ138" i="11"/>
  <c r="AI138" i="11"/>
  <c r="AH138" i="11"/>
  <c r="AH162" i="12"/>
  <c r="V102" i="13"/>
  <c r="X102" i="13" s="1"/>
  <c r="V79" i="12"/>
  <c r="V79" i="13" s="1"/>
  <c r="X79" i="13" s="1"/>
  <c r="X127" i="11"/>
  <c r="AI127" i="11" s="1"/>
  <c r="X90" i="9"/>
  <c r="BN13" i="9"/>
  <c r="X98" i="11"/>
  <c r="W96" i="11"/>
  <c r="V20" i="11"/>
  <c r="V16" i="11"/>
  <c r="V239" i="12"/>
  <c r="X239" i="12"/>
  <c r="AJ239" i="12" s="1"/>
  <c r="AH121" i="10"/>
  <c r="AH178" i="10"/>
  <c r="N24" i="14"/>
  <c r="V14" i="9"/>
  <c r="V12" i="9"/>
  <c r="AI121" i="10"/>
  <c r="W119" i="12"/>
  <c r="BC10" i="9"/>
  <c r="BC9" i="9"/>
  <c r="BC8" i="9"/>
  <c r="F28" i="9"/>
  <c r="AQ9" i="9"/>
  <c r="AJ18" i="10"/>
  <c r="V38" i="12"/>
  <c r="V38" i="13" s="1"/>
  <c r="W96" i="12"/>
  <c r="AJ202" i="10"/>
  <c r="X112" i="9"/>
  <c r="BC22" i="8"/>
  <c r="BL15" i="11"/>
  <c r="AQ16" i="9"/>
  <c r="BC7" i="9"/>
  <c r="AQ24" i="9"/>
  <c r="AR22" i="12"/>
  <c r="AW22" i="12" s="1"/>
  <c r="AQ25" i="8"/>
  <c r="BH14" i="9"/>
  <c r="AQ23" i="9"/>
  <c r="X192" i="8"/>
  <c r="AQ17" i="7"/>
  <c r="M28" i="6"/>
  <c r="M21" i="6"/>
  <c r="M19" i="6"/>
  <c r="M17" i="6"/>
  <c r="M8" i="6"/>
  <c r="M126" i="6"/>
  <c r="M130" i="6"/>
  <c r="N8" i="5"/>
  <c r="N126" i="5"/>
  <c r="N130" i="5"/>
  <c r="G24" i="10"/>
  <c r="AH14" i="6"/>
  <c r="AH12" i="6"/>
  <c r="D117" i="12"/>
  <c r="N24" i="6"/>
  <c r="L22" i="6"/>
  <c r="AS7" i="6"/>
  <c r="AV7" i="6"/>
  <c r="AX7" i="6"/>
  <c r="AZ7" i="6"/>
  <c r="V95" i="13"/>
  <c r="X95" i="13" s="1"/>
  <c r="X158" i="12"/>
  <c r="AI158" i="12" s="1"/>
  <c r="AV17" i="4"/>
  <c r="V178" i="13"/>
  <c r="X178" i="13" s="1"/>
  <c r="AI178" i="13" s="1"/>
  <c r="X178" i="12"/>
  <c r="X160" i="12"/>
  <c r="AI160" i="12" s="1"/>
  <c r="L126" i="4"/>
  <c r="L130" i="4"/>
  <c r="K1" i="4"/>
  <c r="J5" i="4"/>
  <c r="B5" i="4"/>
  <c r="Y51" i="10"/>
  <c r="AA51" i="10"/>
  <c r="AH51" i="10"/>
  <c r="AH51" i="9"/>
  <c r="X159" i="12"/>
  <c r="AI159" i="12" s="1"/>
  <c r="X25" i="12"/>
  <c r="AI25" i="12" s="1"/>
  <c r="V25" i="13"/>
  <c r="X25" i="13" s="1"/>
  <c r="AI25" i="13" s="1"/>
  <c r="W213" i="13"/>
  <c r="X213" i="13" s="1"/>
  <c r="X213" i="12"/>
  <c r="AH213" i="12" s="1"/>
  <c r="V24" i="13"/>
  <c r="X24" i="13" s="1"/>
  <c r="AR31" i="4"/>
  <c r="F88" i="11"/>
  <c r="V46" i="13"/>
  <c r="V93" i="13"/>
  <c r="V55" i="13"/>
  <c r="X55" i="13" s="1"/>
  <c r="AJ55" i="13" s="1"/>
  <c r="V18" i="13"/>
  <c r="X18" i="12"/>
  <c r="AJ18" i="12" s="1"/>
  <c r="F39" i="11"/>
  <c r="M39" i="11" s="1"/>
  <c r="G25" i="7"/>
  <c r="I26" i="7"/>
  <c r="V117" i="13"/>
  <c r="X117" i="12"/>
  <c r="G62" i="10"/>
  <c r="M62" i="9"/>
  <c r="Y71" i="10"/>
  <c r="AA71" i="10"/>
  <c r="AH71" i="9"/>
  <c r="E107" i="12"/>
  <c r="E107" i="13" s="1"/>
  <c r="X176" i="12"/>
  <c r="AJ176" i="12" s="1"/>
  <c r="X156" i="12"/>
  <c r="N68" i="9"/>
  <c r="X85" i="12"/>
  <c r="AI85" i="12" s="1"/>
  <c r="V85" i="13"/>
  <c r="AY31" i="4"/>
  <c r="AY32" i="4"/>
  <c r="M77" i="10"/>
  <c r="X164" i="12"/>
  <c r="AI164" i="12" s="1"/>
  <c r="V253" i="13"/>
  <c r="X253" i="13" s="1"/>
  <c r="AI253" i="13" s="1"/>
  <c r="X253" i="12"/>
  <c r="AH253" i="12" s="1"/>
  <c r="I122" i="7"/>
  <c r="I113" i="7"/>
  <c r="AR15" i="7"/>
  <c r="I33" i="7"/>
  <c r="G32" i="7"/>
  <c r="E47" i="13"/>
  <c r="F101" i="12"/>
  <c r="M101" i="12" s="1"/>
  <c r="M83" i="11"/>
  <c r="N83" i="11"/>
  <c r="V100" i="13"/>
  <c r="X100" i="13" s="1"/>
  <c r="W107" i="13"/>
  <c r="D94" i="12"/>
  <c r="F97" i="11"/>
  <c r="N97" i="11" s="1"/>
  <c r="BC18" i="11"/>
  <c r="Y212" i="10"/>
  <c r="AA212" i="10"/>
  <c r="AA210" i="10" s="1"/>
  <c r="AH212" i="9"/>
  <c r="V249" i="13"/>
  <c r="AR30" i="6"/>
  <c r="AW30" i="6"/>
  <c r="AY30" i="6"/>
  <c r="BI14" i="6"/>
  <c r="W121" i="12"/>
  <c r="W121" i="13" s="1"/>
  <c r="BH8" i="7"/>
  <c r="BH7" i="7"/>
  <c r="BH16" i="7"/>
  <c r="BH17" i="7"/>
  <c r="AA145" i="6"/>
  <c r="AA110" i="6"/>
  <c r="AD145" i="6"/>
  <c r="AD110" i="6"/>
  <c r="AR26" i="6"/>
  <c r="AW26" i="6"/>
  <c r="AY26" i="6"/>
  <c r="BI10" i="6"/>
  <c r="BI13" i="6"/>
  <c r="BJ13" i="6"/>
  <c r="AA194" i="6"/>
  <c r="BP19" i="12"/>
  <c r="X14" i="8"/>
  <c r="X12" i="8"/>
  <c r="AS14" i="5"/>
  <c r="AS17" i="5"/>
  <c r="W257" i="8"/>
  <c r="I28" i="6"/>
  <c r="I21" i="6"/>
  <c r="AS9" i="6"/>
  <c r="AV9" i="6"/>
  <c r="AR25" i="6"/>
  <c r="AW25" i="6"/>
  <c r="AY25" i="6"/>
  <c r="AD14" i="6"/>
  <c r="AD12" i="6"/>
  <c r="AR14" i="5"/>
  <c r="AU14" i="5"/>
  <c r="I17" i="5"/>
  <c r="AB219" i="7"/>
  <c r="AS30" i="6"/>
  <c r="AX30" i="6"/>
  <c r="AZ30" i="6"/>
  <c r="AG110" i="6"/>
  <c r="AS26" i="6"/>
  <c r="AX26" i="6"/>
  <c r="AZ26" i="6"/>
  <c r="AB10" i="6"/>
  <c r="AB8" i="6"/>
  <c r="AE12" i="6"/>
  <c r="AE10" i="6"/>
  <c r="AE8" i="6"/>
  <c r="G78" i="11"/>
  <c r="I78" i="11" s="1"/>
  <c r="AD194" i="6"/>
  <c r="AI14" i="6"/>
  <c r="AI12" i="6"/>
  <c r="AE192" i="7"/>
  <c r="Y10" i="6"/>
  <c r="Y8" i="6"/>
  <c r="AI257" i="5"/>
  <c r="AW29" i="6"/>
  <c r="AY29" i="6"/>
  <c r="AU29" i="6"/>
  <c r="Y195" i="7"/>
  <c r="Y194" i="7"/>
  <c r="AH145" i="6"/>
  <c r="AH110" i="6"/>
  <c r="AB112" i="7"/>
  <c r="Y168" i="7"/>
  <c r="AJ145" i="6"/>
  <c r="AJ110" i="6"/>
  <c r="AJ14" i="6"/>
  <c r="F17" i="7"/>
  <c r="X257" i="7"/>
  <c r="AJ257" i="5"/>
  <c r="BD10" i="6"/>
  <c r="BD9" i="6"/>
  <c r="BD8" i="6"/>
  <c r="BD22" i="6"/>
  <c r="AS25" i="6"/>
  <c r="AX25" i="6"/>
  <c r="AZ25" i="6"/>
  <c r="AG63" i="6"/>
  <c r="AB145" i="7"/>
  <c r="F55" i="12"/>
  <c r="L8" i="5"/>
  <c r="AD257" i="5"/>
  <c r="AE197" i="8"/>
  <c r="AG196" i="7"/>
  <c r="AJ197" i="7"/>
  <c r="AJ196" i="7"/>
  <c r="AD69" i="7"/>
  <c r="AD65" i="7"/>
  <c r="AI70" i="7"/>
  <c r="AI69" i="7"/>
  <c r="AI65" i="7"/>
  <c r="AD20" i="7"/>
  <c r="AD16" i="7"/>
  <c r="AI21" i="7"/>
  <c r="AI20" i="7"/>
  <c r="AE205" i="8"/>
  <c r="AG204" i="7"/>
  <c r="AJ205" i="7"/>
  <c r="AJ204" i="7"/>
  <c r="AE21" i="8"/>
  <c r="AG20" i="7"/>
  <c r="AG16" i="7"/>
  <c r="AJ21" i="7"/>
  <c r="AJ20" i="7"/>
  <c r="E22" i="11"/>
  <c r="AJ153" i="7"/>
  <c r="L104" i="7"/>
  <c r="N105" i="7"/>
  <c r="N104" i="7"/>
  <c r="W45" i="13"/>
  <c r="W44" i="12"/>
  <c r="W141" i="12"/>
  <c r="AE211" i="8"/>
  <c r="AG210" i="7"/>
  <c r="AJ211" i="7"/>
  <c r="AJ210" i="7"/>
  <c r="AD96" i="7"/>
  <c r="AI97" i="7"/>
  <c r="AI96" i="7"/>
  <c r="Y97" i="8"/>
  <c r="AA96" i="7"/>
  <c r="AH97" i="7"/>
  <c r="AH96" i="7"/>
  <c r="AW16" i="6"/>
  <c r="AY16" i="6"/>
  <c r="AU16" i="6"/>
  <c r="G52" i="8"/>
  <c r="I51" i="7"/>
  <c r="M52" i="7"/>
  <c r="M51" i="7"/>
  <c r="V106" i="13"/>
  <c r="V105" i="12"/>
  <c r="AG114" i="7"/>
  <c r="AJ115" i="7"/>
  <c r="AJ114" i="7"/>
  <c r="AG221" i="7"/>
  <c r="AE222" i="8"/>
  <c r="AJ222" i="7"/>
  <c r="AJ221" i="7"/>
  <c r="Y145" i="7"/>
  <c r="F26" i="12"/>
  <c r="BC11" i="12" s="1"/>
  <c r="N41" i="12"/>
  <c r="X254" i="12"/>
  <c r="AI254" i="12" s="1"/>
  <c r="F23" i="11"/>
  <c r="BC12" i="11" s="1"/>
  <c r="I69" i="7"/>
  <c r="G70" i="8"/>
  <c r="M70" i="7"/>
  <c r="M69" i="7"/>
  <c r="D60" i="12"/>
  <c r="F61" i="12"/>
  <c r="F60" i="12" s="1"/>
  <c r="Y45" i="8"/>
  <c r="AA44" i="7"/>
  <c r="AH45" i="7"/>
  <c r="AH44" i="7"/>
  <c r="N89" i="12"/>
  <c r="F68" i="12"/>
  <c r="N68" i="12" s="1"/>
  <c r="L57" i="7"/>
  <c r="N58" i="7"/>
  <c r="N57" i="7"/>
  <c r="J45" i="7"/>
  <c r="E35" i="12"/>
  <c r="M91" i="12"/>
  <c r="E60" i="12"/>
  <c r="AG83" i="7"/>
  <c r="AE84" i="8"/>
  <c r="AJ84" i="7"/>
  <c r="AJ83" i="7"/>
  <c r="AB106" i="8"/>
  <c r="AD105" i="7"/>
  <c r="AD104" i="7"/>
  <c r="AI106" i="7"/>
  <c r="AI105" i="7"/>
  <c r="AI104" i="7"/>
  <c r="AE97" i="8"/>
  <c r="AG96" i="7"/>
  <c r="AJ97" i="7"/>
  <c r="AJ96" i="7"/>
  <c r="L54" i="7"/>
  <c r="N55" i="7"/>
  <c r="N54" i="7"/>
  <c r="G86" i="8"/>
  <c r="I85" i="7"/>
  <c r="M86" i="7"/>
  <c r="M85" i="7"/>
  <c r="G55" i="8"/>
  <c r="I54" i="7"/>
  <c r="M55" i="7"/>
  <c r="M54" i="7"/>
  <c r="Y153" i="8"/>
  <c r="AH153" i="7"/>
  <c r="L75" i="7"/>
  <c r="N76" i="7"/>
  <c r="N75" i="7"/>
  <c r="AA105" i="7"/>
  <c r="AA104" i="7"/>
  <c r="Y106" i="8"/>
  <c r="AH106" i="7"/>
  <c r="AH105" i="7"/>
  <c r="AH104" i="7"/>
  <c r="AI153" i="7"/>
  <c r="F40" i="11"/>
  <c r="AE81" i="9"/>
  <c r="AJ81" i="8"/>
  <c r="N108" i="12"/>
  <c r="M108" i="12"/>
  <c r="V153" i="13"/>
  <c r="AA242" i="7"/>
  <c r="Y243" i="8"/>
  <c r="AH243" i="7"/>
  <c r="AH242" i="7"/>
  <c r="G73" i="8"/>
  <c r="I72" i="7"/>
  <c r="M73" i="7"/>
  <c r="M72" i="7"/>
  <c r="AD242" i="7"/>
  <c r="AI243" i="7"/>
  <c r="AI242" i="7"/>
  <c r="AS28" i="6"/>
  <c r="AG192" i="6"/>
  <c r="AJ228" i="12"/>
  <c r="AI228" i="12"/>
  <c r="AH228" i="12"/>
  <c r="V224" i="13"/>
  <c r="Y90" i="7"/>
  <c r="Y63" i="7"/>
  <c r="N100" i="11"/>
  <c r="AR7" i="6"/>
  <c r="D63" i="11"/>
  <c r="F64" i="11"/>
  <c r="BC14" i="11" s="1"/>
  <c r="AE235" i="8"/>
  <c r="AG234" i="7"/>
  <c r="AG233" i="7"/>
  <c r="AJ235" i="7"/>
  <c r="AJ234" i="7"/>
  <c r="AJ233" i="7"/>
  <c r="V67" i="12"/>
  <c r="V67" i="13" s="1"/>
  <c r="AA50" i="7"/>
  <c r="Y49" i="7"/>
  <c r="Y43" i="7"/>
  <c r="Y14" i="7"/>
  <c r="Y150" i="8"/>
  <c r="AA149" i="7"/>
  <c r="BO16" i="7"/>
  <c r="AH150" i="7"/>
  <c r="AH149" i="7"/>
  <c r="AE58" i="7"/>
  <c r="AE57" i="7"/>
  <c r="AE14" i="7"/>
  <c r="AG59" i="7"/>
  <c r="AE45" i="8"/>
  <c r="AG44" i="7"/>
  <c r="AJ45" i="7"/>
  <c r="AJ44" i="7"/>
  <c r="N90" i="12"/>
  <c r="V27" i="12"/>
  <c r="V27" i="13" s="1"/>
  <c r="X27" i="13" s="1"/>
  <c r="W153" i="13"/>
  <c r="AI145" i="6"/>
  <c r="AI110" i="6"/>
  <c r="AG66" i="7"/>
  <c r="AE65" i="7"/>
  <c r="W97" i="13"/>
  <c r="Y81" i="9"/>
  <c r="AH81" i="8"/>
  <c r="AH19" i="12"/>
  <c r="AJ19" i="12"/>
  <c r="AI19" i="12"/>
  <c r="I36" i="7"/>
  <c r="G35" i="7"/>
  <c r="AA114" i="7"/>
  <c r="Y115" i="8"/>
  <c r="AH115" i="7"/>
  <c r="AH114" i="7"/>
  <c r="AJ80" i="12"/>
  <c r="B24" i="13"/>
  <c r="Q128" i="12"/>
  <c r="AE90" i="7"/>
  <c r="Y211" i="8"/>
  <c r="AA210" i="7"/>
  <c r="BO27" i="7"/>
  <c r="AH211" i="7"/>
  <c r="AH210" i="7"/>
  <c r="AE243" i="8"/>
  <c r="AG242" i="7"/>
  <c r="AJ243" i="7"/>
  <c r="AJ242" i="7"/>
  <c r="I81" i="7"/>
  <c r="G82" i="8"/>
  <c r="M82" i="7"/>
  <c r="M81" i="7"/>
  <c r="D45" i="11"/>
  <c r="F46" i="11"/>
  <c r="AZ16" i="5"/>
  <c r="AZ17" i="5"/>
  <c r="AX17" i="5"/>
  <c r="AW17" i="5"/>
  <c r="F95" i="12"/>
  <c r="V73" i="12"/>
  <c r="G49" i="8"/>
  <c r="I48" i="7"/>
  <c r="M49" i="7"/>
  <c r="M48" i="7"/>
  <c r="AD141" i="7"/>
  <c r="BP20" i="7"/>
  <c r="AI142" i="7"/>
  <c r="AI141" i="7"/>
  <c r="AA14" i="6"/>
  <c r="AA12" i="6"/>
  <c r="N120" i="12"/>
  <c r="AD58" i="7"/>
  <c r="AD57" i="7"/>
  <c r="AI59" i="7"/>
  <c r="AI58" i="7"/>
  <c r="AI57" i="7"/>
  <c r="F49" i="11"/>
  <c r="Y175" i="8"/>
  <c r="AA174" i="7"/>
  <c r="AH175" i="7"/>
  <c r="AH174" i="7"/>
  <c r="L35" i="7"/>
  <c r="N36" i="7"/>
  <c r="N35" i="7"/>
  <c r="AD44" i="7"/>
  <c r="AI45" i="7"/>
  <c r="AI44" i="7"/>
  <c r="AG141" i="7"/>
  <c r="AJ142" i="7"/>
  <c r="AJ141" i="7"/>
  <c r="AD91" i="7"/>
  <c r="AI92" i="7"/>
  <c r="AI91" i="7"/>
  <c r="Y59" i="8"/>
  <c r="AA58" i="7"/>
  <c r="AA57" i="7"/>
  <c r="AH59" i="7"/>
  <c r="AH58" i="7"/>
  <c r="AH57" i="7"/>
  <c r="AS23" i="6"/>
  <c r="AU23" i="6"/>
  <c r="L25" i="7"/>
  <c r="AX8" i="7"/>
  <c r="AZ8" i="7"/>
  <c r="N26" i="7"/>
  <c r="N25" i="7"/>
  <c r="L66" i="7"/>
  <c r="N67" i="7"/>
  <c r="N66" i="7"/>
  <c r="D115" i="13"/>
  <c r="F115" i="12"/>
  <c r="F126" i="6"/>
  <c r="F130" i="6"/>
  <c r="Y171" i="8"/>
  <c r="AA170" i="7"/>
  <c r="AH171" i="7"/>
  <c r="AH170" i="7"/>
  <c r="AX24" i="6"/>
  <c r="AZ24" i="6"/>
  <c r="AV24" i="6"/>
  <c r="F13" i="11"/>
  <c r="V21" i="13"/>
  <c r="X21" i="12"/>
  <c r="F33" i="12"/>
  <c r="G61" i="8"/>
  <c r="I60" i="7"/>
  <c r="M61" i="7"/>
  <c r="M60" i="7"/>
  <c r="E78" i="12"/>
  <c r="AE70" i="8"/>
  <c r="AG69" i="7"/>
  <c r="AJ70" i="7"/>
  <c r="AJ69" i="7"/>
  <c r="F79" i="12"/>
  <c r="AW31" i="5"/>
  <c r="AY31" i="5"/>
  <c r="AX31" i="5"/>
  <c r="AZ31" i="5"/>
  <c r="AZ32" i="5"/>
  <c r="AQ32" i="5"/>
  <c r="M99" i="12"/>
  <c r="N99" i="12"/>
  <c r="O24" i="14"/>
  <c r="AD114" i="7"/>
  <c r="AI115" i="7"/>
  <c r="AI114" i="7"/>
  <c r="G12" i="8"/>
  <c r="I10" i="7"/>
  <c r="M12" i="7"/>
  <c r="M128" i="7"/>
  <c r="V205" i="13"/>
  <c r="V204" i="12"/>
  <c r="V22" i="13"/>
  <c r="X22" i="13" s="1"/>
  <c r="AI22" i="13" s="1"/>
  <c r="AE50" i="8"/>
  <c r="AG49" i="7"/>
  <c r="AJ50" i="7"/>
  <c r="AJ49" i="7"/>
  <c r="AD170" i="7"/>
  <c r="AI171" i="7"/>
  <c r="AI170" i="7"/>
  <c r="AH184" i="7"/>
  <c r="I104" i="7"/>
  <c r="G105" i="8"/>
  <c r="BD19" i="7"/>
  <c r="M105" i="7"/>
  <c r="M104" i="7"/>
  <c r="L94" i="7"/>
  <c r="N95" i="7"/>
  <c r="N94" i="7"/>
  <c r="AB231" i="7"/>
  <c r="G66" i="7"/>
  <c r="I67" i="7"/>
  <c r="AD185" i="7"/>
  <c r="AD183" i="7"/>
  <c r="AI186" i="7"/>
  <c r="AI185" i="7"/>
  <c r="W59" i="13"/>
  <c r="W58" i="13" s="1"/>
  <c r="W57" i="13" s="1"/>
  <c r="W58" i="12"/>
  <c r="W57" i="12" s="1"/>
  <c r="AH134" i="12"/>
  <c r="AJ134" i="12"/>
  <c r="BD15" i="7"/>
  <c r="F30" i="12"/>
  <c r="E81" i="12"/>
  <c r="AB195" i="7"/>
  <c r="AB194" i="7"/>
  <c r="AB90" i="7"/>
  <c r="AB63" i="7"/>
  <c r="AG14" i="6"/>
  <c r="AE184" i="8"/>
  <c r="AJ184" i="7"/>
  <c r="F81" i="11"/>
  <c r="AA91" i="7"/>
  <c r="Y92" i="8"/>
  <c r="AH92" i="7"/>
  <c r="AH91" i="7"/>
  <c r="AD174" i="7"/>
  <c r="AI175" i="7"/>
  <c r="AI174" i="7"/>
  <c r="F100" i="12"/>
  <c r="M100" i="12" s="1"/>
  <c r="I64" i="8"/>
  <c r="BD14" i="8"/>
  <c r="G63" i="8"/>
  <c r="AD226" i="7"/>
  <c r="AI227" i="7"/>
  <c r="AI226" i="7"/>
  <c r="Y84" i="8"/>
  <c r="AA83" i="7"/>
  <c r="AH84" i="7"/>
  <c r="AH83" i="7"/>
  <c r="AD210" i="7"/>
  <c r="BP27" i="7"/>
  <c r="AI211" i="7"/>
  <c r="AI210" i="7"/>
  <c r="V227" i="13"/>
  <c r="AD221" i="7"/>
  <c r="AI222" i="7"/>
  <c r="AI221" i="7"/>
  <c r="AA69" i="7"/>
  <c r="AA65" i="7"/>
  <c r="Y70" i="8"/>
  <c r="AH70" i="7"/>
  <c r="AH69" i="7"/>
  <c r="AH65" i="7"/>
  <c r="G8" i="6"/>
  <c r="G126" i="6"/>
  <c r="G130" i="6"/>
  <c r="AE175" i="8"/>
  <c r="AG174" i="7"/>
  <c r="AJ175" i="7"/>
  <c r="AJ174" i="7"/>
  <c r="L85" i="7"/>
  <c r="N86" i="7"/>
  <c r="N85" i="7"/>
  <c r="J60" i="7"/>
  <c r="F58" i="12"/>
  <c r="E94" i="12"/>
  <c r="V142" i="13"/>
  <c r="V33" i="12"/>
  <c r="V33" i="13" s="1"/>
  <c r="AD49" i="7"/>
  <c r="AI50" i="7"/>
  <c r="AI49" i="7"/>
  <c r="L51" i="7"/>
  <c r="N52" i="7"/>
  <c r="N51" i="7"/>
  <c r="F82" i="12"/>
  <c r="Y227" i="8"/>
  <c r="AA226" i="7"/>
  <c r="AH227" i="7"/>
  <c r="AH226" i="7"/>
  <c r="F76" i="12"/>
  <c r="AE186" i="8"/>
  <c r="AG185" i="7"/>
  <c r="AG183" i="7"/>
  <c r="AJ186" i="7"/>
  <c r="AJ185" i="7"/>
  <c r="F105" i="12"/>
  <c r="AS16" i="6"/>
  <c r="AA16" i="7"/>
  <c r="Y33" i="8"/>
  <c r="AH33" i="7"/>
  <c r="W157" i="12"/>
  <c r="W155" i="12" s="1"/>
  <c r="I23" i="7"/>
  <c r="G22" i="7"/>
  <c r="J28" i="7"/>
  <c r="AA157" i="7"/>
  <c r="BO18" i="7"/>
  <c r="AH157" i="7"/>
  <c r="AH155" i="7"/>
  <c r="D66" i="11"/>
  <c r="F67" i="11"/>
  <c r="Y231" i="7"/>
  <c r="AQ31" i="6"/>
  <c r="BH19" i="6"/>
  <c r="BH20" i="6"/>
  <c r="D42" i="11"/>
  <c r="F43" i="11"/>
  <c r="X14" i="9"/>
  <c r="AE106" i="8"/>
  <c r="AG105" i="7"/>
  <c r="AG104" i="7"/>
  <c r="AJ106" i="7"/>
  <c r="AJ105" i="7"/>
  <c r="AJ104" i="7"/>
  <c r="BP10" i="13"/>
  <c r="E33" i="14" s="1"/>
  <c r="Y219" i="7"/>
  <c r="W243" i="13"/>
  <c r="G43" i="8"/>
  <c r="AW10" i="7"/>
  <c r="AY10" i="7"/>
  <c r="I42" i="7"/>
  <c r="AR10" i="7"/>
  <c r="AU10" i="7"/>
  <c r="BD16" i="7"/>
  <c r="M43" i="7"/>
  <c r="M42" i="7"/>
  <c r="AE33" i="8"/>
  <c r="AJ33" i="7"/>
  <c r="AH165" i="12"/>
  <c r="V115" i="13"/>
  <c r="F70" i="12"/>
  <c r="N70" i="12" s="1"/>
  <c r="AX22" i="6"/>
  <c r="AW23" i="6"/>
  <c r="AV22" i="6"/>
  <c r="I30" i="8"/>
  <c r="G29" i="8"/>
  <c r="E48" i="13"/>
  <c r="E48" i="12"/>
  <c r="I94" i="7"/>
  <c r="G95" i="8"/>
  <c r="BD18" i="7"/>
  <c r="M95" i="7"/>
  <c r="M94" i="7"/>
  <c r="E85" i="12"/>
  <c r="BD20" i="7"/>
  <c r="G115" i="8"/>
  <c r="M115" i="7"/>
  <c r="Y36" i="8"/>
  <c r="AA35" i="7"/>
  <c r="AH36" i="7"/>
  <c r="AH35" i="7"/>
  <c r="L113" i="7"/>
  <c r="AS15" i="7"/>
  <c r="N115" i="7"/>
  <c r="N113" i="7"/>
  <c r="AB168" i="7"/>
  <c r="AI33" i="7"/>
  <c r="AD234" i="7"/>
  <c r="BP29" i="7"/>
  <c r="AI235" i="7"/>
  <c r="AI234" i="7"/>
  <c r="AI233" i="7"/>
  <c r="M106" i="12"/>
  <c r="N106" i="12"/>
  <c r="V28" i="12"/>
  <c r="X28" i="12" s="1"/>
  <c r="AD123" i="7"/>
  <c r="AI124" i="7"/>
  <c r="AI123" i="7"/>
  <c r="AI81" i="8"/>
  <c r="Y124" i="8"/>
  <c r="AA123" i="7"/>
  <c r="AH124" i="7"/>
  <c r="AH123" i="7"/>
  <c r="X124" i="12"/>
  <c r="AJ124" i="12" s="1"/>
  <c r="E32" i="12"/>
  <c r="V201" i="13"/>
  <c r="AD157" i="7"/>
  <c r="BP18" i="7"/>
  <c r="AI157" i="7"/>
  <c r="AI155" i="7"/>
  <c r="AD196" i="7"/>
  <c r="AI197" i="7"/>
  <c r="AI196" i="7"/>
  <c r="W36" i="13"/>
  <c r="L81" i="7"/>
  <c r="N82" i="7"/>
  <c r="N81" i="7"/>
  <c r="BJ11" i="6"/>
  <c r="AR27" i="6"/>
  <c r="Y142" i="8"/>
  <c r="AA141" i="7"/>
  <c r="BO20" i="7"/>
  <c r="AH142" i="7"/>
  <c r="AH141" i="7"/>
  <c r="AX27" i="6"/>
  <c r="AZ27" i="6"/>
  <c r="AV27" i="6"/>
  <c r="AE227" i="8"/>
  <c r="AG226" i="7"/>
  <c r="AJ227" i="7"/>
  <c r="AJ226" i="7"/>
  <c r="N124" i="12"/>
  <c r="M124" i="12"/>
  <c r="L63" i="7"/>
  <c r="N64" i="7"/>
  <c r="N63" i="7"/>
  <c r="X78" i="12"/>
  <c r="AJ78" i="12" s="1"/>
  <c r="N96" i="11"/>
  <c r="AG149" i="7"/>
  <c r="AG147" i="7"/>
  <c r="AJ150" i="7"/>
  <c r="AJ149" i="7"/>
  <c r="AW24" i="6"/>
  <c r="AY24" i="6"/>
  <c r="AU24" i="6"/>
  <c r="V92" i="13"/>
  <c r="AE171" i="8"/>
  <c r="AG170" i="7"/>
  <c r="AJ171" i="7"/>
  <c r="AJ170" i="7"/>
  <c r="F96" i="12"/>
  <c r="L32" i="7"/>
  <c r="N33" i="7"/>
  <c r="N32" i="7"/>
  <c r="L72" i="7"/>
  <c r="N73" i="7"/>
  <c r="N72" i="7"/>
  <c r="AD204" i="7"/>
  <c r="AI205" i="7"/>
  <c r="AI204" i="7"/>
  <c r="AG157" i="7"/>
  <c r="AG155" i="7"/>
  <c r="AJ157" i="7"/>
  <c r="AJ155" i="7"/>
  <c r="AG123" i="7"/>
  <c r="AJ124" i="7"/>
  <c r="AJ123" i="7"/>
  <c r="J10" i="7"/>
  <c r="N23" i="7"/>
  <c r="AX9" i="7"/>
  <c r="AZ9" i="7"/>
  <c r="L29" i="7"/>
  <c r="N30" i="7"/>
  <c r="N29" i="7"/>
  <c r="T15" i="7"/>
  <c r="L69" i="7"/>
  <c r="N70" i="7"/>
  <c r="N69" i="7"/>
  <c r="Y235" i="8"/>
  <c r="AA234" i="7"/>
  <c r="BO29" i="7"/>
  <c r="AH235" i="7"/>
  <c r="AH234" i="7"/>
  <c r="AH233" i="7"/>
  <c r="E66" i="12"/>
  <c r="AD83" i="7"/>
  <c r="AI84" i="7"/>
  <c r="AI83" i="7"/>
  <c r="Y20" i="8"/>
  <c r="AA21" i="8"/>
  <c r="F36" i="11"/>
  <c r="BC13" i="11" s="1"/>
  <c r="L48" i="7"/>
  <c r="N49" i="7"/>
  <c r="N48" i="7"/>
  <c r="D72" i="11"/>
  <c r="F73" i="11"/>
  <c r="Y222" i="8"/>
  <c r="AA221" i="7"/>
  <c r="AH222" i="7"/>
  <c r="AH221" i="7"/>
  <c r="W106" i="13"/>
  <c r="W105" i="12"/>
  <c r="G76" i="8"/>
  <c r="I75" i="7"/>
  <c r="M76" i="7"/>
  <c r="M75" i="7"/>
  <c r="X194" i="9"/>
  <c r="AQ28" i="9"/>
  <c r="Y197" i="8"/>
  <c r="AA196" i="7"/>
  <c r="AH197" i="7"/>
  <c r="AH196" i="7"/>
  <c r="V68" i="12"/>
  <c r="V68" i="13" s="1"/>
  <c r="V51" i="13"/>
  <c r="G58" i="8"/>
  <c r="I57" i="7"/>
  <c r="M58" i="7"/>
  <c r="M57" i="7"/>
  <c r="V29" i="12"/>
  <c r="V29" i="13" s="1"/>
  <c r="X29" i="13" s="1"/>
  <c r="AJ63" i="6"/>
  <c r="W50" i="13"/>
  <c r="W49" i="12"/>
  <c r="AD149" i="7"/>
  <c r="BP16" i="7"/>
  <c r="BP15" i="7"/>
  <c r="AI150" i="7"/>
  <c r="AI149" i="7"/>
  <c r="E69" i="12"/>
  <c r="Y112" i="7"/>
  <c r="Y205" i="8"/>
  <c r="AA204" i="7"/>
  <c r="AH205" i="7"/>
  <c r="AH204" i="7"/>
  <c r="AE92" i="8"/>
  <c r="AG91" i="7"/>
  <c r="AJ92" i="7"/>
  <c r="AJ91" i="7"/>
  <c r="AE36" i="8"/>
  <c r="AG35" i="7"/>
  <c r="AJ36" i="7"/>
  <c r="AJ35" i="7"/>
  <c r="AY23" i="5"/>
  <c r="BP11" i="12"/>
  <c r="AA185" i="7"/>
  <c r="AA183" i="7"/>
  <c r="AH186" i="7"/>
  <c r="AH185" i="7"/>
  <c r="AD35" i="7"/>
  <c r="BP14" i="7"/>
  <c r="AI36" i="7"/>
  <c r="AI35" i="7"/>
  <c r="AH132" i="13"/>
  <c r="W33" i="13"/>
  <c r="AI184" i="7"/>
  <c r="I46" i="8"/>
  <c r="G45" i="8"/>
  <c r="AX10" i="7"/>
  <c r="AZ10" i="7"/>
  <c r="L42" i="7"/>
  <c r="AS10" i="7"/>
  <c r="AV10" i="7"/>
  <c r="N43" i="7"/>
  <c r="N42" i="7"/>
  <c r="F86" i="12"/>
  <c r="AB43" i="7"/>
  <c r="AB14" i="7"/>
  <c r="W92" i="13"/>
  <c r="AI30" i="12"/>
  <c r="BO15" i="7"/>
  <c r="BP32" i="6"/>
  <c r="AE63" i="7"/>
  <c r="AE12" i="7"/>
  <c r="AE10" i="7"/>
  <c r="X10" i="8"/>
  <c r="X8" i="8"/>
  <c r="V257" i="8"/>
  <c r="V10" i="9"/>
  <c r="V257" i="9"/>
  <c r="BP12" i="7"/>
  <c r="BP9" i="7"/>
  <c r="BN8" i="9"/>
  <c r="BN7" i="9"/>
  <c r="BN32" i="9"/>
  <c r="AE8" i="7"/>
  <c r="AE259" i="7"/>
  <c r="BP28" i="7"/>
  <c r="BP25" i="7"/>
  <c r="BO28" i="7"/>
  <c r="BO25" i="7"/>
  <c r="BO14" i="7"/>
  <c r="BO12" i="7"/>
  <c r="BO9" i="7"/>
  <c r="AV31" i="5"/>
  <c r="AD155" i="7"/>
  <c r="X110" i="9"/>
  <c r="AQ26" i="9"/>
  <c r="Y255" i="9"/>
  <c r="AH255" i="8"/>
  <c r="AI156" i="9"/>
  <c r="AA233" i="7"/>
  <c r="AJ156" i="9"/>
  <c r="AI255" i="8"/>
  <c r="BH12" i="9"/>
  <c r="AE255" i="9"/>
  <c r="AJ255" i="8"/>
  <c r="AD233" i="7"/>
  <c r="AD231" i="7"/>
  <c r="AA155" i="7"/>
  <c r="Y1" i="5"/>
  <c r="AV32" i="4"/>
  <c r="BH8" i="8"/>
  <c r="AY17" i="6"/>
  <c r="BJ8" i="6"/>
  <c r="AQ30" i="9"/>
  <c r="V91" i="12"/>
  <c r="AZ31" i="4"/>
  <c r="AZ32" i="4"/>
  <c r="AG90" i="7"/>
  <c r="AR28" i="6"/>
  <c r="AW28" i="6"/>
  <c r="AY28" i="6"/>
  <c r="BJ12" i="6"/>
  <c r="AA192" i="6"/>
  <c r="BI12" i="6"/>
  <c r="Y192" i="7"/>
  <c r="BH11" i="8"/>
  <c r="AB192" i="7"/>
  <c r="V94" i="13"/>
  <c r="X94" i="13" s="1"/>
  <c r="G71" i="9"/>
  <c r="I71" i="9"/>
  <c r="I128" i="9"/>
  <c r="M71" i="8"/>
  <c r="AD209" i="7"/>
  <c r="AD208" i="7"/>
  <c r="AA209" i="7"/>
  <c r="AA208" i="7"/>
  <c r="AG209" i="7"/>
  <c r="AG208" i="7"/>
  <c r="AS29" i="7"/>
  <c r="AV29" i="7"/>
  <c r="X63" i="9"/>
  <c r="X12" i="9"/>
  <c r="AQ25" i="9"/>
  <c r="Y212" i="11"/>
  <c r="AA212" i="11" s="1"/>
  <c r="F17" i="8"/>
  <c r="AE217" i="8"/>
  <c r="AE261" i="8"/>
  <c r="AJ217" i="7"/>
  <c r="AJ261" i="7"/>
  <c r="AB261" i="8"/>
  <c r="AI217" i="7"/>
  <c r="AI261" i="7"/>
  <c r="Y217" i="8"/>
  <c r="Y261" i="8"/>
  <c r="AH217" i="7"/>
  <c r="AH261" i="7"/>
  <c r="AQ27" i="9"/>
  <c r="V239" i="13"/>
  <c r="X239" i="13" s="1"/>
  <c r="AH102" i="12"/>
  <c r="AJ237" i="11"/>
  <c r="AH237" i="11"/>
  <c r="AI237" i="11"/>
  <c r="F21" i="9"/>
  <c r="F19" i="9"/>
  <c r="F17" i="9"/>
  <c r="AC1" i="5"/>
  <c r="BC22" i="9"/>
  <c r="W98" i="13"/>
  <c r="BC15" i="11"/>
  <c r="BH8" i="9"/>
  <c r="AR22" i="13"/>
  <c r="AW22" i="13" s="1"/>
  <c r="W157" i="13"/>
  <c r="W155" i="13" s="1"/>
  <c r="AU30" i="6"/>
  <c r="I24" i="10"/>
  <c r="N22" i="6"/>
  <c r="Y51" i="11"/>
  <c r="AA51" i="11" s="1"/>
  <c r="G28" i="7"/>
  <c r="G21" i="7"/>
  <c r="G19" i="7"/>
  <c r="G17" i="7"/>
  <c r="G8" i="7"/>
  <c r="AH16" i="7"/>
  <c r="F97" i="12"/>
  <c r="AI107" i="12"/>
  <c r="AH107" i="12"/>
  <c r="AJ107" i="12"/>
  <c r="AI100" i="12"/>
  <c r="AJ100" i="12"/>
  <c r="G122" i="8"/>
  <c r="G128" i="8"/>
  <c r="BD21" i="7"/>
  <c r="M122" i="7"/>
  <c r="M113" i="7"/>
  <c r="AY35" i="4"/>
  <c r="AZ35" i="4"/>
  <c r="F39" i="12"/>
  <c r="M88" i="11"/>
  <c r="J22" i="7"/>
  <c r="M33" i="7"/>
  <c r="M32" i="7"/>
  <c r="G33" i="8"/>
  <c r="I32" i="7"/>
  <c r="AJ253" i="12"/>
  <c r="F107" i="12"/>
  <c r="M26" i="7"/>
  <c r="M25" i="7"/>
  <c r="AW8" i="7"/>
  <c r="AY8" i="7"/>
  <c r="BD11" i="7"/>
  <c r="I25" i="7"/>
  <c r="AR8" i="7"/>
  <c r="AU8" i="7"/>
  <c r="G26" i="8"/>
  <c r="AR32" i="4"/>
  <c r="AU31" i="4"/>
  <c r="AJ237" i="12"/>
  <c r="I62" i="10"/>
  <c r="M62" i="10" s="1"/>
  <c r="M60" i="10" s="1"/>
  <c r="AH117" i="12"/>
  <c r="AI55" i="13"/>
  <c r="AH159" i="12"/>
  <c r="AJ160" i="12"/>
  <c r="D117" i="13"/>
  <c r="N101" i="12"/>
  <c r="AH85" i="12"/>
  <c r="AJ85" i="12"/>
  <c r="F109" i="12"/>
  <c r="M109" i="12" s="1"/>
  <c r="AI86" i="12"/>
  <c r="AH177" i="12"/>
  <c r="F88" i="12"/>
  <c r="AQ11" i="12" s="1"/>
  <c r="AJ24" i="12"/>
  <c r="AH24" i="12"/>
  <c r="AI213" i="12"/>
  <c r="AJ158" i="12"/>
  <c r="AH158" i="12"/>
  <c r="BI8" i="6"/>
  <c r="BI7" i="6"/>
  <c r="W8" i="9"/>
  <c r="W259" i="9"/>
  <c r="W263" i="9"/>
  <c r="AV14" i="5"/>
  <c r="W118" i="12"/>
  <c r="V118" i="12"/>
  <c r="X118" i="12" s="1"/>
  <c r="V121" i="12"/>
  <c r="AD192" i="6"/>
  <c r="BJ10" i="6"/>
  <c r="AU25" i="6"/>
  <c r="AU26" i="6"/>
  <c r="AD10" i="6"/>
  <c r="AD8" i="6"/>
  <c r="AA147" i="7"/>
  <c r="AD147" i="7"/>
  <c r="Y125" i="13"/>
  <c r="AA125" i="13" s="1"/>
  <c r="BP19" i="13"/>
  <c r="BI9" i="7"/>
  <c r="AB257" i="6"/>
  <c r="F8" i="7"/>
  <c r="F126" i="7"/>
  <c r="F130" i="7"/>
  <c r="L28" i="7"/>
  <c r="AS9" i="7"/>
  <c r="AV9" i="7"/>
  <c r="AH219" i="7"/>
  <c r="AA219" i="7"/>
  <c r="BO30" i="7"/>
  <c r="AV30" i="6"/>
  <c r="AR9" i="6"/>
  <c r="AU9" i="6"/>
  <c r="I19" i="6"/>
  <c r="I17" i="6"/>
  <c r="AV26" i="6"/>
  <c r="AA257" i="5"/>
  <c r="I8" i="5"/>
  <c r="I126" i="5"/>
  <c r="AR17" i="5"/>
  <c r="AU17" i="5"/>
  <c r="AI183" i="7"/>
  <c r="AI168" i="7"/>
  <c r="AI219" i="7"/>
  <c r="Y257" i="6"/>
  <c r="AH231" i="7"/>
  <c r="AA231" i="7"/>
  <c r="AS24" i="7"/>
  <c r="AX24" i="7"/>
  <c r="AZ24" i="7"/>
  <c r="AD90" i="7"/>
  <c r="AD63" i="7"/>
  <c r="AJ90" i="7"/>
  <c r="AE257" i="6"/>
  <c r="AA10" i="6"/>
  <c r="AG12" i="6"/>
  <c r="AG10" i="6"/>
  <c r="Y110" i="7"/>
  <c r="AB110" i="7"/>
  <c r="Y12" i="7"/>
  <c r="AJ12" i="6"/>
  <c r="AJ10" i="6"/>
  <c r="AV25" i="6"/>
  <c r="AB12" i="7"/>
  <c r="AH10" i="6"/>
  <c r="AW32" i="5"/>
  <c r="AJ16" i="7"/>
  <c r="AY32" i="5"/>
  <c r="AY35" i="5"/>
  <c r="AG219" i="7"/>
  <c r="AX32" i="5"/>
  <c r="AS8" i="7"/>
  <c r="AV8" i="7"/>
  <c r="AD195" i="7"/>
  <c r="AH195" i="7"/>
  <c r="AH194" i="7"/>
  <c r="AI231" i="7"/>
  <c r="AI90" i="7"/>
  <c r="AI63" i="7"/>
  <c r="AA90" i="7"/>
  <c r="AA63" i="7"/>
  <c r="AJ43" i="7"/>
  <c r="J42" i="8"/>
  <c r="AX10" i="8"/>
  <c r="AZ10" i="8"/>
  <c r="J48" i="8"/>
  <c r="AB83" i="8"/>
  <c r="AE149" i="8"/>
  <c r="AE147" i="8"/>
  <c r="AR23" i="7"/>
  <c r="I43" i="8"/>
  <c r="G42" i="8"/>
  <c r="D66" i="12"/>
  <c r="F67" i="12"/>
  <c r="F66" i="12" s="1"/>
  <c r="AG184" i="8"/>
  <c r="J94" i="8"/>
  <c r="AB170" i="8"/>
  <c r="I12" i="8"/>
  <c r="G10" i="8"/>
  <c r="AQ33" i="5"/>
  <c r="AV32" i="5"/>
  <c r="D13" i="13"/>
  <c r="AX8" i="8"/>
  <c r="AZ8" i="8"/>
  <c r="J25" i="8"/>
  <c r="AX23" i="6"/>
  <c r="AZ23" i="6"/>
  <c r="AV23" i="6"/>
  <c r="AB141" i="8"/>
  <c r="I49" i="8"/>
  <c r="BD15" i="8"/>
  <c r="G48" i="8"/>
  <c r="Y50" i="8"/>
  <c r="AA49" i="7"/>
  <c r="AA43" i="7"/>
  <c r="AH50" i="7"/>
  <c r="AH49" i="7"/>
  <c r="AH43" i="7"/>
  <c r="AA243" i="8"/>
  <c r="Y242" i="8"/>
  <c r="AG81" i="9"/>
  <c r="AE81" i="10"/>
  <c r="AA153" i="8"/>
  <c r="J54" i="8"/>
  <c r="AV17" i="5"/>
  <c r="AA45" i="8"/>
  <c r="Y44" i="8"/>
  <c r="AG145" i="7"/>
  <c r="AE20" i="8"/>
  <c r="AE16" i="8"/>
  <c r="AG21" i="8"/>
  <c r="AQ31" i="7"/>
  <c r="AR24" i="7"/>
  <c r="BP11" i="13"/>
  <c r="AE91" i="8"/>
  <c r="AG92" i="8"/>
  <c r="Y204" i="8"/>
  <c r="AA205" i="8"/>
  <c r="AB149" i="8"/>
  <c r="AB147" i="8"/>
  <c r="X192" i="9"/>
  <c r="F73" i="12"/>
  <c r="AA235" i="8"/>
  <c r="Y234" i="8"/>
  <c r="Y233" i="8"/>
  <c r="J69" i="8"/>
  <c r="AB204" i="8"/>
  <c r="AE170" i="8"/>
  <c r="AG171" i="8"/>
  <c r="J63" i="8"/>
  <c r="AB196" i="8"/>
  <c r="BP26" i="8"/>
  <c r="BP17" i="8"/>
  <c r="AB123" i="8"/>
  <c r="BJ15" i="7"/>
  <c r="AA36" i="8"/>
  <c r="Y35" i="8"/>
  <c r="AW15" i="7"/>
  <c r="AY15" i="7"/>
  <c r="AU15" i="7"/>
  <c r="AG33" i="8"/>
  <c r="AW31" i="6"/>
  <c r="AY31" i="6"/>
  <c r="AX31" i="6"/>
  <c r="AZ31" i="6"/>
  <c r="AQ32" i="6"/>
  <c r="G23" i="8"/>
  <c r="BD12" i="7"/>
  <c r="I22" i="7"/>
  <c r="AW7" i="7"/>
  <c r="AY7" i="7"/>
  <c r="M23" i="7"/>
  <c r="M22" i="7"/>
  <c r="AD219" i="7"/>
  <c r="BP30" i="7"/>
  <c r="AH90" i="7"/>
  <c r="AH63" i="7"/>
  <c r="G67" i="8"/>
  <c r="I66" i="7"/>
  <c r="M67" i="7"/>
  <c r="M66" i="7"/>
  <c r="AH183" i="7"/>
  <c r="AH168" i="7"/>
  <c r="AI112" i="7"/>
  <c r="AI10" i="6"/>
  <c r="AI8" i="6"/>
  <c r="AE141" i="8"/>
  <c r="AI43" i="7"/>
  <c r="J35" i="8"/>
  <c r="AA175" i="8"/>
  <c r="Y174" i="8"/>
  <c r="F49" i="12"/>
  <c r="AH112" i="7"/>
  <c r="G36" i="8"/>
  <c r="I35" i="7"/>
  <c r="M36" i="7"/>
  <c r="M35" i="7"/>
  <c r="AW9" i="7"/>
  <c r="AY9" i="7"/>
  <c r="BD13" i="7"/>
  <c r="AA81" i="9"/>
  <c r="Y81" i="10"/>
  <c r="AG43" i="7"/>
  <c r="J75" i="8"/>
  <c r="I55" i="8"/>
  <c r="G54" i="8"/>
  <c r="I86" i="8"/>
  <c r="G85" i="8"/>
  <c r="J57" i="8"/>
  <c r="AJ112" i="7"/>
  <c r="W43" i="12"/>
  <c r="J104" i="8"/>
  <c r="E22" i="12"/>
  <c r="AG205" i="8"/>
  <c r="AE204" i="8"/>
  <c r="AB69" i="8"/>
  <c r="AB65" i="8"/>
  <c r="AJ195" i="7"/>
  <c r="AJ194" i="7"/>
  <c r="AB35" i="8"/>
  <c r="I58" i="8"/>
  <c r="G57" i="8"/>
  <c r="I76" i="8"/>
  <c r="G75" i="8"/>
  <c r="Y21" i="9"/>
  <c r="AA20" i="8"/>
  <c r="AH21" i="8"/>
  <c r="AH20" i="8"/>
  <c r="AG168" i="7"/>
  <c r="AS27" i="7"/>
  <c r="J113" i="8"/>
  <c r="AA33" i="8"/>
  <c r="Y16" i="8"/>
  <c r="AG186" i="8"/>
  <c r="AE185" i="8"/>
  <c r="AE183" i="8"/>
  <c r="Y83" i="8"/>
  <c r="AA84" i="8"/>
  <c r="AB174" i="8"/>
  <c r="AA171" i="8"/>
  <c r="Y170" i="8"/>
  <c r="Y210" i="8"/>
  <c r="AA211" i="8"/>
  <c r="AE234" i="8"/>
  <c r="AE233" i="8"/>
  <c r="AG235" i="8"/>
  <c r="AG36" i="8"/>
  <c r="AE35" i="8"/>
  <c r="X29" i="12"/>
  <c r="AH29" i="12" s="1"/>
  <c r="AA195" i="7"/>
  <c r="AA222" i="8"/>
  <c r="Y221" i="8"/>
  <c r="T15" i="8"/>
  <c r="J29" i="8"/>
  <c r="AE123" i="8"/>
  <c r="J72" i="8"/>
  <c r="J32" i="8"/>
  <c r="AG227" i="8"/>
  <c r="AE226" i="8"/>
  <c r="AW27" i="6"/>
  <c r="AY27" i="6"/>
  <c r="AU27" i="6"/>
  <c r="AI195" i="7"/>
  <c r="AI194" i="7"/>
  <c r="AB234" i="8"/>
  <c r="AB233" i="8"/>
  <c r="G30" i="9"/>
  <c r="I29" i="8"/>
  <c r="M30" i="8"/>
  <c r="M29" i="8"/>
  <c r="AZ22" i="6"/>
  <c r="AE105" i="8"/>
  <c r="AE104" i="8"/>
  <c r="AG106" i="8"/>
  <c r="F66" i="11"/>
  <c r="AX16" i="6"/>
  <c r="AV16" i="6"/>
  <c r="J51" i="8"/>
  <c r="J85" i="8"/>
  <c r="AE174" i="8"/>
  <c r="AG175" i="8"/>
  <c r="AA70" i="8"/>
  <c r="Y69" i="8"/>
  <c r="Y65" i="8"/>
  <c r="AB221" i="8"/>
  <c r="AB210" i="8"/>
  <c r="G64" i="9"/>
  <c r="I63" i="8"/>
  <c r="M64" i="8"/>
  <c r="M63" i="8"/>
  <c r="AA92" i="8"/>
  <c r="Y91" i="8"/>
  <c r="AJ183" i="7"/>
  <c r="AJ168" i="7"/>
  <c r="AB185" i="8"/>
  <c r="AB183" i="8"/>
  <c r="M10" i="7"/>
  <c r="AD112" i="7"/>
  <c r="AE69" i="8"/>
  <c r="AG70" i="8"/>
  <c r="AD43" i="7"/>
  <c r="AW14" i="7"/>
  <c r="AY14" i="7"/>
  <c r="F46" i="12"/>
  <c r="BC15" i="12" s="1"/>
  <c r="I82" i="8"/>
  <c r="G81" i="8"/>
  <c r="P126" i="12"/>
  <c r="P130" i="12" s="1"/>
  <c r="AA115" i="8"/>
  <c r="Y114" i="8"/>
  <c r="AE66" i="8"/>
  <c r="AJ66" i="7"/>
  <c r="AJ65" i="7"/>
  <c r="AS22" i="7"/>
  <c r="AG65" i="7"/>
  <c r="AG45" i="8"/>
  <c r="AE44" i="8"/>
  <c r="AE59" i="8"/>
  <c r="AG58" i="7"/>
  <c r="AG57" i="7"/>
  <c r="AJ59" i="7"/>
  <c r="AJ58" i="7"/>
  <c r="AJ57" i="7"/>
  <c r="AA150" i="8"/>
  <c r="Y149" i="8"/>
  <c r="Y147" i="8"/>
  <c r="V40" i="13"/>
  <c r="X40" i="12"/>
  <c r="AJ231" i="7"/>
  <c r="F64" i="12"/>
  <c r="BC14" i="12" s="1"/>
  <c r="AU7" i="6"/>
  <c r="V54" i="13"/>
  <c r="X54" i="13" s="1"/>
  <c r="AI54" i="13" s="1"/>
  <c r="D10" i="12"/>
  <c r="AJ224" i="12"/>
  <c r="AI224" i="12"/>
  <c r="AH224" i="12"/>
  <c r="AX28" i="6"/>
  <c r="AZ28" i="6"/>
  <c r="AV28" i="6"/>
  <c r="I73" i="8"/>
  <c r="G72" i="8"/>
  <c r="N40" i="11"/>
  <c r="M40" i="11"/>
  <c r="AI147" i="7"/>
  <c r="AA106" i="8"/>
  <c r="Y105" i="8"/>
  <c r="Y104" i="8"/>
  <c r="AH147" i="7"/>
  <c r="AE96" i="8"/>
  <c r="AG97" i="8"/>
  <c r="AB105" i="8"/>
  <c r="AB104" i="8"/>
  <c r="AD106" i="8"/>
  <c r="AG84" i="8"/>
  <c r="AE83" i="8"/>
  <c r="AJ219" i="7"/>
  <c r="AG112" i="7"/>
  <c r="I52" i="8"/>
  <c r="G51" i="8"/>
  <c r="Y96" i="8"/>
  <c r="AA97" i="8"/>
  <c r="AG211" i="8"/>
  <c r="AE210" i="8"/>
  <c r="AB20" i="8"/>
  <c r="AB16" i="8"/>
  <c r="AG195" i="7"/>
  <c r="AG194" i="7"/>
  <c r="AR31" i="5"/>
  <c r="L10" i="7"/>
  <c r="N12" i="7"/>
  <c r="N10" i="7"/>
  <c r="G46" i="9"/>
  <c r="I45" i="8"/>
  <c r="M46" i="8"/>
  <c r="M45" i="8"/>
  <c r="Y185" i="8"/>
  <c r="Y183" i="8"/>
  <c r="AA197" i="8"/>
  <c r="BO26" i="8"/>
  <c r="Y196" i="8"/>
  <c r="F36" i="12"/>
  <c r="N28" i="7"/>
  <c r="AE157" i="8"/>
  <c r="AE155" i="8"/>
  <c r="AA142" i="8"/>
  <c r="Y141" i="8"/>
  <c r="J81" i="8"/>
  <c r="AB157" i="8"/>
  <c r="AB155" i="8"/>
  <c r="AA124" i="8"/>
  <c r="BO17" i="8"/>
  <c r="Y123" i="8"/>
  <c r="AI16" i="7"/>
  <c r="AX15" i="7"/>
  <c r="AZ15" i="7"/>
  <c r="AV15" i="7"/>
  <c r="I115" i="8"/>
  <c r="I95" i="8"/>
  <c r="BD18" i="8"/>
  <c r="G94" i="8"/>
  <c r="F43" i="12"/>
  <c r="BC16" i="12" s="1"/>
  <c r="Y157" i="8"/>
  <c r="Y155" i="8"/>
  <c r="BI15" i="7"/>
  <c r="Y226" i="8"/>
  <c r="AA227" i="8"/>
  <c r="AB49" i="8"/>
  <c r="L60" i="7"/>
  <c r="N61" i="7"/>
  <c r="N60" i="7"/>
  <c r="AB226" i="8"/>
  <c r="N100" i="12"/>
  <c r="I105" i="8"/>
  <c r="BD19" i="8"/>
  <c r="G104" i="8"/>
  <c r="AD168" i="7"/>
  <c r="BP24" i="7"/>
  <c r="BP22" i="7"/>
  <c r="AG50" i="8"/>
  <c r="AE49" i="8"/>
  <c r="BD7" i="7"/>
  <c r="AR16" i="7"/>
  <c r="AB114" i="8"/>
  <c r="I61" i="8"/>
  <c r="G60" i="8"/>
  <c r="AA168" i="7"/>
  <c r="BO24" i="7"/>
  <c r="BO22" i="7"/>
  <c r="J66" i="8"/>
  <c r="AY23" i="6"/>
  <c r="AA59" i="8"/>
  <c r="Y58" i="8"/>
  <c r="Y57" i="8"/>
  <c r="AB91" i="8"/>
  <c r="AB44" i="8"/>
  <c r="AB58" i="8"/>
  <c r="AB57" i="8"/>
  <c r="AE242" i="8"/>
  <c r="AG243" i="8"/>
  <c r="P24" i="14"/>
  <c r="C126" i="12"/>
  <c r="C130" i="12"/>
  <c r="AA112" i="7"/>
  <c r="AG231" i="7"/>
  <c r="AB242" i="8"/>
  <c r="F40" i="12"/>
  <c r="M40" i="12" s="1"/>
  <c r="V45" i="13"/>
  <c r="L45" i="7"/>
  <c r="N46" i="7"/>
  <c r="N45" i="7"/>
  <c r="D60" i="13"/>
  <c r="I70" i="8"/>
  <c r="G69" i="8"/>
  <c r="F23" i="12"/>
  <c r="BC12" i="12"/>
  <c r="AE221" i="8"/>
  <c r="AG222" i="8"/>
  <c r="AE114" i="8"/>
  <c r="BD17" i="7"/>
  <c r="AB96" i="8"/>
  <c r="AJ147" i="7"/>
  <c r="AG197" i="8"/>
  <c r="AE196" i="8"/>
  <c r="L126" i="5"/>
  <c r="X10" i="9"/>
  <c r="X8" i="9"/>
  <c r="X259" i="9"/>
  <c r="X263" i="9"/>
  <c r="V8" i="9"/>
  <c r="V259" i="9"/>
  <c r="V263" i="9"/>
  <c r="X257" i="8"/>
  <c r="AQ31" i="8"/>
  <c r="BP13" i="7"/>
  <c r="BP8" i="7"/>
  <c r="BP7" i="7"/>
  <c r="BP32" i="7"/>
  <c r="BO13" i="7"/>
  <c r="BO8" i="7"/>
  <c r="BO7" i="7"/>
  <c r="BO32" i="7"/>
  <c r="AH257" i="6"/>
  <c r="AH8" i="6"/>
  <c r="AG257" i="6"/>
  <c r="AS31" i="6"/>
  <c r="AS32" i="6"/>
  <c r="AV32" i="6"/>
  <c r="AG8" i="6"/>
  <c r="AA8" i="6"/>
  <c r="U1" i="6"/>
  <c r="AG255" i="9"/>
  <c r="AA255" i="9"/>
  <c r="AH156" i="10"/>
  <c r="AJ257" i="6"/>
  <c r="AJ8" i="6"/>
  <c r="BH7" i="8"/>
  <c r="BJ7" i="6"/>
  <c r="BJ16" i="6"/>
  <c r="AU28" i="6"/>
  <c r="AB209" i="8"/>
  <c r="AB208" i="8"/>
  <c r="G71" i="10"/>
  <c r="I71" i="10"/>
  <c r="M71" i="10" s="1"/>
  <c r="AG63" i="7"/>
  <c r="AI102" i="12"/>
  <c r="AX29" i="7"/>
  <c r="AZ29" i="7"/>
  <c r="AR29" i="7"/>
  <c r="AU29" i="7"/>
  <c r="BJ12" i="7"/>
  <c r="BI16" i="6"/>
  <c r="BH11" i="9"/>
  <c r="BH7" i="9"/>
  <c r="BH16" i="9"/>
  <c r="BH17" i="9"/>
  <c r="Y209" i="8"/>
  <c r="Y208" i="8"/>
  <c r="G113" i="8"/>
  <c r="M71" i="9"/>
  <c r="F8" i="8"/>
  <c r="F126" i="8"/>
  <c r="F130" i="8"/>
  <c r="AE209" i="8"/>
  <c r="AE208" i="8"/>
  <c r="AE219" i="8"/>
  <c r="AG217" i="8"/>
  <c r="AG261" i="8"/>
  <c r="AJ209" i="7"/>
  <c r="AJ208" i="7"/>
  <c r="AJ192" i="7"/>
  <c r="AI209" i="7"/>
  <c r="AI208" i="7"/>
  <c r="AI192" i="7"/>
  <c r="AA217" i="8"/>
  <c r="AA261" i="8"/>
  <c r="BO31" i="8"/>
  <c r="AH209" i="7"/>
  <c r="AH208" i="7"/>
  <c r="AH192" i="7"/>
  <c r="AJ102" i="12"/>
  <c r="AX9" i="8"/>
  <c r="AZ9" i="8"/>
  <c r="BC19" i="12"/>
  <c r="G115" i="10"/>
  <c r="BD20" i="8"/>
  <c r="J113" i="10"/>
  <c r="BD16" i="8"/>
  <c r="AW10" i="8"/>
  <c r="AY10" i="8"/>
  <c r="I28" i="7"/>
  <c r="AR9" i="7"/>
  <c r="AU9" i="7"/>
  <c r="AH14" i="7"/>
  <c r="AH12" i="7"/>
  <c r="G24" i="11"/>
  <c r="I24" i="11" s="1"/>
  <c r="G24" i="12" s="1"/>
  <c r="I24" i="12" s="1"/>
  <c r="G24" i="13" s="1"/>
  <c r="Y51" i="12"/>
  <c r="AA51" i="12" s="1"/>
  <c r="M28" i="7"/>
  <c r="M21" i="7"/>
  <c r="M19" i="7"/>
  <c r="M17" i="7"/>
  <c r="M8" i="7"/>
  <c r="M126" i="7"/>
  <c r="M130" i="7"/>
  <c r="N109" i="12"/>
  <c r="G25" i="8"/>
  <c r="I26" i="8"/>
  <c r="N24" i="7"/>
  <c r="AX7" i="7"/>
  <c r="AZ7" i="7"/>
  <c r="L22" i="7"/>
  <c r="AS7" i="7"/>
  <c r="AV7" i="7"/>
  <c r="AA81" i="10"/>
  <c r="I33" i="8"/>
  <c r="G32" i="8"/>
  <c r="I122" i="8"/>
  <c r="BD21" i="8"/>
  <c r="AG81" i="10"/>
  <c r="AU35" i="4"/>
  <c r="AV35" i="4"/>
  <c r="AU32" i="4"/>
  <c r="M97" i="12"/>
  <c r="N97" i="12"/>
  <c r="Y231" i="8"/>
  <c r="BI14" i="7"/>
  <c r="W118" i="13"/>
  <c r="V118" i="13"/>
  <c r="Y1" i="6"/>
  <c r="AA145" i="7"/>
  <c r="AA110" i="7"/>
  <c r="AD145" i="7"/>
  <c r="AD110" i="7"/>
  <c r="AR26" i="7"/>
  <c r="AW26" i="7"/>
  <c r="AY26" i="7"/>
  <c r="BI10" i="7"/>
  <c r="AR14" i="6"/>
  <c r="AU14" i="6"/>
  <c r="BI13" i="7"/>
  <c r="BI11" i="7"/>
  <c r="K1" i="5"/>
  <c r="J5" i="5"/>
  <c r="AS30" i="7"/>
  <c r="AX30" i="7"/>
  <c r="AZ30" i="7"/>
  <c r="AJ63" i="7"/>
  <c r="Y195" i="8"/>
  <c r="Y194" i="8"/>
  <c r="L130" i="5"/>
  <c r="I130" i="5"/>
  <c r="AV24" i="7"/>
  <c r="AD194" i="7"/>
  <c r="AD192" i="7"/>
  <c r="AB43" i="8"/>
  <c r="AB14" i="8"/>
  <c r="AE195" i="8"/>
  <c r="AE194" i="8"/>
  <c r="AE192" i="8"/>
  <c r="Y10" i="7"/>
  <c r="Y8" i="7"/>
  <c r="AB10" i="7"/>
  <c r="AB8" i="7"/>
  <c r="AJ14" i="7"/>
  <c r="AV31" i="6"/>
  <c r="AE112" i="8"/>
  <c r="AB195" i="8"/>
  <c r="AB194" i="8"/>
  <c r="AR32" i="5"/>
  <c r="AV35" i="5"/>
  <c r="AU31" i="5"/>
  <c r="AJ145" i="7"/>
  <c r="AJ110" i="7"/>
  <c r="AZ35" i="5"/>
  <c r="AW32" i="6"/>
  <c r="G126" i="7"/>
  <c r="AE43" i="8"/>
  <c r="Y168" i="8"/>
  <c r="AH145" i="7"/>
  <c r="AH110" i="7"/>
  <c r="Y145" i="8"/>
  <c r="AG110" i="7"/>
  <c r="AS26" i="7"/>
  <c r="AX26" i="7"/>
  <c r="AZ26" i="7"/>
  <c r="AS25" i="7"/>
  <c r="AX25" i="7"/>
  <c r="AZ25" i="7"/>
  <c r="AI14" i="7"/>
  <c r="AI12" i="7"/>
  <c r="AB145" i="8"/>
  <c r="AG114" i="8"/>
  <c r="AJ115" i="8"/>
  <c r="AJ114" i="8"/>
  <c r="AD91" i="8"/>
  <c r="AI92" i="8"/>
  <c r="AI91" i="8"/>
  <c r="AD114" i="8"/>
  <c r="AI115" i="8"/>
  <c r="AI114" i="8"/>
  <c r="J60" i="8"/>
  <c r="AI28" i="12"/>
  <c r="AH28" i="12"/>
  <c r="AJ28" i="12"/>
  <c r="AS16" i="7"/>
  <c r="AD20" i="8"/>
  <c r="AD16" i="8"/>
  <c r="AI21" i="8"/>
  <c r="AI20" i="8"/>
  <c r="Y97" i="9"/>
  <c r="AA96" i="8"/>
  <c r="AH97" i="8"/>
  <c r="AH96" i="8"/>
  <c r="Y150" i="9"/>
  <c r="AA149" i="8"/>
  <c r="BO16" i="8"/>
  <c r="AH150" i="8"/>
  <c r="AH149" i="8"/>
  <c r="AG66" i="8"/>
  <c r="AS22" i="8"/>
  <c r="AE65" i="8"/>
  <c r="AZ16" i="6"/>
  <c r="AE106" i="9"/>
  <c r="AG105" i="8"/>
  <c r="AG104" i="8"/>
  <c r="AJ106" i="8"/>
  <c r="AJ105" i="8"/>
  <c r="AJ104" i="8"/>
  <c r="AZ32" i="6"/>
  <c r="AI81" i="9"/>
  <c r="AG123" i="8"/>
  <c r="AJ124" i="8"/>
  <c r="AJ123" i="8"/>
  <c r="Y84" i="9"/>
  <c r="AA83" i="8"/>
  <c r="AH84" i="8"/>
  <c r="AH83" i="8"/>
  <c r="I8" i="6"/>
  <c r="AA257" i="6"/>
  <c r="AW16" i="7"/>
  <c r="AY16" i="7"/>
  <c r="AY17" i="7"/>
  <c r="AU16" i="7"/>
  <c r="AA157" i="8"/>
  <c r="BO18" i="8"/>
  <c r="AH157" i="8"/>
  <c r="AH155" i="8"/>
  <c r="J10" i="8"/>
  <c r="AG192" i="7"/>
  <c r="AS28" i="7"/>
  <c r="AB106" i="9"/>
  <c r="AD105" i="8"/>
  <c r="AD104" i="8"/>
  <c r="AI106" i="8"/>
  <c r="AI105" i="8"/>
  <c r="AI104" i="8"/>
  <c r="AI145" i="7"/>
  <c r="AI110" i="7"/>
  <c r="AE45" i="9"/>
  <c r="AG44" i="8"/>
  <c r="AJ45" i="8"/>
  <c r="AJ44" i="8"/>
  <c r="Y112" i="8"/>
  <c r="G82" i="9"/>
  <c r="I81" i="8"/>
  <c r="M82" i="8"/>
  <c r="M81" i="8"/>
  <c r="G63" i="9"/>
  <c r="I64" i="9"/>
  <c r="L85" i="8"/>
  <c r="N86" i="8"/>
  <c r="N85" i="8"/>
  <c r="L51" i="8"/>
  <c r="N52" i="8"/>
  <c r="N51" i="8"/>
  <c r="AX32" i="6"/>
  <c r="AI33" i="8"/>
  <c r="L32" i="8"/>
  <c r="N33" i="8"/>
  <c r="N32" i="8"/>
  <c r="Y219" i="8"/>
  <c r="AE231" i="8"/>
  <c r="F8" i="9"/>
  <c r="AQ12" i="9"/>
  <c r="Y171" i="9"/>
  <c r="AA170" i="8"/>
  <c r="AH171" i="8"/>
  <c r="AH170" i="8"/>
  <c r="AE186" i="9"/>
  <c r="AG185" i="8"/>
  <c r="AG183" i="8"/>
  <c r="AJ186" i="8"/>
  <c r="AJ185" i="8"/>
  <c r="Y33" i="9"/>
  <c r="AA16" i="8"/>
  <c r="AH33" i="8"/>
  <c r="J115" i="9"/>
  <c r="L113" i="8"/>
  <c r="AS15" i="8"/>
  <c r="N115" i="8"/>
  <c r="N113" i="8"/>
  <c r="AA21" i="9"/>
  <c r="Y21" i="10"/>
  <c r="Y20" i="9"/>
  <c r="G58" i="9"/>
  <c r="I57" i="8"/>
  <c r="M58" i="8"/>
  <c r="M57" i="8"/>
  <c r="AD69" i="8"/>
  <c r="AD65" i="8"/>
  <c r="AI70" i="8"/>
  <c r="AI69" i="8"/>
  <c r="AI65" i="8"/>
  <c r="L104" i="8"/>
  <c r="N105" i="8"/>
  <c r="N104" i="8"/>
  <c r="L57" i="8"/>
  <c r="N58" i="8"/>
  <c r="N57" i="8"/>
  <c r="G86" i="9"/>
  <c r="I85" i="8"/>
  <c r="M86" i="8"/>
  <c r="M85" i="8"/>
  <c r="AH81" i="9"/>
  <c r="AA14" i="7"/>
  <c r="AA12" i="7"/>
  <c r="AR7" i="7"/>
  <c r="AQ33" i="6"/>
  <c r="Y36" i="9"/>
  <c r="AA35" i="8"/>
  <c r="AH36" i="8"/>
  <c r="AH35" i="8"/>
  <c r="AD123" i="8"/>
  <c r="AI124" i="8"/>
  <c r="AI123" i="8"/>
  <c r="AE171" i="9"/>
  <c r="AG170" i="8"/>
  <c r="AJ171" i="8"/>
  <c r="AJ170" i="8"/>
  <c r="Y235" i="9"/>
  <c r="AA234" i="8"/>
  <c r="BO29" i="8"/>
  <c r="AH235" i="8"/>
  <c r="AH234" i="8"/>
  <c r="AH233" i="8"/>
  <c r="Y205" i="9"/>
  <c r="AA204" i="8"/>
  <c r="AH205" i="8"/>
  <c r="AH204" i="8"/>
  <c r="AW24" i="7"/>
  <c r="AY24" i="7"/>
  <c r="AU24" i="7"/>
  <c r="AI184" i="8"/>
  <c r="AE21" i="9"/>
  <c r="AG20" i="8"/>
  <c r="AG16" i="8"/>
  <c r="AJ21" i="8"/>
  <c r="AJ20" i="8"/>
  <c r="Y45" i="9"/>
  <c r="AA44" i="8"/>
  <c r="AH45" i="8"/>
  <c r="AH44" i="8"/>
  <c r="Y243" i="9"/>
  <c r="AA242" i="8"/>
  <c r="AH243" i="8"/>
  <c r="AH242" i="8"/>
  <c r="AD170" i="8"/>
  <c r="AI171" i="8"/>
  <c r="AI170" i="8"/>
  <c r="AS23" i="7"/>
  <c r="AU23" i="7"/>
  <c r="L48" i="8"/>
  <c r="N49" i="8"/>
  <c r="N48" i="8"/>
  <c r="N40" i="12"/>
  <c r="AE243" i="9"/>
  <c r="AG242" i="8"/>
  <c r="AJ243" i="8"/>
  <c r="AJ242" i="8"/>
  <c r="AD58" i="8"/>
  <c r="AD57" i="8"/>
  <c r="AI59" i="8"/>
  <c r="AI58" i="8"/>
  <c r="AI57" i="8"/>
  <c r="AH184" i="8"/>
  <c r="N23" i="8"/>
  <c r="AE84" i="9"/>
  <c r="AG83" i="8"/>
  <c r="AJ84" i="8"/>
  <c r="AJ83" i="8"/>
  <c r="Y106" i="9"/>
  <c r="AA105" i="8"/>
  <c r="AA104" i="8"/>
  <c r="AH106" i="8"/>
  <c r="AE70" i="9"/>
  <c r="AG69" i="8"/>
  <c r="AJ70" i="8"/>
  <c r="AJ69" i="8"/>
  <c r="AD221" i="8"/>
  <c r="AI222" i="8"/>
  <c r="AI221" i="8"/>
  <c r="T15" i="9"/>
  <c r="T15" i="10"/>
  <c r="L75" i="8"/>
  <c r="N76" i="8"/>
  <c r="N75" i="8"/>
  <c r="L35" i="8"/>
  <c r="N36" i="8"/>
  <c r="N35" i="8"/>
  <c r="AR30" i="7"/>
  <c r="AE33" i="9"/>
  <c r="AJ33" i="8"/>
  <c r="AE184" i="9"/>
  <c r="AJ184" i="8"/>
  <c r="AD96" i="8"/>
  <c r="AI97" i="8"/>
  <c r="AI96" i="8"/>
  <c r="G70" i="9"/>
  <c r="I69" i="8"/>
  <c r="M70" i="8"/>
  <c r="M69" i="8"/>
  <c r="L66" i="8"/>
  <c r="N67" i="8"/>
  <c r="N66" i="8"/>
  <c r="J45" i="8"/>
  <c r="Y59" i="9"/>
  <c r="AA58" i="8"/>
  <c r="AA57" i="8"/>
  <c r="AH59" i="8"/>
  <c r="AH58" i="8"/>
  <c r="AH57" i="8"/>
  <c r="G61" i="9"/>
  <c r="I60" i="8"/>
  <c r="M61" i="8"/>
  <c r="M60" i="8"/>
  <c r="AE50" i="9"/>
  <c r="AG49" i="8"/>
  <c r="AJ50" i="8"/>
  <c r="AJ49" i="8"/>
  <c r="AD226" i="8"/>
  <c r="AI227" i="8"/>
  <c r="AI226" i="8"/>
  <c r="AD49" i="8"/>
  <c r="AI50" i="8"/>
  <c r="AI49" i="8"/>
  <c r="G95" i="9"/>
  <c r="I94" i="8"/>
  <c r="M95" i="8"/>
  <c r="M94" i="8"/>
  <c r="Y142" i="9"/>
  <c r="AA141" i="8"/>
  <c r="BO20" i="8"/>
  <c r="AH142" i="8"/>
  <c r="AH141" i="8"/>
  <c r="Y197" i="9"/>
  <c r="AA196" i="8"/>
  <c r="AH197" i="8"/>
  <c r="AH196" i="8"/>
  <c r="I46" i="9"/>
  <c r="G45" i="9"/>
  <c r="G73" i="9"/>
  <c r="I72" i="8"/>
  <c r="M73" i="8"/>
  <c r="M72" i="8"/>
  <c r="AX22" i="7"/>
  <c r="AW23" i="7"/>
  <c r="AV22" i="7"/>
  <c r="Y115" i="9"/>
  <c r="AA114" i="8"/>
  <c r="AH115" i="8"/>
  <c r="AH114" i="8"/>
  <c r="Y90" i="8"/>
  <c r="Y63" i="8"/>
  <c r="Y70" i="9"/>
  <c r="AA69" i="8"/>
  <c r="AA65" i="8"/>
  <c r="AH70" i="8"/>
  <c r="AH69" i="8"/>
  <c r="AH65" i="8"/>
  <c r="I30" i="9"/>
  <c r="G29" i="9"/>
  <c r="AB231" i="8"/>
  <c r="AG226" i="8"/>
  <c r="AE227" i="9"/>
  <c r="AJ227" i="8"/>
  <c r="AJ226" i="8"/>
  <c r="L72" i="8"/>
  <c r="N73" i="8"/>
  <c r="N72" i="8"/>
  <c r="J28" i="8"/>
  <c r="Y222" i="9"/>
  <c r="AA221" i="8"/>
  <c r="AH222" i="8"/>
  <c r="AH221" i="8"/>
  <c r="AE36" i="9"/>
  <c r="AG35" i="8"/>
  <c r="AJ36" i="8"/>
  <c r="AJ35" i="8"/>
  <c r="AX27" i="7"/>
  <c r="AZ27" i="7"/>
  <c r="AV27" i="7"/>
  <c r="AJ153" i="8"/>
  <c r="Y175" i="9"/>
  <c r="AA174" i="8"/>
  <c r="AH175" i="8"/>
  <c r="AH174" i="8"/>
  <c r="AE141" i="9"/>
  <c r="AG141" i="8"/>
  <c r="AJ142" i="8"/>
  <c r="AJ141" i="8"/>
  <c r="AI257" i="6"/>
  <c r="BD10" i="7"/>
  <c r="BD9" i="7"/>
  <c r="BD8" i="7"/>
  <c r="BD22" i="7"/>
  <c r="AE168" i="8"/>
  <c r="BJ9" i="7"/>
  <c r="L54" i="8"/>
  <c r="N55" i="8"/>
  <c r="N54" i="8"/>
  <c r="N13" i="12"/>
  <c r="M13" i="12"/>
  <c r="AG14" i="7"/>
  <c r="AI29" i="12"/>
  <c r="AE235" i="9"/>
  <c r="AG234" i="8"/>
  <c r="AG233" i="8"/>
  <c r="AJ235" i="8"/>
  <c r="AJ234" i="8"/>
  <c r="AJ233" i="8"/>
  <c r="Y211" i="9"/>
  <c r="AA210" i="8"/>
  <c r="BO27" i="8"/>
  <c r="AH211" i="8"/>
  <c r="AH210" i="8"/>
  <c r="AE205" i="9"/>
  <c r="AG204" i="8"/>
  <c r="AJ205" i="8"/>
  <c r="AJ204" i="8"/>
  <c r="AD204" i="8"/>
  <c r="AI205" i="8"/>
  <c r="AI204" i="8"/>
  <c r="AD149" i="8"/>
  <c r="BP16" i="8"/>
  <c r="AI150" i="8"/>
  <c r="AI149" i="8"/>
  <c r="AE90" i="8"/>
  <c r="Y153" i="9"/>
  <c r="AH153" i="8"/>
  <c r="AJ81" i="9"/>
  <c r="AA50" i="8"/>
  <c r="Y49" i="8"/>
  <c r="Y43" i="8"/>
  <c r="Y14" i="8"/>
  <c r="AD141" i="8"/>
  <c r="BP20" i="8"/>
  <c r="AI142" i="8"/>
  <c r="AI141" i="8"/>
  <c r="L25" i="8"/>
  <c r="AS8" i="8"/>
  <c r="N26" i="8"/>
  <c r="N25" i="8"/>
  <c r="AB168" i="8"/>
  <c r="G43" i="9"/>
  <c r="I42" i="8"/>
  <c r="AR10" i="8"/>
  <c r="AU10" i="8"/>
  <c r="M43" i="8"/>
  <c r="M42" i="8"/>
  <c r="AG149" i="8"/>
  <c r="AG147" i="8"/>
  <c r="AJ150" i="8"/>
  <c r="AJ149" i="8"/>
  <c r="AD83" i="8"/>
  <c r="AI84" i="8"/>
  <c r="AI83" i="8"/>
  <c r="AD44" i="8"/>
  <c r="AI45" i="8"/>
  <c r="AI44" i="8"/>
  <c r="AE197" i="9"/>
  <c r="AG196" i="8"/>
  <c r="AJ197" i="8"/>
  <c r="AJ196" i="8"/>
  <c r="AE222" i="9"/>
  <c r="AG221" i="8"/>
  <c r="AJ222" i="8"/>
  <c r="AJ221" i="8"/>
  <c r="AD242" i="8"/>
  <c r="AI243" i="8"/>
  <c r="AI242" i="8"/>
  <c r="AB90" i="8"/>
  <c r="AB63" i="8"/>
  <c r="AY32" i="6"/>
  <c r="AY35" i="6"/>
  <c r="AB112" i="8"/>
  <c r="AR27" i="7"/>
  <c r="G105" i="9"/>
  <c r="I104" i="8"/>
  <c r="M105" i="8"/>
  <c r="M104" i="8"/>
  <c r="Y227" i="9"/>
  <c r="AA226" i="8"/>
  <c r="AH227" i="8"/>
  <c r="AH226" i="8"/>
  <c r="G115" i="9"/>
  <c r="M115" i="8"/>
  <c r="AA123" i="8"/>
  <c r="Y124" i="9"/>
  <c r="AH124" i="8"/>
  <c r="AH123" i="8"/>
  <c r="AD157" i="8"/>
  <c r="BP18" i="8"/>
  <c r="AI157" i="8"/>
  <c r="AI155" i="8"/>
  <c r="L81" i="8"/>
  <c r="N82" i="8"/>
  <c r="N81" i="8"/>
  <c r="AG157" i="8"/>
  <c r="AG155" i="8"/>
  <c r="AJ157" i="8"/>
  <c r="AJ155" i="8"/>
  <c r="AA185" i="8"/>
  <c r="AA183" i="8"/>
  <c r="AH186" i="8"/>
  <c r="AH185" i="8"/>
  <c r="AE211" i="9"/>
  <c r="AG210" i="8"/>
  <c r="AJ211" i="8"/>
  <c r="AJ210" i="8"/>
  <c r="G52" i="9"/>
  <c r="I51" i="8"/>
  <c r="M52" i="8"/>
  <c r="M51" i="8"/>
  <c r="AE97" i="9"/>
  <c r="AG96" i="8"/>
  <c r="AJ97" i="8"/>
  <c r="AJ96" i="8"/>
  <c r="AG59" i="8"/>
  <c r="AE58" i="8"/>
  <c r="AE57" i="8"/>
  <c r="AR25" i="7"/>
  <c r="AD185" i="8"/>
  <c r="AD183" i="8"/>
  <c r="AI186" i="8"/>
  <c r="AI185" i="8"/>
  <c r="Y92" i="9"/>
  <c r="AA91" i="8"/>
  <c r="AH92" i="8"/>
  <c r="AH91" i="8"/>
  <c r="AD210" i="8"/>
  <c r="BP27" i="8"/>
  <c r="AI211" i="8"/>
  <c r="AI210" i="8"/>
  <c r="AB219" i="8"/>
  <c r="AE175" i="9"/>
  <c r="AG174" i="8"/>
  <c r="AJ175" i="8"/>
  <c r="AJ174" i="8"/>
  <c r="AD234" i="8"/>
  <c r="BP29" i="8"/>
  <c r="AI235" i="8"/>
  <c r="AI234" i="8"/>
  <c r="AI233" i="8"/>
  <c r="L29" i="8"/>
  <c r="N30" i="8"/>
  <c r="N29" i="8"/>
  <c r="AA194" i="7"/>
  <c r="AA192" i="7"/>
  <c r="AD174" i="8"/>
  <c r="AI175" i="8"/>
  <c r="AI174" i="8"/>
  <c r="G76" i="9"/>
  <c r="I75" i="8"/>
  <c r="M76" i="8"/>
  <c r="M75" i="8"/>
  <c r="AD35" i="8"/>
  <c r="BP14" i="8"/>
  <c r="AI36" i="8"/>
  <c r="AI35" i="8"/>
  <c r="AE145" i="8"/>
  <c r="G55" i="9"/>
  <c r="I54" i="8"/>
  <c r="M55" i="8"/>
  <c r="M54" i="8"/>
  <c r="I36" i="8"/>
  <c r="G35" i="8"/>
  <c r="I67" i="8"/>
  <c r="BD17" i="8"/>
  <c r="G66" i="8"/>
  <c r="G22" i="8"/>
  <c r="I23" i="8"/>
  <c r="AD196" i="8"/>
  <c r="BP28" i="8"/>
  <c r="AI197" i="8"/>
  <c r="AI196" i="8"/>
  <c r="L63" i="8"/>
  <c r="N64" i="8"/>
  <c r="N63" i="8"/>
  <c r="L69" i="8"/>
  <c r="N70" i="8"/>
  <c r="N69" i="8"/>
  <c r="AE92" i="9"/>
  <c r="AG91" i="8"/>
  <c r="AJ92" i="8"/>
  <c r="AJ91" i="8"/>
  <c r="AX31" i="7"/>
  <c r="AZ31" i="7"/>
  <c r="AW31" i="7"/>
  <c r="AY31" i="7"/>
  <c r="AQ32" i="7"/>
  <c r="AI153" i="8"/>
  <c r="G49" i="9"/>
  <c r="I48" i="8"/>
  <c r="M49" i="8"/>
  <c r="M48" i="8"/>
  <c r="G12" i="9"/>
  <c r="I10" i="8"/>
  <c r="M12" i="8"/>
  <c r="M128" i="8"/>
  <c r="L94" i="8"/>
  <c r="N95" i="8"/>
  <c r="N94" i="8"/>
  <c r="AD14" i="7"/>
  <c r="AD12" i="7"/>
  <c r="L42" i="8"/>
  <c r="AS10" i="8"/>
  <c r="AV10" i="8"/>
  <c r="N43" i="8"/>
  <c r="N42" i="8"/>
  <c r="AD261" i="8"/>
  <c r="BP31" i="8"/>
  <c r="BJ15" i="8"/>
  <c r="X257" i="9"/>
  <c r="BP25" i="8"/>
  <c r="BP15" i="8"/>
  <c r="BJ10" i="8"/>
  <c r="BO15" i="8"/>
  <c r="BO14" i="8"/>
  <c r="BI9" i="8"/>
  <c r="BP12" i="8"/>
  <c r="BP9" i="8"/>
  <c r="BO28" i="8"/>
  <c r="BO25" i="8"/>
  <c r="BO12" i="8"/>
  <c r="BO9" i="8"/>
  <c r="AA233" i="8"/>
  <c r="AE255" i="10"/>
  <c r="AJ255" i="9"/>
  <c r="AD155" i="8"/>
  <c r="AJ156" i="10"/>
  <c r="AH255" i="9"/>
  <c r="Y255" i="10"/>
  <c r="AD233" i="8"/>
  <c r="AD231" i="8"/>
  <c r="BI10" i="8"/>
  <c r="AA155" i="8"/>
  <c r="AI156" i="10"/>
  <c r="AI255" i="9"/>
  <c r="AD209" i="8"/>
  <c r="AD208" i="8"/>
  <c r="AW29" i="7"/>
  <c r="AY29" i="7"/>
  <c r="AB192" i="8"/>
  <c r="AG12" i="7"/>
  <c r="AG10" i="7"/>
  <c r="AG8" i="7"/>
  <c r="G71" i="11"/>
  <c r="AG209" i="8"/>
  <c r="AG208" i="8"/>
  <c r="AS29" i="8"/>
  <c r="AX29" i="8"/>
  <c r="AZ29" i="8"/>
  <c r="BI15" i="8"/>
  <c r="BJ13" i="7"/>
  <c r="Y192" i="8"/>
  <c r="AA209" i="8"/>
  <c r="AA208" i="8"/>
  <c r="AE217" i="9"/>
  <c r="AE261" i="9"/>
  <c r="AJ217" i="8"/>
  <c r="AJ261" i="8"/>
  <c r="AB261" i="9"/>
  <c r="AI217" i="8"/>
  <c r="AI261" i="8"/>
  <c r="Y217" i="9"/>
  <c r="Y261" i="9"/>
  <c r="AH217" i="8"/>
  <c r="AH261" i="8"/>
  <c r="G28" i="8"/>
  <c r="G21" i="8"/>
  <c r="G19" i="8"/>
  <c r="G17" i="8"/>
  <c r="I21" i="7"/>
  <c r="I19" i="7"/>
  <c r="AR14" i="7"/>
  <c r="I113" i="8"/>
  <c r="AR15" i="8"/>
  <c r="AW15" i="8"/>
  <c r="AY15" i="8"/>
  <c r="AS24" i="8"/>
  <c r="AV24" i="8"/>
  <c r="AJ219" i="8"/>
  <c r="AY12" i="9"/>
  <c r="AU12" i="9"/>
  <c r="AV12" i="9"/>
  <c r="AZ12" i="9"/>
  <c r="AQ14" i="9"/>
  <c r="AQ17" i="9"/>
  <c r="BD7" i="8"/>
  <c r="AR16" i="8"/>
  <c r="AU15" i="8"/>
  <c r="AX15" i="8"/>
  <c r="AZ15" i="8"/>
  <c r="AV15" i="8"/>
  <c r="AQ31" i="9"/>
  <c r="AR23" i="8"/>
  <c r="BD11" i="8"/>
  <c r="AW8" i="8"/>
  <c r="AY8" i="8"/>
  <c r="AW14" i="8"/>
  <c r="AY14" i="8"/>
  <c r="BJ9" i="8"/>
  <c r="AR24" i="8"/>
  <c r="AV29" i="8"/>
  <c r="AX22" i="8"/>
  <c r="AV22" i="8"/>
  <c r="L113" i="10"/>
  <c r="AS15" i="10"/>
  <c r="N115" i="10"/>
  <c r="I115" i="10"/>
  <c r="BD20" i="10" s="1"/>
  <c r="AW9" i="8"/>
  <c r="AY9" i="8"/>
  <c r="BD13" i="8"/>
  <c r="BD12" i="8"/>
  <c r="AW7" i="8"/>
  <c r="AY7" i="8"/>
  <c r="AV8" i="8"/>
  <c r="G30" i="10"/>
  <c r="I30" i="10"/>
  <c r="G46" i="10"/>
  <c r="G45" i="10"/>
  <c r="AH105" i="8"/>
  <c r="AH104" i="8"/>
  <c r="G64" i="10"/>
  <c r="G63" i="10"/>
  <c r="BD14" i="9"/>
  <c r="AX31" i="8"/>
  <c r="AZ31" i="8"/>
  <c r="AW31" i="8"/>
  <c r="AY31" i="8"/>
  <c r="AQ32" i="8"/>
  <c r="N22" i="7"/>
  <c r="Y51" i="13"/>
  <c r="AA51" i="13" s="1"/>
  <c r="G122" i="9"/>
  <c r="G128" i="9"/>
  <c r="M122" i="8"/>
  <c r="M113" i="8"/>
  <c r="G26" i="9"/>
  <c r="M26" i="8"/>
  <c r="M25" i="8"/>
  <c r="I25" i="8"/>
  <c r="AR8" i="8"/>
  <c r="AU8" i="8"/>
  <c r="G33" i="9"/>
  <c r="I32" i="8"/>
  <c r="M33" i="8"/>
  <c r="M32" i="8"/>
  <c r="J22" i="8"/>
  <c r="AA21" i="10"/>
  <c r="AA20" i="10" s="1"/>
  <c r="AA16" i="10" s="1"/>
  <c r="Y20" i="10"/>
  <c r="Y16" i="10" s="1"/>
  <c r="AH16" i="8"/>
  <c r="AC1" i="6"/>
  <c r="AR17" i="6"/>
  <c r="AU17" i="6"/>
  <c r="AV30" i="7"/>
  <c r="BJ10" i="7"/>
  <c r="AA147" i="8"/>
  <c r="AD147" i="8"/>
  <c r="AJ12" i="7"/>
  <c r="AJ10" i="7"/>
  <c r="AJ8" i="7"/>
  <c r="AH219" i="8"/>
  <c r="AR28" i="7"/>
  <c r="AW28" i="7"/>
  <c r="AY28" i="7"/>
  <c r="L28" i="8"/>
  <c r="AS9" i="8"/>
  <c r="AV9" i="8"/>
  <c r="AD10" i="7"/>
  <c r="AD8" i="7"/>
  <c r="AG231" i="8"/>
  <c r="Y257" i="7"/>
  <c r="AU26" i="7"/>
  <c r="AE110" i="8"/>
  <c r="AE14" i="8"/>
  <c r="AH195" i="8"/>
  <c r="AH194" i="8"/>
  <c r="AU32" i="5"/>
  <c r="AU35" i="5"/>
  <c r="AH147" i="8"/>
  <c r="AJ183" i="8"/>
  <c r="AJ168" i="8"/>
  <c r="AI16" i="8"/>
  <c r="G130" i="7"/>
  <c r="AD219" i="8"/>
  <c r="BP30" i="8"/>
  <c r="AA195" i="8"/>
  <c r="AJ195" i="8"/>
  <c r="AJ194" i="8"/>
  <c r="AH183" i="8"/>
  <c r="AH168" i="8"/>
  <c r="AA90" i="8"/>
  <c r="AA63" i="8"/>
  <c r="AG219" i="8"/>
  <c r="AD43" i="8"/>
  <c r="AG195" i="8"/>
  <c r="AG194" i="8"/>
  <c r="AS28" i="8"/>
  <c r="AI195" i="8"/>
  <c r="AI194" i="8"/>
  <c r="AH231" i="8"/>
  <c r="AI231" i="8"/>
  <c r="AV26" i="7"/>
  <c r="Y110" i="8"/>
  <c r="AG145" i="8"/>
  <c r="AB110" i="8"/>
  <c r="AH10" i="7"/>
  <c r="AH8" i="7"/>
  <c r="AV25" i="7"/>
  <c r="AJ90" i="8"/>
  <c r="AH90" i="8"/>
  <c r="AG90" i="8"/>
  <c r="AI43" i="8"/>
  <c r="AG43" i="8"/>
  <c r="AY23" i="7"/>
  <c r="Y12" i="8"/>
  <c r="AE196" i="9"/>
  <c r="AG197" i="9"/>
  <c r="AG205" i="9"/>
  <c r="AE204" i="9"/>
  <c r="BI8" i="7"/>
  <c r="BI7" i="7"/>
  <c r="AG70" i="9"/>
  <c r="AE70" i="10"/>
  <c r="AE69" i="9"/>
  <c r="J48" i="9"/>
  <c r="AA205" i="9"/>
  <c r="Y204" i="9"/>
  <c r="AA36" i="9"/>
  <c r="Y36" i="10"/>
  <c r="Y35" i="9"/>
  <c r="AB69" i="9"/>
  <c r="AB65" i="9"/>
  <c r="AA20" i="9"/>
  <c r="AH21" i="9"/>
  <c r="AH20" i="9"/>
  <c r="AE185" i="9"/>
  <c r="AE183" i="9"/>
  <c r="AG186" i="9"/>
  <c r="F126" i="9"/>
  <c r="F130" i="9"/>
  <c r="J85" i="9"/>
  <c r="L10" i="8"/>
  <c r="AS16" i="8"/>
  <c r="N12" i="8"/>
  <c r="N10" i="8"/>
  <c r="Y157" i="9"/>
  <c r="Y155" i="9"/>
  <c r="AE123" i="9"/>
  <c r="AE63" i="8"/>
  <c r="L60" i="8"/>
  <c r="N61" i="8"/>
  <c r="N60" i="8"/>
  <c r="AB91" i="9"/>
  <c r="J42" i="9"/>
  <c r="G67" i="9"/>
  <c r="I66" i="8"/>
  <c r="M67" i="8"/>
  <c r="M66" i="8"/>
  <c r="I76" i="9"/>
  <c r="G76" i="10"/>
  <c r="G75" i="9"/>
  <c r="BI12" i="7"/>
  <c r="AB234" i="9"/>
  <c r="AB233" i="9"/>
  <c r="AW25" i="7"/>
  <c r="AY25" i="7"/>
  <c r="AU25" i="7"/>
  <c r="AE59" i="9"/>
  <c r="AG58" i="8"/>
  <c r="AG57" i="8"/>
  <c r="AJ59" i="8"/>
  <c r="AJ58" i="8"/>
  <c r="AJ57" i="8"/>
  <c r="Y185" i="9"/>
  <c r="Y183" i="9"/>
  <c r="AB157" i="9"/>
  <c r="AB155" i="9"/>
  <c r="AI10" i="7"/>
  <c r="I115" i="9"/>
  <c r="BD20" i="9"/>
  <c r="BJ11" i="7"/>
  <c r="AB44" i="9"/>
  <c r="AE149" i="9"/>
  <c r="AE147" i="9"/>
  <c r="AB149" i="9"/>
  <c r="AB147" i="9"/>
  <c r="AB204" i="9"/>
  <c r="AA211" i="9"/>
  <c r="Y210" i="9"/>
  <c r="AJ147" i="8"/>
  <c r="AA219" i="8"/>
  <c r="BO30" i="8"/>
  <c r="AA115" i="9"/>
  <c r="Y114" i="9"/>
  <c r="I61" i="9"/>
  <c r="G61" i="10"/>
  <c r="G60" i="9"/>
  <c r="J66" i="9"/>
  <c r="AG184" i="9"/>
  <c r="AJ16" i="8"/>
  <c r="BJ14" i="7"/>
  <c r="AB12" i="8"/>
  <c r="AB221" i="9"/>
  <c r="AD168" i="8"/>
  <c r="BP24" i="8"/>
  <c r="BP22" i="8"/>
  <c r="AA231" i="8"/>
  <c r="AG168" i="8"/>
  <c r="AS27" i="8"/>
  <c r="BP17" i="9"/>
  <c r="AB123" i="9"/>
  <c r="AA10" i="7"/>
  <c r="AA8" i="7"/>
  <c r="J104" i="9"/>
  <c r="L115" i="9"/>
  <c r="J113" i="9"/>
  <c r="AA33" i="9"/>
  <c r="Y16" i="9"/>
  <c r="J51" i="9"/>
  <c r="AE44" i="9"/>
  <c r="AG45" i="9"/>
  <c r="AE45" i="10"/>
  <c r="AE66" i="9"/>
  <c r="AJ66" i="8"/>
  <c r="AJ65" i="8"/>
  <c r="AG65" i="8"/>
  <c r="AS23" i="8"/>
  <c r="AB20" i="9"/>
  <c r="AB16" i="9"/>
  <c r="AI112" i="8"/>
  <c r="AJ112" i="8"/>
  <c r="J94" i="9"/>
  <c r="G10" i="9"/>
  <c r="I12" i="9"/>
  <c r="G12" i="10"/>
  <c r="G36" i="9"/>
  <c r="I35" i="8"/>
  <c r="M36" i="8"/>
  <c r="M35" i="8"/>
  <c r="I55" i="9"/>
  <c r="G55" i="10"/>
  <c r="G54" i="9"/>
  <c r="AA227" i="9"/>
  <c r="Y226" i="9"/>
  <c r="AW27" i="7"/>
  <c r="AY27" i="7"/>
  <c r="AU27" i="7"/>
  <c r="M10" i="8"/>
  <c r="I49" i="9"/>
  <c r="G48" i="9"/>
  <c r="AQ33" i="7"/>
  <c r="AD195" i="8"/>
  <c r="G23" i="9"/>
  <c r="I22" i="8"/>
  <c r="AR7" i="8"/>
  <c r="AU7" i="8"/>
  <c r="M23" i="8"/>
  <c r="M22" i="8"/>
  <c r="AB35" i="9"/>
  <c r="J29" i="9"/>
  <c r="Y91" i="9"/>
  <c r="AA92" i="9"/>
  <c r="Y92" i="10"/>
  <c r="AG211" i="9"/>
  <c r="AE210" i="9"/>
  <c r="J81" i="9"/>
  <c r="AB83" i="9"/>
  <c r="AB141" i="9"/>
  <c r="AJ231" i="8"/>
  <c r="Y221" i="9"/>
  <c r="AA222" i="9"/>
  <c r="J72" i="9"/>
  <c r="AA70" i="9"/>
  <c r="Y70" i="10"/>
  <c r="Y69" i="9"/>
  <c r="Y65" i="9"/>
  <c r="Y141" i="9"/>
  <c r="AA142" i="9"/>
  <c r="AE49" i="9"/>
  <c r="AG50" i="9"/>
  <c r="AE50" i="10"/>
  <c r="J35" i="9"/>
  <c r="AG84" i="9"/>
  <c r="AE84" i="10"/>
  <c r="AE83" i="9"/>
  <c r="AE242" i="9"/>
  <c r="AG243" i="9"/>
  <c r="AB170" i="9"/>
  <c r="AE20" i="9"/>
  <c r="AE16" i="9"/>
  <c r="AG21" i="9"/>
  <c r="AE21" i="10"/>
  <c r="Y234" i="9"/>
  <c r="Y233" i="9"/>
  <c r="AA235" i="9"/>
  <c r="AE170" i="9"/>
  <c r="AG171" i="9"/>
  <c r="I86" i="9"/>
  <c r="G86" i="10"/>
  <c r="G85" i="9"/>
  <c r="I58" i="9"/>
  <c r="G58" i="10"/>
  <c r="G57" i="9"/>
  <c r="AA168" i="8"/>
  <c r="BO24" i="8"/>
  <c r="BO22" i="8"/>
  <c r="I63" i="9"/>
  <c r="M64" i="9"/>
  <c r="M63" i="9"/>
  <c r="AX28" i="7"/>
  <c r="AZ28" i="7"/>
  <c r="AV28" i="7"/>
  <c r="AE105" i="9"/>
  <c r="AE104" i="9"/>
  <c r="AG106" i="9"/>
  <c r="AE106" i="10"/>
  <c r="AA97" i="9"/>
  <c r="Y97" i="10"/>
  <c r="Y96" i="9"/>
  <c r="AD112" i="8"/>
  <c r="AI90" i="8"/>
  <c r="AI63" i="8"/>
  <c r="AG112" i="8"/>
  <c r="AE221" i="9"/>
  <c r="AG222" i="9"/>
  <c r="Y50" i="9"/>
  <c r="AA49" i="8"/>
  <c r="AA43" i="8"/>
  <c r="BO13" i="8"/>
  <c r="AH50" i="8"/>
  <c r="AH49" i="8"/>
  <c r="AH43" i="8"/>
  <c r="AA153" i="9"/>
  <c r="AE234" i="9"/>
  <c r="AE233" i="9"/>
  <c r="AG235" i="9"/>
  <c r="J54" i="9"/>
  <c r="AG227" i="9"/>
  <c r="AE226" i="9"/>
  <c r="I29" i="9"/>
  <c r="M30" i="9"/>
  <c r="M29" i="9"/>
  <c r="AE257" i="7"/>
  <c r="AA112" i="8"/>
  <c r="I73" i="9"/>
  <c r="G73" i="10"/>
  <c r="G72" i="9"/>
  <c r="I95" i="9"/>
  <c r="G94" i="9"/>
  <c r="I70" i="9"/>
  <c r="G70" i="10"/>
  <c r="G69" i="9"/>
  <c r="BJ8" i="7"/>
  <c r="AW30" i="7"/>
  <c r="AY30" i="7"/>
  <c r="AU30" i="7"/>
  <c r="AI147" i="8"/>
  <c r="AE91" i="9"/>
  <c r="AG92" i="9"/>
  <c r="AE92" i="10"/>
  <c r="J69" i="9"/>
  <c r="J63" i="9"/>
  <c r="BP26" i="9"/>
  <c r="AB196" i="9"/>
  <c r="AB174" i="9"/>
  <c r="N28" i="8"/>
  <c r="AE174" i="9"/>
  <c r="AG175" i="9"/>
  <c r="AB210" i="9"/>
  <c r="AE96" i="9"/>
  <c r="AG97" i="9"/>
  <c r="AE97" i="10"/>
  <c r="I52" i="9"/>
  <c r="G51" i="9"/>
  <c r="AE157" i="9"/>
  <c r="AE155" i="9"/>
  <c r="AA124" i="9"/>
  <c r="BO17" i="9"/>
  <c r="Y123" i="9"/>
  <c r="G104" i="9"/>
  <c r="I105" i="9"/>
  <c r="AB242" i="9"/>
  <c r="G42" i="9"/>
  <c r="I43" i="9"/>
  <c r="J25" i="9"/>
  <c r="AX8" i="9"/>
  <c r="AZ8" i="9"/>
  <c r="Y174" i="9"/>
  <c r="AA175" i="9"/>
  <c r="AE35" i="9"/>
  <c r="AG36" i="9"/>
  <c r="AE36" i="10"/>
  <c r="AH112" i="8"/>
  <c r="AZ22" i="7"/>
  <c r="I45" i="9"/>
  <c r="M46" i="9"/>
  <c r="M45" i="9"/>
  <c r="Y196" i="9"/>
  <c r="AA197" i="9"/>
  <c r="BO26" i="9"/>
  <c r="AB49" i="9"/>
  <c r="AB226" i="9"/>
  <c r="AA59" i="9"/>
  <c r="Y59" i="10"/>
  <c r="Y58" i="9"/>
  <c r="Y57" i="9"/>
  <c r="L45" i="8"/>
  <c r="N46" i="8"/>
  <c r="N45" i="8"/>
  <c r="AB96" i="9"/>
  <c r="AG33" i="9"/>
  <c r="J75" i="9"/>
  <c r="AI219" i="8"/>
  <c r="Y105" i="9"/>
  <c r="Y104" i="9"/>
  <c r="AA106" i="9"/>
  <c r="Y106" i="10"/>
  <c r="AB58" i="9"/>
  <c r="AB57" i="9"/>
  <c r="AX23" i="7"/>
  <c r="AZ23" i="7"/>
  <c r="AV23" i="7"/>
  <c r="Y242" i="9"/>
  <c r="AA243" i="9"/>
  <c r="AA45" i="9"/>
  <c r="Y45" i="10"/>
  <c r="Y44" i="9"/>
  <c r="AI183" i="8"/>
  <c r="AI168" i="8"/>
  <c r="AU7" i="7"/>
  <c r="J57" i="9"/>
  <c r="Y170" i="9"/>
  <c r="AA171" i="9"/>
  <c r="J32" i="9"/>
  <c r="I82" i="9"/>
  <c r="G82" i="10"/>
  <c r="G81" i="9"/>
  <c r="AJ43" i="8"/>
  <c r="AD106" i="9"/>
  <c r="AB106" i="10"/>
  <c r="AB105" i="9"/>
  <c r="AB104" i="9"/>
  <c r="I126" i="6"/>
  <c r="AA84" i="9"/>
  <c r="Y84" i="10"/>
  <c r="Y83" i="9"/>
  <c r="AA150" i="9"/>
  <c r="Y149" i="9"/>
  <c r="Y147" i="9"/>
  <c r="AX16" i="7"/>
  <c r="AV16" i="7"/>
  <c r="AB114" i="9"/>
  <c r="AD90" i="8"/>
  <c r="AE114" i="9"/>
  <c r="BO8" i="8"/>
  <c r="BO7" i="8"/>
  <c r="BO32" i="8"/>
  <c r="BP13" i="8"/>
  <c r="BP8" i="8"/>
  <c r="BP7" i="8"/>
  <c r="BP32" i="8"/>
  <c r="AA255" i="10"/>
  <c r="Y255" i="11" s="1"/>
  <c r="AG255" i="10"/>
  <c r="AE255" i="11" s="1"/>
  <c r="AG255" i="11" s="1"/>
  <c r="AJ255" i="11" s="1"/>
  <c r="AH156" i="11"/>
  <c r="AR29" i="8"/>
  <c r="AB209" i="9"/>
  <c r="AB208" i="9"/>
  <c r="Y115" i="10"/>
  <c r="AA115" i="10"/>
  <c r="BI13" i="8"/>
  <c r="BI14" i="8"/>
  <c r="BI11" i="8"/>
  <c r="BJ13" i="8"/>
  <c r="AE209" i="9"/>
  <c r="AE208" i="9"/>
  <c r="AX7" i="8"/>
  <c r="AZ7" i="8"/>
  <c r="AH63" i="8"/>
  <c r="I64" i="10"/>
  <c r="BD14" i="10" s="1"/>
  <c r="AE105" i="10"/>
  <c r="AE104" i="10" s="1"/>
  <c r="AG106" i="10"/>
  <c r="AB105" i="10"/>
  <c r="AB104" i="10" s="1"/>
  <c r="AD106" i="10"/>
  <c r="Y105" i="10"/>
  <c r="Y104" i="10" s="1"/>
  <c r="AA106" i="10"/>
  <c r="AG217" i="9"/>
  <c r="AG261" i="9"/>
  <c r="AJ209" i="8"/>
  <c r="AJ208" i="8"/>
  <c r="AJ192" i="8"/>
  <c r="AD261" i="9"/>
  <c r="BP31" i="9"/>
  <c r="AI209" i="8"/>
  <c r="AI208" i="8"/>
  <c r="AI192" i="8"/>
  <c r="AA217" i="9"/>
  <c r="AA261" i="9"/>
  <c r="BO31" i="9"/>
  <c r="Y209" i="9"/>
  <c r="Y208" i="9"/>
  <c r="AH209" i="8"/>
  <c r="AH208" i="8"/>
  <c r="AH192" i="8"/>
  <c r="AX24" i="8"/>
  <c r="AZ24" i="8"/>
  <c r="AE114" i="11"/>
  <c r="AE114" i="10"/>
  <c r="AE112" i="10" s="1"/>
  <c r="AE110" i="10" s="1"/>
  <c r="G29" i="10"/>
  <c r="AS25" i="8"/>
  <c r="AX25" i="8"/>
  <c r="AZ25" i="8"/>
  <c r="I46" i="10"/>
  <c r="M46" i="10" s="1"/>
  <c r="I45" i="10"/>
  <c r="G113" i="9"/>
  <c r="AX23" i="8"/>
  <c r="AZ23" i="8"/>
  <c r="AV23" i="8"/>
  <c r="Y150" i="10"/>
  <c r="Y149" i="10"/>
  <c r="G105" i="10"/>
  <c r="BD19" i="9"/>
  <c r="Y142" i="10"/>
  <c r="Y141" i="10"/>
  <c r="AB226" i="10"/>
  <c r="AE157" i="10"/>
  <c r="AE155" i="10"/>
  <c r="AE145" i="10" s="1"/>
  <c r="AE235" i="10"/>
  <c r="AG235" i="10"/>
  <c r="AE235" i="11" s="1"/>
  <c r="AE234" i="11" s="1"/>
  <c r="AE233" i="11" s="1"/>
  <c r="AE171" i="10"/>
  <c r="AG171" i="10"/>
  <c r="AE171" i="11" s="1"/>
  <c r="AE170" i="11" s="1"/>
  <c r="Y227" i="10"/>
  <c r="AA227" i="10"/>
  <c r="Y227" i="11"/>
  <c r="AA227" i="11" s="1"/>
  <c r="AE123" i="10"/>
  <c r="AE197" i="10"/>
  <c r="AG197" i="10"/>
  <c r="AS30" i="8"/>
  <c r="AQ33" i="8"/>
  <c r="BD15" i="9"/>
  <c r="J113" i="11"/>
  <c r="AW24" i="8"/>
  <c r="AY24" i="8"/>
  <c r="AU24" i="8"/>
  <c r="AG114" i="10"/>
  <c r="AG112" i="10" s="1"/>
  <c r="AG110" i="10" s="1"/>
  <c r="AS26" i="10" s="1"/>
  <c r="AX26" i="10" s="1"/>
  <c r="BD10" i="8"/>
  <c r="BD9" i="8"/>
  <c r="BD8" i="8"/>
  <c r="BD22" i="8"/>
  <c r="AE243" i="10"/>
  <c r="AE242" i="10"/>
  <c r="AE211" i="10"/>
  <c r="AG211" i="10"/>
  <c r="AE211" i="11"/>
  <c r="J104" i="10"/>
  <c r="AR27" i="8"/>
  <c r="BJ11" i="8"/>
  <c r="AE149" i="10"/>
  <c r="AE147" i="10" s="1"/>
  <c r="AX28" i="8"/>
  <c r="AZ28" i="8"/>
  <c r="AV28" i="8"/>
  <c r="AW23" i="8"/>
  <c r="AU23" i="8"/>
  <c r="AU16" i="8"/>
  <c r="AW16" i="8"/>
  <c r="AY16" i="8"/>
  <c r="AY17" i="8"/>
  <c r="G95" i="10"/>
  <c r="I95" i="10"/>
  <c r="I94" i="10" s="1"/>
  <c r="BD18" i="9"/>
  <c r="AE227" i="10"/>
  <c r="AE226" i="10"/>
  <c r="Y222" i="10"/>
  <c r="AA222" i="10"/>
  <c r="J29" i="10"/>
  <c r="AX9" i="9"/>
  <c r="AZ9" i="9"/>
  <c r="AE141" i="11"/>
  <c r="G43" i="10"/>
  <c r="G42" i="10"/>
  <c r="BD16" i="9"/>
  <c r="AW10" i="9"/>
  <c r="AY10" i="9"/>
  <c r="G52" i="10"/>
  <c r="I52" i="10"/>
  <c r="AB196" i="10"/>
  <c r="AB195" i="10" s="1"/>
  <c r="AB194" i="10" s="1"/>
  <c r="AE222" i="10"/>
  <c r="AE221" i="10"/>
  <c r="Y235" i="10"/>
  <c r="Y234" i="10"/>
  <c r="Y233" i="10" s="1"/>
  <c r="AX27" i="8"/>
  <c r="AZ27" i="8"/>
  <c r="AV27" i="8"/>
  <c r="AB221" i="10"/>
  <c r="Y211" i="10"/>
  <c r="AA211" i="10"/>
  <c r="Y211" i="11" s="1"/>
  <c r="AX10" i="10"/>
  <c r="AX10" i="9"/>
  <c r="AZ10" i="9"/>
  <c r="AX16" i="8"/>
  <c r="AZ16" i="8"/>
  <c r="AV16" i="8"/>
  <c r="AE186" i="10"/>
  <c r="AG186" i="10"/>
  <c r="AG185" i="10" s="1"/>
  <c r="AG183" i="10" s="1"/>
  <c r="Y171" i="10"/>
  <c r="AA171" i="10"/>
  <c r="Y243" i="10"/>
  <c r="AA243" i="10"/>
  <c r="AA242" i="10" s="1"/>
  <c r="Y243" i="11"/>
  <c r="Y242" i="11" s="1"/>
  <c r="AE175" i="10"/>
  <c r="AG175" i="10"/>
  <c r="AE175" i="11" s="1"/>
  <c r="AE184" i="10"/>
  <c r="AG184" i="10"/>
  <c r="Y185" i="10"/>
  <c r="Y183" i="10" s="1"/>
  <c r="Y205" i="10"/>
  <c r="AA205" i="10"/>
  <c r="AE205" i="10"/>
  <c r="AG205" i="10"/>
  <c r="AE205" i="11" s="1"/>
  <c r="AR25" i="8"/>
  <c r="BJ14" i="8"/>
  <c r="AR30" i="8"/>
  <c r="AX15" i="10"/>
  <c r="AZ22" i="8"/>
  <c r="AX31" i="9"/>
  <c r="AZ31" i="9"/>
  <c r="AW31" i="9"/>
  <c r="AY31" i="9"/>
  <c r="AQ32" i="9"/>
  <c r="AU29" i="8"/>
  <c r="AW29" i="8"/>
  <c r="AY29" i="8"/>
  <c r="AX8" i="10"/>
  <c r="AG192" i="8"/>
  <c r="Y153" i="10"/>
  <c r="AH14" i="8"/>
  <c r="M28" i="8"/>
  <c r="M21" i="8"/>
  <c r="M19" i="8"/>
  <c r="M17" i="8"/>
  <c r="M8" i="8"/>
  <c r="M126" i="8"/>
  <c r="M130" i="8"/>
  <c r="I28" i="8"/>
  <c r="AR9" i="8"/>
  <c r="AU9" i="8"/>
  <c r="J54" i="10"/>
  <c r="I58" i="10"/>
  <c r="M58" i="10" s="1"/>
  <c r="G57" i="10"/>
  <c r="AB141" i="10"/>
  <c r="AB35" i="10"/>
  <c r="I55" i="10"/>
  <c r="G54" i="10"/>
  <c r="Y33" i="10"/>
  <c r="I61" i="10"/>
  <c r="G60" i="10"/>
  <c r="AB204" i="10"/>
  <c r="AB44" i="10"/>
  <c r="AB91" i="10"/>
  <c r="G32" i="9"/>
  <c r="I33" i="9"/>
  <c r="I26" i="9"/>
  <c r="G25" i="9"/>
  <c r="Y44" i="10"/>
  <c r="AA45" i="10"/>
  <c r="AA44" i="10" s="1"/>
  <c r="AB96" i="10"/>
  <c r="AB242" i="10"/>
  <c r="Y124" i="10"/>
  <c r="Y123" i="10"/>
  <c r="J69" i="10"/>
  <c r="G69" i="10"/>
  <c r="I70" i="10"/>
  <c r="I73" i="10"/>
  <c r="I72" i="10" s="1"/>
  <c r="G72" i="10"/>
  <c r="J35" i="10"/>
  <c r="AG50" i="10"/>
  <c r="AG49" i="10" s="1"/>
  <c r="AE49" i="10"/>
  <c r="G49" i="10"/>
  <c r="J94" i="10"/>
  <c r="AG45" i="10"/>
  <c r="AG44" i="10" s="1"/>
  <c r="AE44" i="10"/>
  <c r="AE43" i="10" s="1"/>
  <c r="AB123" i="10"/>
  <c r="J66" i="10"/>
  <c r="AB234" i="10"/>
  <c r="AB233" i="10" s="1"/>
  <c r="I76" i="10"/>
  <c r="I75" i="10" s="1"/>
  <c r="G75" i="10"/>
  <c r="AB69" i="10"/>
  <c r="AB65" i="10"/>
  <c r="N24" i="8"/>
  <c r="L22" i="8"/>
  <c r="AS7" i="8"/>
  <c r="Y175" i="10"/>
  <c r="J75" i="10"/>
  <c r="G81" i="10"/>
  <c r="I82" i="10"/>
  <c r="AE33" i="10"/>
  <c r="AB49" i="10"/>
  <c r="AG97" i="10"/>
  <c r="AE96" i="10"/>
  <c r="AB170" i="10"/>
  <c r="AA70" i="10"/>
  <c r="AA69" i="10" s="1"/>
  <c r="Y69" i="10"/>
  <c r="Y65" i="10"/>
  <c r="AB83" i="10"/>
  <c r="J81" i="10"/>
  <c r="AA92" i="10"/>
  <c r="Y92" i="11" s="1"/>
  <c r="Y91" i="10"/>
  <c r="AB149" i="10"/>
  <c r="AB147" i="10" s="1"/>
  <c r="J85" i="10"/>
  <c r="I122" i="9"/>
  <c r="I113" i="9"/>
  <c r="AR15" i="9"/>
  <c r="J57" i="10"/>
  <c r="Y197" i="10"/>
  <c r="AB58" i="10"/>
  <c r="AB57" i="10" s="1"/>
  <c r="Y58" i="10"/>
  <c r="Y57" i="10" s="1"/>
  <c r="AA59" i="10"/>
  <c r="AA58" i="10" s="1"/>
  <c r="Y96" i="10"/>
  <c r="AA97" i="10"/>
  <c r="I86" i="10"/>
  <c r="G86" i="11" s="1"/>
  <c r="G85" i="11" s="1"/>
  <c r="G85" i="10"/>
  <c r="AA84" i="10"/>
  <c r="AA83" i="10" s="1"/>
  <c r="Y83" i="10"/>
  <c r="AE35" i="10"/>
  <c r="AG36" i="10"/>
  <c r="AE36" i="11" s="1"/>
  <c r="J63" i="10"/>
  <c r="AG92" i="10"/>
  <c r="AE92" i="11"/>
  <c r="AE91" i="10"/>
  <c r="AG21" i="10"/>
  <c r="AE20" i="10"/>
  <c r="AG84" i="10"/>
  <c r="AE83" i="10"/>
  <c r="J72" i="10"/>
  <c r="I12" i="10"/>
  <c r="G10" i="10"/>
  <c r="AB20" i="10"/>
  <c r="AB16" i="10" s="1"/>
  <c r="J51" i="10"/>
  <c r="AA36" i="10"/>
  <c r="AA35" i="10" s="1"/>
  <c r="Y35" i="10"/>
  <c r="J48" i="10"/>
  <c r="AG70" i="10"/>
  <c r="AG69" i="10" s="1"/>
  <c r="AE70" i="11"/>
  <c r="AE69" i="11"/>
  <c r="AE69" i="10"/>
  <c r="AD145" i="8"/>
  <c r="AD110" i="8"/>
  <c r="AR26" i="8"/>
  <c r="AA145" i="8"/>
  <c r="AA110" i="8"/>
  <c r="AU28" i="7"/>
  <c r="AD14" i="8"/>
  <c r="Y219" i="9"/>
  <c r="I130" i="6"/>
  <c r="AB195" i="9"/>
  <c r="AB194" i="9"/>
  <c r="AE12" i="8"/>
  <c r="AE10" i="8"/>
  <c r="AE8" i="8"/>
  <c r="AE112" i="9"/>
  <c r="AJ257" i="7"/>
  <c r="Y1" i="7"/>
  <c r="AA194" i="8"/>
  <c r="AA192" i="8"/>
  <c r="AH145" i="8"/>
  <c r="AH110" i="8"/>
  <c r="AI14" i="8"/>
  <c r="AI12" i="8"/>
  <c r="AJ145" i="8"/>
  <c r="AJ110" i="8"/>
  <c r="AI145" i="8"/>
  <c r="AI110" i="8"/>
  <c r="AJ63" i="8"/>
  <c r="AG14" i="8"/>
  <c r="AU14" i="7"/>
  <c r="Y195" i="9"/>
  <c r="Y194" i="9"/>
  <c r="BJ7" i="7"/>
  <c r="BJ16" i="7"/>
  <c r="I17" i="7"/>
  <c r="AB231" i="9"/>
  <c r="AG257" i="7"/>
  <c r="AS31" i="7"/>
  <c r="AS32" i="7"/>
  <c r="AH257" i="7"/>
  <c r="Y145" i="9"/>
  <c r="AG110" i="8"/>
  <c r="AS26" i="8"/>
  <c r="Y10" i="8"/>
  <c r="Y8" i="8"/>
  <c r="AB145" i="9"/>
  <c r="AB10" i="8"/>
  <c r="AB8" i="8"/>
  <c r="AB112" i="9"/>
  <c r="AG63" i="8"/>
  <c r="AB43" i="9"/>
  <c r="AB14" i="9"/>
  <c r="AA14" i="8"/>
  <c r="AA12" i="8"/>
  <c r="L57" i="9"/>
  <c r="N58" i="9"/>
  <c r="N57" i="9"/>
  <c r="L75" i="9"/>
  <c r="N76" i="9"/>
  <c r="N75" i="9"/>
  <c r="AA226" i="9"/>
  <c r="AH227" i="9"/>
  <c r="AH226" i="9"/>
  <c r="AD123" i="9"/>
  <c r="AI124" i="9"/>
  <c r="AI123" i="9"/>
  <c r="AI184" i="9"/>
  <c r="AI8" i="7"/>
  <c r="AI257" i="7"/>
  <c r="AD234" i="9"/>
  <c r="BP29" i="9"/>
  <c r="AI235" i="9"/>
  <c r="AI234" i="9"/>
  <c r="AI233" i="9"/>
  <c r="I67" i="9"/>
  <c r="BD17" i="9"/>
  <c r="G66" i="9"/>
  <c r="AA83" i="9"/>
  <c r="AH84" i="9"/>
  <c r="AH83" i="9"/>
  <c r="AA242" i="9"/>
  <c r="AH243" i="9"/>
  <c r="AH242" i="9"/>
  <c r="AG141" i="9"/>
  <c r="AJ142" i="9"/>
  <c r="AJ141" i="9"/>
  <c r="AG157" i="9"/>
  <c r="AG155" i="9"/>
  <c r="AJ157" i="9"/>
  <c r="AJ155" i="9"/>
  <c r="L35" i="9"/>
  <c r="N36" i="9"/>
  <c r="N35" i="9"/>
  <c r="AA44" i="9"/>
  <c r="AH45" i="9"/>
  <c r="AH44" i="9"/>
  <c r="AA58" i="9"/>
  <c r="AA57" i="9"/>
  <c r="AH59" i="9"/>
  <c r="AH58" i="9"/>
  <c r="AH57" i="9"/>
  <c r="AD49" i="9"/>
  <c r="AI50" i="9"/>
  <c r="AI49" i="9"/>
  <c r="I42" i="9"/>
  <c r="AR10" i="9"/>
  <c r="AU10" i="9"/>
  <c r="M43" i="9"/>
  <c r="M42" i="9"/>
  <c r="AD204" i="9"/>
  <c r="AI205" i="9"/>
  <c r="AI204" i="9"/>
  <c r="L32" i="9"/>
  <c r="N33" i="9"/>
  <c r="N32" i="9"/>
  <c r="AE145" i="9"/>
  <c r="I94" i="9"/>
  <c r="M95" i="9"/>
  <c r="M94" i="9"/>
  <c r="AG226" i="9"/>
  <c r="AJ227" i="9"/>
  <c r="AJ226" i="9"/>
  <c r="AE219" i="9"/>
  <c r="AE168" i="9"/>
  <c r="AA91" i="9"/>
  <c r="AH92" i="9"/>
  <c r="AH91" i="9"/>
  <c r="AD194" i="8"/>
  <c r="AR28" i="8"/>
  <c r="AG44" i="9"/>
  <c r="AJ45" i="9"/>
  <c r="AJ44" i="9"/>
  <c r="L104" i="9"/>
  <c r="N105" i="9"/>
  <c r="N104" i="9"/>
  <c r="AJ14" i="8"/>
  <c r="T15" i="11"/>
  <c r="T15" i="12" s="1"/>
  <c r="AG204" i="9"/>
  <c r="AJ205" i="9"/>
  <c r="AJ204" i="9"/>
  <c r="AD114" i="9"/>
  <c r="AI115" i="9"/>
  <c r="AI114" i="9"/>
  <c r="AA149" i="9"/>
  <c r="BO16" i="9"/>
  <c r="AH150" i="9"/>
  <c r="AH149" i="9"/>
  <c r="I81" i="9"/>
  <c r="M82" i="9"/>
  <c r="M81" i="9"/>
  <c r="AA170" i="9"/>
  <c r="AH171" i="9"/>
  <c r="AH170" i="9"/>
  <c r="AD63" i="8"/>
  <c r="AD58" i="9"/>
  <c r="AD57" i="9"/>
  <c r="AI59" i="9"/>
  <c r="AI58" i="9"/>
  <c r="AI57" i="9"/>
  <c r="J45" i="9"/>
  <c r="G8" i="8"/>
  <c r="G126" i="8"/>
  <c r="G130" i="8"/>
  <c r="I72" i="9"/>
  <c r="M73" i="9"/>
  <c r="M72" i="9"/>
  <c r="AE231" i="9"/>
  <c r="I57" i="9"/>
  <c r="M58" i="9"/>
  <c r="M57" i="9"/>
  <c r="AA234" i="9"/>
  <c r="BO29" i="9"/>
  <c r="AH235" i="9"/>
  <c r="AH234" i="9"/>
  <c r="AH233" i="9"/>
  <c r="AA69" i="9"/>
  <c r="AA65" i="9"/>
  <c r="AH70" i="9"/>
  <c r="AH69" i="9"/>
  <c r="AH65" i="9"/>
  <c r="AD83" i="9"/>
  <c r="AI84" i="9"/>
  <c r="AI83" i="9"/>
  <c r="Y90" i="9"/>
  <c r="Y63" i="9"/>
  <c r="I36" i="9"/>
  <c r="G36" i="10"/>
  <c r="G35" i="9"/>
  <c r="AD20" i="9"/>
  <c r="AD16" i="9"/>
  <c r="AI21" i="9"/>
  <c r="AI20" i="9"/>
  <c r="AE43" i="9"/>
  <c r="U1" i="7"/>
  <c r="AB219" i="9"/>
  <c r="I60" i="9"/>
  <c r="M61" i="9"/>
  <c r="M60" i="9"/>
  <c r="AA114" i="9"/>
  <c r="AH115" i="9"/>
  <c r="AH114" i="9"/>
  <c r="AA210" i="9"/>
  <c r="BO27" i="9"/>
  <c r="AH211" i="9"/>
  <c r="AH210" i="9"/>
  <c r="AD149" i="9"/>
  <c r="BP16" i="9"/>
  <c r="AI150" i="9"/>
  <c r="AI149" i="9"/>
  <c r="AG149" i="9"/>
  <c r="AG147" i="9"/>
  <c r="AJ150" i="9"/>
  <c r="AJ149" i="9"/>
  <c r="AD157" i="9"/>
  <c r="BP18" i="9"/>
  <c r="AI157" i="9"/>
  <c r="AI155" i="9"/>
  <c r="AI153" i="9"/>
  <c r="L42" i="9"/>
  <c r="AS10" i="9"/>
  <c r="AV10" i="9"/>
  <c r="N43" i="9"/>
  <c r="N42" i="9"/>
  <c r="AG123" i="9"/>
  <c r="AJ124" i="9"/>
  <c r="AJ123" i="9"/>
  <c r="AG69" i="9"/>
  <c r="AJ70" i="9"/>
  <c r="AJ69" i="9"/>
  <c r="AC1" i="7"/>
  <c r="AG196" i="9"/>
  <c r="AJ197" i="9"/>
  <c r="AJ196" i="9"/>
  <c r="AW32" i="7"/>
  <c r="AZ16" i="7"/>
  <c r="AJ33" i="9"/>
  <c r="I104" i="9"/>
  <c r="M105" i="9"/>
  <c r="M104" i="9"/>
  <c r="AG96" i="9"/>
  <c r="AJ97" i="9"/>
  <c r="AJ96" i="9"/>
  <c r="AG174" i="9"/>
  <c r="AJ175" i="9"/>
  <c r="AJ174" i="9"/>
  <c r="AD174" i="9"/>
  <c r="AI175" i="9"/>
  <c r="AI174" i="9"/>
  <c r="AD196" i="9"/>
  <c r="AI197" i="9"/>
  <c r="AI196" i="9"/>
  <c r="L69" i="9"/>
  <c r="N70" i="9"/>
  <c r="N69" i="9"/>
  <c r="AG91" i="9"/>
  <c r="AJ92" i="9"/>
  <c r="AJ91" i="9"/>
  <c r="AH153" i="9"/>
  <c r="AG221" i="9"/>
  <c r="AJ222" i="9"/>
  <c r="AJ221" i="9"/>
  <c r="AG105" i="9"/>
  <c r="AG104" i="9"/>
  <c r="AJ106" i="9"/>
  <c r="AJ105" i="9"/>
  <c r="AJ104" i="9"/>
  <c r="AG170" i="9"/>
  <c r="AJ171" i="9"/>
  <c r="AJ170" i="9"/>
  <c r="AG20" i="9"/>
  <c r="AG16" i="9"/>
  <c r="AJ21" i="9"/>
  <c r="AJ20" i="9"/>
  <c r="AD170" i="9"/>
  <c r="AI171" i="9"/>
  <c r="AI170" i="9"/>
  <c r="AG242" i="9"/>
  <c r="AJ243" i="9"/>
  <c r="AJ242" i="9"/>
  <c r="AG83" i="9"/>
  <c r="AJ84" i="9"/>
  <c r="AJ83" i="9"/>
  <c r="AD141" i="9"/>
  <c r="BP20" i="9"/>
  <c r="AI142" i="9"/>
  <c r="AI141" i="9"/>
  <c r="L81" i="9"/>
  <c r="N82" i="9"/>
  <c r="N81" i="9"/>
  <c r="L29" i="9"/>
  <c r="N30" i="9"/>
  <c r="N29" i="9"/>
  <c r="I23" i="9"/>
  <c r="G22" i="9"/>
  <c r="AD91" i="9"/>
  <c r="AI92" i="9"/>
  <c r="AI91" i="9"/>
  <c r="AI33" i="9"/>
  <c r="AG185" i="9"/>
  <c r="AG183" i="9"/>
  <c r="AJ186" i="9"/>
  <c r="AJ185" i="9"/>
  <c r="AD69" i="9"/>
  <c r="AD65" i="9"/>
  <c r="AI70" i="9"/>
  <c r="AI69" i="9"/>
  <c r="AI65" i="9"/>
  <c r="AA204" i="9"/>
  <c r="AH205" i="9"/>
  <c r="AH204" i="9"/>
  <c r="L48" i="9"/>
  <c r="N49" i="9"/>
  <c r="N48" i="9"/>
  <c r="AE90" i="9"/>
  <c r="AG234" i="9"/>
  <c r="AG233" i="9"/>
  <c r="AJ235" i="9"/>
  <c r="AJ234" i="9"/>
  <c r="AJ233" i="9"/>
  <c r="I85" i="9"/>
  <c r="M86" i="9"/>
  <c r="M85" i="9"/>
  <c r="AG49" i="9"/>
  <c r="AJ50" i="9"/>
  <c r="AJ49" i="9"/>
  <c r="AA221" i="9"/>
  <c r="AH222" i="9"/>
  <c r="AH221" i="9"/>
  <c r="I54" i="9"/>
  <c r="M55" i="9"/>
  <c r="M54" i="9"/>
  <c r="L94" i="9"/>
  <c r="N95" i="9"/>
  <c r="N94" i="9"/>
  <c r="AG66" i="9"/>
  <c r="AE65" i="9"/>
  <c r="AA16" i="9"/>
  <c r="AH33" i="9"/>
  <c r="AD221" i="9"/>
  <c r="AI222" i="9"/>
  <c r="AI221" i="9"/>
  <c r="L66" i="9"/>
  <c r="N67" i="9"/>
  <c r="N66" i="9"/>
  <c r="Y112" i="9"/>
  <c r="AD44" i="9"/>
  <c r="AI45" i="9"/>
  <c r="AI44" i="9"/>
  <c r="AA157" i="9"/>
  <c r="BO18" i="9"/>
  <c r="AH157" i="9"/>
  <c r="AH155" i="9"/>
  <c r="Y81" i="11"/>
  <c r="AA81" i="11" s="1"/>
  <c r="AA35" i="9"/>
  <c r="AH36" i="9"/>
  <c r="AH35" i="9"/>
  <c r="AD226" i="9"/>
  <c r="AI227" i="9"/>
  <c r="AI226" i="9"/>
  <c r="AZ32" i="7"/>
  <c r="AJ153" i="9"/>
  <c r="L25" i="9"/>
  <c r="AS8" i="9"/>
  <c r="AV8" i="9"/>
  <c r="N26" i="9"/>
  <c r="N25" i="9"/>
  <c r="L63" i="9"/>
  <c r="N64" i="9"/>
  <c r="N63" i="9"/>
  <c r="I69" i="9"/>
  <c r="M70" i="9"/>
  <c r="M69" i="9"/>
  <c r="AG114" i="9"/>
  <c r="AJ115" i="9"/>
  <c r="AJ114" i="9"/>
  <c r="AD105" i="9"/>
  <c r="AD104" i="9"/>
  <c r="AI106" i="9"/>
  <c r="AI105" i="9"/>
  <c r="AI104" i="9"/>
  <c r="Y168" i="9"/>
  <c r="AA105" i="9"/>
  <c r="AA104" i="9"/>
  <c r="AH106" i="9"/>
  <c r="AH105" i="9"/>
  <c r="AH104" i="9"/>
  <c r="AD96" i="9"/>
  <c r="AI97" i="9"/>
  <c r="AI96" i="9"/>
  <c r="AA196" i="9"/>
  <c r="AH197" i="9"/>
  <c r="AH196" i="9"/>
  <c r="AX32" i="7"/>
  <c r="AG35" i="9"/>
  <c r="AJ36" i="9"/>
  <c r="AJ35" i="9"/>
  <c r="AA174" i="9"/>
  <c r="AH175" i="9"/>
  <c r="AH174" i="9"/>
  <c r="AD242" i="9"/>
  <c r="AI243" i="9"/>
  <c r="AI242" i="9"/>
  <c r="AA123" i="9"/>
  <c r="AH124" i="9"/>
  <c r="AH123" i="9"/>
  <c r="I51" i="9"/>
  <c r="M52" i="9"/>
  <c r="M51" i="9"/>
  <c r="AD210" i="9"/>
  <c r="BP27" i="9"/>
  <c r="AI211" i="9"/>
  <c r="AI210" i="9"/>
  <c r="L54" i="9"/>
  <c r="N55" i="9"/>
  <c r="N54" i="9"/>
  <c r="AA50" i="9"/>
  <c r="Y50" i="10"/>
  <c r="Y49" i="9"/>
  <c r="Y43" i="9"/>
  <c r="Y14" i="9"/>
  <c r="AA96" i="9"/>
  <c r="AH97" i="9"/>
  <c r="AH96" i="9"/>
  <c r="Y231" i="9"/>
  <c r="AH184" i="9"/>
  <c r="AA141" i="9"/>
  <c r="BO20" i="9"/>
  <c r="AH142" i="9"/>
  <c r="AH141" i="9"/>
  <c r="L72" i="9"/>
  <c r="N73" i="9"/>
  <c r="N72" i="9"/>
  <c r="AG210" i="9"/>
  <c r="AJ211" i="9"/>
  <c r="AJ210" i="9"/>
  <c r="J28" i="9"/>
  <c r="AD35" i="9"/>
  <c r="AI36" i="9"/>
  <c r="AI35" i="9"/>
  <c r="I48" i="9"/>
  <c r="M49" i="9"/>
  <c r="M48" i="9"/>
  <c r="I10" i="9"/>
  <c r="M12" i="9"/>
  <c r="M128" i="9"/>
  <c r="L51" i="9"/>
  <c r="N52" i="9"/>
  <c r="N51" i="9"/>
  <c r="L113" i="9"/>
  <c r="AS15" i="9"/>
  <c r="N115" i="9"/>
  <c r="N113" i="9"/>
  <c r="AJ184" i="9"/>
  <c r="M115" i="9"/>
  <c r="AA185" i="9"/>
  <c r="AA183" i="9"/>
  <c r="AH186" i="9"/>
  <c r="AH185" i="9"/>
  <c r="AE58" i="9"/>
  <c r="AE57" i="9"/>
  <c r="AG59" i="9"/>
  <c r="AE59" i="10"/>
  <c r="AI186" i="9"/>
  <c r="I75" i="9"/>
  <c r="M76" i="9"/>
  <c r="M75" i="9"/>
  <c r="AB90" i="9"/>
  <c r="AB63" i="9"/>
  <c r="J60" i="9"/>
  <c r="J10" i="9"/>
  <c r="L85" i="9"/>
  <c r="N86" i="9"/>
  <c r="N85" i="9"/>
  <c r="N23" i="9"/>
  <c r="BI16" i="7"/>
  <c r="AE195" i="9"/>
  <c r="AE194" i="9"/>
  <c r="AY32" i="7"/>
  <c r="AY35" i="7"/>
  <c r="BP28" i="9"/>
  <c r="BP25" i="9"/>
  <c r="BP14" i="9"/>
  <c r="BO28" i="9"/>
  <c r="BO25" i="9"/>
  <c r="BO14" i="9"/>
  <c r="BI9" i="9"/>
  <c r="BP12" i="9"/>
  <c r="BP9" i="9"/>
  <c r="BO12" i="9"/>
  <c r="BO9" i="9"/>
  <c r="BP15" i="9"/>
  <c r="BJ10" i="9"/>
  <c r="BO15" i="9"/>
  <c r="BI10" i="9"/>
  <c r="AJ156" i="11"/>
  <c r="AA155" i="9"/>
  <c r="AD233" i="9"/>
  <c r="AD231" i="9"/>
  <c r="AI156" i="11"/>
  <c r="AJ255" i="10"/>
  <c r="AD155" i="9"/>
  <c r="AA233" i="9"/>
  <c r="AA231" i="9"/>
  <c r="AB242" i="11"/>
  <c r="AI255" i="10"/>
  <c r="AH255" i="10"/>
  <c r="BI12" i="8"/>
  <c r="BJ12" i="8"/>
  <c r="AH12" i="8"/>
  <c r="AH10" i="8"/>
  <c r="AG209" i="9"/>
  <c r="AG208" i="9"/>
  <c r="AS29" i="9"/>
  <c r="AV29" i="9"/>
  <c r="AB192" i="9"/>
  <c r="AE192" i="9"/>
  <c r="Y192" i="9"/>
  <c r="Y114" i="10"/>
  <c r="AB114" i="11"/>
  <c r="BJ9" i="9"/>
  <c r="I63" i="10"/>
  <c r="AD114" i="10"/>
  <c r="AB114" i="10"/>
  <c r="BI15" i="9"/>
  <c r="BJ15" i="9"/>
  <c r="M64" i="10"/>
  <c r="J42" i="10"/>
  <c r="AD209" i="9"/>
  <c r="AD208" i="9"/>
  <c r="G94" i="10"/>
  <c r="AA209" i="9"/>
  <c r="AA208" i="9"/>
  <c r="AE106" i="11"/>
  <c r="AG106" i="11" s="1"/>
  <c r="AG105" i="10"/>
  <c r="AG104" i="10" s="1"/>
  <c r="AE217" i="10"/>
  <c r="AE261" i="10"/>
  <c r="AJ217" i="9"/>
  <c r="AJ261" i="9"/>
  <c r="AB261" i="10"/>
  <c r="AI217" i="9"/>
  <c r="AI261" i="9"/>
  <c r="Y217" i="10"/>
  <c r="Y261" i="10"/>
  <c r="AH217" i="9"/>
  <c r="AH261" i="9"/>
  <c r="AA157" i="10"/>
  <c r="AA155" i="10" s="1"/>
  <c r="AA235" i="10"/>
  <c r="Y235" i="11"/>
  <c r="BI8" i="8"/>
  <c r="BI7" i="8"/>
  <c r="Y204" i="10"/>
  <c r="AA184" i="11"/>
  <c r="Y184" i="12" s="1"/>
  <c r="AA184" i="12" s="1"/>
  <c r="Y184" i="13" s="1"/>
  <c r="AA184" i="13" s="1"/>
  <c r="AD234" i="10"/>
  <c r="BP29" i="10" s="1"/>
  <c r="BJ13" i="10" s="1"/>
  <c r="AG227" i="10"/>
  <c r="AG226" i="10" s="1"/>
  <c r="AE227" i="11"/>
  <c r="I43" i="10"/>
  <c r="AG243" i="10"/>
  <c r="AE243" i="11" s="1"/>
  <c r="AG243" i="11" s="1"/>
  <c r="AE243" i="12" s="1"/>
  <c r="AG243" i="12" s="1"/>
  <c r="AE174" i="10"/>
  <c r="AA150" i="10"/>
  <c r="Y150" i="11" s="1"/>
  <c r="Y149" i="11"/>
  <c r="AV25" i="8"/>
  <c r="Y210" i="10"/>
  <c r="Y209" i="10" s="1"/>
  <c r="Y208" i="10" s="1"/>
  <c r="AX9" i="10"/>
  <c r="AB157" i="10"/>
  <c r="AB155" i="10" s="1"/>
  <c r="AA142" i="10"/>
  <c r="AA141" i="10" s="1"/>
  <c r="BO20" i="10"/>
  <c r="AE141" i="10"/>
  <c r="Y157" i="10"/>
  <c r="Y155" i="10" s="1"/>
  <c r="AB226" i="11"/>
  <c r="AE210" i="10"/>
  <c r="AE209" i="10" s="1"/>
  <c r="AE208" i="10" s="1"/>
  <c r="AE185" i="10"/>
  <c r="AE183" i="10" s="1"/>
  <c r="AE196" i="10"/>
  <c r="AE195" i="10" s="1"/>
  <c r="AE194" i="10" s="1"/>
  <c r="Y221" i="10"/>
  <c r="AE234" i="10"/>
  <c r="AE233" i="10" s="1"/>
  <c r="AE231" i="10" s="1"/>
  <c r="Y242" i="10"/>
  <c r="BJ8" i="8"/>
  <c r="BJ7" i="8"/>
  <c r="Y170" i="10"/>
  <c r="Y226" i="10"/>
  <c r="AB210" i="10"/>
  <c r="AE170" i="10"/>
  <c r="G51" i="10"/>
  <c r="J32" i="10"/>
  <c r="AE149" i="11"/>
  <c r="AE147" i="11" s="1"/>
  <c r="AS24" i="9"/>
  <c r="AV24" i="9"/>
  <c r="AW26" i="8"/>
  <c r="AY26" i="8"/>
  <c r="AU26" i="8"/>
  <c r="AE16" i="10"/>
  <c r="AE14" i="10" s="1"/>
  <c r="BP26" i="10"/>
  <c r="AE204" i="10"/>
  <c r="AB141" i="11"/>
  <c r="AG222" i="10"/>
  <c r="AJ222" i="10" s="1"/>
  <c r="AA211" i="11"/>
  <c r="I105" i="10"/>
  <c r="G104" i="10"/>
  <c r="AW14" i="9"/>
  <c r="AY14" i="9"/>
  <c r="AE66" i="10"/>
  <c r="AG66" i="10"/>
  <c r="AS22" i="10" s="1"/>
  <c r="AS22" i="9"/>
  <c r="J45" i="10"/>
  <c r="AW15" i="9"/>
  <c r="AY15" i="9"/>
  <c r="AU15" i="9"/>
  <c r="AB149" i="11"/>
  <c r="AB147" i="11" s="1"/>
  <c r="AB145" i="11" s="1"/>
  <c r="AB170" i="11"/>
  <c r="Y147" i="10"/>
  <c r="AW8" i="9"/>
  <c r="AY8" i="9"/>
  <c r="BD11" i="9"/>
  <c r="AD204" i="11"/>
  <c r="AQ33" i="9"/>
  <c r="AW30" i="8"/>
  <c r="AY30" i="8"/>
  <c r="AU30" i="8"/>
  <c r="AB210" i="11"/>
  <c r="L104" i="10"/>
  <c r="L113" i="11"/>
  <c r="AS15" i="11" s="1"/>
  <c r="AX15" i="11" s="1"/>
  <c r="N115" i="11"/>
  <c r="AX15" i="9"/>
  <c r="AZ15" i="9"/>
  <c r="AV15" i="9"/>
  <c r="AR16" i="9"/>
  <c r="BD7" i="9"/>
  <c r="AR24" i="9"/>
  <c r="AR23" i="9"/>
  <c r="AW28" i="8"/>
  <c r="AY28" i="8"/>
  <c r="AU28" i="8"/>
  <c r="AV7" i="8"/>
  <c r="BD13" i="9"/>
  <c r="AW9" i="9"/>
  <c r="AY9" i="9"/>
  <c r="AY23" i="8"/>
  <c r="AX30" i="8"/>
  <c r="AZ30" i="8"/>
  <c r="AV30" i="8"/>
  <c r="AX29" i="9"/>
  <c r="AZ29" i="9"/>
  <c r="BD12" i="9"/>
  <c r="AW7" i="9"/>
  <c r="AY7" i="9"/>
  <c r="AX26" i="8"/>
  <c r="AV26" i="8"/>
  <c r="G122" i="10"/>
  <c r="G128" i="10"/>
  <c r="BD21" i="9"/>
  <c r="AW25" i="8"/>
  <c r="AY25" i="8"/>
  <c r="AU25" i="8"/>
  <c r="AW27" i="8"/>
  <c r="AY27" i="8"/>
  <c r="AU27" i="8"/>
  <c r="J25" i="10"/>
  <c r="I21" i="8"/>
  <c r="I19" i="8"/>
  <c r="AR14" i="8"/>
  <c r="G23" i="10"/>
  <c r="G22" i="10"/>
  <c r="AA153" i="10"/>
  <c r="G28" i="9"/>
  <c r="G21" i="9"/>
  <c r="G19" i="9"/>
  <c r="G17" i="9"/>
  <c r="N22" i="8"/>
  <c r="J10" i="10"/>
  <c r="AE58" i="10"/>
  <c r="AE57" i="10" s="1"/>
  <c r="AG59" i="10"/>
  <c r="AG58" i="10" s="1"/>
  <c r="AG57" i="10" s="1"/>
  <c r="L48" i="10"/>
  <c r="N49" i="10"/>
  <c r="L72" i="10"/>
  <c r="N73" i="10"/>
  <c r="AG170" i="10"/>
  <c r="AG91" i="10"/>
  <c r="AG174" i="10"/>
  <c r="AD83" i="10"/>
  <c r="AD170" i="10"/>
  <c r="BP17" i="10"/>
  <c r="M70" i="10"/>
  <c r="M69" i="10" s="1"/>
  <c r="AA124" i="10"/>
  <c r="BO17" i="10"/>
  <c r="AD141" i="10"/>
  <c r="BP20" i="10" s="1"/>
  <c r="L63" i="10"/>
  <c r="N64" i="10"/>
  <c r="AA96" i="10"/>
  <c r="L57" i="10"/>
  <c r="N58" i="10"/>
  <c r="M122" i="9"/>
  <c r="M113" i="9"/>
  <c r="L81" i="10"/>
  <c r="J22" i="9"/>
  <c r="M76" i="10"/>
  <c r="L94" i="10"/>
  <c r="N95" i="10"/>
  <c r="AG210" i="10"/>
  <c r="AG209" i="10" s="1"/>
  <c r="AG208" i="10" s="1"/>
  <c r="AS29" i="10" s="1"/>
  <c r="AX29" i="10" s="1"/>
  <c r="AD210" i="10"/>
  <c r="AD209" i="10" s="1"/>
  <c r="AD208" i="10" s="1"/>
  <c r="AR29" i="10" s="1"/>
  <c r="L25" i="10"/>
  <c r="AS8" i="10" s="1"/>
  <c r="N26" i="10"/>
  <c r="AG204" i="10"/>
  <c r="AD44" i="10"/>
  <c r="I60" i="10"/>
  <c r="M61" i="10"/>
  <c r="AA33" i="10"/>
  <c r="AA226" i="10"/>
  <c r="J60" i="10"/>
  <c r="AA50" i="10"/>
  <c r="Y49" i="10"/>
  <c r="G35" i="10"/>
  <c r="I36" i="10"/>
  <c r="G67" i="10"/>
  <c r="AD20" i="10"/>
  <c r="AI21" i="10"/>
  <c r="AG141" i="10"/>
  <c r="AD58" i="10"/>
  <c r="AD57" i="10"/>
  <c r="AI59" i="10"/>
  <c r="L85" i="10"/>
  <c r="N86" i="10"/>
  <c r="AD149" i="10"/>
  <c r="AG33" i="10"/>
  <c r="AJ33" i="10" s="1"/>
  <c r="L32" i="10"/>
  <c r="N33" i="10"/>
  <c r="AD69" i="10"/>
  <c r="AD65" i="10" s="1"/>
  <c r="G48" i="10"/>
  <c r="I49" i="10"/>
  <c r="AB174" i="10"/>
  <c r="AJ153" i="10"/>
  <c r="AD96" i="10"/>
  <c r="G26" i="10"/>
  <c r="M26" i="9"/>
  <c r="M25" i="9"/>
  <c r="I25" i="9"/>
  <c r="AR8" i="9"/>
  <c r="AU8" i="9"/>
  <c r="AD91" i="10"/>
  <c r="AD90" i="10" s="1"/>
  <c r="AD35" i="10"/>
  <c r="BP14" i="10" s="1"/>
  <c r="L51" i="10"/>
  <c r="N52" i="10"/>
  <c r="AA57" i="10"/>
  <c r="AH59" i="10"/>
  <c r="Y196" i="10"/>
  <c r="AA197" i="10"/>
  <c r="BO26" i="10"/>
  <c r="L42" i="10"/>
  <c r="AS10" i="10" s="1"/>
  <c r="AV10" i="10" s="1"/>
  <c r="N43" i="10"/>
  <c r="N42" i="10" s="1"/>
  <c r="AD49" i="10"/>
  <c r="I81" i="10"/>
  <c r="M82" i="10"/>
  <c r="L75" i="10"/>
  <c r="N76" i="10"/>
  <c r="AA175" i="10"/>
  <c r="AA174" i="10" s="1"/>
  <c r="Y174" i="10"/>
  <c r="AG196" i="10"/>
  <c r="L66" i="10"/>
  <c r="N67" i="10"/>
  <c r="L35" i="10"/>
  <c r="N36" i="10"/>
  <c r="M73" i="10"/>
  <c r="M72" i="10" s="1"/>
  <c r="L69" i="10"/>
  <c r="N70" i="10"/>
  <c r="N69" i="10"/>
  <c r="AD242" i="10"/>
  <c r="G33" i="10"/>
  <c r="M33" i="9"/>
  <c r="M32" i="9"/>
  <c r="I32" i="9"/>
  <c r="AD204" i="10"/>
  <c r="AB204" i="11" s="1"/>
  <c r="I54" i="10"/>
  <c r="L54" i="10"/>
  <c r="N55" i="10"/>
  <c r="N54" i="10" s="1"/>
  <c r="AD12" i="8"/>
  <c r="AD10" i="8"/>
  <c r="AA147" i="9"/>
  <c r="AD147" i="9"/>
  <c r="AJ219" i="9"/>
  <c r="AA219" i="9"/>
  <c r="BO30" i="9"/>
  <c r="AH219" i="9"/>
  <c r="AA257" i="7"/>
  <c r="AJ183" i="9"/>
  <c r="AJ168" i="9"/>
  <c r="AA195" i="9"/>
  <c r="L28" i="9"/>
  <c r="AS9" i="9"/>
  <c r="AV9" i="9"/>
  <c r="AE110" i="9"/>
  <c r="AD195" i="9"/>
  <c r="AI43" i="9"/>
  <c r="Y110" i="9"/>
  <c r="AV32" i="7"/>
  <c r="AV31" i="7"/>
  <c r="AG12" i="8"/>
  <c r="AG10" i="8"/>
  <c r="AG8" i="8"/>
  <c r="AR17" i="7"/>
  <c r="AU17" i="7"/>
  <c r="AJ195" i="9"/>
  <c r="AJ194" i="9"/>
  <c r="N28" i="9"/>
  <c r="AB110" i="9"/>
  <c r="AA10" i="8"/>
  <c r="AA8" i="8"/>
  <c r="U1" i="8"/>
  <c r="AJ12" i="8"/>
  <c r="AJ10" i="8"/>
  <c r="AE63" i="9"/>
  <c r="AD43" i="9"/>
  <c r="AH231" i="9"/>
  <c r="AI195" i="9"/>
  <c r="AI194" i="9"/>
  <c r="AG219" i="9"/>
  <c r="Y257" i="8"/>
  <c r="I8" i="7"/>
  <c r="AG231" i="9"/>
  <c r="AG195" i="9"/>
  <c r="AG194" i="9"/>
  <c r="AS28" i="9"/>
  <c r="AH195" i="9"/>
  <c r="AH194" i="9"/>
  <c r="AJ112" i="9"/>
  <c r="AJ147" i="9"/>
  <c r="AE257" i="8"/>
  <c r="AG145" i="9"/>
  <c r="AI147" i="9"/>
  <c r="AH147" i="9"/>
  <c r="AI10" i="8"/>
  <c r="AI8" i="8"/>
  <c r="AG112" i="9"/>
  <c r="AG90" i="9"/>
  <c r="AD90" i="9"/>
  <c r="AD63" i="9"/>
  <c r="AB12" i="9"/>
  <c r="Y12" i="9"/>
  <c r="AE14" i="9"/>
  <c r="AI219" i="9"/>
  <c r="AJ66" i="9"/>
  <c r="AJ65" i="9"/>
  <c r="AG65" i="9"/>
  <c r="G64" i="11"/>
  <c r="I64" i="11" s="1"/>
  <c r="G64" i="12" s="1"/>
  <c r="AJ90" i="9"/>
  <c r="AH112" i="9"/>
  <c r="L60" i="9"/>
  <c r="N61" i="9"/>
  <c r="N60" i="9"/>
  <c r="AG58" i="9"/>
  <c r="AG57" i="9"/>
  <c r="AJ59" i="9"/>
  <c r="AJ58" i="9"/>
  <c r="AJ57" i="9"/>
  <c r="G30" i="11"/>
  <c r="AD219" i="9"/>
  <c r="BP30" i="9"/>
  <c r="I66" i="9"/>
  <c r="M67" i="9"/>
  <c r="M66" i="9"/>
  <c r="AH183" i="9"/>
  <c r="AH168" i="9"/>
  <c r="AA49" i="9"/>
  <c r="AA43" i="9"/>
  <c r="AH50" i="9"/>
  <c r="AH49" i="9"/>
  <c r="AH43" i="9"/>
  <c r="G46" i="11"/>
  <c r="G45" i="11" s="1"/>
  <c r="AJ16" i="9"/>
  <c r="Y21" i="11"/>
  <c r="AA21" i="11" s="1"/>
  <c r="AA112" i="9"/>
  <c r="AA168" i="9"/>
  <c r="BO24" i="9"/>
  <c r="BO22" i="9"/>
  <c r="AI112" i="9"/>
  <c r="M10" i="9"/>
  <c r="AJ231" i="9"/>
  <c r="AI16" i="9"/>
  <c r="AI90" i="9"/>
  <c r="AI63" i="9"/>
  <c r="I35" i="9"/>
  <c r="M36" i="9"/>
  <c r="M35" i="9"/>
  <c r="L45" i="9"/>
  <c r="N46" i="9"/>
  <c r="N45" i="9"/>
  <c r="AD112" i="9"/>
  <c r="AJ43" i="9"/>
  <c r="AH90" i="9"/>
  <c r="AH63" i="9"/>
  <c r="AI231" i="9"/>
  <c r="L10" i="9"/>
  <c r="AS16" i="9"/>
  <c r="N12" i="9"/>
  <c r="N10" i="9"/>
  <c r="AH16" i="9"/>
  <c r="I22" i="9"/>
  <c r="AR7" i="9"/>
  <c r="M23" i="9"/>
  <c r="M22" i="9"/>
  <c r="AG168" i="9"/>
  <c r="AS27" i="9"/>
  <c r="AG43" i="9"/>
  <c r="AD192" i="8"/>
  <c r="AA90" i="9"/>
  <c r="AA63" i="9"/>
  <c r="BO13" i="9"/>
  <c r="BO8" i="9"/>
  <c r="BO7" i="9"/>
  <c r="BO32" i="9"/>
  <c r="BP13" i="9"/>
  <c r="BP8" i="9"/>
  <c r="AA255" i="11"/>
  <c r="AD242" i="11"/>
  <c r="BI16" i="8"/>
  <c r="AH156" i="12"/>
  <c r="BJ16" i="8"/>
  <c r="AR29" i="9"/>
  <c r="AU29" i="9"/>
  <c r="AB209" i="10"/>
  <c r="AB208" i="10" s="1"/>
  <c r="N30" i="10"/>
  <c r="AD226" i="10"/>
  <c r="L29" i="10"/>
  <c r="BI11" i="9"/>
  <c r="BI13" i="9"/>
  <c r="BJ13" i="9"/>
  <c r="BI14" i="9"/>
  <c r="BJ12" i="9"/>
  <c r="BI12" i="9"/>
  <c r="AX7" i="9"/>
  <c r="AZ7" i="9"/>
  <c r="Y157" i="11"/>
  <c r="Y155" i="11" s="1"/>
  <c r="AE65" i="10"/>
  <c r="L45" i="10"/>
  <c r="AE66" i="11"/>
  <c r="AG66" i="11" s="1"/>
  <c r="AG221" i="10"/>
  <c r="AE222" i="11"/>
  <c r="AE221" i="11" s="1"/>
  <c r="AD221" i="10"/>
  <c r="AD219" i="10" s="1"/>
  <c r="BP30" i="10" s="1"/>
  <c r="BJ14" i="10" s="1"/>
  <c r="Y175" i="11"/>
  <c r="AA175" i="11" s="1"/>
  <c r="AA174" i="11" s="1"/>
  <c r="AE105" i="11"/>
  <c r="AE104" i="11" s="1"/>
  <c r="AG217" i="10"/>
  <c r="AE217" i="11" s="1"/>
  <c r="AG217" i="11" s="1"/>
  <c r="AE217" i="12" s="1"/>
  <c r="AG217" i="12" s="1"/>
  <c r="AE217" i="13" s="1"/>
  <c r="AG217" i="13" s="1"/>
  <c r="AJ209" i="9"/>
  <c r="AJ208" i="9"/>
  <c r="AJ192" i="9"/>
  <c r="AI209" i="9"/>
  <c r="AI208" i="9"/>
  <c r="AI192" i="9"/>
  <c r="AA217" i="10"/>
  <c r="Y217" i="11" s="1"/>
  <c r="AH209" i="9"/>
  <c r="AH208" i="9"/>
  <c r="AH192" i="9"/>
  <c r="AG149" i="10"/>
  <c r="AG147" i="10" s="1"/>
  <c r="AG145" i="10" s="1"/>
  <c r="AA234" i="10"/>
  <c r="AA233" i="10" s="1"/>
  <c r="AA231" i="10" s="1"/>
  <c r="BO29" i="10"/>
  <c r="BI13" i="10" s="1"/>
  <c r="Y168" i="10"/>
  <c r="AD157" i="10"/>
  <c r="AB157" i="11" s="1"/>
  <c r="AB155" i="11" s="1"/>
  <c r="AG157" i="10"/>
  <c r="AG155" i="10"/>
  <c r="AD234" i="11"/>
  <c r="BP29" i="11"/>
  <c r="BJ13" i="11" s="1"/>
  <c r="AA149" i="10"/>
  <c r="AG123" i="10"/>
  <c r="Y197" i="11"/>
  <c r="AA197" i="11" s="1"/>
  <c r="AA196" i="11" s="1"/>
  <c r="AA185" i="10"/>
  <c r="AA183" i="10"/>
  <c r="AA186" i="11"/>
  <c r="Y186" i="12" s="1"/>
  <c r="Y124" i="11"/>
  <c r="AA124" i="11" s="1"/>
  <c r="AX24" i="9"/>
  <c r="AZ24" i="9"/>
  <c r="AE33" i="11"/>
  <c r="AB145" i="10"/>
  <c r="AI222" i="10"/>
  <c r="I17" i="8"/>
  <c r="I8" i="8"/>
  <c r="AS30" i="9"/>
  <c r="AX30" i="9"/>
  <c r="AZ30" i="9"/>
  <c r="I23" i="10"/>
  <c r="BD12" i="10" s="1"/>
  <c r="BP26" i="11"/>
  <c r="AS25" i="9"/>
  <c r="AX25" i="9"/>
  <c r="AZ25" i="9"/>
  <c r="AA123" i="10"/>
  <c r="AI197" i="10"/>
  <c r="AD196" i="10"/>
  <c r="AS23" i="9"/>
  <c r="AV23" i="9"/>
  <c r="AU7" i="9"/>
  <c r="AX27" i="9"/>
  <c r="AZ27" i="9"/>
  <c r="AV27" i="9"/>
  <c r="BJ14" i="9"/>
  <c r="AR30" i="9"/>
  <c r="AR17" i="8"/>
  <c r="AU17" i="8"/>
  <c r="AU14" i="8"/>
  <c r="I122" i="10"/>
  <c r="G122" i="11" s="1"/>
  <c r="G113" i="10"/>
  <c r="AZ26" i="8"/>
  <c r="AZ32" i="8"/>
  <c r="AX32" i="8"/>
  <c r="AW32" i="8"/>
  <c r="AW24" i="9"/>
  <c r="AY24" i="9"/>
  <c r="AU24" i="9"/>
  <c r="AD170" i="11"/>
  <c r="AX22" i="9"/>
  <c r="AZ22" i="9"/>
  <c r="AV22" i="9"/>
  <c r="G105" i="11"/>
  <c r="BD19" i="10"/>
  <c r="I104" i="10"/>
  <c r="AX16" i="9"/>
  <c r="AZ16" i="9"/>
  <c r="AV16" i="9"/>
  <c r="AY32" i="8"/>
  <c r="AY35" i="8"/>
  <c r="J104" i="11"/>
  <c r="AD210" i="11"/>
  <c r="BP27" i="11" s="1"/>
  <c r="AR25" i="9"/>
  <c r="AW16" i="9"/>
  <c r="AY16" i="9"/>
  <c r="AY17" i="9"/>
  <c r="AU16" i="9"/>
  <c r="AX28" i="9"/>
  <c r="AZ28" i="9"/>
  <c r="AV28" i="9"/>
  <c r="AD123" i="10"/>
  <c r="AD112" i="10"/>
  <c r="BD10" i="9"/>
  <c r="BD9" i="9"/>
  <c r="BD8" i="9"/>
  <c r="BD22" i="9"/>
  <c r="AA157" i="11"/>
  <c r="AU23" i="9"/>
  <c r="AI153" i="10"/>
  <c r="I28" i="9"/>
  <c r="AR9" i="9"/>
  <c r="AU9" i="9"/>
  <c r="M28" i="9"/>
  <c r="M21" i="9"/>
  <c r="M19" i="9"/>
  <c r="M17" i="9"/>
  <c r="AD174" i="10"/>
  <c r="I26" i="10"/>
  <c r="M26" i="10" s="1"/>
  <c r="G25" i="10"/>
  <c r="L60" i="10"/>
  <c r="N61" i="10"/>
  <c r="N60" i="10" s="1"/>
  <c r="I33" i="10"/>
  <c r="G32" i="10"/>
  <c r="N24" i="9"/>
  <c r="L22" i="9"/>
  <c r="AS7" i="9"/>
  <c r="AD16" i="10"/>
  <c r="AI33" i="10"/>
  <c r="L10" i="10"/>
  <c r="AS16" i="10" s="1"/>
  <c r="AX16" i="10" s="1"/>
  <c r="AA196" i="10"/>
  <c r="AH197" i="10"/>
  <c r="G66" i="10"/>
  <c r="I67" i="10"/>
  <c r="I35" i="10"/>
  <c r="M36" i="10"/>
  <c r="AJ59" i="10"/>
  <c r="G110" i="12"/>
  <c r="I110" i="12" s="1"/>
  <c r="AA145" i="9"/>
  <c r="AA110" i="9"/>
  <c r="AD145" i="9"/>
  <c r="AD110" i="9"/>
  <c r="AR26" i="9"/>
  <c r="AA194" i="9"/>
  <c r="AA192" i="9"/>
  <c r="AD14" i="9"/>
  <c r="AD12" i="9"/>
  <c r="AI14" i="9"/>
  <c r="AI12" i="9"/>
  <c r="AD194" i="9"/>
  <c r="AR28" i="9"/>
  <c r="Y10" i="9"/>
  <c r="Y8" i="9"/>
  <c r="Y259" i="9"/>
  <c r="Y263" i="9"/>
  <c r="AE12" i="9"/>
  <c r="AE10" i="9"/>
  <c r="AE8" i="9"/>
  <c r="AE259" i="9"/>
  <c r="AE263" i="9"/>
  <c r="AG192" i="9"/>
  <c r="AJ145" i="9"/>
  <c r="AJ110" i="9"/>
  <c r="AH145" i="9"/>
  <c r="AH110" i="9"/>
  <c r="AG63" i="9"/>
  <c r="AG257" i="8"/>
  <c r="AS31" i="8"/>
  <c r="I126" i="7"/>
  <c r="AG110" i="9"/>
  <c r="AS26" i="9"/>
  <c r="AH257" i="8"/>
  <c r="AH8" i="8"/>
  <c r="AI145" i="9"/>
  <c r="AI110" i="9"/>
  <c r="AI257" i="8"/>
  <c r="AJ63" i="9"/>
  <c r="AA14" i="9"/>
  <c r="AA12" i="9"/>
  <c r="G55" i="11"/>
  <c r="G54" i="11" s="1"/>
  <c r="G12" i="11"/>
  <c r="AD8" i="8"/>
  <c r="AC1" i="8"/>
  <c r="Y59" i="11"/>
  <c r="AA59" i="11" s="1"/>
  <c r="Y97" i="11"/>
  <c r="Y36" i="11"/>
  <c r="AJ257" i="8"/>
  <c r="AJ8" i="8"/>
  <c r="G63" i="11"/>
  <c r="T15" i="13"/>
  <c r="AH14" i="9"/>
  <c r="AH12" i="9"/>
  <c r="G8" i="9"/>
  <c r="G126" i="9"/>
  <c r="G130" i="9"/>
  <c r="G82" i="11"/>
  <c r="G61" i="11"/>
  <c r="I61" i="11" s="1"/>
  <c r="M61" i="11" s="1"/>
  <c r="AJ14" i="9"/>
  <c r="AG14" i="9"/>
  <c r="G73" i="11"/>
  <c r="G52" i="11"/>
  <c r="G51" i="11" s="1"/>
  <c r="G70" i="11"/>
  <c r="I70" i="11" s="1"/>
  <c r="AB196" i="11"/>
  <c r="BP28" i="10"/>
  <c r="AW29" i="9"/>
  <c r="AY29" i="9"/>
  <c r="AG261" i="10"/>
  <c r="AI156" i="12"/>
  <c r="AA155" i="11"/>
  <c r="AD261" i="10"/>
  <c r="BP31" i="10" s="1"/>
  <c r="BJ15" i="10" s="1"/>
  <c r="AJ156" i="12"/>
  <c r="AI255" i="11"/>
  <c r="AD233" i="11"/>
  <c r="AD231" i="11"/>
  <c r="BI8" i="9"/>
  <c r="BI7" i="9"/>
  <c r="BI16" i="9"/>
  <c r="AD226" i="11"/>
  <c r="N46" i="10"/>
  <c r="AX22" i="10"/>
  <c r="AB174" i="11"/>
  <c r="AB221" i="11"/>
  <c r="AF259" i="11"/>
  <c r="AF263" i="11"/>
  <c r="AJ217" i="10"/>
  <c r="AB261" i="11"/>
  <c r="AI217" i="10"/>
  <c r="AE157" i="11"/>
  <c r="AA147" i="10"/>
  <c r="AA145" i="10" s="1"/>
  <c r="AE123" i="11"/>
  <c r="AE112" i="11"/>
  <c r="AA257" i="8"/>
  <c r="I21" i="9"/>
  <c r="I19" i="9"/>
  <c r="AR14" i="9"/>
  <c r="AU14" i="9"/>
  <c r="AA185" i="11"/>
  <c r="AV30" i="9"/>
  <c r="AV25" i="9"/>
  <c r="AW23" i="9"/>
  <c r="AY23" i="9"/>
  <c r="AD196" i="11"/>
  <c r="BP28" i="11" s="1"/>
  <c r="BJ8" i="9"/>
  <c r="AW8" i="10"/>
  <c r="BD11" i="10"/>
  <c r="AV31" i="8"/>
  <c r="AS32" i="8"/>
  <c r="AV32" i="8"/>
  <c r="AW26" i="9"/>
  <c r="AY26" i="9"/>
  <c r="AU26" i="9"/>
  <c r="AV7" i="9"/>
  <c r="AX26" i="9"/>
  <c r="AZ26" i="9"/>
  <c r="AV26" i="9"/>
  <c r="AW25" i="9"/>
  <c r="AY25" i="9"/>
  <c r="AU25" i="9"/>
  <c r="AW30" i="9"/>
  <c r="AY30" i="9"/>
  <c r="AU30" i="9"/>
  <c r="L104" i="11"/>
  <c r="N105" i="11"/>
  <c r="AX23" i="9"/>
  <c r="AW28" i="9"/>
  <c r="AY28" i="9"/>
  <c r="AU28" i="9"/>
  <c r="AW9" i="10"/>
  <c r="BD13" i="10"/>
  <c r="BP17" i="11"/>
  <c r="AB123" i="11"/>
  <c r="AB112" i="11" s="1"/>
  <c r="AB110" i="11" s="1"/>
  <c r="AD192" i="9"/>
  <c r="N22" i="9"/>
  <c r="I66" i="10"/>
  <c r="J22" i="10"/>
  <c r="G117" i="12"/>
  <c r="I117" i="12"/>
  <c r="I32" i="10"/>
  <c r="M33" i="10"/>
  <c r="G33" i="11"/>
  <c r="G32" i="11" s="1"/>
  <c r="N110" i="12"/>
  <c r="Y119" i="12"/>
  <c r="AA119" i="12" s="1"/>
  <c r="Y119" i="13" s="1"/>
  <c r="AA119" i="13" s="1"/>
  <c r="Y257" i="9"/>
  <c r="AG12" i="9"/>
  <c r="AG10" i="9"/>
  <c r="AG257" i="9"/>
  <c r="AS31" i="9"/>
  <c r="AV31" i="9"/>
  <c r="AE257" i="9"/>
  <c r="M8" i="9"/>
  <c r="M126" i="9"/>
  <c r="M130" i="9"/>
  <c r="I130" i="7"/>
  <c r="AJ12" i="9"/>
  <c r="AJ10" i="9"/>
  <c r="AJ8" i="9"/>
  <c r="AJ259" i="9"/>
  <c r="AJ263" i="9"/>
  <c r="AH10" i="9"/>
  <c r="AH8" i="9"/>
  <c r="AH259" i="9"/>
  <c r="AH263" i="9"/>
  <c r="J72" i="11"/>
  <c r="J51" i="11"/>
  <c r="AB69" i="11"/>
  <c r="AB65" i="11" s="1"/>
  <c r="AX8" i="11"/>
  <c r="J25" i="11"/>
  <c r="AI21" i="11"/>
  <c r="AB20" i="11"/>
  <c r="AB16" i="11"/>
  <c r="AB35" i="11"/>
  <c r="J81" i="11"/>
  <c r="AB96" i="11"/>
  <c r="J35" i="11"/>
  <c r="AI92" i="11"/>
  <c r="AB91" i="11"/>
  <c r="AA10" i="9"/>
  <c r="AA8" i="9"/>
  <c r="AA259" i="9"/>
  <c r="AA263" i="9"/>
  <c r="AG92" i="11"/>
  <c r="AB44" i="11"/>
  <c r="Y58" i="11"/>
  <c r="Y57" i="11" s="1"/>
  <c r="J29" i="11"/>
  <c r="AG70" i="11"/>
  <c r="AG69" i="11" s="1"/>
  <c r="J32" i="11"/>
  <c r="J69" i="11"/>
  <c r="G36" i="11"/>
  <c r="I36" i="11" s="1"/>
  <c r="I35" i="11" s="1"/>
  <c r="J75" i="11"/>
  <c r="J94" i="11"/>
  <c r="J63" i="11"/>
  <c r="J48" i="11"/>
  <c r="I126" i="8"/>
  <c r="J85" i="11"/>
  <c r="AB58" i="11"/>
  <c r="AB57" i="11" s="1"/>
  <c r="AB49" i="11"/>
  <c r="J57" i="11"/>
  <c r="Y1" i="8"/>
  <c r="J54" i="11"/>
  <c r="AB83" i="11"/>
  <c r="J42" i="11"/>
  <c r="AX10" i="11"/>
  <c r="J66" i="11"/>
  <c r="AD195" i="11"/>
  <c r="AD194" i="11" s="1"/>
  <c r="AE155" i="11"/>
  <c r="AW29" i="10"/>
  <c r="AX7" i="10"/>
  <c r="AD221" i="11"/>
  <c r="AD219" i="11" s="1"/>
  <c r="AD174" i="11"/>
  <c r="AD261" i="11"/>
  <c r="BP31" i="11" s="1"/>
  <c r="BJ15" i="11" s="1"/>
  <c r="AB209" i="11"/>
  <c r="AB208" i="11" s="1"/>
  <c r="I17" i="9"/>
  <c r="AA257" i="9"/>
  <c r="AR17" i="9"/>
  <c r="AU17" i="9"/>
  <c r="AX9" i="11"/>
  <c r="I122" i="11"/>
  <c r="M122" i="11" s="1"/>
  <c r="AS32" i="9"/>
  <c r="AV32" i="9"/>
  <c r="AX32" i="9"/>
  <c r="AZ23" i="9"/>
  <c r="AZ32" i="9"/>
  <c r="L22" i="10"/>
  <c r="AS7" i="10"/>
  <c r="AG8" i="9"/>
  <c r="AG259" i="9"/>
  <c r="AG263" i="9"/>
  <c r="I130" i="8"/>
  <c r="AJ257" i="9"/>
  <c r="AH257" i="9"/>
  <c r="AB90" i="11"/>
  <c r="L66" i="11"/>
  <c r="N67" i="11"/>
  <c r="J10" i="11"/>
  <c r="L69" i="11"/>
  <c r="N70" i="11"/>
  <c r="AD91" i="11"/>
  <c r="L54" i="11"/>
  <c r="N55" i="11"/>
  <c r="Y106" i="12"/>
  <c r="L57" i="11"/>
  <c r="N58" i="11"/>
  <c r="L85" i="11"/>
  <c r="L48" i="11"/>
  <c r="N49" i="11"/>
  <c r="L94" i="11"/>
  <c r="N95" i="11"/>
  <c r="L75" i="11"/>
  <c r="N76" i="11"/>
  <c r="Y175" i="12"/>
  <c r="AB106" i="12"/>
  <c r="L32" i="11"/>
  <c r="N33" i="11"/>
  <c r="L29" i="11"/>
  <c r="N30" i="11"/>
  <c r="AD83" i="11"/>
  <c r="L63" i="11"/>
  <c r="N64" i="11"/>
  <c r="L42" i="11"/>
  <c r="AS10" i="11"/>
  <c r="N43" i="11"/>
  <c r="AD49" i="11"/>
  <c r="AD58" i="11"/>
  <c r="AD57" i="11"/>
  <c r="J45" i="11"/>
  <c r="N23" i="11"/>
  <c r="AE70" i="12"/>
  <c r="AG70" i="12" s="1"/>
  <c r="AD44" i="11"/>
  <c r="U1" i="9"/>
  <c r="L81" i="11"/>
  <c r="J60" i="11"/>
  <c r="AD35" i="11"/>
  <c r="BP14" i="11" s="1"/>
  <c r="BJ9" i="11" s="1"/>
  <c r="L72" i="11"/>
  <c r="N73" i="11"/>
  <c r="Y211" i="12"/>
  <c r="AD20" i="11"/>
  <c r="AD16" i="11" s="1"/>
  <c r="AD14" i="11" s="1"/>
  <c r="AD12" i="11" s="1"/>
  <c r="L25" i="11"/>
  <c r="AS8" i="11" s="1"/>
  <c r="N26" i="11"/>
  <c r="AD69" i="11"/>
  <c r="AD65" i="11" s="1"/>
  <c r="AD63" i="11" s="1"/>
  <c r="G61" i="12"/>
  <c r="AE106" i="12"/>
  <c r="L35" i="11"/>
  <c r="N36" i="11"/>
  <c r="AD96" i="11"/>
  <c r="L51" i="11"/>
  <c r="N52" i="11"/>
  <c r="BL8" i="11"/>
  <c r="O55" i="14"/>
  <c r="AD209" i="11"/>
  <c r="AD208" i="11" s="1"/>
  <c r="AR29" i="11" s="1"/>
  <c r="AW29" i="11" s="1"/>
  <c r="I8" i="9"/>
  <c r="I126" i="9"/>
  <c r="I130" i="9"/>
  <c r="Y121" i="12"/>
  <c r="AA121" i="12" s="1"/>
  <c r="Y121" i="13" s="1"/>
  <c r="AA121" i="13" s="1"/>
  <c r="J22" i="11"/>
  <c r="AD43" i="11"/>
  <c r="AE105" i="12"/>
  <c r="AG106" i="12"/>
  <c r="AB174" i="12"/>
  <c r="J35" i="12"/>
  <c r="AB20" i="12"/>
  <c r="AB16" i="12" s="1"/>
  <c r="J72" i="12"/>
  <c r="AB35" i="12"/>
  <c r="Y157" i="12"/>
  <c r="Y155" i="12" s="1"/>
  <c r="J81" i="12"/>
  <c r="J42" i="12"/>
  <c r="AX10" i="12"/>
  <c r="J85" i="12"/>
  <c r="AD90" i="11"/>
  <c r="AB226" i="12"/>
  <c r="AB219" i="12" s="1"/>
  <c r="AB170" i="12"/>
  <c r="AB168" i="12" s="1"/>
  <c r="AB157" i="12"/>
  <c r="AB155" i="12" s="1"/>
  <c r="AB44" i="12"/>
  <c r="J51" i="12"/>
  <c r="AB96" i="12"/>
  <c r="J104" i="12"/>
  <c r="AX8" i="12"/>
  <c r="J25" i="12"/>
  <c r="AB221" i="12"/>
  <c r="L60" i="11"/>
  <c r="N61" i="11"/>
  <c r="N60" i="11"/>
  <c r="AB49" i="12"/>
  <c r="AB43" i="12" s="1"/>
  <c r="AD106" i="12"/>
  <c r="AB105" i="12"/>
  <c r="J75" i="12"/>
  <c r="J94" i="12"/>
  <c r="J48" i="12"/>
  <c r="AB91" i="12"/>
  <c r="L10" i="11"/>
  <c r="AS16" i="11" s="1"/>
  <c r="AX16" i="11" s="1"/>
  <c r="BP26" i="12"/>
  <c r="AB196" i="12"/>
  <c r="AB195" i="12" s="1"/>
  <c r="AB194" i="12" s="1"/>
  <c r="AB192" i="12" s="1"/>
  <c r="AB234" i="12"/>
  <c r="AB233" i="12" s="1"/>
  <c r="AB69" i="12"/>
  <c r="AB65" i="12" s="1"/>
  <c r="AB210" i="12"/>
  <c r="L45" i="11"/>
  <c r="N46" i="11"/>
  <c r="AB58" i="12"/>
  <c r="AB57" i="12"/>
  <c r="J63" i="12"/>
  <c r="AB83" i="12"/>
  <c r="J32" i="12"/>
  <c r="Y105" i="12"/>
  <c r="AA106" i="12"/>
  <c r="J54" i="12"/>
  <c r="J69" i="12"/>
  <c r="AB242" i="12"/>
  <c r="J66" i="12"/>
  <c r="J29" i="12"/>
  <c r="J28" i="12" s="1"/>
  <c r="J21" i="12" s="1"/>
  <c r="J19" i="12" s="1"/>
  <c r="J17" i="12" s="1"/>
  <c r="J8" i="12" s="1"/>
  <c r="J126" i="12" s="1"/>
  <c r="J130" i="12" s="1"/>
  <c r="J57" i="12"/>
  <c r="AB204" i="12"/>
  <c r="AB209" i="12"/>
  <c r="AB208" i="12"/>
  <c r="AX7" i="11"/>
  <c r="BL16" i="11"/>
  <c r="BL7" i="11"/>
  <c r="AX9" i="12"/>
  <c r="L22" i="11"/>
  <c r="AS7" i="11" s="1"/>
  <c r="Y118" i="12"/>
  <c r="L66" i="12"/>
  <c r="N67" i="12"/>
  <c r="N66" i="12"/>
  <c r="AD83" i="12"/>
  <c r="L63" i="12"/>
  <c r="AD210" i="12"/>
  <c r="BP27" i="12" s="1"/>
  <c r="L48" i="12"/>
  <c r="N49" i="12"/>
  <c r="AD49" i="12"/>
  <c r="J60" i="12"/>
  <c r="L25" i="12"/>
  <c r="AS8" i="12"/>
  <c r="N26" i="12"/>
  <c r="N115" i="12"/>
  <c r="L72" i="12"/>
  <c r="N73" i="12"/>
  <c r="AD174" i="12"/>
  <c r="AD242" i="12"/>
  <c r="Y106" i="13"/>
  <c r="Y105" i="13" s="1"/>
  <c r="AA105" i="12"/>
  <c r="AH106" i="12"/>
  <c r="AH105" i="12" s="1"/>
  <c r="AD234" i="12"/>
  <c r="AD91" i="12"/>
  <c r="AI92" i="12"/>
  <c r="L75" i="12"/>
  <c r="N76" i="12"/>
  <c r="N23" i="12"/>
  <c r="L104" i="12"/>
  <c r="N105" i="12"/>
  <c r="AD157" i="12"/>
  <c r="BP18" i="12" s="1"/>
  <c r="AD226" i="12"/>
  <c r="AI124" i="12"/>
  <c r="AD58" i="12"/>
  <c r="AD57" i="12" s="1"/>
  <c r="J45" i="12"/>
  <c r="L57" i="12"/>
  <c r="N58" i="12"/>
  <c r="L29" i="12"/>
  <c r="N30" i="12"/>
  <c r="AD69" i="12"/>
  <c r="AD65" i="12" s="1"/>
  <c r="L94" i="12"/>
  <c r="N95" i="12"/>
  <c r="AD221" i="12"/>
  <c r="AD219" i="12" s="1"/>
  <c r="BP30" i="12" s="1"/>
  <c r="BJ14" i="12" s="1"/>
  <c r="AD44" i="12"/>
  <c r="AD43" i="12" s="1"/>
  <c r="AI45" i="12"/>
  <c r="N86" i="12"/>
  <c r="L42" i="12"/>
  <c r="AS10" i="12" s="1"/>
  <c r="AD35" i="12"/>
  <c r="AR24" i="12" s="1"/>
  <c r="AW24" i="12" s="1"/>
  <c r="AI153" i="12"/>
  <c r="L35" i="12"/>
  <c r="N36" i="12"/>
  <c r="AE106" i="13"/>
  <c r="AE105" i="13" s="1"/>
  <c r="AG105" i="12"/>
  <c r="AJ106" i="12"/>
  <c r="AD204" i="12"/>
  <c r="L69" i="12"/>
  <c r="L54" i="12"/>
  <c r="N55" i="12"/>
  <c r="L32" i="12"/>
  <c r="N33" i="12"/>
  <c r="AD196" i="12"/>
  <c r="BP28" i="12" s="1"/>
  <c r="J10" i="12"/>
  <c r="AB106" i="13"/>
  <c r="AD106" i="13" s="1"/>
  <c r="AD105" i="13" s="1"/>
  <c r="AD104" i="13" s="1"/>
  <c r="AD105" i="12"/>
  <c r="AI106" i="12"/>
  <c r="AI105" i="12" s="1"/>
  <c r="AD96" i="12"/>
  <c r="L51" i="12"/>
  <c r="N52" i="12"/>
  <c r="AD170" i="12"/>
  <c r="L81" i="12"/>
  <c r="N82" i="12"/>
  <c r="AA157" i="12"/>
  <c r="AA155" i="12" s="1"/>
  <c r="AD20" i="12"/>
  <c r="AD16" i="12" s="1"/>
  <c r="AI21" i="12"/>
  <c r="AB261" i="12"/>
  <c r="BP14" i="12"/>
  <c r="AD209" i="12"/>
  <c r="AD208" i="12" s="1"/>
  <c r="AR29" i="12" s="1"/>
  <c r="AW29" i="12" s="1"/>
  <c r="J22" i="12"/>
  <c r="AA118" i="12"/>
  <c r="Y157" i="13"/>
  <c r="Y155" i="13" s="1"/>
  <c r="AB20" i="13"/>
  <c r="AB16" i="13"/>
  <c r="AB204" i="13"/>
  <c r="AB170" i="13"/>
  <c r="AB196" i="13"/>
  <c r="J69" i="13"/>
  <c r="J35" i="13"/>
  <c r="J51" i="13"/>
  <c r="J54" i="13"/>
  <c r="AB35" i="13"/>
  <c r="J42" i="13"/>
  <c r="AB221" i="13"/>
  <c r="J94" i="13"/>
  <c r="L45" i="12"/>
  <c r="N46" i="12"/>
  <c r="AD90" i="12"/>
  <c r="AD63" i="12" s="1"/>
  <c r="AB234" i="13"/>
  <c r="AB233" i="13" s="1"/>
  <c r="J72" i="13"/>
  <c r="L60" i="12"/>
  <c r="N61" i="12"/>
  <c r="N60" i="12"/>
  <c r="AB210" i="13"/>
  <c r="AB209" i="13" s="1"/>
  <c r="AB208" i="13" s="1"/>
  <c r="AB83" i="13"/>
  <c r="AB105" i="13"/>
  <c r="AB104" i="13" s="1"/>
  <c r="J32" i="13"/>
  <c r="J57" i="13"/>
  <c r="J104" i="13"/>
  <c r="AB91" i="13"/>
  <c r="AB242" i="13"/>
  <c r="J63" i="13"/>
  <c r="AB96" i="13"/>
  <c r="AB44" i="13"/>
  <c r="AB69" i="13"/>
  <c r="AB65" i="13" s="1"/>
  <c r="J29" i="13"/>
  <c r="AB157" i="13"/>
  <c r="AB155" i="13" s="1"/>
  <c r="J75" i="13"/>
  <c r="AB49" i="13"/>
  <c r="L10" i="12"/>
  <c r="AS16" i="12" s="1"/>
  <c r="AG106" i="13"/>
  <c r="J81" i="13"/>
  <c r="AB58" i="13"/>
  <c r="AB57" i="13" s="1"/>
  <c r="AB226" i="13"/>
  <c r="AB174" i="13"/>
  <c r="J25" i="13"/>
  <c r="J48" i="13"/>
  <c r="J66" i="13"/>
  <c r="AX7" i="12"/>
  <c r="BJ9" i="12"/>
  <c r="L22" i="12"/>
  <c r="AS7" i="12" s="1"/>
  <c r="AD261" i="12"/>
  <c r="BP31" i="12" s="1"/>
  <c r="AB104" i="12"/>
  <c r="AA108" i="12"/>
  <c r="AH108" i="12" s="1"/>
  <c r="Y104" i="12"/>
  <c r="J60" i="13"/>
  <c r="J45" i="13"/>
  <c r="J10" i="13"/>
  <c r="J22" i="13"/>
  <c r="AB261" i="13"/>
  <c r="AD104" i="12"/>
  <c r="N10" i="16"/>
  <c r="BJ15" i="12"/>
  <c r="F25" i="14"/>
  <c r="F56" i="14"/>
  <c r="G25" i="14"/>
  <c r="G56" i="14"/>
  <c r="H25" i="14"/>
  <c r="H56" i="14"/>
  <c r="I25" i="14"/>
  <c r="I56" i="14"/>
  <c r="T241" i="9"/>
  <c r="T241" i="11"/>
  <c r="T241" i="10"/>
  <c r="T241" i="12"/>
  <c r="T241" i="13"/>
  <c r="T247" i="5"/>
  <c r="T247" i="6"/>
  <c r="T247" i="7"/>
  <c r="T247" i="8"/>
  <c r="T247" i="9"/>
  <c r="T247" i="11"/>
  <c r="T243" i="9"/>
  <c r="T243" i="11"/>
  <c r="T248" i="5"/>
  <c r="T248" i="6"/>
  <c r="T248" i="7"/>
  <c r="T248" i="8"/>
  <c r="T248" i="9"/>
  <c r="T248" i="11"/>
  <c r="T249" i="5"/>
  <c r="T249" i="6"/>
  <c r="T249" i="7"/>
  <c r="T249" i="8"/>
  <c r="T249" i="9"/>
  <c r="T249" i="11"/>
  <c r="T242" i="9"/>
  <c r="T242" i="11"/>
  <c r="T238" i="12"/>
  <c r="T238" i="13"/>
  <c r="T239" i="9"/>
  <c r="T239" i="11"/>
  <c r="T240" i="9"/>
  <c r="T240" i="11"/>
  <c r="U259" i="8"/>
  <c r="U263" i="8"/>
  <c r="T234" i="5"/>
  <c r="T234" i="8"/>
  <c r="T234" i="7"/>
  <c r="T234" i="6"/>
  <c r="T249" i="10"/>
  <c r="T249" i="12"/>
  <c r="T249" i="13"/>
  <c r="T248" i="10"/>
  <c r="T248" i="12"/>
  <c r="T248" i="13"/>
  <c r="T240" i="10"/>
  <c r="T240" i="12"/>
  <c r="T240" i="13"/>
  <c r="T239" i="10"/>
  <c r="T239" i="12"/>
  <c r="T239" i="13"/>
  <c r="T243" i="10"/>
  <c r="T243" i="12"/>
  <c r="T243" i="13"/>
  <c r="T242" i="10"/>
  <c r="T242" i="12"/>
  <c r="T242" i="13"/>
  <c r="T247" i="10"/>
  <c r="T247" i="12"/>
  <c r="T247" i="13"/>
  <c r="AH259" i="5"/>
  <c r="AH263" i="5"/>
  <c r="AD259" i="5"/>
  <c r="AD263" i="5"/>
  <c r="Z259" i="5"/>
  <c r="Z263" i="5"/>
  <c r="U259" i="5"/>
  <c r="U263" i="5"/>
  <c r="AG259" i="5"/>
  <c r="AG263" i="5"/>
  <c r="AC259" i="5"/>
  <c r="AC263" i="5"/>
  <c r="Y259" i="5"/>
  <c r="Y263" i="5"/>
  <c r="X259" i="5"/>
  <c r="X263" i="5"/>
  <c r="BN35" i="5"/>
  <c r="BN36" i="5"/>
  <c r="AJ259" i="5"/>
  <c r="AJ263" i="5"/>
  <c r="AF259" i="5"/>
  <c r="AF263" i="5"/>
  <c r="AB259" i="5"/>
  <c r="AB263" i="5"/>
  <c r="W259" i="5"/>
  <c r="W263" i="5"/>
  <c r="AI259" i="5"/>
  <c r="AI263" i="5"/>
  <c r="AE259" i="5"/>
  <c r="AE263" i="5"/>
  <c r="AA259" i="5"/>
  <c r="AA263" i="5"/>
  <c r="AH259" i="6"/>
  <c r="AH263" i="6"/>
  <c r="AC259" i="6"/>
  <c r="AC263" i="6"/>
  <c r="Z259" i="6"/>
  <c r="Z263" i="6"/>
  <c r="V259" i="6"/>
  <c r="V263" i="6"/>
  <c r="AF259" i="6"/>
  <c r="AF263" i="6"/>
  <c r="AB259" i="6"/>
  <c r="AB263" i="6"/>
  <c r="Y259" i="6"/>
  <c r="Y263" i="6"/>
  <c r="U259" i="6"/>
  <c r="U263" i="6"/>
  <c r="AA259" i="6"/>
  <c r="AA263" i="6"/>
  <c r="W259" i="6"/>
  <c r="W263" i="6"/>
  <c r="X259" i="6"/>
  <c r="X263" i="6"/>
  <c r="AE259" i="6"/>
  <c r="AE263" i="6"/>
  <c r="AI259" i="6"/>
  <c r="AI263" i="6"/>
  <c r="AD259" i="6"/>
  <c r="AD263" i="6"/>
  <c r="AJ259" i="6"/>
  <c r="AJ263" i="6"/>
  <c r="AG259" i="6"/>
  <c r="AG263" i="6"/>
  <c r="AB259" i="7"/>
  <c r="AB263" i="7"/>
  <c r="Y259" i="7"/>
  <c r="Y263" i="7"/>
  <c r="U259" i="7"/>
  <c r="U263" i="7"/>
  <c r="AJ259" i="7"/>
  <c r="AJ263" i="7"/>
  <c r="X259" i="7"/>
  <c r="X263" i="7"/>
  <c r="AF259" i="7"/>
  <c r="AF263" i="7"/>
  <c r="AA259" i="7"/>
  <c r="AA263" i="7"/>
  <c r="AE263" i="7"/>
  <c r="V259" i="7"/>
  <c r="V263" i="7"/>
  <c r="AC259" i="7"/>
  <c r="AC263" i="7"/>
  <c r="AH259" i="7"/>
  <c r="AH263" i="7"/>
  <c r="AD259" i="7"/>
  <c r="AD263" i="7"/>
  <c r="W259" i="7"/>
  <c r="W263" i="7"/>
  <c r="Z259" i="7"/>
  <c r="Z263" i="7"/>
  <c r="AI259" i="7"/>
  <c r="AI263" i="7"/>
  <c r="V259" i="8"/>
  <c r="V263" i="8"/>
  <c r="W259" i="8"/>
  <c r="W263" i="8"/>
  <c r="X259" i="8"/>
  <c r="AC259" i="8"/>
  <c r="AC263" i="8"/>
  <c r="Z259" i="8"/>
  <c r="Z263" i="8"/>
  <c r="AE259" i="8"/>
  <c r="AE263" i="8"/>
  <c r="AF259" i="8"/>
  <c r="AF263" i="8"/>
  <c r="AB259" i="8"/>
  <c r="AB263" i="8"/>
  <c r="AJ259" i="8"/>
  <c r="AJ263" i="8"/>
  <c r="AD259" i="8"/>
  <c r="AD263" i="8"/>
  <c r="Y259" i="8"/>
  <c r="Y263" i="8"/>
  <c r="AG259" i="8"/>
  <c r="AG263" i="8"/>
  <c r="AH259" i="8"/>
  <c r="AH263" i="8"/>
  <c r="AA259" i="8"/>
  <c r="AA263" i="8"/>
  <c r="T234" i="9"/>
  <c r="AI259" i="8"/>
  <c r="AI263" i="8"/>
  <c r="V259" i="5"/>
  <c r="V263" i="5"/>
  <c r="X263" i="8"/>
  <c r="T234" i="10"/>
  <c r="T234" i="11"/>
  <c r="AG259" i="7"/>
  <c r="AG263" i="7"/>
  <c r="BH15" i="8"/>
  <c r="BH16" i="8"/>
  <c r="BH17" i="8"/>
  <c r="T234" i="12"/>
  <c r="T234" i="13"/>
  <c r="L128" i="6"/>
  <c r="J24" i="14"/>
  <c r="BF21" i="12"/>
  <c r="BF21" i="8"/>
  <c r="BF21" i="11"/>
  <c r="BF21" i="9"/>
  <c r="BF21" i="13"/>
  <c r="BF21" i="10"/>
  <c r="BF21" i="7"/>
  <c r="J128" i="7"/>
  <c r="N80" i="6"/>
  <c r="N128" i="6"/>
  <c r="K78" i="6"/>
  <c r="J17" i="14"/>
  <c r="J10" i="14"/>
  <c r="J9" i="14"/>
  <c r="J25" i="14"/>
  <c r="J56" i="14"/>
  <c r="K25" i="14"/>
  <c r="K56" i="14"/>
  <c r="L25" i="14"/>
  <c r="L56" i="14"/>
  <c r="M25" i="14"/>
  <c r="M56" i="14"/>
  <c r="BF17" i="12"/>
  <c r="BF17" i="10"/>
  <c r="BF17" i="13"/>
  <c r="BF17" i="8"/>
  <c r="BF17" i="9"/>
  <c r="BF17" i="11"/>
  <c r="BF17" i="7"/>
  <c r="K21" i="6"/>
  <c r="K19" i="6"/>
  <c r="K17" i="6"/>
  <c r="L78" i="6"/>
  <c r="N79" i="6"/>
  <c r="L128" i="7"/>
  <c r="BF10" i="12"/>
  <c r="BF10" i="13"/>
  <c r="BF10" i="9"/>
  <c r="BF10" i="11"/>
  <c r="BF10" i="8"/>
  <c r="BF10" i="10"/>
  <c r="J128" i="8"/>
  <c r="N80" i="7"/>
  <c r="N128" i="7"/>
  <c r="K8" i="6"/>
  <c r="K126" i="6"/>
  <c r="K130" i="6"/>
  <c r="AC257" i="6"/>
  <c r="J78" i="7"/>
  <c r="BF10" i="7"/>
  <c r="N78" i="6"/>
  <c r="N21" i="6"/>
  <c r="N19" i="6"/>
  <c r="N17" i="6"/>
  <c r="AX14" i="6"/>
  <c r="L21" i="6"/>
  <c r="L19" i="6"/>
  <c r="O25" i="14"/>
  <c r="O56" i="14" s="1"/>
  <c r="BF9" i="10"/>
  <c r="BF9" i="13"/>
  <c r="BF9" i="9"/>
  <c r="BF9" i="11"/>
  <c r="BF9" i="12"/>
  <c r="BF9" i="8"/>
  <c r="AS14" i="6"/>
  <c r="L17" i="6"/>
  <c r="BF9" i="7"/>
  <c r="AZ14" i="6"/>
  <c r="AZ17" i="6"/>
  <c r="AZ35" i="6"/>
  <c r="AW17" i="6"/>
  <c r="AX17" i="6"/>
  <c r="N79" i="7"/>
  <c r="AF257" i="6"/>
  <c r="N8" i="6"/>
  <c r="N126" i="6"/>
  <c r="N130" i="6"/>
  <c r="L78" i="7"/>
  <c r="J21" i="7"/>
  <c r="J19" i="7"/>
  <c r="J17" i="7"/>
  <c r="L128" i="8"/>
  <c r="BF8" i="12"/>
  <c r="BF8" i="8"/>
  <c r="BF8" i="10"/>
  <c r="BF8" i="11"/>
  <c r="BF8" i="13"/>
  <c r="BF8" i="9"/>
  <c r="N78" i="7"/>
  <c r="N21" i="7"/>
  <c r="N19" i="7"/>
  <c r="N17" i="7"/>
  <c r="AX14" i="7"/>
  <c r="L21" i="7"/>
  <c r="J78" i="8"/>
  <c r="BF8" i="7"/>
  <c r="J128" i="9"/>
  <c r="N80" i="8"/>
  <c r="N128" i="8"/>
  <c r="L8" i="6"/>
  <c r="AD257" i="6"/>
  <c r="J8" i="7"/>
  <c r="J126" i="7"/>
  <c r="J130" i="7"/>
  <c r="AB257" i="7"/>
  <c r="AV14" i="6"/>
  <c r="AS17" i="6"/>
  <c r="BF22" i="7"/>
  <c r="BF22" i="9"/>
  <c r="BF22" i="8"/>
  <c r="BF22" i="11"/>
  <c r="BF22" i="12"/>
  <c r="BF22" i="10"/>
  <c r="BF22" i="13"/>
  <c r="N79" i="8"/>
  <c r="AR31" i="6"/>
  <c r="L78" i="8"/>
  <c r="AX14" i="8"/>
  <c r="J21" i="8"/>
  <c r="J19" i="8"/>
  <c r="J17" i="8"/>
  <c r="L19" i="7"/>
  <c r="AS14" i="7"/>
  <c r="L128" i="9"/>
  <c r="AZ14" i="7"/>
  <c r="AZ17" i="7"/>
  <c r="AZ35" i="7"/>
  <c r="AX17" i="7"/>
  <c r="AW17" i="7"/>
  <c r="N8" i="7"/>
  <c r="N126" i="7"/>
  <c r="N130" i="7"/>
  <c r="AF257" i="7"/>
  <c r="J5" i="6"/>
  <c r="K1" i="6"/>
  <c r="L126" i="6"/>
  <c r="L130" i="6"/>
  <c r="AV17" i="6"/>
  <c r="AZ14" i="8"/>
  <c r="AZ17" i="8"/>
  <c r="AZ35" i="8"/>
  <c r="AW17" i="8"/>
  <c r="AX17" i="8"/>
  <c r="J128" i="10"/>
  <c r="AR32" i="6"/>
  <c r="AV35" i="6"/>
  <c r="AU31" i="6"/>
  <c r="J8" i="8"/>
  <c r="J126" i="8"/>
  <c r="J130" i="8"/>
  <c r="AB257" i="8"/>
  <c r="L17" i="7"/>
  <c r="N78" i="8"/>
  <c r="N21" i="8"/>
  <c r="N19" i="8"/>
  <c r="N17" i="8"/>
  <c r="L21" i="8"/>
  <c r="L19" i="8"/>
  <c r="AS14" i="8"/>
  <c r="N80" i="9"/>
  <c r="N128" i="9"/>
  <c r="J78" i="9"/>
  <c r="AV14" i="8"/>
  <c r="AS17" i="8"/>
  <c r="L128" i="10"/>
  <c r="N79" i="10"/>
  <c r="J78" i="10"/>
  <c r="L78" i="10" s="1"/>
  <c r="AU35" i="6"/>
  <c r="AU32" i="6"/>
  <c r="N79" i="9"/>
  <c r="L17" i="8"/>
  <c r="AV14" i="7"/>
  <c r="AS17" i="7"/>
  <c r="L78" i="9"/>
  <c r="AX14" i="9"/>
  <c r="J21" i="9"/>
  <c r="J19" i="9"/>
  <c r="J17" i="9"/>
  <c r="N8" i="8"/>
  <c r="N126" i="8"/>
  <c r="N130" i="8"/>
  <c r="AF257" i="8"/>
  <c r="AD257" i="7"/>
  <c r="L8" i="7"/>
  <c r="AZ14" i="9"/>
  <c r="AZ17" i="9"/>
  <c r="AX17" i="9"/>
  <c r="AW17" i="9"/>
  <c r="AV17" i="8"/>
  <c r="J8" i="9"/>
  <c r="J126" i="9"/>
  <c r="J130" i="9"/>
  <c r="N78" i="9"/>
  <c r="N21" i="9"/>
  <c r="N19" i="9"/>
  <c r="N17" i="9"/>
  <c r="L21" i="9"/>
  <c r="L19" i="9"/>
  <c r="AS14" i="9"/>
  <c r="AV17" i="7"/>
  <c r="L8" i="8"/>
  <c r="AD257" i="8"/>
  <c r="J5" i="7"/>
  <c r="L126" i="7"/>
  <c r="K1" i="7"/>
  <c r="AR31" i="7"/>
  <c r="AR32" i="7"/>
  <c r="J128" i="11"/>
  <c r="AR31" i="8"/>
  <c r="AV14" i="9"/>
  <c r="AS17" i="9"/>
  <c r="AV35" i="7"/>
  <c r="AU31" i="7"/>
  <c r="L126" i="8"/>
  <c r="L130" i="8"/>
  <c r="K1" i="8"/>
  <c r="J5" i="8"/>
  <c r="L17" i="9"/>
  <c r="AF257" i="9"/>
  <c r="N8" i="9"/>
  <c r="N126" i="9"/>
  <c r="N130" i="9"/>
  <c r="L130" i="7"/>
  <c r="L128" i="11"/>
  <c r="AV17" i="9"/>
  <c r="AU31" i="8"/>
  <c r="AR32" i="8"/>
  <c r="AU32" i="7"/>
  <c r="AU35" i="7"/>
  <c r="L8" i="9"/>
  <c r="J128" i="12"/>
  <c r="J78" i="11"/>
  <c r="AU35" i="8"/>
  <c r="AU32" i="8"/>
  <c r="AV35" i="8"/>
  <c r="N79" i="11"/>
  <c r="L78" i="11"/>
  <c r="L128" i="12"/>
  <c r="L126" i="9"/>
  <c r="L130" i="9"/>
  <c r="J5" i="9"/>
  <c r="K1" i="9"/>
  <c r="J78" i="12"/>
  <c r="L78" i="12" s="1"/>
  <c r="L80" i="13"/>
  <c r="N79" i="12"/>
  <c r="L79" i="13"/>
  <c r="AY14" i="2"/>
  <c r="AY17" i="2"/>
  <c r="AY35" i="2"/>
  <c r="AZ14" i="2"/>
  <c r="AZ17" i="2"/>
  <c r="AZ35" i="2"/>
  <c r="AQ17" i="2"/>
  <c r="AV17" i="2"/>
  <c r="AV14" i="2"/>
  <c r="AU14" i="2"/>
  <c r="AU17" i="2"/>
  <c r="E121" i="12"/>
  <c r="E121" i="13" s="1"/>
  <c r="D121" i="12"/>
  <c r="E118" i="12"/>
  <c r="E118" i="13"/>
  <c r="Q104" i="10"/>
  <c r="E123" i="12"/>
  <c r="E123" i="13" s="1"/>
  <c r="G123" i="12"/>
  <c r="I123" i="12" s="1"/>
  <c r="G123" i="13" s="1"/>
  <c r="N23" i="14"/>
  <c r="P104" i="10"/>
  <c r="F121" i="12"/>
  <c r="N121" i="12" s="1"/>
  <c r="E116" i="12"/>
  <c r="F116" i="12" s="1"/>
  <c r="M116" i="12" s="1"/>
  <c r="D121" i="13"/>
  <c r="D116" i="12"/>
  <c r="D118" i="12"/>
  <c r="D123" i="12"/>
  <c r="D123" i="13"/>
  <c r="G121" i="12"/>
  <c r="I121" i="12" s="1"/>
  <c r="G121" i="13" s="1"/>
  <c r="J113" i="12"/>
  <c r="D113" i="12"/>
  <c r="D116" i="13"/>
  <c r="D118" i="13"/>
  <c r="F118" i="12"/>
  <c r="L113" i="12"/>
  <c r="AS15" i="12"/>
  <c r="AX15" i="12" s="1"/>
  <c r="J113" i="13"/>
  <c r="U112" i="10"/>
  <c r="W114" i="10"/>
  <c r="V114" i="10"/>
  <c r="V108" i="12"/>
  <c r="W261" i="12"/>
  <c r="V104" i="12"/>
  <c r="V108" i="13"/>
  <c r="W104" i="12"/>
  <c r="W108" i="13"/>
  <c r="AI108" i="12"/>
  <c r="AI104" i="12" s="1"/>
  <c r="AM170" i="11"/>
  <c r="AM168" i="11"/>
  <c r="AM10" i="11"/>
  <c r="AL170" i="11"/>
  <c r="AL168" i="11"/>
  <c r="AM183" i="11"/>
  <c r="AL196" i="11"/>
  <c r="V202" i="12"/>
  <c r="AL195" i="11"/>
  <c r="AL194" i="11"/>
  <c r="AL192" i="11"/>
  <c r="V196" i="11"/>
  <c r="V202" i="13"/>
  <c r="AM196" i="11"/>
  <c r="AM195" i="11"/>
  <c r="AM194" i="11"/>
  <c r="AM192" i="11"/>
  <c r="AM8" i="11"/>
  <c r="W202" i="12"/>
  <c r="W202" i="13" s="1"/>
  <c r="AL157" i="11"/>
  <c r="AL155" i="11"/>
  <c r="AL256" i="11"/>
  <c r="AL145" i="11"/>
  <c r="AL110" i="11"/>
  <c r="AL10" i="11"/>
  <c r="AL8" i="11"/>
  <c r="AM256" i="11"/>
  <c r="V157" i="12"/>
  <c r="V155" i="12" s="1"/>
  <c r="V157" i="13"/>
  <c r="V155" i="13" s="1"/>
  <c r="X157" i="12"/>
  <c r="X155" i="12" s="1"/>
  <c r="AX31" i="11"/>
  <c r="AV31" i="11"/>
  <c r="AW31" i="11"/>
  <c r="AZ31" i="11"/>
  <c r="AY31" i="11"/>
  <c r="AA150" i="11"/>
  <c r="Y150" i="12"/>
  <c r="Y149" i="12" s="1"/>
  <c r="AA149" i="11"/>
  <c r="AB185" i="9"/>
  <c r="AB183" i="9"/>
  <c r="AB168" i="9"/>
  <c r="AB10" i="9"/>
  <c r="AB257" i="9"/>
  <c r="AI187" i="9"/>
  <c r="AI185" i="9"/>
  <c r="AI183" i="9"/>
  <c r="AI168" i="9"/>
  <c r="AI10" i="9"/>
  <c r="AD185" i="9"/>
  <c r="AD183" i="9"/>
  <c r="AD168" i="9"/>
  <c r="BP24" i="9"/>
  <c r="BP22" i="9"/>
  <c r="BP7" i="9"/>
  <c r="BP32" i="9"/>
  <c r="AI8" i="9"/>
  <c r="AI259" i="9"/>
  <c r="AI263" i="9"/>
  <c r="AI257" i="9"/>
  <c r="AB8" i="9"/>
  <c r="AB259" i="9"/>
  <c r="AB263" i="9"/>
  <c r="AD10" i="9"/>
  <c r="AD257" i="9"/>
  <c r="AR27" i="9"/>
  <c r="AU27" i="9"/>
  <c r="AB185" i="10"/>
  <c r="AB183" i="10" s="1"/>
  <c r="AB168" i="10" s="1"/>
  <c r="BJ11" i="9"/>
  <c r="BJ7" i="9"/>
  <c r="BJ16" i="9"/>
  <c r="AD8" i="9"/>
  <c r="AD259" i="9"/>
  <c r="AD263" i="9"/>
  <c r="AW27" i="9"/>
  <c r="AY27" i="9"/>
  <c r="AY32" i="9"/>
  <c r="AI187" i="10"/>
  <c r="AD185" i="10"/>
  <c r="AD183" i="10" s="1"/>
  <c r="AD168" i="10" s="1"/>
  <c r="AR31" i="9"/>
  <c r="Y1" i="9"/>
  <c r="AC1" i="9"/>
  <c r="AW32" i="9"/>
  <c r="AU31" i="9"/>
  <c r="AR32" i="9"/>
  <c r="AY35" i="9"/>
  <c r="AZ35" i="9"/>
  <c r="AD185" i="11"/>
  <c r="AD183" i="11" s="1"/>
  <c r="AB185" i="11"/>
  <c r="AB183" i="11" s="1"/>
  <c r="AB185" i="12"/>
  <c r="AB183" i="12" s="1"/>
  <c r="AU35" i="9"/>
  <c r="AV35" i="9"/>
  <c r="AU32" i="9"/>
  <c r="AD185" i="12"/>
  <c r="AD183" i="12" s="1"/>
  <c r="AB185" i="13"/>
  <c r="AB183" i="13" s="1"/>
  <c r="AU31" i="11"/>
  <c r="Y54" i="12"/>
  <c r="AA54" i="12" s="1"/>
  <c r="Y54" i="13" s="1"/>
  <c r="AA54" i="13" s="1"/>
  <c r="T199" i="9"/>
  <c r="T199" i="11"/>
  <c r="T199" i="10"/>
  <c r="T199" i="12"/>
  <c r="T199" i="13"/>
  <c r="U16" i="13" l="1"/>
  <c r="I101" i="13"/>
  <c r="I47" i="13"/>
  <c r="I116" i="13"/>
  <c r="L99" i="13"/>
  <c r="L91" i="13"/>
  <c r="L36" i="13"/>
  <c r="L35" i="13" s="1"/>
  <c r="L13" i="13"/>
  <c r="I124" i="13"/>
  <c r="I44" i="13"/>
  <c r="L107" i="13"/>
  <c r="L76" i="13"/>
  <c r="L50" i="13"/>
  <c r="AA106" i="13"/>
  <c r="AA105" i="13" s="1"/>
  <c r="I107" i="13"/>
  <c r="C28" i="13"/>
  <c r="C21" i="13" s="1"/>
  <c r="Z43" i="13"/>
  <c r="Z14" i="13" s="1"/>
  <c r="L115" i="13"/>
  <c r="L86" i="13"/>
  <c r="L67" i="13"/>
  <c r="L43" i="13"/>
  <c r="L27" i="13"/>
  <c r="X108" i="13"/>
  <c r="AI108" i="13" s="1"/>
  <c r="D66" i="13"/>
  <c r="X201" i="13"/>
  <c r="I27" i="13"/>
  <c r="I98" i="13"/>
  <c r="I31" i="13"/>
  <c r="AC43" i="13"/>
  <c r="L124" i="13"/>
  <c r="L119" i="13"/>
  <c r="L59" i="13"/>
  <c r="I53" i="13"/>
  <c r="L100" i="13"/>
  <c r="L92" i="13"/>
  <c r="L87" i="13"/>
  <c r="L37" i="13"/>
  <c r="L14" i="13"/>
  <c r="I77" i="13"/>
  <c r="X40" i="13"/>
  <c r="AH40" i="13" s="1"/>
  <c r="I109" i="13"/>
  <c r="AF231" i="13"/>
  <c r="L108" i="13"/>
  <c r="L68" i="13"/>
  <c r="L52" i="13"/>
  <c r="I50" i="13"/>
  <c r="I100" i="13"/>
  <c r="I56" i="13"/>
  <c r="L70" i="13"/>
  <c r="L44" i="13"/>
  <c r="L30" i="13"/>
  <c r="AH55" i="13"/>
  <c r="X23" i="13"/>
  <c r="AH23" i="13" s="1"/>
  <c r="D6" i="17"/>
  <c r="E6" i="17" s="1"/>
  <c r="H6" i="17" s="1"/>
  <c r="L120" i="13"/>
  <c r="L61" i="13"/>
  <c r="L15" i="13"/>
  <c r="I123" i="13"/>
  <c r="I65" i="13"/>
  <c r="I38" i="13"/>
  <c r="L116" i="13"/>
  <c r="L101" i="13"/>
  <c r="L95" i="13"/>
  <c r="BQ12" i="13"/>
  <c r="Q35" i="14" s="1"/>
  <c r="L109" i="13"/>
  <c r="L53" i="13"/>
  <c r="L31" i="13"/>
  <c r="AB231" i="13"/>
  <c r="I40" i="13"/>
  <c r="BQ15" i="13"/>
  <c r="BK10" i="13" s="1"/>
  <c r="BL10" i="13" s="1"/>
  <c r="L96" i="13"/>
  <c r="L71" i="13"/>
  <c r="L46" i="13"/>
  <c r="L39" i="13"/>
  <c r="P128" i="13"/>
  <c r="X41" i="13"/>
  <c r="AI41" i="13" s="1"/>
  <c r="I34" i="13"/>
  <c r="I74" i="13"/>
  <c r="C57" i="13"/>
  <c r="BE7" i="13"/>
  <c r="L121" i="13"/>
  <c r="L102" i="13"/>
  <c r="L62" i="13"/>
  <c r="L23" i="13"/>
  <c r="AH80" i="13"/>
  <c r="I97" i="13"/>
  <c r="I120" i="13"/>
  <c r="L89" i="13"/>
  <c r="L55" i="13"/>
  <c r="I59" i="13"/>
  <c r="I106" i="13"/>
  <c r="I118" i="13"/>
  <c r="C85" i="13"/>
  <c r="AC231" i="13"/>
  <c r="L117" i="13"/>
  <c r="L110" i="13"/>
  <c r="L33" i="13"/>
  <c r="AD170" i="13"/>
  <c r="I96" i="13"/>
  <c r="L97" i="13"/>
  <c r="L82" i="13"/>
  <c r="L73" i="13"/>
  <c r="L47" i="13"/>
  <c r="L40" i="13"/>
  <c r="L24" i="13"/>
  <c r="X51" i="13"/>
  <c r="AI51" i="13" s="1"/>
  <c r="X38" i="13"/>
  <c r="AI38" i="13" s="1"/>
  <c r="X124" i="13"/>
  <c r="AI124" i="13" s="1"/>
  <c r="I87" i="13"/>
  <c r="I99" i="13"/>
  <c r="I108" i="13"/>
  <c r="I111" i="13"/>
  <c r="AL231" i="13"/>
  <c r="L122" i="13"/>
  <c r="L105" i="13"/>
  <c r="L64" i="13"/>
  <c r="X163" i="13"/>
  <c r="I14" i="13"/>
  <c r="Q21" i="13"/>
  <c r="U112" i="13"/>
  <c r="U110" i="13" s="1"/>
  <c r="L90" i="13"/>
  <c r="L56" i="13"/>
  <c r="L12" i="13"/>
  <c r="I24" i="13"/>
  <c r="I102" i="13"/>
  <c r="I119" i="13"/>
  <c r="AL168" i="13"/>
  <c r="AF219" i="13"/>
  <c r="BQ30" i="13" s="1"/>
  <c r="L111" i="13"/>
  <c r="L74" i="13"/>
  <c r="L49" i="13"/>
  <c r="L34" i="13"/>
  <c r="I121" i="13"/>
  <c r="AJ213" i="13"/>
  <c r="I80" i="13"/>
  <c r="I39" i="13"/>
  <c r="U219" i="13"/>
  <c r="H28" i="13"/>
  <c r="AF112" i="13"/>
  <c r="AC112" i="13"/>
  <c r="BQ28" i="13"/>
  <c r="Q51" i="14" s="1"/>
  <c r="AL219" i="13"/>
  <c r="L98" i="13"/>
  <c r="L83" i="13"/>
  <c r="L41" i="13"/>
  <c r="L26" i="13"/>
  <c r="I13" i="13"/>
  <c r="I68" i="13"/>
  <c r="I83" i="13"/>
  <c r="C128" i="13"/>
  <c r="BQ14" i="13"/>
  <c r="BK9" i="13" s="1"/>
  <c r="BL9" i="13" s="1"/>
  <c r="L123" i="13"/>
  <c r="L118" i="13"/>
  <c r="L106" i="13"/>
  <c r="L65" i="13"/>
  <c r="L58" i="13"/>
  <c r="W105" i="13"/>
  <c r="E35" i="13"/>
  <c r="E22" i="13"/>
  <c r="R19" i="14"/>
  <c r="F49" i="13"/>
  <c r="F106" i="13"/>
  <c r="BE21" i="13"/>
  <c r="Q24" i="14" s="1"/>
  <c r="R24" i="14" s="1"/>
  <c r="F122" i="13"/>
  <c r="E94" i="13"/>
  <c r="E66" i="13"/>
  <c r="F108" i="13"/>
  <c r="F15" i="13"/>
  <c r="F89" i="13"/>
  <c r="F58" i="13"/>
  <c r="F14" i="13"/>
  <c r="X78" i="13"/>
  <c r="E60" i="13"/>
  <c r="E69" i="13"/>
  <c r="F67" i="13"/>
  <c r="F109" i="13"/>
  <c r="F124" i="13"/>
  <c r="F13" i="13"/>
  <c r="E45" i="13"/>
  <c r="E81" i="13"/>
  <c r="F97" i="13"/>
  <c r="C20" i="14" s="1"/>
  <c r="F87" i="13"/>
  <c r="AA58" i="11"/>
  <c r="AA57" i="11" s="1"/>
  <c r="Y59" i="12"/>
  <c r="Y58" i="12" s="1"/>
  <c r="Y57" i="12" s="1"/>
  <c r="X175" i="12"/>
  <c r="AI175" i="12" s="1"/>
  <c r="V175" i="13"/>
  <c r="M70" i="11"/>
  <c r="G70" i="12"/>
  <c r="Y185" i="12"/>
  <c r="AA186" i="12"/>
  <c r="AH36" i="10"/>
  <c r="AI36" i="10"/>
  <c r="AJ36" i="10"/>
  <c r="AG69" i="12"/>
  <c r="AE70" i="13"/>
  <c r="AG70" i="13" s="1"/>
  <c r="AG69" i="13" s="1"/>
  <c r="AH104" i="12"/>
  <c r="AB192" i="10"/>
  <c r="AI129" i="10"/>
  <c r="AJ129" i="10"/>
  <c r="AH129" i="10"/>
  <c r="AI118" i="12"/>
  <c r="AJ118" i="12"/>
  <c r="V139" i="12"/>
  <c r="X139" i="11"/>
  <c r="BO14" i="10"/>
  <c r="BI9" i="10" s="1"/>
  <c r="AL258" i="10"/>
  <c r="AH79" i="11"/>
  <c r="AJ79" i="11"/>
  <c r="AI79" i="11"/>
  <c r="AG168" i="10"/>
  <c r="AS27" i="10" s="1"/>
  <c r="AX27" i="10" s="1"/>
  <c r="AE66" i="12"/>
  <c r="AG66" i="12" s="1"/>
  <c r="AS22" i="12" s="1"/>
  <c r="AS22" i="11"/>
  <c r="AX22" i="11" s="1"/>
  <c r="AG219" i="10"/>
  <c r="Y81" i="12"/>
  <c r="AH206" i="11"/>
  <c r="AJ206" i="11"/>
  <c r="AI206" i="11"/>
  <c r="V20" i="12"/>
  <c r="AH160" i="10"/>
  <c r="AJ160" i="10"/>
  <c r="AJ157" i="10" s="1"/>
  <c r="AJ155" i="10" s="1"/>
  <c r="AJ118" i="11"/>
  <c r="AI118" i="11"/>
  <c r="V72" i="12"/>
  <c r="X72" i="11"/>
  <c r="AJ72" i="11" s="1"/>
  <c r="AH180" i="10"/>
  <c r="AI180" i="10"/>
  <c r="AJ236" i="10"/>
  <c r="AH236" i="10"/>
  <c r="AI236" i="10"/>
  <c r="AJ164" i="10"/>
  <c r="AI164" i="10"/>
  <c r="AH164" i="10"/>
  <c r="X200" i="10"/>
  <c r="V200" i="11"/>
  <c r="V120" i="11"/>
  <c r="X120" i="10"/>
  <c r="AH120" i="10" s="1"/>
  <c r="F47" i="11"/>
  <c r="D47" i="12"/>
  <c r="G28" i="10"/>
  <c r="G21" i="10" s="1"/>
  <c r="G19" i="10" s="1"/>
  <c r="G17" i="10" s="1"/>
  <c r="Y210" i="11"/>
  <c r="V138" i="13"/>
  <c r="X138" i="12"/>
  <c r="AI138" i="12" s="1"/>
  <c r="F123" i="12"/>
  <c r="N123" i="12" s="1"/>
  <c r="M122" i="10"/>
  <c r="AG222" i="11"/>
  <c r="AE91" i="11"/>
  <c r="AH21" i="10"/>
  <c r="I69" i="10"/>
  <c r="J28" i="10"/>
  <c r="J21" i="10" s="1"/>
  <c r="J19" i="10" s="1"/>
  <c r="J17" i="10" s="1"/>
  <c r="J8" i="10" s="1"/>
  <c r="J126" i="10" s="1"/>
  <c r="J130" i="10" s="1"/>
  <c r="AJ29" i="12"/>
  <c r="BC13" i="12"/>
  <c r="AI253" i="12"/>
  <c r="X243" i="12"/>
  <c r="AI243" i="12" s="1"/>
  <c r="M41" i="11"/>
  <c r="V177" i="13"/>
  <c r="X177" i="13" s="1"/>
  <c r="AH177" i="13" s="1"/>
  <c r="X157" i="11"/>
  <c r="X155" i="11" s="1"/>
  <c r="AJ24" i="10"/>
  <c r="W37" i="11"/>
  <c r="AH107" i="11"/>
  <c r="AJ238" i="10"/>
  <c r="X251" i="10"/>
  <c r="AJ251" i="10" s="1"/>
  <c r="V251" i="11"/>
  <c r="Y195" i="10"/>
  <c r="Y194" i="10" s="1"/>
  <c r="AB168" i="11"/>
  <c r="F123" i="13"/>
  <c r="I33" i="11"/>
  <c r="M64" i="11"/>
  <c r="I22" i="10"/>
  <c r="AR7" i="10" s="1"/>
  <c r="M55" i="10"/>
  <c r="M54" i="10" s="1"/>
  <c r="N68" i="11"/>
  <c r="N66" i="11" s="1"/>
  <c r="M68" i="12"/>
  <c r="AH190" i="10"/>
  <c r="E63" i="11"/>
  <c r="V242" i="10"/>
  <c r="W35" i="10"/>
  <c r="AI107" i="11"/>
  <c r="AI41" i="10"/>
  <c r="X212" i="10"/>
  <c r="X247" i="10"/>
  <c r="AH247" i="10" s="1"/>
  <c r="V247" i="11"/>
  <c r="E59" i="11"/>
  <c r="E57" i="10"/>
  <c r="AD168" i="11"/>
  <c r="AB14" i="12"/>
  <c r="G62" i="11"/>
  <c r="I62" i="11" s="1"/>
  <c r="I60" i="11" s="1"/>
  <c r="AJ152" i="12"/>
  <c r="AH121" i="11"/>
  <c r="X105" i="11"/>
  <c r="X104" i="11" s="1"/>
  <c r="F14" i="11"/>
  <c r="V77" i="11"/>
  <c r="X77" i="10"/>
  <c r="AI77" i="10" s="1"/>
  <c r="BN19" i="10"/>
  <c r="AH126" i="10"/>
  <c r="AI126" i="10"/>
  <c r="AJ126" i="10"/>
  <c r="E63" i="10"/>
  <c r="AJ172" i="11"/>
  <c r="AA183" i="11"/>
  <c r="AD155" i="10"/>
  <c r="Y43" i="10"/>
  <c r="Y14" i="10" s="1"/>
  <c r="Y12" i="10" s="1"/>
  <c r="M75" i="10"/>
  <c r="AI98" i="11"/>
  <c r="AJ98" i="11"/>
  <c r="N43" i="12"/>
  <c r="AB90" i="12"/>
  <c r="AB63" i="12" s="1"/>
  <c r="AB12" i="12" s="1"/>
  <c r="AB219" i="11"/>
  <c r="AR24" i="10"/>
  <c r="AW24" i="10" s="1"/>
  <c r="I57" i="10"/>
  <c r="AG35" i="10"/>
  <c r="Y50" i="11"/>
  <c r="Y49" i="11" s="1"/>
  <c r="AA49" i="10"/>
  <c r="AA43" i="10" s="1"/>
  <c r="Y90" i="10"/>
  <c r="Y63" i="10" s="1"/>
  <c r="AH152" i="12"/>
  <c r="V75" i="11"/>
  <c r="X75" i="11" s="1"/>
  <c r="AH75" i="11" s="1"/>
  <c r="BC12" i="10"/>
  <c r="X244" i="11"/>
  <c r="V244" i="12"/>
  <c r="X151" i="11"/>
  <c r="N13" i="11"/>
  <c r="M13" i="11"/>
  <c r="AJ39" i="10"/>
  <c r="AI39" i="10"/>
  <c r="AJ68" i="10"/>
  <c r="AI68" i="10"/>
  <c r="AI136" i="10"/>
  <c r="AH136" i="10"/>
  <c r="V238" i="12"/>
  <c r="X238" i="11"/>
  <c r="AH238" i="11" s="1"/>
  <c r="X74" i="11"/>
  <c r="V74" i="12"/>
  <c r="G35" i="11"/>
  <c r="I86" i="11"/>
  <c r="M86" i="11" s="1"/>
  <c r="AA91" i="10"/>
  <c r="AA90" i="10" s="1"/>
  <c r="Y145" i="10"/>
  <c r="Y231" i="10"/>
  <c r="AJ38" i="13"/>
  <c r="V28" i="13"/>
  <c r="X28" i="13" s="1"/>
  <c r="AI28" i="13" s="1"/>
  <c r="E42" i="14"/>
  <c r="N39" i="11"/>
  <c r="AJ178" i="12"/>
  <c r="AH178" i="12"/>
  <c r="AI178" i="12"/>
  <c r="D10" i="11"/>
  <c r="X73" i="10"/>
  <c r="AI73" i="10" s="1"/>
  <c r="AJ164" i="11"/>
  <c r="AJ157" i="11" s="1"/>
  <c r="AJ155" i="11" s="1"/>
  <c r="AI164" i="11"/>
  <c r="V214" i="11"/>
  <c r="X214" i="10"/>
  <c r="AI74" i="10"/>
  <c r="AJ74" i="10"/>
  <c r="E116" i="13"/>
  <c r="G95" i="11"/>
  <c r="I95" i="11" s="1"/>
  <c r="BP18" i="10"/>
  <c r="L28" i="10"/>
  <c r="L21" i="10" s="1"/>
  <c r="L19" i="10" s="1"/>
  <c r="L17" i="10" s="1"/>
  <c r="L8" i="10" s="1"/>
  <c r="L126" i="10" s="1"/>
  <c r="L130" i="10" s="1"/>
  <c r="N23" i="10"/>
  <c r="AB231" i="10"/>
  <c r="BD18" i="10"/>
  <c r="X27" i="12"/>
  <c r="M97" i="11"/>
  <c r="AH127" i="11"/>
  <c r="AH30" i="12"/>
  <c r="M96" i="11"/>
  <c r="X22" i="12"/>
  <c r="AJ117" i="12"/>
  <c r="AJ165" i="12"/>
  <c r="AI165" i="12"/>
  <c r="F78" i="11"/>
  <c r="X205" i="12"/>
  <c r="M39" i="10"/>
  <c r="N39" i="10"/>
  <c r="AI24" i="10"/>
  <c r="E53" i="12"/>
  <c r="E53" i="13" s="1"/>
  <c r="E51" i="11"/>
  <c r="V187" i="12"/>
  <c r="X187" i="11"/>
  <c r="X204" i="11"/>
  <c r="V36" i="11"/>
  <c r="X203" i="10"/>
  <c r="AE192" i="10"/>
  <c r="AH212" i="11"/>
  <c r="AI32" i="12"/>
  <c r="AH32" i="12"/>
  <c r="N106" i="10"/>
  <c r="M106" i="10"/>
  <c r="Y171" i="11"/>
  <c r="AA170" i="10"/>
  <c r="AA168" i="10" s="1"/>
  <c r="BO24" i="10" s="1"/>
  <c r="BO22" i="10" s="1"/>
  <c r="BI11" i="10" s="1"/>
  <c r="I128" i="10"/>
  <c r="BD21" i="10" s="1"/>
  <c r="W205" i="13"/>
  <c r="W204" i="13" s="1"/>
  <c r="V73" i="13"/>
  <c r="X73" i="13" s="1"/>
  <c r="AI73" i="13" s="1"/>
  <c r="X73" i="12"/>
  <c r="AI73" i="12" s="1"/>
  <c r="F65" i="10"/>
  <c r="F113" i="10"/>
  <c r="AQ15" i="10" s="1"/>
  <c r="V210" i="11"/>
  <c r="D78" i="10"/>
  <c r="F78" i="10" s="1"/>
  <c r="N78" i="10" s="1"/>
  <c r="F80" i="10"/>
  <c r="AJ162" i="11"/>
  <c r="AI162" i="11"/>
  <c r="AB168" i="13"/>
  <c r="N64" i="12"/>
  <c r="U110" i="10"/>
  <c r="I52" i="11"/>
  <c r="W175" i="13"/>
  <c r="W174" i="12"/>
  <c r="AI85" i="11"/>
  <c r="AH85" i="11"/>
  <c r="V179" i="12"/>
  <c r="X179" i="11"/>
  <c r="AI179" i="11" s="1"/>
  <c r="AJ198" i="10"/>
  <c r="AH198" i="10"/>
  <c r="V212" i="12"/>
  <c r="X212" i="11"/>
  <c r="AJ165" i="10"/>
  <c r="AI165" i="10"/>
  <c r="N106" i="11"/>
  <c r="M106" i="11"/>
  <c r="W203" i="11"/>
  <c r="W203" i="12" s="1"/>
  <c r="W203" i="13" s="1"/>
  <c r="X203" i="13" s="1"/>
  <c r="W196" i="10"/>
  <c r="W196" i="11" s="1"/>
  <c r="E113" i="11"/>
  <c r="Y45" i="11"/>
  <c r="AA210" i="11"/>
  <c r="I63" i="11"/>
  <c r="BD14" i="11"/>
  <c r="AE45" i="11"/>
  <c r="AE186" i="11"/>
  <c r="BD17" i="10"/>
  <c r="AH164" i="12"/>
  <c r="AJ25" i="10"/>
  <c r="AH25" i="10"/>
  <c r="AH179" i="10"/>
  <c r="AI179" i="10"/>
  <c r="V129" i="11"/>
  <c r="AJ254" i="12"/>
  <c r="AH254" i="12"/>
  <c r="AI102" i="13"/>
  <c r="AH102" i="13"/>
  <c r="AJ102" i="13"/>
  <c r="N111" i="10"/>
  <c r="M111" i="10"/>
  <c r="F105" i="10"/>
  <c r="D104" i="10"/>
  <c r="D102" i="13"/>
  <c r="F102" i="12"/>
  <c r="W84" i="11"/>
  <c r="W84" i="12" s="1"/>
  <c r="X84" i="10"/>
  <c r="AI84" i="10" s="1"/>
  <c r="F111" i="11"/>
  <c r="D104" i="11"/>
  <c r="E65" i="13"/>
  <c r="E63" i="12"/>
  <c r="AD168" i="12"/>
  <c r="AD155" i="12"/>
  <c r="G122" i="12"/>
  <c r="I122" i="12" s="1"/>
  <c r="I55" i="11"/>
  <c r="I46" i="11"/>
  <c r="I45" i="11" s="1"/>
  <c r="AD43" i="10"/>
  <c r="M95" i="10"/>
  <c r="X106" i="13"/>
  <c r="AI106" i="13" s="1"/>
  <c r="AH160" i="12"/>
  <c r="X203" i="12"/>
  <c r="AI162" i="12"/>
  <c r="V246" i="13"/>
  <c r="X246" i="13" s="1"/>
  <c r="AJ246" i="13" s="1"/>
  <c r="X246" i="12"/>
  <c r="V32" i="13"/>
  <c r="X32" i="13" s="1"/>
  <c r="AI32" i="13" s="1"/>
  <c r="V190" i="12"/>
  <c r="V198" i="11"/>
  <c r="V198" i="12" s="1"/>
  <c r="V198" i="13" s="1"/>
  <c r="AH202" i="11"/>
  <c r="X86" i="11"/>
  <c r="AJ136" i="10"/>
  <c r="N82" i="10"/>
  <c r="N81" i="10" s="1"/>
  <c r="F81" i="10"/>
  <c r="X71" i="10"/>
  <c r="AI71" i="10" s="1"/>
  <c r="V71" i="11"/>
  <c r="M99" i="10"/>
  <c r="N99" i="10"/>
  <c r="AG43" i="10"/>
  <c r="AD195" i="12"/>
  <c r="AD194" i="12" s="1"/>
  <c r="AR28" i="12" s="1"/>
  <c r="AW28" i="12" s="1"/>
  <c r="AA211" i="12"/>
  <c r="J28" i="11"/>
  <c r="J21" i="11" s="1"/>
  <c r="J19" i="11" s="1"/>
  <c r="J17" i="11" s="1"/>
  <c r="BP12" i="10"/>
  <c r="BP9" i="10" s="1"/>
  <c r="X38" i="12"/>
  <c r="X79" i="12"/>
  <c r="X127" i="12"/>
  <c r="M83" i="10"/>
  <c r="M81" i="10" s="1"/>
  <c r="E111" i="12"/>
  <c r="E104" i="12" s="1"/>
  <c r="AH249" i="10"/>
  <c r="AJ249" i="10"/>
  <c r="V123" i="10"/>
  <c r="V112" i="10" s="1"/>
  <c r="V110" i="10" s="1"/>
  <c r="V183" i="10"/>
  <c r="AH143" i="10"/>
  <c r="AI143" i="10"/>
  <c r="AJ143" i="10"/>
  <c r="AJ177" i="12"/>
  <c r="AI177" i="12"/>
  <c r="X128" i="10"/>
  <c r="V128" i="11"/>
  <c r="V128" i="12" s="1"/>
  <c r="V128" i="13" s="1"/>
  <c r="X128" i="13" s="1"/>
  <c r="M110" i="11"/>
  <c r="N110" i="11"/>
  <c r="W261" i="13"/>
  <c r="G58" i="11"/>
  <c r="I58" i="11" s="1"/>
  <c r="Y123" i="11"/>
  <c r="AH78" i="12"/>
  <c r="BC18" i="12"/>
  <c r="AJ85" i="11"/>
  <c r="AJ132" i="13"/>
  <c r="AI132" i="13"/>
  <c r="X40" i="10"/>
  <c r="AH40" i="10" s="1"/>
  <c r="AQ13" i="11"/>
  <c r="AV13" i="11" s="1"/>
  <c r="N90" i="11"/>
  <c r="X188" i="12"/>
  <c r="AH254" i="13"/>
  <c r="L28" i="11"/>
  <c r="AS9" i="11" s="1"/>
  <c r="AH217" i="10"/>
  <c r="AG171" i="11"/>
  <c r="AE145" i="11"/>
  <c r="AE110" i="11" s="1"/>
  <c r="AE50" i="11"/>
  <c r="AG50" i="11" s="1"/>
  <c r="AE50" i="12" s="1"/>
  <c r="AI78" i="12"/>
  <c r="Q128" i="13"/>
  <c r="AH25" i="12"/>
  <c r="D104" i="12"/>
  <c r="X142" i="12"/>
  <c r="AI26" i="12"/>
  <c r="D77" i="11"/>
  <c r="X86" i="10"/>
  <c r="AH159" i="10"/>
  <c r="AI159" i="10"/>
  <c r="X40" i="11"/>
  <c r="V31" i="13"/>
  <c r="AJ176" i="10"/>
  <c r="BN23" i="10"/>
  <c r="AH238" i="10"/>
  <c r="AH165" i="10"/>
  <c r="M89" i="10"/>
  <c r="AW12" i="10"/>
  <c r="D51" i="10"/>
  <c r="D53" i="11"/>
  <c r="X81" i="11"/>
  <c r="AI81" i="11" s="1"/>
  <c r="V81" i="12"/>
  <c r="V151" i="13"/>
  <c r="X151" i="13" s="1"/>
  <c r="X151" i="12"/>
  <c r="E56" i="13"/>
  <c r="E54" i="12"/>
  <c r="AE69" i="12"/>
  <c r="X202" i="12"/>
  <c r="AG242" i="10"/>
  <c r="Y226" i="11"/>
  <c r="AJ25" i="12"/>
  <c r="F104" i="12"/>
  <c r="N107" i="12"/>
  <c r="M107" i="12"/>
  <c r="AI38" i="10"/>
  <c r="F14" i="12"/>
  <c r="D27" i="11"/>
  <c r="V30" i="13"/>
  <c r="W236" i="11"/>
  <c r="V114" i="11"/>
  <c r="X117" i="11"/>
  <c r="AJ117" i="11" s="1"/>
  <c r="AH246" i="10"/>
  <c r="AI246" i="10"/>
  <c r="X184" i="10"/>
  <c r="AJ184" i="10" s="1"/>
  <c r="V184" i="11"/>
  <c r="N102" i="10"/>
  <c r="M102" i="10"/>
  <c r="AA261" i="10"/>
  <c r="BO31" i="10" s="1"/>
  <c r="BI15" i="10" s="1"/>
  <c r="X202" i="13"/>
  <c r="AH202" i="13" s="1"/>
  <c r="J128" i="13"/>
  <c r="AJ105" i="12"/>
  <c r="L21" i="11"/>
  <c r="L19" i="11" s="1"/>
  <c r="AX14" i="10"/>
  <c r="Y20" i="11"/>
  <c r="Y212" i="12"/>
  <c r="AA212" i="12" s="1"/>
  <c r="Y212" i="13" s="1"/>
  <c r="AA212" i="13" s="1"/>
  <c r="AH237" i="12"/>
  <c r="AH239" i="12"/>
  <c r="F111" i="12"/>
  <c r="AJ38" i="10"/>
  <c r="V43" i="10"/>
  <c r="W234" i="10"/>
  <c r="W233" i="10" s="1"/>
  <c r="V234" i="10"/>
  <c r="V233" i="10" s="1"/>
  <c r="M44" i="10"/>
  <c r="M121" i="10"/>
  <c r="X133" i="10"/>
  <c r="V133" i="11"/>
  <c r="X150" i="10"/>
  <c r="M14" i="10"/>
  <c r="M123" i="10"/>
  <c r="AI19" i="10"/>
  <c r="AJ19" i="10"/>
  <c r="N123" i="11"/>
  <c r="M123" i="11"/>
  <c r="AB231" i="12"/>
  <c r="AB219" i="13"/>
  <c r="AW7" i="10"/>
  <c r="Y70" i="11"/>
  <c r="AA70" i="11" s="1"/>
  <c r="Y70" i="12" s="1"/>
  <c r="AA70" i="12" s="1"/>
  <c r="AE59" i="11"/>
  <c r="AI18" i="12"/>
  <c r="AI239" i="12"/>
  <c r="V86" i="13"/>
  <c r="X86" i="13" s="1"/>
  <c r="AJ86" i="13" s="1"/>
  <c r="V255" i="12"/>
  <c r="M124" i="10"/>
  <c r="N124" i="10"/>
  <c r="V180" i="11"/>
  <c r="E119" i="12"/>
  <c r="E119" i="13" s="1"/>
  <c r="X188" i="11"/>
  <c r="E10" i="10"/>
  <c r="E12" i="11"/>
  <c r="X116" i="10"/>
  <c r="AI31" i="10"/>
  <c r="AJ31" i="10"/>
  <c r="N116" i="11"/>
  <c r="M116" i="11"/>
  <c r="AJ224" i="11"/>
  <c r="AD141" i="11"/>
  <c r="BP20" i="11" s="1"/>
  <c r="AB143" i="12"/>
  <c r="AE143" i="12"/>
  <c r="AG141" i="11"/>
  <c r="X151" i="10"/>
  <c r="AH151" i="10" s="1"/>
  <c r="AJ248" i="10"/>
  <c r="X31" i="11"/>
  <c r="W31" i="12"/>
  <c r="X31" i="12" s="1"/>
  <c r="AE150" i="12"/>
  <c r="AG149" i="11"/>
  <c r="AE116" i="12"/>
  <c r="AG114" i="11"/>
  <c r="AE164" i="12"/>
  <c r="AG157" i="11"/>
  <c r="AG155" i="11" s="1"/>
  <c r="X143" i="11"/>
  <c r="X243" i="11"/>
  <c r="W141" i="11"/>
  <c r="AI158" i="11"/>
  <c r="M101" i="10"/>
  <c r="AI237" i="10"/>
  <c r="AH253" i="10"/>
  <c r="D72" i="10"/>
  <c r="F104" i="11"/>
  <c r="V137" i="11"/>
  <c r="X243" i="10"/>
  <c r="X197" i="11"/>
  <c r="W183" i="11"/>
  <c r="N74" i="10"/>
  <c r="N72" i="10" s="1"/>
  <c r="AB117" i="12"/>
  <c r="AD114" i="11"/>
  <c r="E34" i="14"/>
  <c r="Y126" i="11"/>
  <c r="AA126" i="11" s="1"/>
  <c r="Y126" i="12" s="1"/>
  <c r="AA126" i="12" s="1"/>
  <c r="M78" i="10"/>
  <c r="V126" i="11"/>
  <c r="W261" i="11"/>
  <c r="AB131" i="12"/>
  <c r="AD123" i="11"/>
  <c r="E94" i="10"/>
  <c r="F102" i="11"/>
  <c r="E44" i="11"/>
  <c r="E42" i="10"/>
  <c r="E49" i="14"/>
  <c r="E32" i="13"/>
  <c r="W242" i="10"/>
  <c r="X119" i="10"/>
  <c r="X135" i="10"/>
  <c r="AJ46" i="10"/>
  <c r="F117" i="11"/>
  <c r="AE127" i="12"/>
  <c r="AG123" i="11"/>
  <c r="I10" i="10"/>
  <c r="BD7" i="10" s="1"/>
  <c r="AB43" i="10"/>
  <c r="AB90" i="10"/>
  <c r="X33" i="13"/>
  <c r="AH18" i="10"/>
  <c r="X81" i="10"/>
  <c r="AI165" i="11"/>
  <c r="F92" i="10"/>
  <c r="M118" i="10"/>
  <c r="E117" i="12"/>
  <c r="X87" i="10"/>
  <c r="AJ87" i="10" s="1"/>
  <c r="AH165" i="11"/>
  <c r="X248" i="12"/>
  <c r="D48" i="10"/>
  <c r="D50" i="11"/>
  <c r="AH100" i="13"/>
  <c r="AJ108" i="10"/>
  <c r="X177" i="10"/>
  <c r="AI177" i="10" s="1"/>
  <c r="E22" i="10"/>
  <c r="F60" i="10"/>
  <c r="V226" i="10"/>
  <c r="V219" i="10" s="1"/>
  <c r="W43" i="10"/>
  <c r="W14" i="10" s="1"/>
  <c r="AI32" i="10"/>
  <c r="AH32" i="10"/>
  <c r="W247" i="11"/>
  <c r="X33" i="11"/>
  <c r="AI33" i="11" s="1"/>
  <c r="Y219" i="10"/>
  <c r="AB112" i="10"/>
  <c r="AE90" i="10"/>
  <c r="AE63" i="10" s="1"/>
  <c r="AE12" i="10" s="1"/>
  <c r="AH100" i="12"/>
  <c r="X213" i="10"/>
  <c r="X142" i="11"/>
  <c r="V240" i="11"/>
  <c r="X240" i="11" s="1"/>
  <c r="AJ240" i="11" s="1"/>
  <c r="X189" i="10"/>
  <c r="V189" i="11"/>
  <c r="X28" i="11"/>
  <c r="AC112" i="10"/>
  <c r="AL63" i="10"/>
  <c r="AM145" i="10"/>
  <c r="AM110" i="10" s="1"/>
  <c r="U145" i="10"/>
  <c r="AC231" i="10"/>
  <c r="BQ14" i="10"/>
  <c r="N37" i="14" s="1"/>
  <c r="H28" i="10"/>
  <c r="H21" i="10" s="1"/>
  <c r="H19" i="10" s="1"/>
  <c r="H17" i="10" s="1"/>
  <c r="X53" i="10"/>
  <c r="AM63" i="10"/>
  <c r="F105" i="13"/>
  <c r="E78" i="13"/>
  <c r="AF90" i="10"/>
  <c r="X47" i="10"/>
  <c r="X92" i="10"/>
  <c r="F70" i="13"/>
  <c r="AC90" i="10"/>
  <c r="AC63" i="10" s="1"/>
  <c r="AF43" i="10"/>
  <c r="AF14" i="10" s="1"/>
  <c r="R12" i="14"/>
  <c r="X46" i="10"/>
  <c r="L22" i="13"/>
  <c r="F98" i="13"/>
  <c r="D104" i="13"/>
  <c r="AF145" i="10"/>
  <c r="X45" i="10"/>
  <c r="X55" i="12"/>
  <c r="W44" i="13"/>
  <c r="AL90" i="10"/>
  <c r="AL168" i="10"/>
  <c r="V59" i="11"/>
  <c r="L60" i="13"/>
  <c r="K21" i="10"/>
  <c r="K19" i="10" s="1"/>
  <c r="K17" i="10" s="1"/>
  <c r="K8" i="10" s="1"/>
  <c r="K126" i="10" s="1"/>
  <c r="K130" i="10" s="1"/>
  <c r="Z168" i="10"/>
  <c r="AF112" i="10"/>
  <c r="AL231" i="10"/>
  <c r="U192" i="10"/>
  <c r="F101" i="13"/>
  <c r="X132" i="11"/>
  <c r="AH132" i="11" s="1"/>
  <c r="BQ15" i="10"/>
  <c r="BK10" i="10" s="1"/>
  <c r="BL10" i="10" s="1"/>
  <c r="AC14" i="10"/>
  <c r="AC145" i="10"/>
  <c r="X55" i="11"/>
  <c r="V61" i="11"/>
  <c r="Q21" i="10"/>
  <c r="Q19" i="10" s="1"/>
  <c r="Q17" i="10" s="1"/>
  <c r="Q8" i="10" s="1"/>
  <c r="Q126" i="10" s="1"/>
  <c r="Q130" i="10" s="1"/>
  <c r="X45" i="11"/>
  <c r="AI45" i="11" s="1"/>
  <c r="F79" i="13"/>
  <c r="AF233" i="10"/>
  <c r="AF231" i="10" s="1"/>
  <c r="AM43" i="10"/>
  <c r="AM14" i="10" s="1"/>
  <c r="AM195" i="10"/>
  <c r="AM194" i="10" s="1"/>
  <c r="X25" i="11"/>
  <c r="AD157" i="11"/>
  <c r="V101" i="11"/>
  <c r="L45" i="13"/>
  <c r="Z63" i="10"/>
  <c r="Z12" i="10" s="1"/>
  <c r="AC192" i="10"/>
  <c r="X17" i="11"/>
  <c r="BE8" i="10"/>
  <c r="BE22" i="10" s="1"/>
  <c r="U63" i="10"/>
  <c r="X26" i="11"/>
  <c r="X94" i="12"/>
  <c r="X166" i="13"/>
  <c r="AI166" i="13" s="1"/>
  <c r="N11" i="14"/>
  <c r="Z195" i="10"/>
  <c r="Z194" i="10" s="1"/>
  <c r="Z192" i="10" s="1"/>
  <c r="X94" i="10"/>
  <c r="AF168" i="10"/>
  <c r="BQ24" i="10" s="1"/>
  <c r="P28" i="10"/>
  <c r="P21" i="10" s="1"/>
  <c r="P19" i="10" s="1"/>
  <c r="P17" i="10" s="1"/>
  <c r="P8" i="10" s="1"/>
  <c r="P126" i="10" s="1"/>
  <c r="P130" i="10" s="1"/>
  <c r="AL63" i="13"/>
  <c r="AI79" i="13"/>
  <c r="AH79" i="13"/>
  <c r="AJ79" i="13"/>
  <c r="AI24" i="13"/>
  <c r="AH24" i="13"/>
  <c r="AJ24" i="13"/>
  <c r="AH228" i="13"/>
  <c r="AI228" i="13"/>
  <c r="Q19" i="13"/>
  <c r="Q17" i="13" s="1"/>
  <c r="Q8" i="13" s="1"/>
  <c r="W49" i="13"/>
  <c r="AH32" i="13"/>
  <c r="U14" i="13"/>
  <c r="U12" i="13" s="1"/>
  <c r="U10" i="13" s="1"/>
  <c r="U8" i="13" s="1"/>
  <c r="U259" i="13" s="1"/>
  <c r="U263" i="13" s="1"/>
  <c r="S10" i="16"/>
  <c r="F110" i="13"/>
  <c r="F91" i="13"/>
  <c r="F40" i="13"/>
  <c r="AC110" i="13"/>
  <c r="AF145" i="13"/>
  <c r="Z219" i="13"/>
  <c r="AL145" i="13"/>
  <c r="AL110" i="13" s="1"/>
  <c r="AD185" i="13"/>
  <c r="AD183" i="13" s="1"/>
  <c r="BE10" i="13"/>
  <c r="BE9" i="13" s="1"/>
  <c r="BE8" i="13" s="1"/>
  <c r="X224" i="13"/>
  <c r="AJ224" i="13" s="1"/>
  <c r="AM14" i="13"/>
  <c r="AD44" i="13"/>
  <c r="AD43" i="13" s="1"/>
  <c r="F43" i="13"/>
  <c r="X156" i="13"/>
  <c r="X46" i="13"/>
  <c r="AD96" i="13"/>
  <c r="X176" i="13"/>
  <c r="AF63" i="13"/>
  <c r="X117" i="13"/>
  <c r="F68" i="13"/>
  <c r="X26" i="13"/>
  <c r="AH26" i="13" s="1"/>
  <c r="U168" i="13"/>
  <c r="Z90" i="13"/>
  <c r="Z63" i="13" s="1"/>
  <c r="Z12" i="13" s="1"/>
  <c r="L104" i="13"/>
  <c r="W104" i="13"/>
  <c r="V105" i="13"/>
  <c r="V104" i="13" s="1"/>
  <c r="X134" i="13"/>
  <c r="AI134" i="13" s="1"/>
  <c r="AM63" i="13"/>
  <c r="Z168" i="13"/>
  <c r="L66" i="13"/>
  <c r="AD221" i="13"/>
  <c r="W141" i="13"/>
  <c r="BQ13" i="13"/>
  <c r="Q36" i="14" s="1"/>
  <c r="AF14" i="13"/>
  <c r="AC168" i="13"/>
  <c r="F96" i="13"/>
  <c r="F82" i="13"/>
  <c r="F55" i="13"/>
  <c r="F36" i="13"/>
  <c r="AL14" i="13"/>
  <c r="AL12" i="13" s="1"/>
  <c r="AF168" i="13"/>
  <c r="BQ24" i="13" s="1"/>
  <c r="Z195" i="13"/>
  <c r="Z194" i="13" s="1"/>
  <c r="AM231" i="13"/>
  <c r="AB43" i="13"/>
  <c r="AB14" i="13" s="1"/>
  <c r="X142" i="13"/>
  <c r="AI142" i="13" s="1"/>
  <c r="X18" i="13"/>
  <c r="U43" i="13"/>
  <c r="F86" i="13"/>
  <c r="F38" i="13"/>
  <c r="X21" i="13"/>
  <c r="AI21" i="13" s="1"/>
  <c r="F120" i="13"/>
  <c r="M120" i="13" s="1"/>
  <c r="Z145" i="13"/>
  <c r="Z110" i="13" s="1"/>
  <c r="L81" i="13"/>
  <c r="L57" i="13"/>
  <c r="AD35" i="13"/>
  <c r="F121" i="13"/>
  <c r="X17" i="13"/>
  <c r="AI17" i="13" s="1"/>
  <c r="P21" i="13"/>
  <c r="P19" i="13" s="1"/>
  <c r="P17" i="13" s="1"/>
  <c r="P8" i="13" s="1"/>
  <c r="AR27" i="11"/>
  <c r="AW27" i="11" s="1"/>
  <c r="BP24" i="11"/>
  <c r="BP22" i="11" s="1"/>
  <c r="BJ11" i="11" s="1"/>
  <c r="L17" i="11"/>
  <c r="AS14" i="11"/>
  <c r="AS17" i="11" s="1"/>
  <c r="BP29" i="12"/>
  <c r="BJ13" i="12" s="1"/>
  <c r="AD233" i="12"/>
  <c r="AD231" i="12" s="1"/>
  <c r="AR30" i="12" s="1"/>
  <c r="AW30" i="12" s="1"/>
  <c r="AJ77" i="10"/>
  <c r="AH77" i="10"/>
  <c r="W68" i="12"/>
  <c r="W68" i="13" s="1"/>
  <c r="X68" i="13" s="1"/>
  <c r="X68" i="11"/>
  <c r="AA226" i="11"/>
  <c r="Y227" i="12"/>
  <c r="AH118" i="12"/>
  <c r="Y118" i="13"/>
  <c r="AA118" i="13" s="1"/>
  <c r="I73" i="11"/>
  <c r="G72" i="11"/>
  <c r="BO27" i="11"/>
  <c r="AD105" i="10"/>
  <c r="AD104" i="10" s="1"/>
  <c r="AD63" i="10" s="1"/>
  <c r="AB106" i="11"/>
  <c r="AR16" i="10"/>
  <c r="AW16" i="10" s="1"/>
  <c r="N116" i="12"/>
  <c r="AR23" i="12"/>
  <c r="BP12" i="12"/>
  <c r="BP9" i="12" s="1"/>
  <c r="AD14" i="12"/>
  <c r="AD12" i="12" s="1"/>
  <c r="AA217" i="11"/>
  <c r="Y217" i="12" s="1"/>
  <c r="AA217" i="12" s="1"/>
  <c r="Y217" i="13" s="1"/>
  <c r="AA217" i="13" s="1"/>
  <c r="AR27" i="10"/>
  <c r="AW27" i="10" s="1"/>
  <c r="BP24" i="10"/>
  <c r="BP22" i="10" s="1"/>
  <c r="BJ11" i="10" s="1"/>
  <c r="J8" i="11"/>
  <c r="J126" i="11" s="1"/>
  <c r="J130" i="11" s="1"/>
  <c r="AX16" i="12"/>
  <c r="Y211" i="13"/>
  <c r="AA185" i="12"/>
  <c r="AA183" i="12" s="1"/>
  <c r="Y186" i="13"/>
  <c r="AA81" i="12"/>
  <c r="N118" i="12"/>
  <c r="M118" i="12"/>
  <c r="M121" i="12"/>
  <c r="AE66" i="13"/>
  <c r="G8" i="10"/>
  <c r="G126" i="10" s="1"/>
  <c r="G130" i="10" s="1"/>
  <c r="R23" i="14"/>
  <c r="AR25" i="12"/>
  <c r="BP13" i="12"/>
  <c r="Y255" i="12"/>
  <c r="AH255" i="11"/>
  <c r="I30" i="11"/>
  <c r="G29" i="11"/>
  <c r="G28" i="11" s="1"/>
  <c r="AX14" i="11"/>
  <c r="AW17" i="11" s="1"/>
  <c r="N78" i="11"/>
  <c r="AA150" i="12"/>
  <c r="AJ202" i="13"/>
  <c r="AW17" i="10"/>
  <c r="AX17" i="10"/>
  <c r="AR23" i="11"/>
  <c r="BP12" i="11"/>
  <c r="BP9" i="11" s="1"/>
  <c r="L28" i="12"/>
  <c r="AD192" i="12"/>
  <c r="BP30" i="11"/>
  <c r="BJ14" i="11" s="1"/>
  <c r="AR30" i="11"/>
  <c r="AW30" i="11" s="1"/>
  <c r="G49" i="11"/>
  <c r="BD15" i="10"/>
  <c r="M49" i="10"/>
  <c r="I48" i="10"/>
  <c r="AA104" i="12"/>
  <c r="Y108" i="13"/>
  <c r="J28" i="13"/>
  <c r="BJ9" i="10"/>
  <c r="N97" i="10"/>
  <c r="N94" i="10" s="1"/>
  <c r="M97" i="10"/>
  <c r="BC18" i="10"/>
  <c r="F94" i="10"/>
  <c r="Y44" i="11"/>
  <c r="Y43" i="11" s="1"/>
  <c r="AA45" i="11"/>
  <c r="AE243" i="13"/>
  <c r="AJ243" i="12"/>
  <c r="Y106" i="11"/>
  <c r="AA105" i="10"/>
  <c r="AA104" i="10" s="1"/>
  <c r="G41" i="13"/>
  <c r="M41" i="12"/>
  <c r="M123" i="12"/>
  <c r="Y124" i="12"/>
  <c r="AA123" i="11"/>
  <c r="BO17" i="11"/>
  <c r="BP16" i="10"/>
  <c r="AD147" i="10"/>
  <c r="G115" i="11"/>
  <c r="M115" i="10"/>
  <c r="I113" i="10"/>
  <c r="AR15" i="10" s="1"/>
  <c r="AW15" i="10" s="1"/>
  <c r="AY15" i="10" s="1"/>
  <c r="AD192" i="11"/>
  <c r="AR28" i="11"/>
  <c r="AW28" i="11" s="1"/>
  <c r="BP8" i="10"/>
  <c r="I105" i="11"/>
  <c r="G104" i="11"/>
  <c r="AE69" i="13"/>
  <c r="I61" i="12"/>
  <c r="I70" i="12"/>
  <c r="AA175" i="12"/>
  <c r="AA50" i="11"/>
  <c r="AR25" i="11"/>
  <c r="I12" i="11"/>
  <c r="G10" i="11"/>
  <c r="AA209" i="10"/>
  <c r="AA208" i="10" s="1"/>
  <c r="BO27" i="10"/>
  <c r="AE84" i="11"/>
  <c r="AJ84" i="10"/>
  <c r="AG83" i="10"/>
  <c r="AS24" i="10" s="1"/>
  <c r="AX24" i="10" s="1"/>
  <c r="G33" i="12"/>
  <c r="I32" i="11"/>
  <c r="M33" i="11"/>
  <c r="I82" i="11"/>
  <c r="G81" i="11"/>
  <c r="AG195" i="10"/>
  <c r="AG194" i="10" s="1"/>
  <c r="BP13" i="10"/>
  <c r="AR25" i="10"/>
  <c r="Y222" i="11"/>
  <c r="AA221" i="10"/>
  <c r="AA219" i="10" s="1"/>
  <c r="BO30" i="10" s="1"/>
  <c r="BI14" i="10" s="1"/>
  <c r="AH222" i="10"/>
  <c r="AG33" i="11"/>
  <c r="Y112" i="10"/>
  <c r="G117" i="13"/>
  <c r="N51" i="10"/>
  <c r="AE35" i="11"/>
  <c r="AG36" i="11"/>
  <c r="I71" i="11"/>
  <c r="G69" i="11"/>
  <c r="AA59" i="12"/>
  <c r="BD10" i="10"/>
  <c r="BD9" i="10" s="1"/>
  <c r="BD8" i="10" s="1"/>
  <c r="BD22" i="10" s="1"/>
  <c r="Y174" i="11"/>
  <c r="G110" i="13"/>
  <c r="M110" i="12"/>
  <c r="M30" i="10"/>
  <c r="I29" i="10"/>
  <c r="I28" i="10" s="1"/>
  <c r="AR9" i="10" s="1"/>
  <c r="AB195" i="11"/>
  <c r="AB194" i="11" s="1"/>
  <c r="AB192" i="11" s="1"/>
  <c r="AB14" i="10"/>
  <c r="Y153" i="11"/>
  <c r="AH153" i="10"/>
  <c r="AA114" i="10"/>
  <c r="AA112" i="10" s="1"/>
  <c r="AA110" i="10" s="1"/>
  <c r="BO16" i="10"/>
  <c r="Y115" i="11"/>
  <c r="G36" i="12"/>
  <c r="M36" i="11"/>
  <c r="G63" i="12"/>
  <c r="I64" i="12"/>
  <c r="AD195" i="10"/>
  <c r="AD194" i="10" s="1"/>
  <c r="AH33" i="10"/>
  <c r="Y33" i="11"/>
  <c r="AW10" i="10"/>
  <c r="AY10" i="10" s="1"/>
  <c r="M43" i="10"/>
  <c r="M42" i="10" s="1"/>
  <c r="BD16" i="10"/>
  <c r="I42" i="10"/>
  <c r="AR10" i="10" s="1"/>
  <c r="AU10" i="10" s="1"/>
  <c r="G43" i="11"/>
  <c r="AH73" i="12"/>
  <c r="BP25" i="12"/>
  <c r="BJ12" i="12" s="1"/>
  <c r="G86" i="12"/>
  <c r="I85" i="11"/>
  <c r="AH21" i="11"/>
  <c r="Y21" i="12"/>
  <c r="AA20" i="11"/>
  <c r="AG227" i="11"/>
  <c r="AE226" i="11"/>
  <c r="AE219" i="11" s="1"/>
  <c r="AG91" i="11"/>
  <c r="AE92" i="12"/>
  <c r="AJ92" i="11"/>
  <c r="AE21" i="11"/>
  <c r="AJ21" i="10"/>
  <c r="AG20" i="10"/>
  <c r="AG16" i="10" s="1"/>
  <c r="AB90" i="13"/>
  <c r="AB63" i="13" s="1"/>
  <c r="G58" i="12"/>
  <c r="AE174" i="11"/>
  <c r="AG175" i="11"/>
  <c r="AE210" i="11"/>
  <c r="AE209" i="11" s="1"/>
  <c r="AE208" i="11" s="1"/>
  <c r="AG211" i="11"/>
  <c r="X143" i="12"/>
  <c r="V143" i="13"/>
  <c r="X143" i="13" s="1"/>
  <c r="AH143" i="13" s="1"/>
  <c r="Y84" i="11"/>
  <c r="Y35" i="11"/>
  <c r="AA36" i="11"/>
  <c r="G67" i="11"/>
  <c r="M67" i="10"/>
  <c r="M66" i="10" s="1"/>
  <c r="G128" i="11"/>
  <c r="Y192" i="10"/>
  <c r="BP27" i="10"/>
  <c r="BP25" i="10" s="1"/>
  <c r="BJ12" i="10" s="1"/>
  <c r="Y209" i="11"/>
  <c r="Y208" i="11" s="1"/>
  <c r="M86" i="10"/>
  <c r="M85" i="10" s="1"/>
  <c r="I85" i="10"/>
  <c r="AW14" i="10" s="1"/>
  <c r="AA97" i="11"/>
  <c r="Y96" i="11"/>
  <c r="AS9" i="10"/>
  <c r="I54" i="11"/>
  <c r="Y91" i="11"/>
  <c r="AA92" i="11"/>
  <c r="AG105" i="11"/>
  <c r="AG104" i="11" s="1"/>
  <c r="AJ106" i="11"/>
  <c r="AJ105" i="11" s="1"/>
  <c r="AE97" i="11"/>
  <c r="AG96" i="10"/>
  <c r="AG90" i="10" s="1"/>
  <c r="AS25" i="10" s="1"/>
  <c r="AX25" i="10" s="1"/>
  <c r="BO19" i="11"/>
  <c r="Y183" i="12"/>
  <c r="Y197" i="12"/>
  <c r="AB43" i="11"/>
  <c r="AB14" i="11" s="1"/>
  <c r="Y196" i="11"/>
  <c r="AE255" i="12"/>
  <c r="AE242" i="12" s="1"/>
  <c r="AG205" i="11"/>
  <c r="AE204" i="11"/>
  <c r="BD21" i="11"/>
  <c r="BO26" i="11"/>
  <c r="AH45" i="10"/>
  <c r="AA243" i="11"/>
  <c r="AR24" i="11"/>
  <c r="AW24" i="11" s="1"/>
  <c r="AD14" i="10"/>
  <c r="AR23" i="10"/>
  <c r="BO18" i="10"/>
  <c r="AA204" i="10"/>
  <c r="Y205" i="11"/>
  <c r="AA205" i="11" s="1"/>
  <c r="V121" i="13"/>
  <c r="X121" i="13" s="1"/>
  <c r="X121" i="12"/>
  <c r="AB63" i="10"/>
  <c r="AE184" i="11"/>
  <c r="AB219" i="10"/>
  <c r="G76" i="11"/>
  <c r="AE81" i="11"/>
  <c r="AG65" i="10"/>
  <c r="AH40" i="12"/>
  <c r="AI40" i="12"/>
  <c r="AJ40" i="12"/>
  <c r="AQ11" i="11"/>
  <c r="N88" i="11"/>
  <c r="AH249" i="12"/>
  <c r="AJ249" i="12"/>
  <c r="AI249" i="12"/>
  <c r="AA235" i="11"/>
  <c r="Y234" i="11"/>
  <c r="Y233" i="11" s="1"/>
  <c r="Y231" i="11" s="1"/>
  <c r="AB110" i="10"/>
  <c r="V206" i="13"/>
  <c r="X206" i="13" s="1"/>
  <c r="AJ206" i="13" s="1"/>
  <c r="X206" i="12"/>
  <c r="AI37" i="10"/>
  <c r="X35" i="10"/>
  <c r="AJ37" i="10"/>
  <c r="AH37" i="10"/>
  <c r="AB195" i="13"/>
  <c r="AB194" i="13" s="1"/>
  <c r="AB192" i="13" s="1"/>
  <c r="G94" i="11"/>
  <c r="G60" i="11"/>
  <c r="AJ243" i="10"/>
  <c r="V87" i="13"/>
  <c r="N38" i="12"/>
  <c r="M38" i="12"/>
  <c r="AG242" i="11"/>
  <c r="AE242" i="11"/>
  <c r="AE231" i="11" s="1"/>
  <c r="AE197" i="11"/>
  <c r="AJ197" i="10"/>
  <c r="AH239" i="13"/>
  <c r="AI239" i="13"/>
  <c r="AJ239" i="13"/>
  <c r="M87" i="12"/>
  <c r="N87" i="12"/>
  <c r="W210" i="11"/>
  <c r="W209" i="11" s="1"/>
  <c r="W208" i="11" s="1"/>
  <c r="W209" i="10"/>
  <c r="W208" i="10" s="1"/>
  <c r="BN23" i="12"/>
  <c r="AI176" i="12"/>
  <c r="Y142" i="11"/>
  <c r="AG235" i="11"/>
  <c r="AE168" i="10"/>
  <c r="AD233" i="10"/>
  <c r="AD231" i="10" s="1"/>
  <c r="AR30" i="10" s="1"/>
  <c r="AW30" i="10" s="1"/>
  <c r="AB234" i="11"/>
  <c r="AB233" i="11" s="1"/>
  <c r="AB231" i="11" s="1"/>
  <c r="AE219" i="10"/>
  <c r="N39" i="12"/>
  <c r="M39" i="12"/>
  <c r="G26" i="11"/>
  <c r="BC16" i="11"/>
  <c r="BC10" i="11" s="1"/>
  <c r="BC9" i="11" s="1"/>
  <c r="I51" i="10"/>
  <c r="M52" i="10"/>
  <c r="M51" i="10" s="1"/>
  <c r="M13" i="13"/>
  <c r="BC17" i="11"/>
  <c r="AH78" i="13"/>
  <c r="AJ78" i="13"/>
  <c r="F115" i="13"/>
  <c r="AH71" i="10"/>
  <c r="Y71" i="11"/>
  <c r="AA71" i="11" s="1"/>
  <c r="AA65" i="10"/>
  <c r="AJ201" i="12"/>
  <c r="AI201" i="12"/>
  <c r="AH201" i="12"/>
  <c r="AI127" i="13"/>
  <c r="AH127" i="13"/>
  <c r="V16" i="12"/>
  <c r="X33" i="12"/>
  <c r="W119" i="13"/>
  <c r="X119" i="13" s="1"/>
  <c r="X119" i="12"/>
  <c r="D59" i="12"/>
  <c r="F59" i="11"/>
  <c r="D57" i="11"/>
  <c r="N88" i="10"/>
  <c r="M88" i="10"/>
  <c r="BC17" i="10"/>
  <c r="BC10" i="10" s="1"/>
  <c r="BC9" i="10" s="1"/>
  <c r="BC8" i="10" s="1"/>
  <c r="AQ11" i="10"/>
  <c r="F85" i="10"/>
  <c r="I25" i="10"/>
  <c r="BP25" i="11"/>
  <c r="BJ12" i="11" s="1"/>
  <c r="M78" i="11"/>
  <c r="AG234" i="10"/>
  <c r="AG233" i="10" s="1"/>
  <c r="AG231" i="10" s="1"/>
  <c r="AS30" i="10" s="1"/>
  <c r="AX30" i="10" s="1"/>
  <c r="AH80" i="12"/>
  <c r="AH152" i="13"/>
  <c r="AI239" i="10"/>
  <c r="AH239" i="10"/>
  <c r="AJ119" i="11"/>
  <c r="AI119" i="11"/>
  <c r="D29" i="11"/>
  <c r="D31" i="12"/>
  <c r="N77" i="10"/>
  <c r="N75" i="10" s="1"/>
  <c r="F75" i="10"/>
  <c r="D12" i="13"/>
  <c r="AJ152" i="13"/>
  <c r="V197" i="13"/>
  <c r="X197" i="13" s="1"/>
  <c r="X197" i="12"/>
  <c r="AI249" i="11"/>
  <c r="AH249" i="11"/>
  <c r="W226" i="11"/>
  <c r="W227" i="12"/>
  <c r="E111" i="13"/>
  <c r="AI76" i="11"/>
  <c r="AH76" i="11"/>
  <c r="AJ76" i="11"/>
  <c r="V145" i="10"/>
  <c r="AJ254" i="11"/>
  <c r="AI254" i="11"/>
  <c r="AH254" i="11"/>
  <c r="D44" i="13"/>
  <c r="AJ22" i="13"/>
  <c r="AH22" i="13"/>
  <c r="X227" i="12"/>
  <c r="BC19" i="10"/>
  <c r="M109" i="10"/>
  <c r="N109" i="10"/>
  <c r="F104" i="10"/>
  <c r="AJ88" i="10"/>
  <c r="AH88" i="10"/>
  <c r="X186" i="11"/>
  <c r="W186" i="12"/>
  <c r="X186" i="12" s="1"/>
  <c r="BC17" i="12"/>
  <c r="AI117" i="11"/>
  <c r="AJ132" i="12"/>
  <c r="AH132" i="12"/>
  <c r="D65" i="12"/>
  <c r="F65" i="11"/>
  <c r="AH118" i="10"/>
  <c r="AJ118" i="10"/>
  <c r="Y148" i="11"/>
  <c r="AA148" i="11" s="1"/>
  <c r="AH148" i="10"/>
  <c r="AI178" i="11"/>
  <c r="AH178" i="11"/>
  <c r="M96" i="12"/>
  <c r="AH98" i="11"/>
  <c r="V222" i="13"/>
  <c r="G79" i="12"/>
  <c r="M79" i="11"/>
  <c r="N96" i="12"/>
  <c r="AH86" i="12"/>
  <c r="W211" i="13"/>
  <c r="W210" i="13" s="1"/>
  <c r="W209" i="13" s="1"/>
  <c r="W208" i="13" s="1"/>
  <c r="AH172" i="12"/>
  <c r="AJ172" i="12"/>
  <c r="AJ75" i="11"/>
  <c r="AI75" i="11"/>
  <c r="AH158" i="10"/>
  <c r="X157" i="10"/>
  <c r="AI158" i="10"/>
  <c r="AI157" i="10" s="1"/>
  <c r="AI155" i="10" s="1"/>
  <c r="D24" i="11"/>
  <c r="D128" i="10"/>
  <c r="F24" i="10"/>
  <c r="D22" i="10"/>
  <c r="D83" i="13"/>
  <c r="F83" i="12"/>
  <c r="M53" i="10"/>
  <c r="N53" i="10"/>
  <c r="AJ117" i="10"/>
  <c r="AI117" i="10"/>
  <c r="AH117" i="10"/>
  <c r="AJ127" i="11"/>
  <c r="V199" i="13"/>
  <c r="X199" i="13" s="1"/>
  <c r="AI199" i="13" s="1"/>
  <c r="X199" i="12"/>
  <c r="AZ13" i="11"/>
  <c r="AI119" i="10"/>
  <c r="AH119" i="10"/>
  <c r="AI100" i="13"/>
  <c r="AJ100" i="13"/>
  <c r="V215" i="12"/>
  <c r="V84" i="13"/>
  <c r="AJ78" i="11"/>
  <c r="AI78" i="11"/>
  <c r="AH78" i="11"/>
  <c r="P126" i="11"/>
  <c r="P130" i="11" s="1"/>
  <c r="AJ178" i="11"/>
  <c r="AI40" i="10"/>
  <c r="AJ40" i="10"/>
  <c r="AJ35" i="10" s="1"/>
  <c r="X118" i="13"/>
  <c r="AJ213" i="12"/>
  <c r="D34" i="12"/>
  <c r="F34" i="11"/>
  <c r="D32" i="11"/>
  <c r="AH215" i="11"/>
  <c r="AJ215" i="11"/>
  <c r="AJ135" i="10"/>
  <c r="AH135" i="10"/>
  <c r="AI135" i="10"/>
  <c r="AJ138" i="12"/>
  <c r="AH138" i="12"/>
  <c r="V141" i="12"/>
  <c r="AJ94" i="11"/>
  <c r="AI94" i="11"/>
  <c r="AI253" i="11"/>
  <c r="AH253" i="11"/>
  <c r="AJ253" i="11"/>
  <c r="G23" i="11"/>
  <c r="AJ54" i="13"/>
  <c r="V186" i="13"/>
  <c r="AI80" i="13"/>
  <c r="AJ119" i="10"/>
  <c r="AI88" i="10"/>
  <c r="AJ177" i="10"/>
  <c r="X66" i="11"/>
  <c r="V66" i="12"/>
  <c r="D56" i="12"/>
  <c r="F56" i="11"/>
  <c r="D54" i="11"/>
  <c r="BO10" i="11"/>
  <c r="AH17" i="11"/>
  <c r="BN26" i="11"/>
  <c r="X124" i="11"/>
  <c r="W123" i="11"/>
  <c r="D37" i="11"/>
  <c r="D35" i="10"/>
  <c r="E10" i="11"/>
  <c r="BO10" i="12"/>
  <c r="AH187" i="11"/>
  <c r="V209" i="11"/>
  <c r="V208" i="11" s="1"/>
  <c r="AI190" i="11"/>
  <c r="AH190" i="11"/>
  <c r="AJ190" i="11"/>
  <c r="X66" i="10"/>
  <c r="V35" i="10"/>
  <c r="V14" i="10" s="1"/>
  <c r="V131" i="11"/>
  <c r="AH206" i="10"/>
  <c r="AH240" i="10"/>
  <c r="AJ240" i="10"/>
  <c r="X124" i="10"/>
  <c r="W123" i="10"/>
  <c r="W112" i="10" s="1"/>
  <c r="AJ159" i="12"/>
  <c r="F66" i="10"/>
  <c r="AI131" i="10"/>
  <c r="AJ131" i="10"/>
  <c r="AH201" i="10"/>
  <c r="AJ201" i="10"/>
  <c r="AH246" i="11"/>
  <c r="AJ246" i="11"/>
  <c r="AI246" i="11"/>
  <c r="X153" i="11"/>
  <c r="AH188" i="10"/>
  <c r="AJ188" i="10"/>
  <c r="AI188" i="10"/>
  <c r="V181" i="11"/>
  <c r="V174" i="11" s="1"/>
  <c r="X181" i="10"/>
  <c r="Y38" i="12"/>
  <c r="AA38" i="12" s="1"/>
  <c r="AH38" i="11"/>
  <c r="D80" i="12"/>
  <c r="F80" i="11"/>
  <c r="X70" i="10"/>
  <c r="V70" i="11"/>
  <c r="V69" i="10"/>
  <c r="V65" i="10" s="1"/>
  <c r="V63" i="10" s="1"/>
  <c r="W222" i="11"/>
  <c r="W221" i="10"/>
  <c r="W219" i="10" s="1"/>
  <c r="X92" i="13"/>
  <c r="X205" i="13"/>
  <c r="M101" i="11"/>
  <c r="M90" i="11"/>
  <c r="V234" i="11"/>
  <c r="V233" i="11" s="1"/>
  <c r="V252" i="11"/>
  <c r="AJ139" i="10"/>
  <c r="G90" i="12"/>
  <c r="I90" i="12" s="1"/>
  <c r="AW13" i="11"/>
  <c r="AY13" i="11" s="1"/>
  <c r="AR13" i="11"/>
  <c r="AU13" i="11" s="1"/>
  <c r="V141" i="11"/>
  <c r="E27" i="11"/>
  <c r="E128" i="10"/>
  <c r="E25" i="10"/>
  <c r="F27" i="10"/>
  <c r="V125" i="11"/>
  <c r="X125" i="10"/>
  <c r="X39" i="11"/>
  <c r="V39" i="12"/>
  <c r="AH216" i="10"/>
  <c r="AI216" i="10"/>
  <c r="AI120" i="10"/>
  <c r="AJ120" i="10"/>
  <c r="F44" i="11"/>
  <c r="BC19" i="11"/>
  <c r="AZ13" i="12"/>
  <c r="G89" i="12"/>
  <c r="I89" i="12" s="1"/>
  <c r="AI73" i="11"/>
  <c r="AH73" i="11"/>
  <c r="AI240" i="11"/>
  <c r="AJ78" i="10"/>
  <c r="AI78" i="10"/>
  <c r="AH78" i="10"/>
  <c r="W235" i="11"/>
  <c r="X235" i="10"/>
  <c r="X175" i="11"/>
  <c r="AJ132" i="11"/>
  <c r="AI132" i="11"/>
  <c r="AE23" i="13"/>
  <c r="AG23" i="13" s="1"/>
  <c r="AJ23" i="12"/>
  <c r="AJ178" i="10"/>
  <c r="AH72" i="11"/>
  <c r="V75" i="12"/>
  <c r="V174" i="10"/>
  <c r="V168" i="10" s="1"/>
  <c r="AH17" i="10"/>
  <c r="AH240" i="11"/>
  <c r="X216" i="11"/>
  <c r="V216" i="12"/>
  <c r="AH130" i="10"/>
  <c r="AJ130" i="10"/>
  <c r="AI130" i="10"/>
  <c r="X148" i="11"/>
  <c r="V148" i="12"/>
  <c r="W198" i="12"/>
  <c r="X198" i="11"/>
  <c r="V91" i="13"/>
  <c r="AI72" i="11"/>
  <c r="D75" i="10"/>
  <c r="X17" i="12"/>
  <c r="V245" i="11"/>
  <c r="AJ73" i="10"/>
  <c r="AH73" i="10"/>
  <c r="M92" i="10"/>
  <c r="N92" i="10"/>
  <c r="AQ12" i="10"/>
  <c r="AY12" i="10" s="1"/>
  <c r="V130" i="13"/>
  <c r="X130" i="13" s="1"/>
  <c r="AJ130" i="13" s="1"/>
  <c r="X130" i="12"/>
  <c r="AI245" i="10"/>
  <c r="AJ245" i="10"/>
  <c r="AJ100" i="11"/>
  <c r="AI100" i="11"/>
  <c r="AH100" i="11"/>
  <c r="V250" i="11"/>
  <c r="X250" i="10"/>
  <c r="AH248" i="11"/>
  <c r="AJ248" i="11"/>
  <c r="AI248" i="11"/>
  <c r="V76" i="12"/>
  <c r="G15" i="12"/>
  <c r="I15" i="12" s="1"/>
  <c r="AH39" i="10"/>
  <c r="AJ127" i="10"/>
  <c r="AI67" i="10"/>
  <c r="D71" i="12"/>
  <c r="F71" i="11"/>
  <c r="AI206" i="10"/>
  <c r="W115" i="11"/>
  <c r="X115" i="11" s="1"/>
  <c r="X115" i="10"/>
  <c r="AI248" i="12"/>
  <c r="W145" i="10"/>
  <c r="AH239" i="11"/>
  <c r="AI239" i="11"/>
  <c r="D57" i="10"/>
  <c r="F59" i="10"/>
  <c r="AJ143" i="11"/>
  <c r="AI143" i="11"/>
  <c r="AH143" i="11"/>
  <c r="F31" i="10"/>
  <c r="D29" i="10"/>
  <c r="X217" i="11"/>
  <c r="V217" i="12"/>
  <c r="AI172" i="10"/>
  <c r="AH172" i="10"/>
  <c r="AJ172" i="10"/>
  <c r="AI224" i="11"/>
  <c r="AH224" i="11"/>
  <c r="Y176" i="12"/>
  <c r="AA176" i="12" s="1"/>
  <c r="BO23" i="11"/>
  <c r="AJ41" i="11"/>
  <c r="AH41" i="11"/>
  <c r="AH85" i="10"/>
  <c r="X83" i="10"/>
  <c r="AW12" i="11"/>
  <c r="AJ215" i="10"/>
  <c r="AI215" i="10"/>
  <c r="AH215" i="10"/>
  <c r="M107" i="11"/>
  <c r="N107" i="11"/>
  <c r="N68" i="10"/>
  <c r="N66" i="10" s="1"/>
  <c r="X128" i="12"/>
  <c r="X177" i="11"/>
  <c r="AJ179" i="11"/>
  <c r="AH139" i="10"/>
  <c r="AJ161" i="12"/>
  <c r="AH161" i="12"/>
  <c r="AH157" i="12" s="1"/>
  <c r="AH155" i="12" s="1"/>
  <c r="AI161" i="12"/>
  <c r="AI157" i="12" s="1"/>
  <c r="AI155" i="12" s="1"/>
  <c r="D69" i="11"/>
  <c r="V240" i="12"/>
  <c r="Y18" i="12"/>
  <c r="AA18" i="12" s="1"/>
  <c r="F37" i="10"/>
  <c r="AJ108" i="11"/>
  <c r="AE108" i="12"/>
  <c r="AH179" i="11"/>
  <c r="AI27" i="10"/>
  <c r="AH27" i="10"/>
  <c r="AH20" i="10" s="1"/>
  <c r="F34" i="10"/>
  <c r="AR11" i="11"/>
  <c r="G88" i="12"/>
  <c r="I88" i="12" s="1"/>
  <c r="AJ151" i="10"/>
  <c r="AI151" i="10"/>
  <c r="AJ19" i="11"/>
  <c r="AH251" i="10"/>
  <c r="AI251" i="10"/>
  <c r="X211" i="10"/>
  <c r="V211" i="11"/>
  <c r="V223" i="12"/>
  <c r="X223" i="11"/>
  <c r="V221" i="11"/>
  <c r="F119" i="12"/>
  <c r="AH67" i="11"/>
  <c r="AJ67" i="11"/>
  <c r="AI67" i="11"/>
  <c r="W226" i="10"/>
  <c r="X227" i="10"/>
  <c r="V226" i="11"/>
  <c r="X227" i="11"/>
  <c r="W136" i="12"/>
  <c r="X136" i="11"/>
  <c r="M89" i="11"/>
  <c r="AH224" i="10"/>
  <c r="X223" i="10"/>
  <c r="X221" i="10" s="1"/>
  <c r="AH139" i="11"/>
  <c r="E45" i="10"/>
  <c r="X229" i="10"/>
  <c r="F12" i="10"/>
  <c r="W83" i="10"/>
  <c r="W63" i="10" s="1"/>
  <c r="AJ238" i="11"/>
  <c r="AI228" i="11"/>
  <c r="AI80" i="11"/>
  <c r="AH80" i="11"/>
  <c r="X116" i="11"/>
  <c r="V116" i="12"/>
  <c r="AI134" i="10"/>
  <c r="AJ134" i="10"/>
  <c r="AH152" i="10"/>
  <c r="AH72" i="10"/>
  <c r="D85" i="10"/>
  <c r="X175" i="10"/>
  <c r="AI201" i="11"/>
  <c r="AI238" i="11"/>
  <c r="W171" i="11"/>
  <c r="W170" i="10"/>
  <c r="W168" i="10" s="1"/>
  <c r="AJ228" i="11"/>
  <c r="AI87" i="10"/>
  <c r="AH201" i="11"/>
  <c r="AH30" i="10"/>
  <c r="M120" i="10"/>
  <c r="X53" i="13"/>
  <c r="AJ53" i="13" s="1"/>
  <c r="X176" i="11"/>
  <c r="W204" i="10"/>
  <c r="AJ132" i="10"/>
  <c r="AH228" i="10"/>
  <c r="AI30" i="10"/>
  <c r="AH130" i="11"/>
  <c r="AH163" i="10"/>
  <c r="AI163" i="10"/>
  <c r="W67" i="12"/>
  <c r="X107" i="13"/>
  <c r="AH107" i="13" s="1"/>
  <c r="X142" i="10"/>
  <c r="M120" i="11"/>
  <c r="AI130" i="11"/>
  <c r="F62" i="13"/>
  <c r="N118" i="10"/>
  <c r="N113" i="10" s="1"/>
  <c r="AH87" i="10"/>
  <c r="AJ80" i="10"/>
  <c r="AI80" i="10"/>
  <c r="V88" i="11"/>
  <c r="AH41" i="10"/>
  <c r="V135" i="11"/>
  <c r="V150" i="11"/>
  <c r="AH134" i="11"/>
  <c r="X30" i="13"/>
  <c r="X98" i="13"/>
  <c r="AJ71" i="10"/>
  <c r="X41" i="12"/>
  <c r="W149" i="11"/>
  <c r="N108" i="11"/>
  <c r="M108" i="11"/>
  <c r="AI134" i="11"/>
  <c r="X128" i="11"/>
  <c r="AH172" i="11"/>
  <c r="E74" i="11"/>
  <c r="F74" i="11" s="1"/>
  <c r="E72" i="10"/>
  <c r="D92" i="11"/>
  <c r="V204" i="10"/>
  <c r="X205" i="10"/>
  <c r="X186" i="10"/>
  <c r="M98" i="10"/>
  <c r="M94" i="10" s="1"/>
  <c r="W150" i="12"/>
  <c r="W150" i="13" s="1"/>
  <c r="W149" i="13" s="1"/>
  <c r="W147" i="13" s="1"/>
  <c r="W145" i="13" s="1"/>
  <c r="W70" i="11"/>
  <c r="V171" i="11"/>
  <c r="AI172" i="11"/>
  <c r="W174" i="13"/>
  <c r="AJ213" i="11"/>
  <c r="AI213" i="11"/>
  <c r="AJ116" i="10"/>
  <c r="AJ41" i="13"/>
  <c r="W87" i="11"/>
  <c r="W87" i="12" s="1"/>
  <c r="X87" i="12" s="1"/>
  <c r="AI163" i="11"/>
  <c r="AI157" i="11" s="1"/>
  <c r="AI155" i="11" s="1"/>
  <c r="AH163" i="11"/>
  <c r="AH157" i="11" s="1"/>
  <c r="AH155" i="11" s="1"/>
  <c r="AE52" i="11"/>
  <c r="AG52" i="11" s="1"/>
  <c r="AE52" i="12" s="1"/>
  <c r="AG52" i="12" s="1"/>
  <c r="AE52" i="13" s="1"/>
  <c r="AG52" i="13" s="1"/>
  <c r="AJ52" i="10"/>
  <c r="AJ247" i="10"/>
  <c r="AI247" i="10"/>
  <c r="N50" i="10"/>
  <c r="N48" i="10" s="1"/>
  <c r="M50" i="10"/>
  <c r="AH254" i="10"/>
  <c r="D74" i="12"/>
  <c r="F47" i="10"/>
  <c r="V229" i="11"/>
  <c r="AH199" i="11"/>
  <c r="AJ199" i="11"/>
  <c r="N90" i="10"/>
  <c r="AQ13" i="10"/>
  <c r="X171" i="10"/>
  <c r="AJ32" i="10"/>
  <c r="X249" i="13"/>
  <c r="AH249" i="13" s="1"/>
  <c r="X152" i="11"/>
  <c r="E31" i="11"/>
  <c r="F31" i="11" s="1"/>
  <c r="X138" i="13"/>
  <c r="AI138" i="13" s="1"/>
  <c r="N52" i="14"/>
  <c r="BK13" i="10"/>
  <c r="BL13" i="10" s="1"/>
  <c r="BK9" i="10"/>
  <c r="BL9" i="10" s="1"/>
  <c r="H8" i="10"/>
  <c r="H126" i="10" s="1"/>
  <c r="H130" i="10" s="1"/>
  <c r="BQ25" i="10"/>
  <c r="BK12" i="10" s="1"/>
  <c r="BL12" i="10" s="1"/>
  <c r="AF63" i="10"/>
  <c r="L113" i="13"/>
  <c r="L48" i="13"/>
  <c r="U14" i="10"/>
  <c r="U12" i="10" s="1"/>
  <c r="U10" i="10" s="1"/>
  <c r="AC168" i="10"/>
  <c r="BQ13" i="10"/>
  <c r="N36" i="14" s="1"/>
  <c r="X98" i="12"/>
  <c r="AM168" i="10"/>
  <c r="AF110" i="10"/>
  <c r="AL14" i="10"/>
  <c r="AL12" i="10" s="1"/>
  <c r="BQ12" i="10"/>
  <c r="AL192" i="10"/>
  <c r="AM12" i="10"/>
  <c r="AM192" i="10"/>
  <c r="Z110" i="10"/>
  <c r="AF192" i="10"/>
  <c r="AD242" i="13"/>
  <c r="X52" i="11"/>
  <c r="V52" i="12"/>
  <c r="X95" i="12"/>
  <c r="AL145" i="10"/>
  <c r="AL110" i="10" s="1"/>
  <c r="R54" i="14"/>
  <c r="Y185" i="11"/>
  <c r="Y183" i="11" s="1"/>
  <c r="AB151" i="12"/>
  <c r="AD149" i="11"/>
  <c r="AF209" i="10"/>
  <c r="AF208" i="10" s="1"/>
  <c r="R15" i="14"/>
  <c r="R42" i="14"/>
  <c r="J78" i="13"/>
  <c r="X24" i="11"/>
  <c r="X97" i="10"/>
  <c r="V97" i="11"/>
  <c r="X46" i="12"/>
  <c r="L51" i="13"/>
  <c r="AD196" i="13"/>
  <c r="BP28" i="13" s="1"/>
  <c r="E51" i="14" s="1"/>
  <c r="AD83" i="13"/>
  <c r="N49" i="14"/>
  <c r="X106" i="10"/>
  <c r="X54" i="10"/>
  <c r="X46" i="11"/>
  <c r="L63" i="13"/>
  <c r="AD20" i="13"/>
  <c r="AD16" i="13" s="1"/>
  <c r="X99" i="10"/>
  <c r="V99" i="11"/>
  <c r="X47" i="11"/>
  <c r="V47" i="12"/>
  <c r="AD210" i="13"/>
  <c r="BP27" i="13" s="1"/>
  <c r="X105" i="12"/>
  <c r="X104" i="12" s="1"/>
  <c r="X51" i="12"/>
  <c r="X48" i="10"/>
  <c r="V48" i="11"/>
  <c r="L42" i="13"/>
  <c r="AD234" i="13"/>
  <c r="AE153" i="12"/>
  <c r="AG147" i="11"/>
  <c r="AG145" i="11" s="1"/>
  <c r="X54" i="11"/>
  <c r="X51" i="11"/>
  <c r="X50" i="10"/>
  <c r="V50" i="11"/>
  <c r="L10" i="13"/>
  <c r="AD58" i="13"/>
  <c r="AD57" i="13" s="1"/>
  <c r="R43" i="14"/>
  <c r="X53" i="11"/>
  <c r="AG112" i="11"/>
  <c r="X93" i="10"/>
  <c r="W93" i="11"/>
  <c r="L69" i="13"/>
  <c r="AD174" i="13"/>
  <c r="AD49" i="13"/>
  <c r="X27" i="11"/>
  <c r="X53" i="12"/>
  <c r="X102" i="10"/>
  <c r="X18" i="11"/>
  <c r="BQ28" i="10"/>
  <c r="N51" i="14" s="1"/>
  <c r="R51" i="14" s="1"/>
  <c r="BE7" i="10"/>
  <c r="X54" i="12"/>
  <c r="L72" i="13"/>
  <c r="AD261" i="13"/>
  <c r="BP31" i="13" s="1"/>
  <c r="X95" i="10"/>
  <c r="AD91" i="13"/>
  <c r="AD90" i="13" s="1"/>
  <c r="AD69" i="13"/>
  <c r="AD65" i="13" s="1"/>
  <c r="X30" i="11"/>
  <c r="V60" i="11"/>
  <c r="X60" i="10"/>
  <c r="X58" i="10" s="1"/>
  <c r="X57" i="10" s="1"/>
  <c r="AD226" i="13"/>
  <c r="AD157" i="13"/>
  <c r="F76" i="13"/>
  <c r="F39" i="13"/>
  <c r="X162" i="13"/>
  <c r="F95" i="13"/>
  <c r="F26" i="13"/>
  <c r="F46" i="13"/>
  <c r="F88" i="13"/>
  <c r="F64" i="13"/>
  <c r="F73" i="13"/>
  <c r="F23" i="13"/>
  <c r="X164" i="13"/>
  <c r="F100" i="13"/>
  <c r="F30" i="13"/>
  <c r="X165" i="13"/>
  <c r="X158" i="13"/>
  <c r="AH158" i="13" s="1"/>
  <c r="F52" i="13"/>
  <c r="R22" i="14"/>
  <c r="X159" i="13"/>
  <c r="AA157" i="13"/>
  <c r="AA155" i="13" s="1"/>
  <c r="J10" i="16" s="1"/>
  <c r="F33" i="13"/>
  <c r="N108" i="13"/>
  <c r="X160" i="13"/>
  <c r="X161" i="13"/>
  <c r="AI161" i="13" s="1"/>
  <c r="F99" i="13"/>
  <c r="F61" i="13"/>
  <c r="F41" i="13"/>
  <c r="AH94" i="13"/>
  <c r="AI94" i="13"/>
  <c r="AJ94" i="13"/>
  <c r="AI248" i="13"/>
  <c r="AJ248" i="13"/>
  <c r="AH248" i="13"/>
  <c r="X45" i="13"/>
  <c r="AH106" i="13"/>
  <c r="AJ201" i="13"/>
  <c r="AI201" i="13"/>
  <c r="AH201" i="13"/>
  <c r="AI27" i="13"/>
  <c r="AH27" i="13"/>
  <c r="AJ27" i="13"/>
  <c r="F118" i="13"/>
  <c r="D113" i="13"/>
  <c r="AH54" i="13"/>
  <c r="AJ29" i="13"/>
  <c r="AH29" i="13"/>
  <c r="AI29" i="13"/>
  <c r="AH172" i="13"/>
  <c r="AJ172" i="13"/>
  <c r="AI172" i="13"/>
  <c r="X153" i="13"/>
  <c r="AH95" i="13"/>
  <c r="AJ95" i="13"/>
  <c r="AI95" i="13"/>
  <c r="AI33" i="13"/>
  <c r="Q32" i="14"/>
  <c r="Q38" i="14"/>
  <c r="X85" i="13"/>
  <c r="AI23" i="13"/>
  <c r="AJ23" i="13"/>
  <c r="AJ40" i="13"/>
  <c r="AJ19" i="13"/>
  <c r="AH19" i="13"/>
  <c r="F107" i="13"/>
  <c r="AC63" i="13"/>
  <c r="AJ25" i="13"/>
  <c r="AH25" i="13"/>
  <c r="F102" i="13"/>
  <c r="X243" i="13"/>
  <c r="AM145" i="13"/>
  <c r="AM110" i="13" s="1"/>
  <c r="AJ178" i="13"/>
  <c r="AH178" i="13"/>
  <c r="AH130" i="13"/>
  <c r="BK13" i="13"/>
  <c r="BL13" i="13" s="1"/>
  <c r="Q52" i="14"/>
  <c r="AH213" i="13"/>
  <c r="AI213" i="13"/>
  <c r="M124" i="13"/>
  <c r="N124" i="13"/>
  <c r="Q37" i="14"/>
  <c r="AI254" i="13"/>
  <c r="AH46" i="13"/>
  <c r="AI130" i="13"/>
  <c r="F66" i="13"/>
  <c r="AJ228" i="13"/>
  <c r="AH253" i="13"/>
  <c r="AJ253" i="13"/>
  <c r="Q47" i="14"/>
  <c r="BQ22" i="13"/>
  <c r="BK11" i="13" s="1"/>
  <c r="BL11" i="13" s="1"/>
  <c r="Z192" i="13"/>
  <c r="BK14" i="13"/>
  <c r="BL14" i="13" s="1"/>
  <c r="Q53" i="14"/>
  <c r="R53" i="14" s="1"/>
  <c r="V204" i="13"/>
  <c r="W96" i="13"/>
  <c r="AH51" i="13"/>
  <c r="AJ51" i="13"/>
  <c r="AI177" i="13"/>
  <c r="AJ177" i="13"/>
  <c r="U63" i="13"/>
  <c r="AC14" i="13"/>
  <c r="AD195" i="13"/>
  <c r="AD194" i="13" s="1"/>
  <c r="AJ124" i="13"/>
  <c r="AH73" i="13"/>
  <c r="AJ73" i="13"/>
  <c r="AI78" i="13"/>
  <c r="AI188" i="13"/>
  <c r="AJ188" i="13"/>
  <c r="AC192" i="13"/>
  <c r="BQ9" i="13"/>
  <c r="M38" i="13"/>
  <c r="N38" i="13"/>
  <c r="BQ27" i="13"/>
  <c r="AT21" i="13"/>
  <c r="AT6" i="13"/>
  <c r="AS6" i="13"/>
  <c r="AJ80" i="13"/>
  <c r="J85" i="13"/>
  <c r="L88" i="13"/>
  <c r="N88" i="12"/>
  <c r="AS11" i="12"/>
  <c r="AX11" i="12"/>
  <c r="L85" i="12"/>
  <c r="Q16" i="14"/>
  <c r="Z257" i="12"/>
  <c r="H8" i="12"/>
  <c r="H126" i="12" s="1"/>
  <c r="H130" i="12" s="1"/>
  <c r="AC257" i="12"/>
  <c r="K8" i="12"/>
  <c r="K126" i="12" s="1"/>
  <c r="K130" i="12" s="1"/>
  <c r="X237" i="13"/>
  <c r="Q8" i="12"/>
  <c r="Q126" i="12" s="1"/>
  <c r="Q130" i="12" s="1"/>
  <c r="F90" i="13"/>
  <c r="E85" i="13"/>
  <c r="AV13" i="12"/>
  <c r="P126" i="13" l="1"/>
  <c r="L94" i="13"/>
  <c r="P130" i="13"/>
  <c r="AI128" i="13"/>
  <c r="AH128" i="13"/>
  <c r="AJ128" i="13"/>
  <c r="AL10" i="13"/>
  <c r="AL8" i="13" s="1"/>
  <c r="AX12" i="13"/>
  <c r="AS12" i="13"/>
  <c r="M97" i="13"/>
  <c r="I41" i="13"/>
  <c r="D19" i="14"/>
  <c r="H21" i="13"/>
  <c r="H19" i="13" s="1"/>
  <c r="N68" i="13"/>
  <c r="D94" i="13"/>
  <c r="AJ106" i="13"/>
  <c r="AX10" i="13"/>
  <c r="AS16" i="13"/>
  <c r="AX16" i="13" s="1"/>
  <c r="L32" i="13"/>
  <c r="AX8" i="13"/>
  <c r="D20" i="14"/>
  <c r="L85" i="13"/>
  <c r="AS15" i="13"/>
  <c r="AX15" i="13" s="1"/>
  <c r="AS7" i="13"/>
  <c r="AS13" i="13"/>
  <c r="AX13" i="13"/>
  <c r="AH41" i="13"/>
  <c r="L54" i="13"/>
  <c r="I110" i="13"/>
  <c r="AI163" i="13"/>
  <c r="AH163" i="13"/>
  <c r="AJ163" i="13"/>
  <c r="M123" i="13"/>
  <c r="N123" i="13"/>
  <c r="AX7" i="13"/>
  <c r="AS10" i="13"/>
  <c r="D21" i="14"/>
  <c r="L29" i="13"/>
  <c r="AI40" i="13"/>
  <c r="L78" i="13"/>
  <c r="Z10" i="13"/>
  <c r="Z8" i="13" s="1"/>
  <c r="Z259" i="13" s="1"/>
  <c r="Z263" i="13" s="1"/>
  <c r="AF110" i="13"/>
  <c r="AD219" i="13"/>
  <c r="L25" i="13"/>
  <c r="I117" i="13"/>
  <c r="N97" i="13"/>
  <c r="M14" i="13"/>
  <c r="N15" i="13"/>
  <c r="N70" i="13"/>
  <c r="AH86" i="13"/>
  <c r="AJ32" i="13"/>
  <c r="R36" i="14"/>
  <c r="X141" i="13"/>
  <c r="BN20" i="13" s="1"/>
  <c r="C43" i="14" s="1"/>
  <c r="V20" i="13"/>
  <c r="V16" i="13" s="1"/>
  <c r="M108" i="13"/>
  <c r="N79" i="13"/>
  <c r="N109" i="13"/>
  <c r="M109" i="13"/>
  <c r="E51" i="13"/>
  <c r="BC13" i="13"/>
  <c r="C13" i="14" s="1"/>
  <c r="AH28" i="13"/>
  <c r="N105" i="13"/>
  <c r="E63" i="13"/>
  <c r="N87" i="13"/>
  <c r="M87" i="13"/>
  <c r="BE22" i="13"/>
  <c r="AI86" i="13"/>
  <c r="X175" i="13"/>
  <c r="AI175" i="13" s="1"/>
  <c r="N67" i="13"/>
  <c r="N122" i="13"/>
  <c r="N98" i="13"/>
  <c r="N14" i="13"/>
  <c r="C19" i="13"/>
  <c r="N36" i="13"/>
  <c r="N55" i="13"/>
  <c r="F116" i="13"/>
  <c r="N62" i="13"/>
  <c r="D10" i="13"/>
  <c r="N13" i="13"/>
  <c r="M96" i="13"/>
  <c r="N106" i="13"/>
  <c r="M106" i="13"/>
  <c r="M121" i="13"/>
  <c r="N82" i="13"/>
  <c r="N110" i="13"/>
  <c r="M68" i="13"/>
  <c r="F83" i="13"/>
  <c r="F81" i="13" s="1"/>
  <c r="E54" i="13"/>
  <c r="N49" i="13"/>
  <c r="N58" i="13"/>
  <c r="AH246" i="13"/>
  <c r="R38" i="14"/>
  <c r="AI246" i="13"/>
  <c r="N89" i="13"/>
  <c r="N120" i="13"/>
  <c r="Q31" i="14"/>
  <c r="Q30" i="14" s="1"/>
  <c r="AJ28" i="13"/>
  <c r="N86" i="13"/>
  <c r="AH31" i="12"/>
  <c r="AI31" i="12"/>
  <c r="AJ31" i="12"/>
  <c r="AH203" i="13"/>
  <c r="AI203" i="13"/>
  <c r="AJ203" i="13"/>
  <c r="BO13" i="10"/>
  <c r="AA14" i="10"/>
  <c r="AI83" i="10"/>
  <c r="W12" i="10"/>
  <c r="W10" i="10" s="1"/>
  <c r="X68" i="12"/>
  <c r="M98" i="13"/>
  <c r="AI17" i="11"/>
  <c r="AJ17" i="11"/>
  <c r="M101" i="13"/>
  <c r="N101" i="13"/>
  <c r="AH248" i="12"/>
  <c r="AJ248" i="12"/>
  <c r="X137" i="11"/>
  <c r="V137" i="12"/>
  <c r="W231" i="10"/>
  <c r="M111" i="11"/>
  <c r="N111" i="11"/>
  <c r="AJ187" i="11"/>
  <c r="AI187" i="11"/>
  <c r="AL10" i="10"/>
  <c r="AL8" i="10" s="1"/>
  <c r="X141" i="11"/>
  <c r="BN20" i="11" s="1"/>
  <c r="AJ142" i="11"/>
  <c r="AI142" i="11"/>
  <c r="AJ151" i="12"/>
  <c r="AH151" i="12"/>
  <c r="AJ142" i="12"/>
  <c r="AI142" i="12"/>
  <c r="X187" i="12"/>
  <c r="V187" i="13"/>
  <c r="V185" i="12"/>
  <c r="E59" i="12"/>
  <c r="E57" i="11"/>
  <c r="X251" i="11"/>
  <c r="V251" i="12"/>
  <c r="V72" i="13"/>
  <c r="X72" i="13" s="1"/>
  <c r="X72" i="12"/>
  <c r="AI213" i="10"/>
  <c r="AJ213" i="10"/>
  <c r="AH213" i="10"/>
  <c r="AG143" i="12"/>
  <c r="AE141" i="12"/>
  <c r="AE58" i="11"/>
  <c r="AE57" i="11" s="1"/>
  <c r="AG59" i="11"/>
  <c r="V190" i="13"/>
  <c r="X190" i="13" s="1"/>
  <c r="X190" i="12"/>
  <c r="W84" i="13"/>
  <c r="X84" i="13" s="1"/>
  <c r="AI84" i="13" s="1"/>
  <c r="X84" i="12"/>
  <c r="AI84" i="12" s="1"/>
  <c r="AV15" i="10"/>
  <c r="AU15" i="10"/>
  <c r="AJ151" i="11"/>
  <c r="AI151" i="11"/>
  <c r="AH151" i="11"/>
  <c r="X247" i="11"/>
  <c r="V247" i="12"/>
  <c r="AJ92" i="10"/>
  <c r="AI92" i="10"/>
  <c r="AH92" i="10"/>
  <c r="E117" i="13"/>
  <c r="E113" i="13" s="1"/>
  <c r="F117" i="12"/>
  <c r="AD143" i="12"/>
  <c r="AB141" i="12"/>
  <c r="N111" i="12"/>
  <c r="N104" i="12" s="1"/>
  <c r="M111" i="12"/>
  <c r="W236" i="12"/>
  <c r="X236" i="11"/>
  <c r="V81" i="13"/>
  <c r="X81" i="13" s="1"/>
  <c r="X81" i="12"/>
  <c r="AI81" i="12" s="1"/>
  <c r="AH127" i="12"/>
  <c r="AI127" i="12"/>
  <c r="N102" i="12"/>
  <c r="N94" i="12" s="1"/>
  <c r="M102" i="12"/>
  <c r="V179" i="13"/>
  <c r="X179" i="13" s="1"/>
  <c r="X179" i="12"/>
  <c r="N65" i="10"/>
  <c r="N63" i="10" s="1"/>
  <c r="F63" i="10"/>
  <c r="M65" i="10"/>
  <c r="M63" i="10" s="1"/>
  <c r="X244" i="12"/>
  <c r="V244" i="13"/>
  <c r="X244" i="13" s="1"/>
  <c r="AA209" i="11"/>
  <c r="AA208" i="11" s="1"/>
  <c r="V101" i="12"/>
  <c r="X101" i="11"/>
  <c r="AI47" i="10"/>
  <c r="AJ47" i="10"/>
  <c r="AH47" i="10"/>
  <c r="E44" i="12"/>
  <c r="E42" i="11"/>
  <c r="AJ79" i="12"/>
  <c r="AH79" i="12"/>
  <c r="AH246" i="12"/>
  <c r="AJ246" i="12"/>
  <c r="AI246" i="12"/>
  <c r="AE185" i="11"/>
  <c r="AG186" i="11"/>
  <c r="G95" i="12"/>
  <c r="I94" i="11"/>
  <c r="BD18" i="11"/>
  <c r="M95" i="11"/>
  <c r="M94" i="11" s="1"/>
  <c r="AJ244" i="11"/>
  <c r="AI244" i="11"/>
  <c r="AH244" i="11"/>
  <c r="AI212" i="10"/>
  <c r="AJ212" i="10"/>
  <c r="AH212" i="10"/>
  <c r="AG63" i="10"/>
  <c r="AD155" i="11"/>
  <c r="BP18" i="11"/>
  <c r="N102" i="11"/>
  <c r="N94" i="11" s="1"/>
  <c r="M102" i="11"/>
  <c r="D51" i="11"/>
  <c r="D53" i="12"/>
  <c r="F53" i="11"/>
  <c r="M58" i="11"/>
  <c r="I57" i="11"/>
  <c r="AJ38" i="12"/>
  <c r="AI38" i="12"/>
  <c r="AE44" i="11"/>
  <c r="AG45" i="11"/>
  <c r="W37" i="12"/>
  <c r="X37" i="11"/>
  <c r="W35" i="11"/>
  <c r="W14" i="11" s="1"/>
  <c r="D27" i="12"/>
  <c r="D25" i="11"/>
  <c r="M105" i="10"/>
  <c r="M104" i="10" s="1"/>
  <c r="N105" i="10"/>
  <c r="N104" i="10" s="1"/>
  <c r="D45" i="12"/>
  <c r="D47" i="13"/>
  <c r="F47" i="12"/>
  <c r="E113" i="12"/>
  <c r="AI81" i="10"/>
  <c r="AJ81" i="10"/>
  <c r="M14" i="12"/>
  <c r="N14" i="12"/>
  <c r="AH203" i="12"/>
  <c r="AJ203" i="12"/>
  <c r="AI203" i="12"/>
  <c r="AI205" i="12"/>
  <c r="AI204" i="12" s="1"/>
  <c r="X204" i="12"/>
  <c r="N47" i="11"/>
  <c r="N45" i="11" s="1"/>
  <c r="M47" i="11"/>
  <c r="R37" i="14"/>
  <c r="AJ104" i="11"/>
  <c r="AJ25" i="11"/>
  <c r="AI25" i="11"/>
  <c r="AH25" i="11"/>
  <c r="AJ149" i="10"/>
  <c r="AJ147" i="10" s="1"/>
  <c r="AJ145" i="10" s="1"/>
  <c r="AH157" i="10"/>
  <c r="AH155" i="10" s="1"/>
  <c r="AH117" i="11"/>
  <c r="AA63" i="10"/>
  <c r="AI35" i="10"/>
  <c r="E51" i="12"/>
  <c r="AJ73" i="12"/>
  <c r="AD145" i="10"/>
  <c r="AD110" i="10" s="1"/>
  <c r="AR26" i="10" s="1"/>
  <c r="AW26" i="10" s="1"/>
  <c r="V59" i="12"/>
  <c r="X59" i="11"/>
  <c r="W247" i="12"/>
  <c r="W242" i="11"/>
  <c r="AD131" i="12"/>
  <c r="AB123" i="12"/>
  <c r="AG170" i="11"/>
  <c r="AE171" i="12"/>
  <c r="AH214" i="10"/>
  <c r="AI214" i="10"/>
  <c r="AJ214" i="10"/>
  <c r="F94" i="12"/>
  <c r="V231" i="10"/>
  <c r="AI139" i="11"/>
  <c r="AJ139" i="11"/>
  <c r="N85" i="10"/>
  <c r="AH149" i="10"/>
  <c r="AH81" i="10"/>
  <c r="Y110" i="10"/>
  <c r="Y10" i="10" s="1"/>
  <c r="G62" i="12"/>
  <c r="I62" i="12" s="1"/>
  <c r="AA210" i="12"/>
  <c r="BQ22" i="10"/>
  <c r="BK11" i="10" s="1"/>
  <c r="BL11" i="10" s="1"/>
  <c r="N47" i="14"/>
  <c r="N45" i="14" s="1"/>
  <c r="AI53" i="10"/>
  <c r="AH53" i="10"/>
  <c r="AJ53" i="10"/>
  <c r="AJ243" i="11"/>
  <c r="AI243" i="11"/>
  <c r="G52" i="12"/>
  <c r="I51" i="11"/>
  <c r="M52" i="11"/>
  <c r="AA171" i="11"/>
  <c r="Y170" i="11"/>
  <c r="Y168" i="11" s="1"/>
  <c r="X214" i="11"/>
  <c r="V214" i="12"/>
  <c r="AZ15" i="10"/>
  <c r="X120" i="11"/>
  <c r="V120" i="12"/>
  <c r="V139" i="13"/>
  <c r="X139" i="13" s="1"/>
  <c r="X139" i="12"/>
  <c r="F45" i="11"/>
  <c r="AJ196" i="10"/>
  <c r="AH84" i="10"/>
  <c r="M62" i="11"/>
  <c r="M60" i="11" s="1"/>
  <c r="AJ94" i="10"/>
  <c r="AH94" i="10"/>
  <c r="AI94" i="10"/>
  <c r="X126" i="11"/>
  <c r="V126" i="12"/>
  <c r="AH116" i="10"/>
  <c r="AI116" i="10"/>
  <c r="X203" i="11"/>
  <c r="X74" i="12"/>
  <c r="V74" i="13"/>
  <c r="X74" i="13" s="1"/>
  <c r="X200" i="11"/>
  <c r="X196" i="11" s="1"/>
  <c r="V200" i="12"/>
  <c r="F94" i="11"/>
  <c r="W110" i="10"/>
  <c r="E12" i="12"/>
  <c r="F12" i="11"/>
  <c r="AH128" i="10"/>
  <c r="AI128" i="10"/>
  <c r="AJ128" i="10"/>
  <c r="AI74" i="11"/>
  <c r="AJ74" i="11"/>
  <c r="AH74" i="11"/>
  <c r="AJ200" i="10"/>
  <c r="AH200" i="10"/>
  <c r="AI200" i="10"/>
  <c r="AI196" i="10" s="1"/>
  <c r="X196" i="10"/>
  <c r="AI249" i="13"/>
  <c r="Z10" i="10"/>
  <c r="Z257" i="10" s="1"/>
  <c r="AI79" i="12"/>
  <c r="W43" i="13"/>
  <c r="R11" i="14"/>
  <c r="N10" i="14"/>
  <c r="N9" i="14" s="1"/>
  <c r="N25" i="14" s="1"/>
  <c r="AJ55" i="12"/>
  <c r="AI55" i="12"/>
  <c r="AH55" i="12"/>
  <c r="AG164" i="12"/>
  <c r="AE157" i="12"/>
  <c r="AE155" i="12" s="1"/>
  <c r="M46" i="11"/>
  <c r="M45" i="11" s="1"/>
  <c r="G46" i="12"/>
  <c r="V196" i="12"/>
  <c r="V195" i="12" s="1"/>
  <c r="V194" i="12" s="1"/>
  <c r="X77" i="11"/>
  <c r="V77" i="12"/>
  <c r="AD209" i="13"/>
  <c r="AD208" i="13" s="1"/>
  <c r="AR29" i="13" s="1"/>
  <c r="AW29" i="13" s="1"/>
  <c r="AJ249" i="13"/>
  <c r="AI20" i="10"/>
  <c r="AI16" i="10" s="1"/>
  <c r="N104" i="11"/>
  <c r="D28" i="10"/>
  <c r="AH35" i="10"/>
  <c r="Q126" i="13"/>
  <c r="Q130" i="13" s="1"/>
  <c r="AH166" i="13"/>
  <c r="AJ166" i="13"/>
  <c r="AI45" i="10"/>
  <c r="AJ45" i="10"/>
  <c r="AH188" i="11"/>
  <c r="AI188" i="11"/>
  <c r="AJ188" i="11"/>
  <c r="G55" i="12"/>
  <c r="M55" i="11"/>
  <c r="Y210" i="12"/>
  <c r="Y209" i="12" s="1"/>
  <c r="Y208" i="12" s="1"/>
  <c r="AJ22" i="12"/>
  <c r="AI22" i="12"/>
  <c r="AH22" i="12"/>
  <c r="V238" i="13"/>
  <c r="X238" i="13" s="1"/>
  <c r="AJ238" i="13" s="1"/>
  <c r="X238" i="12"/>
  <c r="N14" i="11"/>
  <c r="M14" i="11"/>
  <c r="AH81" i="11"/>
  <c r="AH94" i="12"/>
  <c r="AJ94" i="12"/>
  <c r="AI94" i="12"/>
  <c r="V61" i="12"/>
  <c r="X61" i="11"/>
  <c r="AG127" i="12"/>
  <c r="AE123" i="12"/>
  <c r="AD112" i="11"/>
  <c r="AG116" i="12"/>
  <c r="AE114" i="12"/>
  <c r="X149" i="10"/>
  <c r="X147" i="10" s="1"/>
  <c r="AJ150" i="10"/>
  <c r="AI150" i="10"/>
  <c r="AI149" i="10" s="1"/>
  <c r="AI147" i="10" s="1"/>
  <c r="AI145" i="10" s="1"/>
  <c r="AH150" i="10"/>
  <c r="AJ188" i="12"/>
  <c r="AI188" i="12"/>
  <c r="AH188" i="12"/>
  <c r="X71" i="11"/>
  <c r="V71" i="12"/>
  <c r="AI26" i="11"/>
  <c r="AH26" i="11"/>
  <c r="AJ26" i="11"/>
  <c r="AJ55" i="11"/>
  <c r="AI55" i="11"/>
  <c r="AH55" i="11"/>
  <c r="N117" i="11"/>
  <c r="N113" i="11" s="1"/>
  <c r="M117" i="11"/>
  <c r="BC20" i="11"/>
  <c r="F113" i="11"/>
  <c r="AQ15" i="11" s="1"/>
  <c r="AD117" i="12"/>
  <c r="AB114" i="12"/>
  <c r="V180" i="12"/>
  <c r="X180" i="11"/>
  <c r="X174" i="11" s="1"/>
  <c r="V133" i="12"/>
  <c r="X133" i="11"/>
  <c r="AH40" i="11"/>
  <c r="AI40" i="11"/>
  <c r="AJ40" i="11"/>
  <c r="X84" i="11"/>
  <c r="AI84" i="11" s="1"/>
  <c r="AC110" i="10"/>
  <c r="AG150" i="12"/>
  <c r="AE149" i="12"/>
  <c r="AH133" i="10"/>
  <c r="AI133" i="10"/>
  <c r="AJ133" i="10"/>
  <c r="X184" i="11"/>
  <c r="V184" i="12"/>
  <c r="V183" i="11"/>
  <c r="AJ202" i="12"/>
  <c r="AH202" i="12"/>
  <c r="AI202" i="12"/>
  <c r="BP24" i="12"/>
  <c r="BP22" i="12" s="1"/>
  <c r="BJ11" i="12" s="1"/>
  <c r="AR27" i="12"/>
  <c r="AW27" i="12" s="1"/>
  <c r="X129" i="11"/>
  <c r="V129" i="12"/>
  <c r="AD14" i="13"/>
  <c r="AD12" i="13" s="1"/>
  <c r="AI141" i="11"/>
  <c r="AJ141" i="11"/>
  <c r="AC12" i="10"/>
  <c r="AC10" i="10" s="1"/>
  <c r="AJ28" i="11"/>
  <c r="AI28" i="11"/>
  <c r="AH28" i="11"/>
  <c r="W31" i="13"/>
  <c r="W20" i="13" s="1"/>
  <c r="W16" i="13" s="1"/>
  <c r="W20" i="12"/>
  <c r="W16" i="12" s="1"/>
  <c r="AH184" i="10"/>
  <c r="AI184" i="10"/>
  <c r="AJ203" i="10"/>
  <c r="AH203" i="10"/>
  <c r="AH196" i="10" s="1"/>
  <c r="AI203" i="10"/>
  <c r="W83" i="11"/>
  <c r="AJ26" i="13"/>
  <c r="BC10" i="12"/>
  <c r="BC9" i="12" s="1"/>
  <c r="BC8" i="12" s="1"/>
  <c r="AI202" i="13"/>
  <c r="AI46" i="10"/>
  <c r="AH46" i="10"/>
  <c r="X189" i="11"/>
  <c r="V189" i="12"/>
  <c r="F50" i="11"/>
  <c r="D50" i="12"/>
  <c r="D48" i="11"/>
  <c r="AH197" i="11"/>
  <c r="AI197" i="11"/>
  <c r="AH31" i="11"/>
  <c r="AI31" i="11"/>
  <c r="AJ31" i="11"/>
  <c r="V255" i="13"/>
  <c r="X255" i="13" s="1"/>
  <c r="AI255" i="13" s="1"/>
  <c r="X255" i="12"/>
  <c r="AI255" i="12" s="1"/>
  <c r="AH86" i="10"/>
  <c r="AJ86" i="10"/>
  <c r="AI86" i="10"/>
  <c r="AJ212" i="11"/>
  <c r="AI212" i="11"/>
  <c r="X36" i="11"/>
  <c r="AH36" i="11" s="1"/>
  <c r="V36" i="12"/>
  <c r="V35" i="12" s="1"/>
  <c r="V35" i="11"/>
  <c r="AI27" i="12"/>
  <c r="AH27" i="12"/>
  <c r="AJ27" i="12"/>
  <c r="AE222" i="12"/>
  <c r="AG221" i="11"/>
  <c r="X20" i="12"/>
  <c r="BP12" i="13"/>
  <c r="BP9" i="13" s="1"/>
  <c r="AH177" i="10"/>
  <c r="AJ117" i="13"/>
  <c r="G57" i="11"/>
  <c r="AI189" i="10"/>
  <c r="AJ189" i="10"/>
  <c r="AH189" i="10"/>
  <c r="AI243" i="10"/>
  <c r="AH243" i="10"/>
  <c r="D77" i="12"/>
  <c r="F77" i="11"/>
  <c r="D75" i="11"/>
  <c r="AH86" i="11"/>
  <c r="AJ86" i="11"/>
  <c r="AI86" i="11"/>
  <c r="X212" i="12"/>
  <c r="V212" i="13"/>
  <c r="X212" i="13" s="1"/>
  <c r="M80" i="10"/>
  <c r="N80" i="10"/>
  <c r="AJ17" i="13"/>
  <c r="AI206" i="13"/>
  <c r="AI26" i="13"/>
  <c r="AH134" i="13"/>
  <c r="AJ134" i="13"/>
  <c r="V141" i="13"/>
  <c r="AJ176" i="13"/>
  <c r="BN23" i="13"/>
  <c r="C46" i="14" s="1"/>
  <c r="AI176" i="13"/>
  <c r="AH161" i="13"/>
  <c r="N121" i="13"/>
  <c r="AF12" i="13"/>
  <c r="AF10" i="13" s="1"/>
  <c r="AF8" i="13" s="1"/>
  <c r="AF259" i="13" s="1"/>
  <c r="AF263" i="13" s="1"/>
  <c r="AJ199" i="13"/>
  <c r="N96" i="13"/>
  <c r="AD63" i="13"/>
  <c r="AI46" i="13"/>
  <c r="AJ46" i="13"/>
  <c r="AH117" i="13"/>
  <c r="AH199" i="13"/>
  <c r="L28" i="13"/>
  <c r="AH224" i="13"/>
  <c r="AJ142" i="13"/>
  <c r="AI224" i="13"/>
  <c r="AH156" i="13"/>
  <c r="AI156" i="13"/>
  <c r="AJ156" i="13"/>
  <c r="AH53" i="13"/>
  <c r="X157" i="13"/>
  <c r="X155" i="13" s="1"/>
  <c r="E10" i="16" s="1"/>
  <c r="AD168" i="13"/>
  <c r="AI53" i="13"/>
  <c r="AH17" i="13"/>
  <c r="AJ18" i="13"/>
  <c r="AI18" i="13"/>
  <c r="BC16" i="13"/>
  <c r="C16" i="14" s="1"/>
  <c r="N43" i="13"/>
  <c r="N40" i="13"/>
  <c r="M40" i="13"/>
  <c r="N91" i="13"/>
  <c r="M91" i="13"/>
  <c r="AM12" i="13"/>
  <c r="AM10" i="13" s="1"/>
  <c r="AM8" i="13" s="1"/>
  <c r="AM258" i="13" s="1"/>
  <c r="Y8" i="10"/>
  <c r="Y259" i="10" s="1"/>
  <c r="Y263" i="10" s="1"/>
  <c r="Y257" i="10"/>
  <c r="Z8" i="10"/>
  <c r="Z259" i="10" s="1"/>
  <c r="Z263" i="10" s="1"/>
  <c r="E50" i="14"/>
  <c r="E48" i="14" s="1"/>
  <c r="BP25" i="13"/>
  <c r="BJ12" i="13" s="1"/>
  <c r="F29" i="11"/>
  <c r="M31" i="11"/>
  <c r="N31" i="11"/>
  <c r="N29" i="11" s="1"/>
  <c r="AI186" i="12"/>
  <c r="AH186" i="12"/>
  <c r="X114" i="11"/>
  <c r="AJ115" i="11"/>
  <c r="AI115" i="11"/>
  <c r="W136" i="13"/>
  <c r="X136" i="12"/>
  <c r="W123" i="12"/>
  <c r="E25" i="11"/>
  <c r="E27" i="12"/>
  <c r="W221" i="11"/>
  <c r="W219" i="11" s="1"/>
  <c r="W222" i="12"/>
  <c r="X155" i="10"/>
  <c r="X145" i="10" s="1"/>
  <c r="BN18" i="10"/>
  <c r="AJ68" i="13"/>
  <c r="AI68" i="13"/>
  <c r="AH68" i="13"/>
  <c r="AH87" i="12"/>
  <c r="AJ87" i="12"/>
  <c r="AI87" i="12"/>
  <c r="AG184" i="11"/>
  <c r="AE183" i="11"/>
  <c r="AE168" i="11" s="1"/>
  <c r="AA242" i="11"/>
  <c r="Y243" i="12"/>
  <c r="AH243" i="11"/>
  <c r="AE175" i="12"/>
  <c r="AG174" i="11"/>
  <c r="AA153" i="11"/>
  <c r="Y147" i="11"/>
  <c r="Y145" i="11" s="1"/>
  <c r="Y221" i="11"/>
  <c r="Y219" i="11" s="1"/>
  <c r="AA222" i="11"/>
  <c r="J21" i="13"/>
  <c r="AA255" i="12"/>
  <c r="D56" i="13"/>
  <c r="F56" i="12"/>
  <c r="D54" i="12"/>
  <c r="X52" i="12"/>
  <c r="V52" i="13"/>
  <c r="X52" i="13" s="1"/>
  <c r="M100" i="13"/>
  <c r="N100" i="13"/>
  <c r="AI164" i="13"/>
  <c r="AH164" i="13"/>
  <c r="AJ152" i="11"/>
  <c r="AH152" i="11"/>
  <c r="AI152" i="11"/>
  <c r="E74" i="12"/>
  <c r="F74" i="12" s="1"/>
  <c r="E72" i="11"/>
  <c r="E128" i="11"/>
  <c r="N119" i="12"/>
  <c r="M119" i="12"/>
  <c r="BC20" i="12"/>
  <c r="M15" i="12"/>
  <c r="G15" i="13"/>
  <c r="AJ151" i="13"/>
  <c r="AH151" i="13"/>
  <c r="AY11" i="10"/>
  <c r="AV11" i="10"/>
  <c r="AU11" i="10"/>
  <c r="AZ11" i="10"/>
  <c r="I67" i="11"/>
  <c r="G66" i="11"/>
  <c r="AB12" i="10"/>
  <c r="AB10" i="10" s="1"/>
  <c r="AW25" i="10"/>
  <c r="Y104" i="13"/>
  <c r="AA108" i="13"/>
  <c r="G62" i="13"/>
  <c r="M62" i="12"/>
  <c r="AG66" i="13"/>
  <c r="BO27" i="12"/>
  <c r="AA209" i="12"/>
  <c r="AA208" i="12" s="1"/>
  <c r="AI93" i="10"/>
  <c r="AJ93" i="10"/>
  <c r="AH93" i="10"/>
  <c r="AG110" i="11"/>
  <c r="AS26" i="11" s="1"/>
  <c r="AX26" i="11" s="1"/>
  <c r="N41" i="13"/>
  <c r="M41" i="13"/>
  <c r="BC12" i="13"/>
  <c r="C12" i="14" s="1"/>
  <c r="N23" i="13"/>
  <c r="AI199" i="12"/>
  <c r="AH199" i="12"/>
  <c r="AJ199" i="12"/>
  <c r="AJ68" i="12"/>
  <c r="AI68" i="12"/>
  <c r="AH68" i="12"/>
  <c r="Y196" i="12"/>
  <c r="AA197" i="12"/>
  <c r="AA35" i="11"/>
  <c r="Y36" i="12"/>
  <c r="G85" i="12"/>
  <c r="I86" i="12"/>
  <c r="BJ8" i="10"/>
  <c r="M12" i="11"/>
  <c r="G12" i="12"/>
  <c r="I10" i="11"/>
  <c r="AX22" i="12"/>
  <c r="AW23" i="12" s="1"/>
  <c r="AA211" i="13"/>
  <c r="AA210" i="13" s="1"/>
  <c r="Y210" i="13"/>
  <c r="Y209" i="13" s="1"/>
  <c r="Y208" i="13" s="1"/>
  <c r="AH68" i="11"/>
  <c r="AJ68" i="11"/>
  <c r="AI68" i="11"/>
  <c r="Y16" i="11"/>
  <c r="Y14" i="11" s="1"/>
  <c r="AA33" i="11"/>
  <c r="AI24" i="11"/>
  <c r="AH24" i="11"/>
  <c r="AJ24" i="11"/>
  <c r="F35" i="10"/>
  <c r="M37" i="10"/>
  <c r="M35" i="10" s="1"/>
  <c r="N37" i="10"/>
  <c r="N35" i="10" s="1"/>
  <c r="V76" i="13"/>
  <c r="X76" i="13" s="1"/>
  <c r="X76" i="12"/>
  <c r="V69" i="11"/>
  <c r="V65" i="11" s="1"/>
  <c r="X70" i="11"/>
  <c r="V70" i="12"/>
  <c r="F111" i="13"/>
  <c r="E104" i="13"/>
  <c r="N61" i="13"/>
  <c r="F60" i="13"/>
  <c r="N73" i="13"/>
  <c r="AJ95" i="10"/>
  <c r="AH95" i="10"/>
  <c r="AI95" i="10"/>
  <c r="X91" i="10"/>
  <c r="W87" i="13"/>
  <c r="W83" i="12"/>
  <c r="AI128" i="11"/>
  <c r="AJ128" i="11"/>
  <c r="AH128" i="11"/>
  <c r="F10" i="10"/>
  <c r="M12" i="10"/>
  <c r="N12" i="10"/>
  <c r="N10" i="10" s="1"/>
  <c r="V219" i="11"/>
  <c r="X240" i="12"/>
  <c r="V234" i="12"/>
  <c r="V233" i="12" s="1"/>
  <c r="V240" i="13"/>
  <c r="AR12" i="12"/>
  <c r="G89" i="13"/>
  <c r="AW12" i="12"/>
  <c r="F119" i="13"/>
  <c r="AJ70" i="10"/>
  <c r="AJ69" i="10" s="1"/>
  <c r="X69" i="10"/>
  <c r="X65" i="10" s="1"/>
  <c r="AH70" i="10"/>
  <c r="AH69" i="10" s="1"/>
  <c r="AI70" i="10"/>
  <c r="AI69" i="10" s="1"/>
  <c r="BO18" i="11"/>
  <c r="Y148" i="12"/>
  <c r="AA148" i="12" s="1"/>
  <c r="I36" i="12"/>
  <c r="G35" i="12"/>
  <c r="G71" i="12"/>
  <c r="I128" i="11"/>
  <c r="I69" i="11"/>
  <c r="AE49" i="12"/>
  <c r="AG50" i="12"/>
  <c r="AX17" i="11"/>
  <c r="AI227" i="11"/>
  <c r="AJ227" i="11"/>
  <c r="AH227" i="11"/>
  <c r="G22" i="11"/>
  <c r="I23" i="11"/>
  <c r="X96" i="10"/>
  <c r="AI97" i="10"/>
  <c r="AH97" i="10"/>
  <c r="AJ97" i="10"/>
  <c r="U257" i="10"/>
  <c r="U8" i="10"/>
  <c r="U259" i="10" s="1"/>
  <c r="U263" i="10" s="1"/>
  <c r="M31" i="10"/>
  <c r="M29" i="10" s="1"/>
  <c r="M28" i="10" s="1"/>
  <c r="N31" i="10"/>
  <c r="N29" i="10" s="1"/>
  <c r="F29" i="10"/>
  <c r="AJ53" i="11"/>
  <c r="AI53" i="11"/>
  <c r="AH53" i="11"/>
  <c r="AR25" i="13"/>
  <c r="BO11" i="12"/>
  <c r="Y18" i="13"/>
  <c r="AH18" i="12"/>
  <c r="X75" i="12"/>
  <c r="V75" i="13"/>
  <c r="X75" i="13" s="1"/>
  <c r="N99" i="13"/>
  <c r="C21" i="14"/>
  <c r="M99" i="13"/>
  <c r="BC14" i="13"/>
  <c r="C14" i="14" s="1"/>
  <c r="N64" i="13"/>
  <c r="X47" i="12"/>
  <c r="V47" i="13"/>
  <c r="X20" i="11"/>
  <c r="X16" i="11" s="1"/>
  <c r="X170" i="10"/>
  <c r="AI171" i="10"/>
  <c r="AI170" i="10" s="1"/>
  <c r="AH171" i="10"/>
  <c r="AH170" i="10" s="1"/>
  <c r="AJ171" i="10"/>
  <c r="AJ170" i="10" s="1"/>
  <c r="AI229" i="10"/>
  <c r="AH229" i="10"/>
  <c r="AJ229" i="10"/>
  <c r="AJ223" i="11"/>
  <c r="AI223" i="11"/>
  <c r="AH223" i="11"/>
  <c r="V242" i="11"/>
  <c r="V245" i="12"/>
  <c r="X245" i="11"/>
  <c r="M80" i="11"/>
  <c r="N80" i="11"/>
  <c r="X261" i="10"/>
  <c r="BN31" i="10" s="1"/>
  <c r="BH15" i="10" s="1"/>
  <c r="M89" i="12"/>
  <c r="D31" i="13"/>
  <c r="D29" i="12"/>
  <c r="AG35" i="11"/>
  <c r="AE36" i="12"/>
  <c r="AS28" i="10"/>
  <c r="AX28" i="10" s="1"/>
  <c r="AG192" i="10"/>
  <c r="AG49" i="11"/>
  <c r="BD19" i="11"/>
  <c r="M105" i="11"/>
  <c r="M104" i="11" s="1"/>
  <c r="G105" i="12"/>
  <c r="I104" i="11"/>
  <c r="AG234" i="11"/>
  <c r="AG233" i="11" s="1"/>
  <c r="AG231" i="11" s="1"/>
  <c r="AE235" i="12"/>
  <c r="AJ17" i="12"/>
  <c r="AH17" i="12"/>
  <c r="AI17" i="12"/>
  <c r="AQ22" i="12"/>
  <c r="D78" i="12"/>
  <c r="F78" i="12" s="1"/>
  <c r="D80" i="13"/>
  <c r="F80" i="12"/>
  <c r="D37" i="12"/>
  <c r="F37" i="11"/>
  <c r="D35" i="11"/>
  <c r="D28" i="11"/>
  <c r="AH71" i="11"/>
  <c r="Y71" i="12"/>
  <c r="AI121" i="12"/>
  <c r="AH121" i="12"/>
  <c r="AJ121" i="12"/>
  <c r="Y126" i="13"/>
  <c r="AA126" i="13" s="1"/>
  <c r="BO19" i="12"/>
  <c r="AS17" i="10"/>
  <c r="AS14" i="10"/>
  <c r="I58" i="12"/>
  <c r="G57" i="12"/>
  <c r="M48" i="10"/>
  <c r="W69" i="11"/>
  <c r="W65" i="11" s="1"/>
  <c r="W70" i="12"/>
  <c r="X211" i="11"/>
  <c r="V211" i="12"/>
  <c r="AI250" i="10"/>
  <c r="AI242" i="10" s="1"/>
  <c r="AJ250" i="10"/>
  <c r="AJ242" i="10" s="1"/>
  <c r="AH250" i="10"/>
  <c r="AH242" i="10" s="1"/>
  <c r="X242" i="10"/>
  <c r="N44" i="11"/>
  <c r="N42" i="11" s="1"/>
  <c r="M44" i="11"/>
  <c r="N65" i="11"/>
  <c r="N63" i="11" s="1"/>
  <c r="M65" i="11"/>
  <c r="M63" i="11" s="1"/>
  <c r="F63" i="11"/>
  <c r="F27" i="11"/>
  <c r="F57" i="11"/>
  <c r="N59" i="11"/>
  <c r="N57" i="11" s="1"/>
  <c r="M59" i="11"/>
  <c r="M57" i="11" s="1"/>
  <c r="AA115" i="11"/>
  <c r="AH115" i="11" s="1"/>
  <c r="Y114" i="11"/>
  <c r="AW23" i="11"/>
  <c r="AD106" i="11"/>
  <c r="AB105" i="11"/>
  <c r="AB104" i="11" s="1"/>
  <c r="AC63" i="11" s="1"/>
  <c r="AC12" i="11" s="1"/>
  <c r="AC10" i="11" s="1"/>
  <c r="M59" i="10"/>
  <c r="M57" i="10" s="1"/>
  <c r="N59" i="10"/>
  <c r="N57" i="10" s="1"/>
  <c r="F57" i="10"/>
  <c r="F128" i="10"/>
  <c r="V99" i="12"/>
  <c r="X99" i="11"/>
  <c r="AM10" i="10"/>
  <c r="AM8" i="10" s="1"/>
  <c r="AM258" i="10" s="1"/>
  <c r="X250" i="11"/>
  <c r="V250" i="12"/>
  <c r="Y38" i="13"/>
  <c r="AA38" i="13" s="1"/>
  <c r="AH38" i="12"/>
  <c r="X222" i="11"/>
  <c r="AJ124" i="11"/>
  <c r="AH124" i="11"/>
  <c r="AI124" i="11"/>
  <c r="D63" i="12"/>
  <c r="D65" i="13"/>
  <c r="F65" i="12"/>
  <c r="AI227" i="12"/>
  <c r="D57" i="12"/>
  <c r="D59" i="13"/>
  <c r="F59" i="12"/>
  <c r="N115" i="13"/>
  <c r="AA96" i="11"/>
  <c r="Y97" i="12"/>
  <c r="AG14" i="10"/>
  <c r="AS23" i="10"/>
  <c r="BO15" i="10"/>
  <c r="BI10" i="10" s="1"/>
  <c r="I49" i="11"/>
  <c r="G48" i="11"/>
  <c r="AD155" i="13"/>
  <c r="O10" i="16" s="1"/>
  <c r="BP18" i="13"/>
  <c r="E41" i="14" s="1"/>
  <c r="AI95" i="12"/>
  <c r="AH95" i="12"/>
  <c r="AJ95" i="12"/>
  <c r="V215" i="13"/>
  <c r="X215" i="13" s="1"/>
  <c r="X215" i="12"/>
  <c r="R52" i="14"/>
  <c r="E54" i="14"/>
  <c r="BJ15" i="13"/>
  <c r="AI47" i="11"/>
  <c r="AH47" i="11"/>
  <c r="AJ47" i="11"/>
  <c r="X223" i="12"/>
  <c r="V223" i="13"/>
  <c r="X223" i="13" s="1"/>
  <c r="AI107" i="13"/>
  <c r="AI105" i="13" s="1"/>
  <c r="AI104" i="13" s="1"/>
  <c r="AJ107" i="13"/>
  <c r="AJ105" i="13" s="1"/>
  <c r="M83" i="13"/>
  <c r="AD151" i="12"/>
  <c r="AB149" i="12"/>
  <c r="AB147" i="12" s="1"/>
  <c r="AB145" i="12" s="1"/>
  <c r="AJ41" i="12"/>
  <c r="AH41" i="12"/>
  <c r="AI41" i="12"/>
  <c r="W67" i="13"/>
  <c r="X174" i="10"/>
  <c r="AH175" i="10"/>
  <c r="AI175" i="10"/>
  <c r="AJ175" i="10"/>
  <c r="AW13" i="12"/>
  <c r="AY13" i="12" s="1"/>
  <c r="AR13" i="12"/>
  <c r="AU13" i="12" s="1"/>
  <c r="G90" i="13"/>
  <c r="M90" i="12"/>
  <c r="AI181" i="10"/>
  <c r="AJ181" i="10"/>
  <c r="AH181" i="10"/>
  <c r="AI119" i="12"/>
  <c r="AJ119" i="12"/>
  <c r="AH119" i="12"/>
  <c r="Y83" i="11"/>
  <c r="AA84" i="11"/>
  <c r="AJ20" i="10"/>
  <c r="AJ16" i="10" s="1"/>
  <c r="G42" i="11"/>
  <c r="I43" i="11"/>
  <c r="BO12" i="10"/>
  <c r="BO9" i="10" s="1"/>
  <c r="G82" i="12"/>
  <c r="I81" i="11"/>
  <c r="M82" i="11"/>
  <c r="M81" i="11" s="1"/>
  <c r="AA106" i="11"/>
  <c r="Y105" i="11"/>
  <c r="Y104" i="11" s="1"/>
  <c r="Z63" i="11" s="1"/>
  <c r="Z12" i="11" s="1"/>
  <c r="Z10" i="11" s="1"/>
  <c r="N56" i="11"/>
  <c r="N54" i="11" s="1"/>
  <c r="M56" i="11"/>
  <c r="M54" i="11" s="1"/>
  <c r="F54" i="11"/>
  <c r="X105" i="10"/>
  <c r="X104" i="10" s="1"/>
  <c r="AI106" i="10"/>
  <c r="AI105" i="10" s="1"/>
  <c r="AI104" i="10" s="1"/>
  <c r="AJ106" i="10"/>
  <c r="AJ105" i="10" s="1"/>
  <c r="AJ104" i="10" s="1"/>
  <c r="AH106" i="10"/>
  <c r="AH105" i="10" s="1"/>
  <c r="AH104" i="10" s="1"/>
  <c r="E35" i="14"/>
  <c r="E32" i="14" s="1"/>
  <c r="AQ11" i="13"/>
  <c r="BC11" i="13"/>
  <c r="C11" i="14" s="1"/>
  <c r="N26" i="13"/>
  <c r="X210" i="10"/>
  <c r="AI211" i="10"/>
  <c r="AI210" i="10" s="1"/>
  <c r="AI209" i="10" s="1"/>
  <c r="AI208" i="10" s="1"/>
  <c r="AH211" i="10"/>
  <c r="AH210" i="10" s="1"/>
  <c r="AH209" i="10" s="1"/>
  <c r="AH208" i="10" s="1"/>
  <c r="AJ211" i="10"/>
  <c r="AJ210" i="10" s="1"/>
  <c r="AJ209" i="10" s="1"/>
  <c r="AJ208" i="10" s="1"/>
  <c r="AI54" i="12"/>
  <c r="AJ54" i="12"/>
  <c r="AH54" i="12"/>
  <c r="AH138" i="13"/>
  <c r="AH206" i="13"/>
  <c r="X105" i="13"/>
  <c r="X104" i="13" s="1"/>
  <c r="AH162" i="13"/>
  <c r="AI162" i="13"/>
  <c r="AJ162" i="13"/>
  <c r="AJ51" i="11"/>
  <c r="AI51" i="11"/>
  <c r="AH51" i="11"/>
  <c r="AR23" i="13"/>
  <c r="AF12" i="10"/>
  <c r="AF10" i="10" s="1"/>
  <c r="AF8" i="10" s="1"/>
  <c r="AF259" i="10" s="1"/>
  <c r="AF263" i="10" s="1"/>
  <c r="AH198" i="11"/>
  <c r="AI198" i="11"/>
  <c r="AJ198" i="11"/>
  <c r="X181" i="11"/>
  <c r="V181" i="12"/>
  <c r="X123" i="10"/>
  <c r="BN17" i="10"/>
  <c r="AI124" i="10"/>
  <c r="AJ124" i="10"/>
  <c r="AH124" i="10"/>
  <c r="X67" i="12"/>
  <c r="AI119" i="13"/>
  <c r="AH119" i="13"/>
  <c r="AJ119" i="13"/>
  <c r="AY11" i="11"/>
  <c r="AV11" i="11"/>
  <c r="AU11" i="11"/>
  <c r="AZ11" i="11"/>
  <c r="AH83" i="10"/>
  <c r="AG21" i="11"/>
  <c r="AE20" i="11"/>
  <c r="AE16" i="11" s="1"/>
  <c r="AA12" i="10"/>
  <c r="AA10" i="10" s="1"/>
  <c r="AA69" i="11"/>
  <c r="AA65" i="11" s="1"/>
  <c r="AE49" i="11"/>
  <c r="AE43" i="11" s="1"/>
  <c r="AE10" i="10"/>
  <c r="AE8" i="10" s="1"/>
  <c r="AE259" i="10" s="1"/>
  <c r="AE263" i="10" s="1"/>
  <c r="Y69" i="11"/>
  <c r="Y65" i="11" s="1"/>
  <c r="D74" i="13"/>
  <c r="D72" i="12"/>
  <c r="AJ153" i="11"/>
  <c r="AH153" i="11"/>
  <c r="AI153" i="11"/>
  <c r="AV13" i="10"/>
  <c r="AU13" i="10"/>
  <c r="AY13" i="10"/>
  <c r="AZ13" i="10"/>
  <c r="X141" i="10"/>
  <c r="BN20" i="10" s="1"/>
  <c r="AH142" i="10"/>
  <c r="AH141" i="10" s="1"/>
  <c r="AI142" i="10"/>
  <c r="AI141" i="10" s="1"/>
  <c r="AJ142" i="10"/>
  <c r="AJ141" i="10" s="1"/>
  <c r="W170" i="11"/>
  <c r="W168" i="11" s="1"/>
  <c r="W171" i="12"/>
  <c r="AJ161" i="13"/>
  <c r="BC15" i="13"/>
  <c r="C15" i="14" s="1"/>
  <c r="N46" i="13"/>
  <c r="AH160" i="13"/>
  <c r="AJ160" i="13"/>
  <c r="AI160" i="13"/>
  <c r="X50" i="11"/>
  <c r="V50" i="12"/>
  <c r="V49" i="11"/>
  <c r="AH99" i="10"/>
  <c r="AI99" i="10"/>
  <c r="AJ99" i="10"/>
  <c r="AD147" i="11"/>
  <c r="AD145" i="11" s="1"/>
  <c r="AD110" i="11" s="1"/>
  <c r="AW25" i="11" s="1"/>
  <c r="BP16" i="11"/>
  <c r="BP15" i="11" s="1"/>
  <c r="BJ10" i="11" s="1"/>
  <c r="W149" i="12"/>
  <c r="W147" i="12" s="1"/>
  <c r="W145" i="12" s="1"/>
  <c r="W147" i="11"/>
  <c r="W145" i="11" s="1"/>
  <c r="AI223" i="10"/>
  <c r="AI221" i="10" s="1"/>
  <c r="AH223" i="10"/>
  <c r="AH221" i="10" s="1"/>
  <c r="AH219" i="10" s="1"/>
  <c r="AJ223" i="10"/>
  <c r="AJ221" i="10" s="1"/>
  <c r="AJ138" i="13"/>
  <c r="BC18" i="13"/>
  <c r="C18" i="14"/>
  <c r="N95" i="13"/>
  <c r="X49" i="10"/>
  <c r="AJ50" i="10"/>
  <c r="AH50" i="10"/>
  <c r="AI50" i="10"/>
  <c r="AJ54" i="11"/>
  <c r="AI54" i="11"/>
  <c r="AH54" i="11"/>
  <c r="BQ9" i="10"/>
  <c r="N35" i="14"/>
  <c r="X229" i="11"/>
  <c r="V261" i="11"/>
  <c r="V229" i="12"/>
  <c r="V170" i="11"/>
  <c r="V168" i="11" s="1"/>
  <c r="X171" i="11"/>
  <c r="V171" i="12"/>
  <c r="AI98" i="13"/>
  <c r="AJ98" i="13"/>
  <c r="AH98" i="13"/>
  <c r="W198" i="13"/>
  <c r="X198" i="12"/>
  <c r="W196" i="12"/>
  <c r="W195" i="12" s="1"/>
  <c r="W194" i="12" s="1"/>
  <c r="W192" i="12" s="1"/>
  <c r="X252" i="11"/>
  <c r="V252" i="12"/>
  <c r="AI81" i="13"/>
  <c r="W227" i="13"/>
  <c r="W226" i="12"/>
  <c r="X16" i="12"/>
  <c r="AI33" i="12"/>
  <c r="N33" i="13"/>
  <c r="N39" i="13"/>
  <c r="M39" i="13"/>
  <c r="AH46" i="11"/>
  <c r="AJ46" i="11"/>
  <c r="AI46" i="11"/>
  <c r="M47" i="10"/>
  <c r="M45" i="10" s="1"/>
  <c r="N47" i="10"/>
  <c r="N45" i="10" s="1"/>
  <c r="F45" i="10"/>
  <c r="AH30" i="13"/>
  <c r="AJ30" i="13"/>
  <c r="AI30" i="13"/>
  <c r="AH136" i="11"/>
  <c r="AJ136" i="11"/>
  <c r="AI136" i="11"/>
  <c r="BN16" i="10"/>
  <c r="AJ115" i="10"/>
  <c r="AJ114" i="10" s="1"/>
  <c r="AH115" i="10"/>
  <c r="AI115" i="10"/>
  <c r="X114" i="10"/>
  <c r="X148" i="12"/>
  <c r="V148" i="13"/>
  <c r="V231" i="11"/>
  <c r="M34" i="11"/>
  <c r="F32" i="11"/>
  <c r="N34" i="11"/>
  <c r="N32" i="11" s="1"/>
  <c r="F81" i="12"/>
  <c r="N83" i="12"/>
  <c r="N81" i="12" s="1"/>
  <c r="M83" i="12"/>
  <c r="G78" i="12"/>
  <c r="I78" i="12" s="1"/>
  <c r="I79" i="12"/>
  <c r="V221" i="12"/>
  <c r="AQ24" i="10"/>
  <c r="BN14" i="10"/>
  <c r="BH9" i="10" s="1"/>
  <c r="AH205" i="11"/>
  <c r="AH204" i="11" s="1"/>
  <c r="AA204" i="11"/>
  <c r="Y205" i="12"/>
  <c r="AG92" i="12"/>
  <c r="AE91" i="12"/>
  <c r="M110" i="13"/>
  <c r="M32" i="11"/>
  <c r="M113" i="10"/>
  <c r="G122" i="13"/>
  <c r="M122" i="12"/>
  <c r="Y81" i="13"/>
  <c r="AA81" i="13" s="1"/>
  <c r="AH81" i="12"/>
  <c r="G73" i="12"/>
  <c r="I72" i="11"/>
  <c r="M73" i="11"/>
  <c r="BO23" i="12"/>
  <c r="Y176" i="13"/>
  <c r="AA176" i="13" s="1"/>
  <c r="AJ148" i="11"/>
  <c r="BN18" i="11"/>
  <c r="AI148" i="11"/>
  <c r="AH148" i="11"/>
  <c r="F34" i="12"/>
  <c r="D32" i="12"/>
  <c r="D34" i="13"/>
  <c r="AJ195" i="10"/>
  <c r="AJ194" i="10" s="1"/>
  <c r="AA195" i="10"/>
  <c r="AA194" i="10" s="1"/>
  <c r="AA192" i="10" s="1"/>
  <c r="Y204" i="11"/>
  <c r="Y195" i="11" s="1"/>
  <c r="Y194" i="11" s="1"/>
  <c r="Y192" i="11" s="1"/>
  <c r="BO28" i="10"/>
  <c r="BO25" i="10" s="1"/>
  <c r="BI12" i="10" s="1"/>
  <c r="AE96" i="11"/>
  <c r="AE90" i="11" s="1"/>
  <c r="AG97" i="11"/>
  <c r="Y50" i="12"/>
  <c r="AA49" i="11"/>
  <c r="I115" i="11"/>
  <c r="G113" i="11"/>
  <c r="Y261" i="11"/>
  <c r="AH159" i="13"/>
  <c r="AI159" i="13"/>
  <c r="AJ159" i="13"/>
  <c r="I33" i="12"/>
  <c r="G32" i="12"/>
  <c r="AA174" i="12"/>
  <c r="Y175" i="13"/>
  <c r="AH175" i="12"/>
  <c r="AG243" i="13"/>
  <c r="AJ243" i="13" s="1"/>
  <c r="AG153" i="12"/>
  <c r="AE147" i="12"/>
  <c r="AE145" i="12" s="1"/>
  <c r="AG197" i="11"/>
  <c r="AE196" i="11"/>
  <c r="AE195" i="11" s="1"/>
  <c r="AE194" i="11" s="1"/>
  <c r="AE192" i="11" s="1"/>
  <c r="AD233" i="13"/>
  <c r="AD231" i="13" s="1"/>
  <c r="AR30" i="13" s="1"/>
  <c r="AW30" i="13" s="1"/>
  <c r="BP29" i="13"/>
  <c r="AJ175" i="11"/>
  <c r="AH175" i="11"/>
  <c r="AI175" i="11"/>
  <c r="AI39" i="11"/>
  <c r="AH39" i="11"/>
  <c r="AJ39" i="11"/>
  <c r="X204" i="13"/>
  <c r="AI205" i="13"/>
  <c r="AI204" i="13" s="1"/>
  <c r="V12" i="10"/>
  <c r="V10" i="10" s="1"/>
  <c r="D21" i="10"/>
  <c r="D19" i="10" s="1"/>
  <c r="D17" i="10" s="1"/>
  <c r="D42" i="13"/>
  <c r="BN26" i="12"/>
  <c r="AH197" i="12"/>
  <c r="AI197" i="12"/>
  <c r="Y141" i="11"/>
  <c r="AA142" i="11"/>
  <c r="AE65" i="11"/>
  <c r="AG81" i="11"/>
  <c r="AE261" i="11"/>
  <c r="AH16" i="10"/>
  <c r="AE33" i="12"/>
  <c r="AJ33" i="11"/>
  <c r="Y174" i="12"/>
  <c r="BP15" i="10"/>
  <c r="BJ10" i="10" s="1"/>
  <c r="AI54" i="10"/>
  <c r="AJ54" i="10"/>
  <c r="AH54" i="10"/>
  <c r="M74" i="11"/>
  <c r="N74" i="11"/>
  <c r="N72" i="11" s="1"/>
  <c r="F72" i="11"/>
  <c r="W115" i="12"/>
  <c r="W114" i="11"/>
  <c r="W112" i="11" s="1"/>
  <c r="W110" i="11" s="1"/>
  <c r="BP30" i="13"/>
  <c r="AI52" i="11"/>
  <c r="AH52" i="11"/>
  <c r="AJ52" i="11"/>
  <c r="X234" i="10"/>
  <c r="AJ235" i="10"/>
  <c r="AJ234" i="10" s="1"/>
  <c r="AJ233" i="10" s="1"/>
  <c r="AI235" i="10"/>
  <c r="AI234" i="10" s="1"/>
  <c r="AI233" i="10" s="1"/>
  <c r="AH235" i="10"/>
  <c r="AH234" i="10" s="1"/>
  <c r="AH233" i="10" s="1"/>
  <c r="BN10" i="10"/>
  <c r="AI66" i="10"/>
  <c r="AH66" i="10"/>
  <c r="AH65" i="10" s="1"/>
  <c r="AQ22" i="10"/>
  <c r="AJ66" i="10"/>
  <c r="F22" i="10"/>
  <c r="M24" i="10"/>
  <c r="M22" i="10" s="1"/>
  <c r="N24" i="10"/>
  <c r="BN26" i="13"/>
  <c r="C49" i="14" s="1"/>
  <c r="AI197" i="13"/>
  <c r="AE205" i="12"/>
  <c r="AJ205" i="11"/>
  <c r="AJ204" i="11" s="1"/>
  <c r="AG204" i="11"/>
  <c r="X35" i="11"/>
  <c r="AG226" i="11"/>
  <c r="AG219" i="11" s="1"/>
  <c r="AS30" i="11" s="1"/>
  <c r="AX30" i="11" s="1"/>
  <c r="AE227" i="12"/>
  <c r="G70" i="13"/>
  <c r="M70" i="12"/>
  <c r="AS9" i="12"/>
  <c r="L21" i="12"/>
  <c r="BJ8" i="12"/>
  <c r="BP8" i="12"/>
  <c r="L8" i="11"/>
  <c r="V39" i="13"/>
  <c r="X39" i="12"/>
  <c r="X135" i="11"/>
  <c r="V135" i="12"/>
  <c r="W204" i="11"/>
  <c r="W195" i="11" s="1"/>
  <c r="W194" i="11" s="1"/>
  <c r="W192" i="11" s="1"/>
  <c r="W195" i="10"/>
  <c r="W194" i="10" s="1"/>
  <c r="W192" i="10" s="1"/>
  <c r="W8" i="10" s="1"/>
  <c r="W259" i="10" s="1"/>
  <c r="W263" i="10" s="1"/>
  <c r="F32" i="10"/>
  <c r="M34" i="10"/>
  <c r="M32" i="10" s="1"/>
  <c r="N34" i="10"/>
  <c r="N32" i="10" s="1"/>
  <c r="AH125" i="10"/>
  <c r="AJ125" i="10"/>
  <c r="AI125" i="10"/>
  <c r="V66" i="13"/>
  <c r="X66" i="12"/>
  <c r="V60" i="12"/>
  <c r="V58" i="11"/>
  <c r="V57" i="11" s="1"/>
  <c r="X60" i="11"/>
  <c r="AJ98" i="12"/>
  <c r="AH98" i="12"/>
  <c r="AI98" i="12"/>
  <c r="X185" i="10"/>
  <c r="X183" i="10" s="1"/>
  <c r="AH186" i="10"/>
  <c r="AH185" i="10" s="1"/>
  <c r="AJ186" i="10"/>
  <c r="AJ185" i="10" s="1"/>
  <c r="AI186" i="10"/>
  <c r="AI185" i="10" s="1"/>
  <c r="AI183" i="10" s="1"/>
  <c r="AJ176" i="11"/>
  <c r="BN23" i="11"/>
  <c r="AI176" i="11"/>
  <c r="AH176" i="11"/>
  <c r="AJ177" i="11"/>
  <c r="AI177" i="11"/>
  <c r="AH177" i="11"/>
  <c r="F69" i="11"/>
  <c r="N71" i="11"/>
  <c r="N69" i="11" s="1"/>
  <c r="M71" i="11"/>
  <c r="M69" i="11" s="1"/>
  <c r="V216" i="13"/>
  <c r="X216" i="13" s="1"/>
  <c r="X216" i="12"/>
  <c r="X235" i="11"/>
  <c r="W235" i="12"/>
  <c r="W234" i="11"/>
  <c r="W233" i="11" s="1"/>
  <c r="X125" i="11"/>
  <c r="V123" i="11"/>
  <c r="V112" i="11" s="1"/>
  <c r="V110" i="11" s="1"/>
  <c r="V125" i="12"/>
  <c r="BN10" i="11"/>
  <c r="AH66" i="11"/>
  <c r="AQ22" i="11"/>
  <c r="AI66" i="11"/>
  <c r="AJ66" i="11"/>
  <c r="AI118" i="13"/>
  <c r="AJ118" i="13"/>
  <c r="AH118" i="13"/>
  <c r="F42" i="11"/>
  <c r="AQ10" i="11" s="1"/>
  <c r="AW23" i="10"/>
  <c r="AG255" i="12"/>
  <c r="AA58" i="12"/>
  <c r="AA57" i="12" s="1"/>
  <c r="Y59" i="13"/>
  <c r="AJ83" i="10"/>
  <c r="BP13" i="13"/>
  <c r="Y185" i="13"/>
  <c r="Y183" i="13" s="1"/>
  <c r="AA186" i="13"/>
  <c r="AA185" i="13" s="1"/>
  <c r="AA183" i="13" s="1"/>
  <c r="N76" i="13"/>
  <c r="AI18" i="11"/>
  <c r="BN11" i="11"/>
  <c r="AJ18" i="11"/>
  <c r="AH18" i="11"/>
  <c r="AI206" i="12"/>
  <c r="AJ206" i="12"/>
  <c r="AH206" i="12"/>
  <c r="AH60" i="10"/>
  <c r="AH58" i="10" s="1"/>
  <c r="AH57" i="10" s="1"/>
  <c r="AJ60" i="10"/>
  <c r="AJ58" i="10" s="1"/>
  <c r="AJ57" i="10" s="1"/>
  <c r="AI60" i="10"/>
  <c r="AI58" i="10" s="1"/>
  <c r="AI57" i="10" s="1"/>
  <c r="AI27" i="11"/>
  <c r="AJ27" i="11"/>
  <c r="AH27" i="11"/>
  <c r="BP14" i="13"/>
  <c r="AR24" i="13"/>
  <c r="AW24" i="13" s="1"/>
  <c r="AI116" i="11"/>
  <c r="AJ116" i="11"/>
  <c r="AH116" i="11"/>
  <c r="X226" i="10"/>
  <c r="X219" i="10" s="1"/>
  <c r="AI227" i="10"/>
  <c r="AI226" i="10" s="1"/>
  <c r="AJ227" i="10"/>
  <c r="AH227" i="10"/>
  <c r="AH226" i="10" s="1"/>
  <c r="N52" i="13"/>
  <c r="AJ158" i="13"/>
  <c r="AI158" i="13"/>
  <c r="X48" i="11"/>
  <c r="V48" i="12"/>
  <c r="V44" i="12" s="1"/>
  <c r="V44" i="11"/>
  <c r="V43" i="11" s="1"/>
  <c r="AI92" i="13"/>
  <c r="D22" i="11"/>
  <c r="D128" i="11"/>
  <c r="D24" i="12"/>
  <c r="F24" i="11"/>
  <c r="W186" i="13"/>
  <c r="W185" i="12"/>
  <c r="W183" i="12" s="1"/>
  <c r="I76" i="11"/>
  <c r="G75" i="11"/>
  <c r="AD12" i="10"/>
  <c r="AD10" i="10" s="1"/>
  <c r="AH143" i="12"/>
  <c r="AI143" i="12"/>
  <c r="AI141" i="12" s="1"/>
  <c r="AJ143" i="12"/>
  <c r="AJ141" i="12" s="1"/>
  <c r="X141" i="12"/>
  <c r="BN20" i="12" s="1"/>
  <c r="AA21" i="12"/>
  <c r="Y20" i="12"/>
  <c r="AG84" i="11"/>
  <c r="AE83" i="11"/>
  <c r="G61" i="13"/>
  <c r="M61" i="12"/>
  <c r="I60" i="12"/>
  <c r="Y123" i="12"/>
  <c r="AA124" i="12"/>
  <c r="I29" i="11"/>
  <c r="I28" i="11" s="1"/>
  <c r="G30" i="12"/>
  <c r="M30" i="11"/>
  <c r="BD13" i="11"/>
  <c r="AW11" i="12"/>
  <c r="AY11" i="12" s="1"/>
  <c r="G88" i="13"/>
  <c r="AR11" i="12"/>
  <c r="AU11" i="12" s="1"/>
  <c r="M88" i="12"/>
  <c r="AH53" i="12"/>
  <c r="AJ53" i="12"/>
  <c r="AI53" i="12"/>
  <c r="N48" i="14"/>
  <c r="R49" i="14"/>
  <c r="X150" i="11"/>
  <c r="V149" i="11"/>
  <c r="V147" i="11" s="1"/>
  <c r="V145" i="11" s="1"/>
  <c r="V150" i="12"/>
  <c r="V116" i="13"/>
  <c r="X116" i="12"/>
  <c r="V114" i="12"/>
  <c r="X204" i="10"/>
  <c r="AH205" i="10"/>
  <c r="AH204" i="10" s="1"/>
  <c r="AJ205" i="10"/>
  <c r="AJ204" i="10" s="1"/>
  <c r="AI205" i="10"/>
  <c r="AI204" i="10" s="1"/>
  <c r="X88" i="11"/>
  <c r="V88" i="12"/>
  <c r="V83" i="11"/>
  <c r="F71" i="12"/>
  <c r="D69" i="12"/>
  <c r="D71" i="13"/>
  <c r="AJ130" i="12"/>
  <c r="AH130" i="12"/>
  <c r="AI130" i="12"/>
  <c r="AJ216" i="11"/>
  <c r="AI216" i="11"/>
  <c r="AH216" i="11"/>
  <c r="N27" i="10"/>
  <c r="N25" i="10" s="1"/>
  <c r="M27" i="10"/>
  <c r="M25" i="10" s="1"/>
  <c r="F25" i="10"/>
  <c r="AQ8" i="10" s="1"/>
  <c r="BC8" i="11"/>
  <c r="D81" i="13"/>
  <c r="AB12" i="13"/>
  <c r="AJ165" i="13"/>
  <c r="AI165" i="13"/>
  <c r="AH165" i="13"/>
  <c r="X44" i="10"/>
  <c r="AI48" i="10"/>
  <c r="AJ48" i="10"/>
  <c r="AJ44" i="10" s="1"/>
  <c r="AH48" i="10"/>
  <c r="AH44" i="10" s="1"/>
  <c r="AI46" i="12"/>
  <c r="AJ46" i="12"/>
  <c r="AH46" i="12"/>
  <c r="V204" i="11"/>
  <c r="V195" i="11" s="1"/>
  <c r="V194" i="11" s="1"/>
  <c r="V192" i="11" s="1"/>
  <c r="V195" i="10"/>
  <c r="V194" i="10" s="1"/>
  <c r="V192" i="10" s="1"/>
  <c r="AH128" i="12"/>
  <c r="AJ128" i="12"/>
  <c r="AI128" i="12"/>
  <c r="X217" i="12"/>
  <c r="V217" i="13"/>
  <c r="X217" i="13" s="1"/>
  <c r="E21" i="10"/>
  <c r="E19" i="10" s="1"/>
  <c r="E17" i="10" s="1"/>
  <c r="X87" i="11"/>
  <c r="X185" i="11"/>
  <c r="X183" i="11" s="1"/>
  <c r="AJ186" i="11"/>
  <c r="AI186" i="11"/>
  <c r="AH186" i="11"/>
  <c r="Y235" i="12"/>
  <c r="AA234" i="11"/>
  <c r="AA91" i="11"/>
  <c r="AA90" i="11" s="1"/>
  <c r="Y92" i="12"/>
  <c r="AH92" i="11"/>
  <c r="AE211" i="12"/>
  <c r="AG210" i="11"/>
  <c r="AG209" i="11" s="1"/>
  <c r="AG208" i="11" s="1"/>
  <c r="AS29" i="11" s="1"/>
  <c r="AX29" i="11" s="1"/>
  <c r="AR28" i="10"/>
  <c r="AW28" i="10" s="1"/>
  <c r="AD192" i="10"/>
  <c r="Y70" i="13"/>
  <c r="G60" i="12"/>
  <c r="Y45" i="12"/>
  <c r="AA44" i="11"/>
  <c r="AH45" i="11"/>
  <c r="Y150" i="13"/>
  <c r="AA149" i="12"/>
  <c r="F113" i="12"/>
  <c r="AQ15" i="12" s="1"/>
  <c r="AJ102" i="10"/>
  <c r="AI102" i="10"/>
  <c r="AH102" i="10"/>
  <c r="AH261" i="10" s="1"/>
  <c r="X131" i="11"/>
  <c r="BN17" i="11" s="1"/>
  <c r="V131" i="12"/>
  <c r="N30" i="13"/>
  <c r="AJ30" i="11"/>
  <c r="AH30" i="11"/>
  <c r="AI30" i="11"/>
  <c r="W93" i="12"/>
  <c r="X93" i="11"/>
  <c r="W91" i="11"/>
  <c r="W90" i="11" s="1"/>
  <c r="AI51" i="12"/>
  <c r="AJ51" i="12"/>
  <c r="AH51" i="12"/>
  <c r="V97" i="12"/>
  <c r="X97" i="11"/>
  <c r="V96" i="11"/>
  <c r="V90" i="11" s="1"/>
  <c r="E31" i="12"/>
  <c r="E29" i="11"/>
  <c r="E28" i="11" s="1"/>
  <c r="D85" i="11"/>
  <c r="D92" i="12"/>
  <c r="F92" i="11"/>
  <c r="AE104" i="12"/>
  <c r="AG108" i="12"/>
  <c r="AJ217" i="11"/>
  <c r="AH217" i="11"/>
  <c r="AI217" i="11"/>
  <c r="AU12" i="10"/>
  <c r="AV12" i="10"/>
  <c r="AZ12" i="10"/>
  <c r="I21" i="10"/>
  <c r="I19" i="10" s="1"/>
  <c r="AR8" i="10"/>
  <c r="I26" i="11"/>
  <c r="G25" i="11"/>
  <c r="AH176" i="12"/>
  <c r="AJ183" i="10"/>
  <c r="Y90" i="11"/>
  <c r="M64" i="12"/>
  <c r="BD14" i="12"/>
  <c r="G64" i="13"/>
  <c r="I63" i="12"/>
  <c r="AH147" i="10"/>
  <c r="Y226" i="12"/>
  <c r="AA227" i="12"/>
  <c r="AJ121" i="13"/>
  <c r="AI121" i="13"/>
  <c r="AH121" i="13"/>
  <c r="BK8" i="13"/>
  <c r="BQ8" i="13"/>
  <c r="BQ7" i="13" s="1"/>
  <c r="Q50" i="14"/>
  <c r="BQ25" i="13"/>
  <c r="BK12" i="13" s="1"/>
  <c r="BL12" i="13" s="1"/>
  <c r="AH105" i="13"/>
  <c r="AI243" i="13"/>
  <c r="N107" i="13"/>
  <c r="M107" i="13"/>
  <c r="Q45" i="14"/>
  <c r="R47" i="14"/>
  <c r="R45" i="14" s="1"/>
  <c r="BC19" i="13"/>
  <c r="C22" i="14" s="1"/>
  <c r="AI153" i="13"/>
  <c r="N102" i="13"/>
  <c r="F94" i="13"/>
  <c r="M102" i="13"/>
  <c r="AI85" i="13"/>
  <c r="AH85" i="13"/>
  <c r="AJ85" i="13"/>
  <c r="M118" i="13"/>
  <c r="N118" i="13"/>
  <c r="AR28" i="13"/>
  <c r="AW28" i="13" s="1"/>
  <c r="AC12" i="13"/>
  <c r="AC10" i="13" s="1"/>
  <c r="AC8" i="13" s="1"/>
  <c r="AC259" i="13" s="1"/>
  <c r="AC263" i="13" s="1"/>
  <c r="AI45" i="13"/>
  <c r="AR27" i="13"/>
  <c r="AW27" i="13" s="1"/>
  <c r="BP24" i="13"/>
  <c r="L19" i="12"/>
  <c r="AX14" i="12"/>
  <c r="AZ11" i="12"/>
  <c r="AW17" i="12"/>
  <c r="AX17" i="12"/>
  <c r="AV11" i="12"/>
  <c r="AX11" i="13"/>
  <c r="AS11" i="13"/>
  <c r="N88" i="13"/>
  <c r="R16" i="14"/>
  <c r="Q10" i="14"/>
  <c r="Q9" i="14" s="1"/>
  <c r="Q25" i="14" s="1"/>
  <c r="AX14" i="13"/>
  <c r="AH237" i="13"/>
  <c r="AJ237" i="13"/>
  <c r="AI237" i="13"/>
  <c r="N90" i="13"/>
  <c r="BC17" i="13"/>
  <c r="AQ13" i="13"/>
  <c r="I89" i="13" l="1"/>
  <c r="I15" i="13"/>
  <c r="AS8" i="13"/>
  <c r="AD192" i="13"/>
  <c r="AH38" i="13"/>
  <c r="AK38" i="13"/>
  <c r="AN38" i="13" s="1"/>
  <c r="D5" i="17"/>
  <c r="E5" i="17" s="1"/>
  <c r="H5" i="17" s="1"/>
  <c r="I90" i="13"/>
  <c r="I88" i="13"/>
  <c r="I122" i="13"/>
  <c r="R10" i="14"/>
  <c r="R9" i="14" s="1"/>
  <c r="R25" i="14" s="1"/>
  <c r="N116" i="13"/>
  <c r="M116" i="13"/>
  <c r="F117" i="13"/>
  <c r="F113" i="13" s="1"/>
  <c r="AV11" i="13"/>
  <c r="AH81" i="13"/>
  <c r="AZ11" i="13"/>
  <c r="W83" i="13"/>
  <c r="N83" i="13"/>
  <c r="Q29" i="14"/>
  <c r="N60" i="13"/>
  <c r="C17" i="13"/>
  <c r="F104" i="13"/>
  <c r="H17" i="13"/>
  <c r="J19" i="13"/>
  <c r="N66" i="13"/>
  <c r="BN28" i="11"/>
  <c r="X195" i="11"/>
  <c r="X194" i="11" s="1"/>
  <c r="AC257" i="10"/>
  <c r="AC8" i="10"/>
  <c r="AC259" i="10" s="1"/>
  <c r="AC263" i="10" s="1"/>
  <c r="AI16" i="12"/>
  <c r="AE14" i="11"/>
  <c r="AH185" i="11"/>
  <c r="AJ192" i="10"/>
  <c r="AH91" i="10"/>
  <c r="F77" i="12"/>
  <c r="D75" i="12"/>
  <c r="D77" i="13"/>
  <c r="AB112" i="12"/>
  <c r="AI20" i="12"/>
  <c r="X77" i="12"/>
  <c r="V77" i="13"/>
  <c r="X77" i="13" s="1"/>
  <c r="BN19" i="11"/>
  <c r="AI126" i="11"/>
  <c r="AJ126" i="11"/>
  <c r="AH126" i="11"/>
  <c r="E44" i="13"/>
  <c r="E42" i="12"/>
  <c r="F44" i="12"/>
  <c r="AH187" i="12"/>
  <c r="AJ187" i="12"/>
  <c r="AI187" i="12"/>
  <c r="X133" i="12"/>
  <c r="V133" i="13"/>
  <c r="X133" i="13" s="1"/>
  <c r="AJ226" i="10"/>
  <c r="AH114" i="10"/>
  <c r="G51" i="12"/>
  <c r="I52" i="12"/>
  <c r="AI185" i="11"/>
  <c r="AI183" i="11" s="1"/>
  <c r="AB117" i="13"/>
  <c r="AD114" i="12"/>
  <c r="AD112" i="12" s="1"/>
  <c r="AI117" i="12"/>
  <c r="AI77" i="11"/>
  <c r="AH77" i="11"/>
  <c r="AJ77" i="11"/>
  <c r="AJ185" i="11"/>
  <c r="AI195" i="10"/>
  <c r="AI194" i="10" s="1"/>
  <c r="AI192" i="10" s="1"/>
  <c r="AH183" i="10"/>
  <c r="AH174" i="10"/>
  <c r="AV15" i="11"/>
  <c r="AU15" i="11"/>
  <c r="AZ15" i="11"/>
  <c r="M29" i="11"/>
  <c r="AE112" i="12"/>
  <c r="AE110" i="12" s="1"/>
  <c r="I46" i="12"/>
  <c r="G45" i="12"/>
  <c r="AE170" i="12"/>
  <c r="AG171" i="12"/>
  <c r="D25" i="12"/>
  <c r="D27" i="13"/>
  <c r="AI236" i="11"/>
  <c r="AH236" i="11"/>
  <c r="AJ236" i="11"/>
  <c r="AH190" i="12"/>
  <c r="AJ190" i="12"/>
  <c r="AI190" i="12"/>
  <c r="V36" i="13"/>
  <c r="X36" i="13" s="1"/>
  <c r="AI36" i="13" s="1"/>
  <c r="X36" i="12"/>
  <c r="AI36" i="12" s="1"/>
  <c r="M47" i="12"/>
  <c r="N47" i="12"/>
  <c r="N45" i="12" s="1"/>
  <c r="F45" i="12"/>
  <c r="X184" i="12"/>
  <c r="V183" i="12"/>
  <c r="V184" i="13"/>
  <c r="X184" i="13" s="1"/>
  <c r="AJ101" i="11"/>
  <c r="AH101" i="11"/>
  <c r="AI101" i="11"/>
  <c r="X236" i="12"/>
  <c r="W236" i="13"/>
  <c r="X236" i="13" s="1"/>
  <c r="AJ190" i="13"/>
  <c r="AH190" i="13"/>
  <c r="AI190" i="13"/>
  <c r="AI114" i="10"/>
  <c r="AA43" i="11"/>
  <c r="AH195" i="10"/>
  <c r="AH194" i="10" s="1"/>
  <c r="AH192" i="10" s="1"/>
  <c r="AE116" i="13"/>
  <c r="AG114" i="12"/>
  <c r="I55" i="12"/>
  <c r="G54" i="12"/>
  <c r="BJ8" i="13"/>
  <c r="W231" i="11"/>
  <c r="AJ65" i="10"/>
  <c r="BP7" i="10"/>
  <c r="BP32" i="10" s="1"/>
  <c r="AH184" i="11"/>
  <c r="AI184" i="11"/>
  <c r="X31" i="13"/>
  <c r="AJ37" i="11"/>
  <c r="AI37" i="11"/>
  <c r="AH37" i="11"/>
  <c r="X101" i="12"/>
  <c r="V101" i="13"/>
  <c r="X101" i="13" s="1"/>
  <c r="AE59" i="12"/>
  <c r="AG58" i="11"/>
  <c r="AG57" i="11" s="1"/>
  <c r="AI238" i="12"/>
  <c r="AH238" i="12"/>
  <c r="AJ238" i="12"/>
  <c r="AE164" i="13"/>
  <c r="AG157" i="12"/>
  <c r="AG155" i="12" s="1"/>
  <c r="AJ164" i="12"/>
  <c r="AJ157" i="12" s="1"/>
  <c r="AJ155" i="12" s="1"/>
  <c r="AB131" i="13"/>
  <c r="AD123" i="12"/>
  <c r="BP17" i="12"/>
  <c r="X37" i="12"/>
  <c r="W35" i="12"/>
  <c r="W14" i="12" s="1"/>
  <c r="W37" i="13"/>
  <c r="F10" i="11"/>
  <c r="N12" i="11"/>
  <c r="N10" i="11" s="1"/>
  <c r="AE127" i="13"/>
  <c r="AG123" i="12"/>
  <c r="AH238" i="13"/>
  <c r="AJ61" i="11"/>
  <c r="AI61" i="11"/>
  <c r="AH61" i="11"/>
  <c r="E10" i="12"/>
  <c r="E12" i="13"/>
  <c r="F12" i="12"/>
  <c r="W247" i="13"/>
  <c r="W242" i="13" s="1"/>
  <c r="W242" i="12"/>
  <c r="AB143" i="13"/>
  <c r="AD141" i="12"/>
  <c r="BP20" i="12" s="1"/>
  <c r="AE143" i="13"/>
  <c r="AG141" i="12"/>
  <c r="AJ49" i="10"/>
  <c r="AJ43" i="10" s="1"/>
  <c r="AJ14" i="10" s="1"/>
  <c r="AG44" i="11"/>
  <c r="AG43" i="11" s="1"/>
  <c r="AE45" i="12"/>
  <c r="AB110" i="12"/>
  <c r="AB10" i="12" s="1"/>
  <c r="AI65" i="10"/>
  <c r="X61" i="12"/>
  <c r="V61" i="13"/>
  <c r="X61" i="13" s="1"/>
  <c r="AH59" i="11"/>
  <c r="AJ59" i="11"/>
  <c r="AI59" i="11"/>
  <c r="AH244" i="13"/>
  <c r="AI244" i="13"/>
  <c r="AJ244" i="13"/>
  <c r="N117" i="12"/>
  <c r="N113" i="12" s="1"/>
  <c r="M117" i="12"/>
  <c r="M60" i="12"/>
  <c r="AH20" i="11"/>
  <c r="D21" i="11"/>
  <c r="AE150" i="13"/>
  <c r="AG149" i="12"/>
  <c r="AG147" i="12" s="1"/>
  <c r="AG145" i="12" s="1"/>
  <c r="AI139" i="12"/>
  <c r="AJ139" i="12"/>
  <c r="AH139" i="12"/>
  <c r="V59" i="13"/>
  <c r="X59" i="13" s="1"/>
  <c r="X59" i="12"/>
  <c r="AI244" i="12"/>
  <c r="AH244" i="12"/>
  <c r="AJ244" i="12"/>
  <c r="AH114" i="11"/>
  <c r="AH145" i="10"/>
  <c r="AI238" i="13"/>
  <c r="AI139" i="13"/>
  <c r="AJ139" i="13"/>
  <c r="AH139" i="13"/>
  <c r="G94" i="12"/>
  <c r="I95" i="12"/>
  <c r="AH231" i="10"/>
  <c r="V14" i="11"/>
  <c r="AJ123" i="10"/>
  <c r="AG12" i="10"/>
  <c r="AG10" i="10" s="1"/>
  <c r="AG257" i="10" s="1"/>
  <c r="AS31" i="10" s="1"/>
  <c r="AS32" i="10" s="1"/>
  <c r="AG222" i="12"/>
  <c r="AE221" i="12"/>
  <c r="F50" i="12"/>
  <c r="D48" i="12"/>
  <c r="D50" i="13"/>
  <c r="V200" i="13"/>
  <c r="X200" i="12"/>
  <c r="X196" i="12" s="1"/>
  <c r="X120" i="12"/>
  <c r="V120" i="13"/>
  <c r="X120" i="13" s="1"/>
  <c r="AG185" i="11"/>
  <c r="AE186" i="12"/>
  <c r="AH72" i="12"/>
  <c r="AI72" i="12"/>
  <c r="AJ72" i="12"/>
  <c r="AJ45" i="11"/>
  <c r="AJ200" i="11"/>
  <c r="AI200" i="11"/>
  <c r="AI196" i="11" s="1"/>
  <c r="AI195" i="11" s="1"/>
  <c r="AI194" i="11" s="1"/>
  <c r="AH200" i="11"/>
  <c r="AH196" i="11" s="1"/>
  <c r="AH195" i="11" s="1"/>
  <c r="AH194" i="11" s="1"/>
  <c r="AI120" i="11"/>
  <c r="AJ120" i="11"/>
  <c r="AH120" i="11"/>
  <c r="N53" i="11"/>
  <c r="N51" i="11" s="1"/>
  <c r="F51" i="11"/>
  <c r="M53" i="11"/>
  <c r="M51" i="11" s="1"/>
  <c r="AI72" i="13"/>
  <c r="AH72" i="13"/>
  <c r="AJ72" i="13"/>
  <c r="AJ261" i="10"/>
  <c r="AI212" i="13"/>
  <c r="AJ212" i="13"/>
  <c r="F48" i="11"/>
  <c r="N50" i="11"/>
  <c r="N48" i="11" s="1"/>
  <c r="M50" i="11"/>
  <c r="AI219" i="10"/>
  <c r="AI212" i="12"/>
  <c r="AJ212" i="12"/>
  <c r="AH212" i="12"/>
  <c r="X189" i="12"/>
  <c r="V189" i="13"/>
  <c r="X189" i="13" s="1"/>
  <c r="V71" i="13"/>
  <c r="X71" i="13" s="1"/>
  <c r="X71" i="12"/>
  <c r="AH74" i="13"/>
  <c r="AJ74" i="13"/>
  <c r="AI74" i="13"/>
  <c r="D51" i="12"/>
  <c r="D53" i="13"/>
  <c r="F53" i="12"/>
  <c r="AH179" i="12"/>
  <c r="AJ179" i="12"/>
  <c r="AI179" i="12"/>
  <c r="V247" i="13"/>
  <c r="X247" i="13" s="1"/>
  <c r="X247" i="12"/>
  <c r="V251" i="13"/>
  <c r="X251" i="13" s="1"/>
  <c r="X251" i="12"/>
  <c r="AJ189" i="11"/>
  <c r="AI189" i="11"/>
  <c r="AH189" i="11"/>
  <c r="AI71" i="11"/>
  <c r="AJ71" i="11"/>
  <c r="AJ74" i="12"/>
  <c r="AI74" i="12"/>
  <c r="AH74" i="12"/>
  <c r="X214" i="12"/>
  <c r="V214" i="13"/>
  <c r="X214" i="13" s="1"/>
  <c r="AH179" i="13"/>
  <c r="AJ179" i="13"/>
  <c r="AI179" i="13"/>
  <c r="AH247" i="11"/>
  <c r="AJ247" i="11"/>
  <c r="AI247" i="11"/>
  <c r="AI251" i="11"/>
  <c r="AJ251" i="11"/>
  <c r="AH251" i="11"/>
  <c r="V129" i="13"/>
  <c r="X129" i="13" s="1"/>
  <c r="X129" i="12"/>
  <c r="AI133" i="11"/>
  <c r="AH133" i="11"/>
  <c r="AJ133" i="11"/>
  <c r="AI203" i="11"/>
  <c r="AJ203" i="11"/>
  <c r="AH203" i="11"/>
  <c r="AJ214" i="11"/>
  <c r="AI214" i="11"/>
  <c r="AH214" i="11"/>
  <c r="V137" i="13"/>
  <c r="X137" i="13" s="1"/>
  <c r="X137" i="12"/>
  <c r="E59" i="13"/>
  <c r="E57" i="12"/>
  <c r="AI137" i="11"/>
  <c r="AJ137" i="11"/>
  <c r="AH137" i="11"/>
  <c r="AH129" i="11"/>
  <c r="AI129" i="11"/>
  <c r="AJ129" i="11"/>
  <c r="AI44" i="10"/>
  <c r="AJ36" i="11"/>
  <c r="AI36" i="11"/>
  <c r="AI35" i="11" s="1"/>
  <c r="AJ180" i="11"/>
  <c r="AH180" i="11"/>
  <c r="AH174" i="11" s="1"/>
  <c r="AI180" i="11"/>
  <c r="AA170" i="11"/>
  <c r="AA168" i="11" s="1"/>
  <c r="BO24" i="11" s="1"/>
  <c r="BO22" i="11" s="1"/>
  <c r="BI11" i="11" s="1"/>
  <c r="Y171" i="12"/>
  <c r="D45" i="13"/>
  <c r="F47" i="13"/>
  <c r="N77" i="11"/>
  <c r="N75" i="11" s="1"/>
  <c r="F75" i="11"/>
  <c r="M77" i="11"/>
  <c r="V180" i="13"/>
  <c r="X180" i="13" s="1"/>
  <c r="X180" i="12"/>
  <c r="V126" i="13"/>
  <c r="X126" i="13" s="1"/>
  <c r="AH126" i="13" s="1"/>
  <c r="X126" i="12"/>
  <c r="AJ127" i="12"/>
  <c r="X187" i="13"/>
  <c r="AH212" i="13"/>
  <c r="N94" i="13"/>
  <c r="V221" i="13"/>
  <c r="AH157" i="13"/>
  <c r="AH155" i="13" s="1"/>
  <c r="BN30" i="10"/>
  <c r="AB8" i="12"/>
  <c r="AB259" i="12" s="1"/>
  <c r="AB263" i="12" s="1"/>
  <c r="AB257" i="12"/>
  <c r="AA209" i="13"/>
  <c r="AA208" i="13" s="1"/>
  <c r="BO27" i="13"/>
  <c r="D50" i="14" s="1"/>
  <c r="AG211" i="12"/>
  <c r="AE210" i="12"/>
  <c r="AE209" i="12" s="1"/>
  <c r="AE208" i="12" s="1"/>
  <c r="X234" i="11"/>
  <c r="AJ235" i="11"/>
  <c r="AI235" i="11"/>
  <c r="AI234" i="11" s="1"/>
  <c r="AI233" i="11" s="1"/>
  <c r="AH235" i="11"/>
  <c r="AH234" i="11" s="1"/>
  <c r="AH233" i="11" s="1"/>
  <c r="AR14" i="10"/>
  <c r="AR17" i="10" s="1"/>
  <c r="I17" i="10"/>
  <c r="AV15" i="12"/>
  <c r="AU15" i="12"/>
  <c r="AZ15" i="12"/>
  <c r="AJ216" i="12"/>
  <c r="AH216" i="12"/>
  <c r="AI216" i="12"/>
  <c r="M21" i="10"/>
  <c r="M19" i="10" s="1"/>
  <c r="M17" i="10" s="1"/>
  <c r="BO23" i="13"/>
  <c r="AH176" i="13"/>
  <c r="V171" i="13"/>
  <c r="X171" i="12"/>
  <c r="V170" i="12"/>
  <c r="BI8" i="10"/>
  <c r="BI7" i="10" s="1"/>
  <c r="BI16" i="10" s="1"/>
  <c r="BO8" i="10"/>
  <c r="BO7" i="10" s="1"/>
  <c r="BO32" i="10" s="1"/>
  <c r="G104" i="12"/>
  <c r="I105" i="12"/>
  <c r="BC7" i="10"/>
  <c r="AQ16" i="10"/>
  <c r="N111" i="13"/>
  <c r="M111" i="13"/>
  <c r="X136" i="13"/>
  <c r="W123" i="13"/>
  <c r="I30" i="12"/>
  <c r="G29" i="12"/>
  <c r="G28" i="12" s="1"/>
  <c r="AI60" i="11"/>
  <c r="X58" i="11"/>
  <c r="X57" i="11" s="1"/>
  <c r="AJ60" i="11"/>
  <c r="AJ58" i="11" s="1"/>
  <c r="AJ57" i="11" s="1"/>
  <c r="AH60" i="11"/>
  <c r="AH58" i="11" s="1"/>
  <c r="AH216" i="13"/>
  <c r="AI216" i="13"/>
  <c r="AJ216" i="13"/>
  <c r="X60" i="12"/>
  <c r="V58" i="12"/>
  <c r="V57" i="12" s="1"/>
  <c r="V60" i="13"/>
  <c r="AQ7" i="10"/>
  <c r="BJ13" i="13"/>
  <c r="E52" i="14"/>
  <c r="X170" i="11"/>
  <c r="X168" i="11" s="1"/>
  <c r="AH171" i="11"/>
  <c r="AH170" i="11" s="1"/>
  <c r="AJ171" i="11"/>
  <c r="AJ170" i="11" s="1"/>
  <c r="AI171" i="11"/>
  <c r="AI170" i="11" s="1"/>
  <c r="BD16" i="11"/>
  <c r="G43" i="12"/>
  <c r="I42" i="11"/>
  <c r="AR10" i="11" s="1"/>
  <c r="M43" i="11"/>
  <c r="M42" i="11" s="1"/>
  <c r="AW10" i="11"/>
  <c r="AY10" i="11" s="1"/>
  <c r="AX23" i="10"/>
  <c r="AX32" i="10" s="1"/>
  <c r="G23" i="12"/>
  <c r="BD12" i="11"/>
  <c r="I22" i="11"/>
  <c r="M23" i="11"/>
  <c r="AW7" i="11"/>
  <c r="Y148" i="13"/>
  <c r="BO18" i="12"/>
  <c r="V70" i="13"/>
  <c r="V69" i="12"/>
  <c r="V65" i="12" s="1"/>
  <c r="X70" i="12"/>
  <c r="AA243" i="12"/>
  <c r="Y242" i="12"/>
  <c r="BC21" i="11"/>
  <c r="N92" i="11"/>
  <c r="N85" i="11" s="1"/>
  <c r="M92" i="11"/>
  <c r="M85" i="11" s="1"/>
  <c r="F128" i="11"/>
  <c r="F85" i="11"/>
  <c r="AQ12" i="11"/>
  <c r="X96" i="11"/>
  <c r="AI97" i="11"/>
  <c r="AI96" i="11" s="1"/>
  <c r="AH97" i="11"/>
  <c r="AJ97" i="11"/>
  <c r="Y91" i="12"/>
  <c r="AA92" i="12"/>
  <c r="AH116" i="12"/>
  <c r="AJ116" i="12"/>
  <c r="AI116" i="12"/>
  <c r="BO17" i="12"/>
  <c r="AA123" i="12"/>
  <c r="AH124" i="12"/>
  <c r="Y124" i="13"/>
  <c r="AV10" i="11"/>
  <c r="AU10" i="11"/>
  <c r="AZ10" i="11"/>
  <c r="G115" i="12"/>
  <c r="BD20" i="11"/>
  <c r="I113" i="11"/>
  <c r="AR15" i="11" s="1"/>
  <c r="AW15" i="11" s="1"/>
  <c r="AY15" i="11" s="1"/>
  <c r="M115" i="11"/>
  <c r="M113" i="11" s="1"/>
  <c r="M72" i="11"/>
  <c r="AJ112" i="10"/>
  <c r="AJ110" i="10" s="1"/>
  <c r="AR13" i="13"/>
  <c r="AW13" i="13"/>
  <c r="AH223" i="13"/>
  <c r="AJ223" i="13"/>
  <c r="AI223" i="13"/>
  <c r="G21" i="11"/>
  <c r="G19" i="11" s="1"/>
  <c r="G17" i="11" s="1"/>
  <c r="X69" i="11"/>
  <c r="X65" i="11" s="1"/>
  <c r="AQ23" i="11" s="1"/>
  <c r="AY23" i="11" s="1"/>
  <c r="AI70" i="11"/>
  <c r="AI69" i="11" s="1"/>
  <c r="AI65" i="11" s="1"/>
  <c r="AJ70" i="11"/>
  <c r="AH70" i="11"/>
  <c r="AH69" i="11" s="1"/>
  <c r="X195" i="10"/>
  <c r="X194" i="10" s="1"/>
  <c r="BN28" i="10"/>
  <c r="D92" i="13"/>
  <c r="F92" i="12"/>
  <c r="D85" i="12"/>
  <c r="E31" i="13"/>
  <c r="E29" i="12"/>
  <c r="E28" i="12" s="1"/>
  <c r="L126" i="11"/>
  <c r="L130" i="11" s="1"/>
  <c r="Y227" i="13"/>
  <c r="AA226" i="12"/>
  <c r="X97" i="12"/>
  <c r="V96" i="12"/>
  <c r="V90" i="12" s="1"/>
  <c r="V97" i="13"/>
  <c r="X116" i="13"/>
  <c r="W185" i="13"/>
  <c r="W183" i="13" s="1"/>
  <c r="X186" i="13"/>
  <c r="V149" i="12"/>
  <c r="V147" i="12" s="1"/>
  <c r="V145" i="12" s="1"/>
  <c r="X150" i="12"/>
  <c r="V150" i="13"/>
  <c r="AH66" i="12"/>
  <c r="AI66" i="12"/>
  <c r="AJ66" i="12"/>
  <c r="AU22" i="10"/>
  <c r="AY22" i="10"/>
  <c r="AV22" i="10"/>
  <c r="AZ22" i="10"/>
  <c r="AZ24" i="10"/>
  <c r="AU24" i="10"/>
  <c r="AV24" i="10"/>
  <c r="AY24" i="10"/>
  <c r="BN15" i="10"/>
  <c r="BH10" i="10" s="1"/>
  <c r="X229" i="12"/>
  <c r="V229" i="13"/>
  <c r="V226" i="12"/>
  <c r="V219" i="12" s="1"/>
  <c r="AJ219" i="10"/>
  <c r="AI223" i="12"/>
  <c r="AH223" i="12"/>
  <c r="AJ223" i="12"/>
  <c r="AA97" i="12"/>
  <c r="Y96" i="12"/>
  <c r="X221" i="11"/>
  <c r="AH222" i="11"/>
  <c r="AH221" i="11" s="1"/>
  <c r="AI222" i="11"/>
  <c r="AI221" i="11" s="1"/>
  <c r="AJ222" i="11"/>
  <c r="AJ221" i="11" s="1"/>
  <c r="V210" i="12"/>
  <c r="V209" i="12" s="1"/>
  <c r="V208" i="12" s="1"/>
  <c r="V192" i="12" s="1"/>
  <c r="V211" i="13"/>
  <c r="X211" i="12"/>
  <c r="AA71" i="12"/>
  <c r="Y69" i="12"/>
  <c r="Y65" i="12" s="1"/>
  <c r="AI261" i="10"/>
  <c r="AH75" i="13"/>
  <c r="AJ75" i="13"/>
  <c r="AI75" i="13"/>
  <c r="V63" i="11"/>
  <c r="BD7" i="11"/>
  <c r="AR16" i="11"/>
  <c r="AS22" i="13"/>
  <c r="AX22" i="13" s="1"/>
  <c r="AW23" i="13" s="1"/>
  <c r="AI114" i="11"/>
  <c r="V131" i="13"/>
  <c r="X131" i="13" s="1"/>
  <c r="X131" i="12"/>
  <c r="N34" i="12"/>
  <c r="N32" i="12" s="1"/>
  <c r="F32" i="12"/>
  <c r="M34" i="12"/>
  <c r="Y149" i="13"/>
  <c r="AA150" i="13"/>
  <c r="AA149" i="13" s="1"/>
  <c r="BO29" i="11"/>
  <c r="BI13" i="11" s="1"/>
  <c r="AA233" i="11"/>
  <c r="AA231" i="11" s="1"/>
  <c r="F71" i="13"/>
  <c r="D69" i="13"/>
  <c r="X66" i="13"/>
  <c r="AJ66" i="13" s="1"/>
  <c r="BN12" i="10"/>
  <c r="AQ23" i="10"/>
  <c r="AG196" i="11"/>
  <c r="AG195" i="11" s="1"/>
  <c r="AG194" i="11" s="1"/>
  <c r="AJ197" i="11"/>
  <c r="AJ196" i="11" s="1"/>
  <c r="AJ195" i="11" s="1"/>
  <c r="AJ194" i="11" s="1"/>
  <c r="AE197" i="12"/>
  <c r="AA50" i="12"/>
  <c r="Y49" i="12"/>
  <c r="I73" i="12"/>
  <c r="G72" i="12"/>
  <c r="BP8" i="13"/>
  <c r="AH84" i="11"/>
  <c r="AH83" i="11" s="1"/>
  <c r="Y84" i="12"/>
  <c r="AA83" i="11"/>
  <c r="BO14" i="11" s="1"/>
  <c r="BI9" i="11" s="1"/>
  <c r="X210" i="11"/>
  <c r="AI211" i="11"/>
  <c r="AJ211" i="11"/>
  <c r="AH211" i="11"/>
  <c r="AH210" i="11" s="1"/>
  <c r="AH209" i="11" s="1"/>
  <c r="AH208" i="11" s="1"/>
  <c r="AJ75" i="12"/>
  <c r="AH75" i="12"/>
  <c r="AI75" i="12"/>
  <c r="AJ76" i="12"/>
  <c r="AH76" i="12"/>
  <c r="AI76" i="12"/>
  <c r="I12" i="12"/>
  <c r="G10" i="12"/>
  <c r="AE184" i="12"/>
  <c r="AJ184" i="11"/>
  <c r="AJ183" i="11" s="1"/>
  <c r="AG183" i="11"/>
  <c r="AG168" i="11" s="1"/>
  <c r="AS27" i="11" s="1"/>
  <c r="AX27" i="11" s="1"/>
  <c r="AJ114" i="11"/>
  <c r="AD8" i="10"/>
  <c r="AD257" i="10"/>
  <c r="AR31" i="10" s="1"/>
  <c r="AR32" i="10" s="1"/>
  <c r="AV35" i="10" s="1"/>
  <c r="BJ14" i="13"/>
  <c r="E53" i="14"/>
  <c r="X149" i="11"/>
  <c r="AI150" i="11"/>
  <c r="AI149" i="11" s="1"/>
  <c r="AI147" i="11" s="1"/>
  <c r="AI145" i="11" s="1"/>
  <c r="AJ150" i="11"/>
  <c r="AJ149" i="11" s="1"/>
  <c r="AJ147" i="11" s="1"/>
  <c r="AJ145" i="11" s="1"/>
  <c r="AH150" i="11"/>
  <c r="AH149" i="11" s="1"/>
  <c r="AH147" i="11" s="1"/>
  <c r="AH145" i="11" s="1"/>
  <c r="I61" i="13"/>
  <c r="G60" i="13"/>
  <c r="N24" i="11"/>
  <c r="M24" i="11"/>
  <c r="M128" i="11" s="1"/>
  <c r="F22" i="11"/>
  <c r="AI229" i="11"/>
  <c r="AI226" i="11" s="1"/>
  <c r="AJ229" i="11"/>
  <c r="AH229" i="11"/>
  <c r="AH226" i="11" s="1"/>
  <c r="X261" i="11"/>
  <c r="BN31" i="11" s="1"/>
  <c r="BH15" i="11" s="1"/>
  <c r="N74" i="12"/>
  <c r="N72" i="12" s="1"/>
  <c r="M74" i="12"/>
  <c r="F72" i="12"/>
  <c r="AI67" i="12"/>
  <c r="AH67" i="12"/>
  <c r="AJ67" i="12"/>
  <c r="BN11" i="12"/>
  <c r="W70" i="13"/>
  <c r="W69" i="13" s="1"/>
  <c r="W65" i="13" s="1"/>
  <c r="W69" i="12"/>
  <c r="W65" i="12" s="1"/>
  <c r="AH168" i="10"/>
  <c r="AI76" i="13"/>
  <c r="AJ76" i="13"/>
  <c r="AH76" i="13"/>
  <c r="M10" i="11"/>
  <c r="AH52" i="13"/>
  <c r="AI52" i="13"/>
  <c r="AJ52" i="13"/>
  <c r="N28" i="11"/>
  <c r="Y234" i="12"/>
  <c r="Y233" i="12" s="1"/>
  <c r="AA235" i="12"/>
  <c r="N71" i="12"/>
  <c r="N69" i="12" s="1"/>
  <c r="F69" i="12"/>
  <c r="D22" i="12"/>
  <c r="D24" i="13"/>
  <c r="F24" i="12"/>
  <c r="D128" i="12"/>
  <c r="AE153" i="13"/>
  <c r="AJ153" i="12"/>
  <c r="G79" i="13"/>
  <c r="M79" i="12"/>
  <c r="N32" i="14"/>
  <c r="N31" i="14" s="1"/>
  <c r="N30" i="14" s="1"/>
  <c r="N29" i="14" s="1"/>
  <c r="N55" i="14" s="1"/>
  <c r="R35" i="14"/>
  <c r="R32" i="14" s="1"/>
  <c r="R31" i="14" s="1"/>
  <c r="R30" i="14" s="1"/>
  <c r="R29" i="14" s="1"/>
  <c r="D72" i="13"/>
  <c r="AJ174" i="10"/>
  <c r="AJ168" i="10" s="1"/>
  <c r="V250" i="13"/>
  <c r="X250" i="13" s="1"/>
  <c r="X250" i="12"/>
  <c r="Y112" i="11"/>
  <c r="Y110" i="11" s="1"/>
  <c r="W63" i="11"/>
  <c r="W12" i="11" s="1"/>
  <c r="W10" i="11" s="1"/>
  <c r="W8" i="11" s="1"/>
  <c r="W259" i="11" s="1"/>
  <c r="W263" i="11" s="1"/>
  <c r="AG36" i="12"/>
  <c r="AE35" i="12"/>
  <c r="AI168" i="10"/>
  <c r="AA18" i="13"/>
  <c r="X90" i="10"/>
  <c r="X63" i="10" s="1"/>
  <c r="BJ7" i="10"/>
  <c r="BJ16" i="10" s="1"/>
  <c r="I62" i="13"/>
  <c r="AI52" i="12"/>
  <c r="AH52" i="12"/>
  <c r="AJ52" i="12"/>
  <c r="X91" i="11"/>
  <c r="AI93" i="11"/>
  <c r="AI91" i="11" s="1"/>
  <c r="AI90" i="11" s="1"/>
  <c r="AJ93" i="11"/>
  <c r="AJ91" i="11" s="1"/>
  <c r="AH93" i="11"/>
  <c r="AH91" i="11" s="1"/>
  <c r="AA45" i="12"/>
  <c r="Y44" i="12"/>
  <c r="Y43" i="12" s="1"/>
  <c r="X43" i="10"/>
  <c r="AG83" i="11"/>
  <c r="AS24" i="11" s="1"/>
  <c r="AX24" i="11" s="1"/>
  <c r="AE84" i="12"/>
  <c r="AJ84" i="11"/>
  <c r="I70" i="13"/>
  <c r="BN9" i="10"/>
  <c r="AG96" i="11"/>
  <c r="AG90" i="11" s="1"/>
  <c r="AE97" i="12"/>
  <c r="BQ8" i="10"/>
  <c r="BQ7" i="10" s="1"/>
  <c r="BQ32" i="10" s="1"/>
  <c r="BK8" i="10"/>
  <c r="AH123" i="10"/>
  <c r="AH112" i="10" s="1"/>
  <c r="AI174" i="10"/>
  <c r="AJ250" i="11"/>
  <c r="AI250" i="11"/>
  <c r="AH250" i="11"/>
  <c r="AA114" i="11"/>
  <c r="AA112" i="11" s="1"/>
  <c r="Y115" i="12"/>
  <c r="BO16" i="11"/>
  <c r="N37" i="11"/>
  <c r="N35" i="11" s="1"/>
  <c r="M37" i="11"/>
  <c r="M35" i="11" s="1"/>
  <c r="M28" i="11" s="1"/>
  <c r="F35" i="11"/>
  <c r="F28" i="11" s="1"/>
  <c r="X168" i="10"/>
  <c r="X226" i="11"/>
  <c r="E36" i="14"/>
  <c r="E31" i="14" s="1"/>
  <c r="AA104" i="13"/>
  <c r="AH108" i="13"/>
  <c r="AH104" i="13" s="1"/>
  <c r="W93" i="13"/>
  <c r="W91" i="12"/>
  <c r="W90" i="12" s="1"/>
  <c r="X93" i="12"/>
  <c r="V257" i="10"/>
  <c r="D8" i="10"/>
  <c r="D126" i="10" s="1"/>
  <c r="D130" i="10" s="1"/>
  <c r="W226" i="13"/>
  <c r="X227" i="13"/>
  <c r="Y63" i="11"/>
  <c r="Y12" i="11" s="1"/>
  <c r="Y10" i="11" s="1"/>
  <c r="Y8" i="11" s="1"/>
  <c r="N59" i="12"/>
  <c r="N57" i="12" s="1"/>
  <c r="M59" i="12"/>
  <c r="F57" i="12"/>
  <c r="D37" i="13"/>
  <c r="F37" i="12"/>
  <c r="D35" i="12"/>
  <c r="D28" i="12" s="1"/>
  <c r="N56" i="12"/>
  <c r="N54" i="12" s="1"/>
  <c r="M56" i="12"/>
  <c r="F54" i="12"/>
  <c r="D19" i="11"/>
  <c r="D17" i="11" s="1"/>
  <c r="BJ9" i="13"/>
  <c r="E37" i="14"/>
  <c r="AI231" i="10"/>
  <c r="V8" i="10"/>
  <c r="V259" i="10" s="1"/>
  <c r="V263" i="10" s="1"/>
  <c r="AR26" i="11"/>
  <c r="AD10" i="11"/>
  <c r="AI123" i="10"/>
  <c r="AI112" i="10" s="1"/>
  <c r="AI110" i="10" s="1"/>
  <c r="D57" i="13"/>
  <c r="AI99" i="11"/>
  <c r="AJ99" i="11"/>
  <c r="AH99" i="11"/>
  <c r="M80" i="12"/>
  <c r="N80" i="12"/>
  <c r="F31" i="12"/>
  <c r="N119" i="13"/>
  <c r="BC20" i="13"/>
  <c r="C23" i="14" s="1"/>
  <c r="M119" i="13"/>
  <c r="I85" i="12"/>
  <c r="G86" i="13"/>
  <c r="M86" i="12"/>
  <c r="F56" i="13"/>
  <c r="D54" i="13"/>
  <c r="I64" i="13"/>
  <c r="G63" i="13"/>
  <c r="V88" i="13"/>
  <c r="X88" i="12"/>
  <c r="V83" i="12"/>
  <c r="AH21" i="12"/>
  <c r="AH20" i="12" s="1"/>
  <c r="AA20" i="12"/>
  <c r="Y21" i="13"/>
  <c r="AU22" i="11"/>
  <c r="AV22" i="11"/>
  <c r="AZ22" i="11"/>
  <c r="AY22" i="11"/>
  <c r="AE226" i="12"/>
  <c r="AE219" i="12" s="1"/>
  <c r="AG227" i="12"/>
  <c r="AJ231" i="10"/>
  <c r="W171" i="13"/>
  <c r="W170" i="13" s="1"/>
  <c r="W170" i="12"/>
  <c r="W168" i="12" s="1"/>
  <c r="AI215" i="12"/>
  <c r="AH215" i="12"/>
  <c r="AJ215" i="12"/>
  <c r="X99" i="12"/>
  <c r="V99" i="13"/>
  <c r="X99" i="13" s="1"/>
  <c r="F80" i="13"/>
  <c r="D78" i="13"/>
  <c r="D29" i="13"/>
  <c r="X47" i="13"/>
  <c r="AE50" i="13"/>
  <c r="AG49" i="12"/>
  <c r="Y255" i="13"/>
  <c r="AH255" i="12"/>
  <c r="AA70" i="13"/>
  <c r="AI87" i="11"/>
  <c r="AH87" i="11"/>
  <c r="AJ87" i="11"/>
  <c r="X83" i="11"/>
  <c r="BN14" i="11" s="1"/>
  <c r="BH9" i="11" s="1"/>
  <c r="AH88" i="11"/>
  <c r="AJ88" i="11"/>
  <c r="AI88" i="11"/>
  <c r="V12" i="11"/>
  <c r="V10" i="11" s="1"/>
  <c r="V8" i="11" s="1"/>
  <c r="V259" i="11" s="1"/>
  <c r="V263" i="11" s="1"/>
  <c r="AH65" i="11"/>
  <c r="BN29" i="10"/>
  <c r="BH13" i="10" s="1"/>
  <c r="X233" i="10"/>
  <c r="X231" i="10" s="1"/>
  <c r="AQ30" i="10" s="1"/>
  <c r="AA175" i="13"/>
  <c r="Y174" i="13"/>
  <c r="X67" i="13"/>
  <c r="AH215" i="13"/>
  <c r="AI215" i="13"/>
  <c r="AJ215" i="13"/>
  <c r="M78" i="12"/>
  <c r="N78" i="12"/>
  <c r="AJ47" i="12"/>
  <c r="AI47" i="12"/>
  <c r="AH47" i="12"/>
  <c r="M89" i="13"/>
  <c r="AW12" i="13"/>
  <c r="AR12" i="13"/>
  <c r="AI20" i="11"/>
  <c r="AI16" i="11" s="1"/>
  <c r="AH35" i="11"/>
  <c r="AA59" i="13"/>
  <c r="Y58" i="13"/>
  <c r="Y57" i="13" s="1"/>
  <c r="V252" i="13"/>
  <c r="X252" i="13" s="1"/>
  <c r="X252" i="12"/>
  <c r="V181" i="13"/>
  <c r="X181" i="12"/>
  <c r="V174" i="12"/>
  <c r="BC21" i="10"/>
  <c r="N27" i="11"/>
  <c r="N25" i="11" s="1"/>
  <c r="M27" i="11"/>
  <c r="F25" i="11"/>
  <c r="AQ8" i="11" s="1"/>
  <c r="AU22" i="12"/>
  <c r="AY22" i="12"/>
  <c r="AZ22" i="12"/>
  <c r="AV22" i="12"/>
  <c r="F28" i="10"/>
  <c r="AQ9" i="10" s="1"/>
  <c r="AA36" i="12"/>
  <c r="Y35" i="12"/>
  <c r="AB8" i="10"/>
  <c r="AB259" i="10" s="1"/>
  <c r="AB263" i="10" s="1"/>
  <c r="AB257" i="10"/>
  <c r="E8" i="10"/>
  <c r="E126" i="10" s="1"/>
  <c r="E130" i="10" s="1"/>
  <c r="W257" i="10"/>
  <c r="X48" i="12"/>
  <c r="X44" i="12" s="1"/>
  <c r="V48" i="13"/>
  <c r="X48" i="13" s="1"/>
  <c r="AJ108" i="12"/>
  <c r="AJ104" i="12" s="1"/>
  <c r="AG104" i="12"/>
  <c r="AE108" i="13"/>
  <c r="AJ217" i="13"/>
  <c r="AI217" i="13"/>
  <c r="AH217" i="13"/>
  <c r="AW11" i="13"/>
  <c r="AY11" i="13" s="1"/>
  <c r="AR11" i="13"/>
  <c r="AU11" i="13" s="1"/>
  <c r="AJ48" i="11"/>
  <c r="AJ44" i="11" s="1"/>
  <c r="AJ43" i="11" s="1"/>
  <c r="AI48" i="11"/>
  <c r="AI44" i="11" s="1"/>
  <c r="AI43" i="11" s="1"/>
  <c r="AH48" i="11"/>
  <c r="AH44" i="11" s="1"/>
  <c r="AH43" i="11" s="1"/>
  <c r="V135" i="13"/>
  <c r="X135" i="13" s="1"/>
  <c r="X135" i="12"/>
  <c r="AG33" i="12"/>
  <c r="D32" i="13"/>
  <c r="F34" i="13"/>
  <c r="AH252" i="11"/>
  <c r="AJ252" i="11"/>
  <c r="AI252" i="11"/>
  <c r="AI49" i="10"/>
  <c r="AI43" i="10" s="1"/>
  <c r="AI14" i="10" s="1"/>
  <c r="AA63" i="11"/>
  <c r="AI181" i="11"/>
  <c r="AI174" i="11" s="1"/>
  <c r="AH181" i="11"/>
  <c r="AJ181" i="11"/>
  <c r="AH227" i="12"/>
  <c r="N28" i="10"/>
  <c r="V261" i="12"/>
  <c r="AA221" i="11"/>
  <c r="AA219" i="11" s="1"/>
  <c r="BO30" i="11" s="1"/>
  <c r="BI14" i="11" s="1"/>
  <c r="Y222" i="12"/>
  <c r="W222" i="13"/>
  <c r="W221" i="12"/>
  <c r="W219" i="12" s="1"/>
  <c r="X222" i="12"/>
  <c r="AH217" i="12"/>
  <c r="AJ217" i="12"/>
  <c r="AI217" i="12"/>
  <c r="AI157" i="13"/>
  <c r="AI155" i="13" s="1"/>
  <c r="V123" i="12"/>
  <c r="V112" i="12" s="1"/>
  <c r="V110" i="12" s="1"/>
  <c r="V125" i="13"/>
  <c r="X125" i="12"/>
  <c r="AH135" i="11"/>
  <c r="AJ135" i="11"/>
  <c r="AI135" i="11"/>
  <c r="M33" i="12"/>
  <c r="G33" i="13"/>
  <c r="I32" i="12"/>
  <c r="AH49" i="10"/>
  <c r="AH43" i="10" s="1"/>
  <c r="AH14" i="10" s="1"/>
  <c r="X50" i="12"/>
  <c r="V50" i="13"/>
  <c r="V49" i="12"/>
  <c r="V43" i="12" s="1"/>
  <c r="V14" i="12" s="1"/>
  <c r="AA8" i="10"/>
  <c r="Z8" i="11"/>
  <c r="Z259" i="11" s="1"/>
  <c r="Z263" i="11" s="1"/>
  <c r="Z257" i="11"/>
  <c r="I57" i="12"/>
  <c r="G58" i="13"/>
  <c r="M58" i="12"/>
  <c r="BN10" i="12"/>
  <c r="I71" i="12"/>
  <c r="G69" i="12"/>
  <c r="G128" i="12"/>
  <c r="X240" i="13"/>
  <c r="V234" i="13"/>
  <c r="V233" i="13" s="1"/>
  <c r="AA16" i="11"/>
  <c r="AH33" i="11"/>
  <c r="AH16" i="11" s="1"/>
  <c r="Y33" i="12"/>
  <c r="AG205" i="12"/>
  <c r="AE204" i="12"/>
  <c r="AI198" i="12"/>
  <c r="AH198" i="12"/>
  <c r="AJ198" i="12"/>
  <c r="X49" i="11"/>
  <c r="AI50" i="11"/>
  <c r="AI49" i="11" s="1"/>
  <c r="AJ50" i="11"/>
  <c r="AJ49" i="11" s="1"/>
  <c r="AH50" i="11"/>
  <c r="AH49" i="11" s="1"/>
  <c r="AH106" i="11"/>
  <c r="AH105" i="11" s="1"/>
  <c r="AH104" i="11" s="1"/>
  <c r="AA105" i="11"/>
  <c r="AA104" i="11" s="1"/>
  <c r="AB63" i="11" s="1"/>
  <c r="AB12" i="11" s="1"/>
  <c r="AB10" i="11" s="1"/>
  <c r="F63" i="12"/>
  <c r="M65" i="12"/>
  <c r="M63" i="12" s="1"/>
  <c r="N65" i="12"/>
  <c r="N63" i="12" s="1"/>
  <c r="AI245" i="11"/>
  <c r="AH245" i="11"/>
  <c r="AJ245" i="11"/>
  <c r="X242" i="11"/>
  <c r="AA196" i="12"/>
  <c r="Y197" i="13"/>
  <c r="BO26" i="12"/>
  <c r="G67" i="12"/>
  <c r="M67" i="11"/>
  <c r="M66" i="11" s="1"/>
  <c r="I66" i="11"/>
  <c r="BD17" i="11"/>
  <c r="E25" i="12"/>
  <c r="E27" i="13"/>
  <c r="F27" i="12"/>
  <c r="AV8" i="10"/>
  <c r="AZ8" i="10"/>
  <c r="AU8" i="10"/>
  <c r="AY8" i="10"/>
  <c r="AJ39" i="12"/>
  <c r="AH39" i="12"/>
  <c r="AI39" i="12"/>
  <c r="W196" i="13"/>
  <c r="W195" i="13" s="1"/>
  <c r="W194" i="13" s="1"/>
  <c r="X198" i="13"/>
  <c r="AJ21" i="11"/>
  <c r="AJ20" i="11" s="1"/>
  <c r="AJ16" i="11" s="1"/>
  <c r="AE21" i="12"/>
  <c r="AG20" i="11"/>
  <c r="AG16" i="11" s="1"/>
  <c r="BN27" i="10"/>
  <c r="X209" i="10"/>
  <c r="X208" i="10" s="1"/>
  <c r="AQ29" i="10" s="1"/>
  <c r="D63" i="13"/>
  <c r="F65" i="13"/>
  <c r="X245" i="12"/>
  <c r="V245" i="13"/>
  <c r="V242" i="12"/>
  <c r="V231" i="12" s="1"/>
  <c r="I35" i="12"/>
  <c r="M36" i="12"/>
  <c r="G36" i="13"/>
  <c r="AI240" i="12"/>
  <c r="AJ240" i="12"/>
  <c r="AH240" i="12"/>
  <c r="E74" i="13"/>
  <c r="E72" i="12"/>
  <c r="E128" i="12"/>
  <c r="Y153" i="12"/>
  <c r="AA147" i="11"/>
  <c r="AA145" i="11" s="1"/>
  <c r="AA261" i="11"/>
  <c r="BO31" i="11" s="1"/>
  <c r="BI15" i="11" s="1"/>
  <c r="E21" i="11"/>
  <c r="E19" i="11" s="1"/>
  <c r="E17" i="11" s="1"/>
  <c r="X44" i="11"/>
  <c r="X43" i="11" s="1"/>
  <c r="I75" i="11"/>
  <c r="AR9" i="11" s="1"/>
  <c r="M76" i="11"/>
  <c r="M75" i="11" s="1"/>
  <c r="G76" i="12"/>
  <c r="X39" i="13"/>
  <c r="V35" i="13"/>
  <c r="AE81" i="12"/>
  <c r="AJ81" i="11"/>
  <c r="AG65" i="11"/>
  <c r="AG261" i="11"/>
  <c r="AE92" i="13"/>
  <c r="AG91" i="12"/>
  <c r="AJ92" i="12"/>
  <c r="X148" i="13"/>
  <c r="AB151" i="13"/>
  <c r="AI151" i="12"/>
  <c r="AD149" i="12"/>
  <c r="AC257" i="11"/>
  <c r="AC8" i="11"/>
  <c r="AC259" i="11" s="1"/>
  <c r="AC263" i="11" s="1"/>
  <c r="AE234" i="12"/>
  <c r="AE233" i="12" s="1"/>
  <c r="AE231" i="12" s="1"/>
  <c r="AG235" i="12"/>
  <c r="AJ96" i="10"/>
  <c r="AJ91" i="10"/>
  <c r="X87" i="13"/>
  <c r="AJ131" i="11"/>
  <c r="AI131" i="11"/>
  <c r="AH131" i="11"/>
  <c r="AJ255" i="12"/>
  <c r="AE255" i="13"/>
  <c r="AG242" i="12"/>
  <c r="AH125" i="11"/>
  <c r="AJ125" i="11"/>
  <c r="AI125" i="11"/>
  <c r="AW9" i="11"/>
  <c r="M26" i="11"/>
  <c r="AW8" i="11"/>
  <c r="AY8" i="11" s="1"/>
  <c r="G26" i="12"/>
  <c r="BD11" i="11"/>
  <c r="I25" i="11"/>
  <c r="AR8" i="11" s="1"/>
  <c r="AY23" i="10"/>
  <c r="AW32" i="10"/>
  <c r="W235" i="13"/>
  <c r="X235" i="12"/>
  <c r="W234" i="12"/>
  <c r="W233" i="12" s="1"/>
  <c r="W231" i="12" s="1"/>
  <c r="W115" i="13"/>
  <c r="X115" i="12"/>
  <c r="W114" i="12"/>
  <c r="W112" i="12" s="1"/>
  <c r="W110" i="12" s="1"/>
  <c r="AE63" i="11"/>
  <c r="AE12" i="11" s="1"/>
  <c r="AE10" i="11" s="1"/>
  <c r="AE8" i="11" s="1"/>
  <c r="AE259" i="11" s="1"/>
  <c r="AE263" i="11" s="1"/>
  <c r="Y204" i="12"/>
  <c r="Y195" i="12" s="1"/>
  <c r="Y194" i="12" s="1"/>
  <c r="Y192" i="12" s="1"/>
  <c r="AA205" i="12"/>
  <c r="AJ148" i="12"/>
  <c r="AI148" i="12"/>
  <c r="BN18" i="12"/>
  <c r="AH148" i="12"/>
  <c r="M49" i="11"/>
  <c r="M48" i="11" s="1"/>
  <c r="G49" i="12"/>
  <c r="I48" i="11"/>
  <c r="AW14" i="11"/>
  <c r="BD15" i="11"/>
  <c r="X123" i="11"/>
  <c r="X112" i="11" s="1"/>
  <c r="AI106" i="11"/>
  <c r="AI105" i="11" s="1"/>
  <c r="AI104" i="11" s="1"/>
  <c r="AD105" i="11"/>
  <c r="AD104" i="11" s="1"/>
  <c r="BP13" i="11" s="1"/>
  <c r="BO19" i="13"/>
  <c r="D42" i="14" s="1"/>
  <c r="AH96" i="10"/>
  <c r="AH90" i="10" s="1"/>
  <c r="AH63" i="10" s="1"/>
  <c r="AI91" i="10"/>
  <c r="AE174" i="12"/>
  <c r="AG175" i="12"/>
  <c r="N22" i="10"/>
  <c r="N21" i="10" s="1"/>
  <c r="N19" i="10" s="1"/>
  <c r="N17" i="10" s="1"/>
  <c r="AF257" i="10" s="1"/>
  <c r="N128" i="10"/>
  <c r="AH142" i="11"/>
  <c r="AH141" i="11" s="1"/>
  <c r="Y142" i="12"/>
  <c r="AA141" i="11"/>
  <c r="BO20" i="11" s="1"/>
  <c r="AJ174" i="11"/>
  <c r="AA195" i="11"/>
  <c r="AA194" i="11" s="1"/>
  <c r="AA192" i="11" s="1"/>
  <c r="BO28" i="11"/>
  <c r="BO25" i="11" s="1"/>
  <c r="BI12" i="11" s="1"/>
  <c r="X112" i="10"/>
  <c r="X110" i="10" s="1"/>
  <c r="AQ26" i="10" s="1"/>
  <c r="I82" i="12"/>
  <c r="G81" i="12"/>
  <c r="AI96" i="10"/>
  <c r="M128" i="10"/>
  <c r="M10" i="10"/>
  <c r="AJ136" i="12"/>
  <c r="AI136" i="12"/>
  <c r="AH136" i="12"/>
  <c r="AQ28" i="11"/>
  <c r="BK7" i="13"/>
  <c r="BL8" i="13"/>
  <c r="R50" i="14"/>
  <c r="R48" i="14" s="1"/>
  <c r="Q48" i="14"/>
  <c r="Q55" i="14" s="1"/>
  <c r="BP22" i="13"/>
  <c r="E47" i="14"/>
  <c r="E45" i="14" s="1"/>
  <c r="BQ32" i="13"/>
  <c r="AS14" i="12"/>
  <c r="L17" i="12"/>
  <c r="AY13" i="13"/>
  <c r="AV13" i="13"/>
  <c r="AZ13" i="13"/>
  <c r="AU13" i="13"/>
  <c r="C17" i="14"/>
  <c r="C10" i="14" s="1"/>
  <c r="C9" i="14" s="1"/>
  <c r="BC10" i="13"/>
  <c r="BC9" i="13" s="1"/>
  <c r="BC8" i="13" s="1"/>
  <c r="M62" i="13" l="1"/>
  <c r="M122" i="13"/>
  <c r="M88" i="13"/>
  <c r="M90" i="13"/>
  <c r="R55" i="14"/>
  <c r="R59" i="14" s="1"/>
  <c r="M15" i="13"/>
  <c r="AQ15" i="13"/>
  <c r="F74" i="13"/>
  <c r="C8" i="13"/>
  <c r="U257" i="13"/>
  <c r="E30" i="14"/>
  <c r="W168" i="13"/>
  <c r="N81" i="13"/>
  <c r="E29" i="13"/>
  <c r="N104" i="13"/>
  <c r="M117" i="13"/>
  <c r="N117" i="13"/>
  <c r="D25" i="13"/>
  <c r="J17" i="13"/>
  <c r="F78" i="13"/>
  <c r="E57" i="13"/>
  <c r="V261" i="13"/>
  <c r="H8" i="13"/>
  <c r="Z257" i="13"/>
  <c r="BN28" i="12"/>
  <c r="X195" i="12"/>
  <c r="X194" i="12" s="1"/>
  <c r="AG110" i="12"/>
  <c r="AS26" i="12" s="1"/>
  <c r="AX26" i="12" s="1"/>
  <c r="AH185" i="12"/>
  <c r="AH183" i="12" s="1"/>
  <c r="Y231" i="12"/>
  <c r="AI214" i="13"/>
  <c r="AJ214" i="13"/>
  <c r="AH214" i="13"/>
  <c r="AI59" i="12"/>
  <c r="AH59" i="12"/>
  <c r="AG127" i="13"/>
  <c r="AE123" i="13"/>
  <c r="AI236" i="12"/>
  <c r="AJ236" i="12"/>
  <c r="AH236" i="12"/>
  <c r="AJ261" i="11"/>
  <c r="AA171" i="12"/>
  <c r="Y170" i="12"/>
  <c r="Y168" i="12" s="1"/>
  <c r="AH214" i="12"/>
  <c r="AJ214" i="12"/>
  <c r="AI214" i="12"/>
  <c r="N50" i="12"/>
  <c r="N48" i="12" s="1"/>
  <c r="F48" i="12"/>
  <c r="M50" i="12"/>
  <c r="AI59" i="13"/>
  <c r="AE171" i="13"/>
  <c r="AG170" i="12"/>
  <c r="AI77" i="13"/>
  <c r="AH77" i="13"/>
  <c r="AJ77" i="13"/>
  <c r="AQ16" i="11"/>
  <c r="BC7" i="11"/>
  <c r="BC22" i="11" s="1"/>
  <c r="AH31" i="13"/>
  <c r="AJ31" i="13"/>
  <c r="AI31" i="13"/>
  <c r="AI20" i="13" s="1"/>
  <c r="AI16" i="13" s="1"/>
  <c r="X20" i="13"/>
  <c r="X16" i="13" s="1"/>
  <c r="AD117" i="13"/>
  <c r="AB114" i="13"/>
  <c r="AJ77" i="12"/>
  <c r="AI77" i="12"/>
  <c r="AH77" i="12"/>
  <c r="AJ69" i="11"/>
  <c r="AJ65" i="11" s="1"/>
  <c r="AJ71" i="12"/>
  <c r="AI71" i="12"/>
  <c r="AE222" i="13"/>
  <c r="AG221" i="12"/>
  <c r="AE44" i="12"/>
  <c r="AE43" i="12" s="1"/>
  <c r="AG45" i="12"/>
  <c r="X37" i="13"/>
  <c r="W35" i="13"/>
  <c r="W14" i="13" s="1"/>
  <c r="AJ192" i="11"/>
  <c r="AU35" i="10"/>
  <c r="AJ71" i="13"/>
  <c r="AI71" i="13"/>
  <c r="AI184" i="13"/>
  <c r="AH184" i="13"/>
  <c r="M46" i="12"/>
  <c r="M45" i="12" s="1"/>
  <c r="G46" i="13"/>
  <c r="I45" i="12"/>
  <c r="AH12" i="10"/>
  <c r="AI189" i="13"/>
  <c r="AH189" i="13"/>
  <c r="AJ189" i="13"/>
  <c r="AJ37" i="12"/>
  <c r="AH37" i="12"/>
  <c r="AI37" i="12"/>
  <c r="G52" i="13"/>
  <c r="I51" i="12"/>
  <c r="M52" i="12"/>
  <c r="D75" i="13"/>
  <c r="F77" i="13"/>
  <c r="X90" i="11"/>
  <c r="BN13" i="11" s="1"/>
  <c r="V185" i="13"/>
  <c r="V183" i="13" s="1"/>
  <c r="AJ189" i="12"/>
  <c r="AH189" i="12"/>
  <c r="AI189" i="12"/>
  <c r="AI185" i="12" s="1"/>
  <c r="AI183" i="12" s="1"/>
  <c r="AG150" i="13"/>
  <c r="AG149" i="13" s="1"/>
  <c r="AE149" i="13"/>
  <c r="AH184" i="12"/>
  <c r="AI184" i="12"/>
  <c r="AH110" i="10"/>
  <c r="V114" i="13"/>
  <c r="AG8" i="10"/>
  <c r="AJ234" i="11"/>
  <c r="AJ233" i="11" s="1"/>
  <c r="AJ187" i="13"/>
  <c r="AI187" i="13"/>
  <c r="AH187" i="13"/>
  <c r="AJ35" i="11"/>
  <c r="AJ14" i="11" s="1"/>
  <c r="AG143" i="13"/>
  <c r="AE141" i="13"/>
  <c r="F75" i="12"/>
  <c r="N77" i="12"/>
  <c r="N75" i="12" s="1"/>
  <c r="M77" i="12"/>
  <c r="AI123" i="11"/>
  <c r="M32" i="12"/>
  <c r="AH129" i="12"/>
  <c r="AI129" i="12"/>
  <c r="AJ129" i="12"/>
  <c r="AD131" i="13"/>
  <c r="AB123" i="13"/>
  <c r="AH192" i="11"/>
  <c r="AJ129" i="13"/>
  <c r="AI129" i="13"/>
  <c r="AH129" i="13"/>
  <c r="BD18" i="12"/>
  <c r="G95" i="13"/>
  <c r="I94" i="12"/>
  <c r="M95" i="12"/>
  <c r="M94" i="12" s="1"/>
  <c r="AD143" i="13"/>
  <c r="AB141" i="13"/>
  <c r="AH133" i="13"/>
  <c r="AJ133" i="13"/>
  <c r="AI133" i="13"/>
  <c r="AJ123" i="11"/>
  <c r="AH123" i="11"/>
  <c r="AH112" i="11" s="1"/>
  <c r="AH110" i="11" s="1"/>
  <c r="AI35" i="12"/>
  <c r="AH242" i="11"/>
  <c r="AJ210" i="11"/>
  <c r="AJ209" i="11" s="1"/>
  <c r="AJ208" i="11" s="1"/>
  <c r="M22" i="11"/>
  <c r="AJ126" i="12"/>
  <c r="BN19" i="12"/>
  <c r="AI126" i="12"/>
  <c r="AH126" i="12"/>
  <c r="AI251" i="12"/>
  <c r="AJ251" i="12"/>
  <c r="AH251" i="12"/>
  <c r="G55" i="13"/>
  <c r="I54" i="12"/>
  <c r="M55" i="12"/>
  <c r="AH133" i="12"/>
  <c r="AI133" i="12"/>
  <c r="AJ133" i="12"/>
  <c r="AI242" i="11"/>
  <c r="AI231" i="11" s="1"/>
  <c r="AS25" i="11"/>
  <c r="AX25" i="11" s="1"/>
  <c r="AI210" i="11"/>
  <c r="AI209" i="11" s="1"/>
  <c r="AI208" i="11" s="1"/>
  <c r="AI192" i="11" s="1"/>
  <c r="BN19" i="13"/>
  <c r="C42" i="14" s="1"/>
  <c r="AJ126" i="13"/>
  <c r="AI126" i="13"/>
  <c r="AH251" i="13"/>
  <c r="AI251" i="13"/>
  <c r="AJ251" i="13"/>
  <c r="AG164" i="13"/>
  <c r="AE157" i="13"/>
  <c r="AE155" i="13" s="1"/>
  <c r="AG112" i="12"/>
  <c r="AI83" i="11"/>
  <c r="AJ180" i="12"/>
  <c r="AI180" i="12"/>
  <c r="AH180" i="12"/>
  <c r="AJ247" i="12"/>
  <c r="AI247" i="12"/>
  <c r="AH247" i="12"/>
  <c r="F10" i="12"/>
  <c r="N12" i="12"/>
  <c r="N10" i="12" s="1"/>
  <c r="AG116" i="13"/>
  <c r="AG114" i="13" s="1"/>
  <c r="AE114" i="13"/>
  <c r="AH183" i="11"/>
  <c r="AH180" i="13"/>
  <c r="AJ180" i="13"/>
  <c r="AI180" i="13"/>
  <c r="AI247" i="13"/>
  <c r="AH247" i="13"/>
  <c r="AJ247" i="13"/>
  <c r="AG186" i="12"/>
  <c r="AE185" i="12"/>
  <c r="E10" i="13"/>
  <c r="F12" i="13"/>
  <c r="X35" i="12"/>
  <c r="AH57" i="11"/>
  <c r="M44" i="12"/>
  <c r="F42" i="12"/>
  <c r="AQ10" i="12" s="1"/>
  <c r="N44" i="12"/>
  <c r="N42" i="12" s="1"/>
  <c r="AI120" i="13"/>
  <c r="AJ120" i="13"/>
  <c r="AH120" i="13"/>
  <c r="M57" i="12"/>
  <c r="M54" i="12"/>
  <c r="AJ120" i="12"/>
  <c r="AH120" i="12"/>
  <c r="AI120" i="12"/>
  <c r="AE58" i="12"/>
  <c r="AE57" i="12" s="1"/>
  <c r="AG59" i="12"/>
  <c r="AJ59" i="12" s="1"/>
  <c r="E42" i="13"/>
  <c r="F44" i="13"/>
  <c r="AQ9" i="11"/>
  <c r="AI58" i="11"/>
  <c r="AI57" i="11" s="1"/>
  <c r="AI14" i="11" s="1"/>
  <c r="X185" i="12"/>
  <c r="X183" i="12" s="1"/>
  <c r="AH137" i="12"/>
  <c r="AJ137" i="12"/>
  <c r="AI137" i="12"/>
  <c r="M53" i="12"/>
  <c r="N53" i="12"/>
  <c r="N51" i="12" s="1"/>
  <c r="F51" i="12"/>
  <c r="AJ200" i="12"/>
  <c r="AI200" i="12"/>
  <c r="AI196" i="12" s="1"/>
  <c r="AI195" i="12" s="1"/>
  <c r="AI194" i="12" s="1"/>
  <c r="AH200" i="12"/>
  <c r="AH196" i="12" s="1"/>
  <c r="AI101" i="13"/>
  <c r="AH101" i="13"/>
  <c r="AJ101" i="13"/>
  <c r="X219" i="11"/>
  <c r="AJ137" i="13"/>
  <c r="AH137" i="13"/>
  <c r="AI137" i="13"/>
  <c r="D51" i="13"/>
  <c r="F53" i="13"/>
  <c r="X200" i="13"/>
  <c r="X196" i="13" s="1"/>
  <c r="V196" i="13"/>
  <c r="V195" i="13" s="1"/>
  <c r="V194" i="13" s="1"/>
  <c r="X194" i="13" s="1"/>
  <c r="AH61" i="13"/>
  <c r="AJ61" i="13"/>
  <c r="AI61" i="13"/>
  <c r="AI101" i="12"/>
  <c r="AH101" i="12"/>
  <c r="AJ101" i="12"/>
  <c r="AQ24" i="11"/>
  <c r="V44" i="13"/>
  <c r="E21" i="12"/>
  <c r="E19" i="12" s="1"/>
  <c r="E17" i="12" s="1"/>
  <c r="E8" i="12" s="1"/>
  <c r="E126" i="12" s="1"/>
  <c r="E130" i="12" s="1"/>
  <c r="F59" i="13"/>
  <c r="N59" i="13" s="1"/>
  <c r="M47" i="13"/>
  <c r="N47" i="13"/>
  <c r="F45" i="13"/>
  <c r="F50" i="13"/>
  <c r="D48" i="13"/>
  <c r="AH61" i="12"/>
  <c r="AJ61" i="12"/>
  <c r="AI61" i="12"/>
  <c r="AI236" i="13"/>
  <c r="AJ236" i="13"/>
  <c r="AH236" i="13"/>
  <c r="F31" i="13"/>
  <c r="AV30" i="10"/>
  <c r="AZ30" i="10"/>
  <c r="AU30" i="10"/>
  <c r="AY30" i="10"/>
  <c r="AZ9" i="11"/>
  <c r="AU9" i="11"/>
  <c r="AV9" i="11"/>
  <c r="E25" i="13"/>
  <c r="F27" i="13"/>
  <c r="AG21" i="12"/>
  <c r="AE20" i="12"/>
  <c r="AE16" i="12" s="1"/>
  <c r="AE14" i="12" s="1"/>
  <c r="AJ87" i="13"/>
  <c r="AI87" i="13"/>
  <c r="AH87" i="13"/>
  <c r="AE65" i="12"/>
  <c r="AG81" i="12"/>
  <c r="AE261" i="12"/>
  <c r="BD14" i="13"/>
  <c r="D14" i="14" s="1"/>
  <c r="I63" i="13"/>
  <c r="M64" i="13"/>
  <c r="M74" i="13"/>
  <c r="N74" i="13"/>
  <c r="F72" i="13"/>
  <c r="W63" i="12"/>
  <c r="W12" i="12" s="1"/>
  <c r="W10" i="12" s="1"/>
  <c r="AI131" i="13"/>
  <c r="AJ131" i="13"/>
  <c r="AH131" i="13"/>
  <c r="AI116" i="13"/>
  <c r="AH116" i="13"/>
  <c r="X192" i="10"/>
  <c r="AQ28" i="10"/>
  <c r="I23" i="12"/>
  <c r="G22" i="12"/>
  <c r="BD10" i="11"/>
  <c r="BD9" i="11" s="1"/>
  <c r="BD8" i="11" s="1"/>
  <c r="BD22" i="11" s="1"/>
  <c r="Y221" i="12"/>
  <c r="Y219" i="12" s="1"/>
  <c r="AA222" i="12"/>
  <c r="AJ135" i="12"/>
  <c r="AI135" i="12"/>
  <c r="AH135" i="12"/>
  <c r="AJ252" i="12"/>
  <c r="AI252" i="12"/>
  <c r="AH252" i="12"/>
  <c r="G25" i="12"/>
  <c r="I26" i="12"/>
  <c r="AJ90" i="10"/>
  <c r="AJ63" i="10" s="1"/>
  <c r="AJ12" i="10" s="1"/>
  <c r="AJ10" i="10" s="1"/>
  <c r="AJ242" i="11"/>
  <c r="AJ231" i="11" s="1"/>
  <c r="Y16" i="12"/>
  <c r="Y14" i="12" s="1"/>
  <c r="AA33" i="12"/>
  <c r="AJ135" i="13"/>
  <c r="AI135" i="13"/>
  <c r="AH135" i="13"/>
  <c r="AI252" i="13"/>
  <c r="AH252" i="13"/>
  <c r="AJ252" i="13"/>
  <c r="N37" i="12"/>
  <c r="N35" i="12" s="1"/>
  <c r="M37" i="12"/>
  <c r="M35" i="12" s="1"/>
  <c r="F35" i="12"/>
  <c r="BO13" i="11"/>
  <c r="I60" i="13"/>
  <c r="M61" i="13"/>
  <c r="AS28" i="11"/>
  <c r="AX28" i="11" s="1"/>
  <c r="AG192" i="11"/>
  <c r="AI112" i="11"/>
  <c r="AI110" i="11" s="1"/>
  <c r="AI219" i="11"/>
  <c r="V96" i="13"/>
  <c r="V90" i="13" s="1"/>
  <c r="X97" i="13"/>
  <c r="F21" i="10"/>
  <c r="F19" i="10" s="1"/>
  <c r="AD8" i="11"/>
  <c r="AD257" i="11"/>
  <c r="AR31" i="11" s="1"/>
  <c r="AR32" i="11" s="1"/>
  <c r="AV35" i="11" s="1"/>
  <c r="N59" i="14"/>
  <c r="N56" i="14"/>
  <c r="AH219" i="11"/>
  <c r="AZ7" i="10"/>
  <c r="AV7" i="10"/>
  <c r="AU7" i="10"/>
  <c r="AY7" i="10"/>
  <c r="AI39" i="13"/>
  <c r="AJ39" i="13"/>
  <c r="AH39" i="13"/>
  <c r="X35" i="13"/>
  <c r="I33" i="13"/>
  <c r="G32" i="13"/>
  <c r="AU24" i="11"/>
  <c r="AV24" i="11"/>
  <c r="AZ24" i="11"/>
  <c r="AY24" i="11"/>
  <c r="F54" i="13"/>
  <c r="M56" i="13"/>
  <c r="N56" i="13"/>
  <c r="F37" i="13"/>
  <c r="D35" i="13"/>
  <c r="AE175" i="13"/>
  <c r="AG174" i="12"/>
  <c r="AJ175" i="12"/>
  <c r="AG234" i="12"/>
  <c r="AG233" i="12" s="1"/>
  <c r="AG231" i="12" s="1"/>
  <c r="AE235" i="13"/>
  <c r="BO12" i="11"/>
  <c r="BO9" i="11" s="1"/>
  <c r="AA14" i="11"/>
  <c r="AA12" i="11" s="1"/>
  <c r="AA10" i="11" s="1"/>
  <c r="Y36" i="13"/>
  <c r="AA35" i="12"/>
  <c r="AH36" i="12"/>
  <c r="AW26" i="11"/>
  <c r="M70" i="13"/>
  <c r="BN30" i="11"/>
  <c r="BH14" i="11" s="1"/>
  <c r="X96" i="12"/>
  <c r="AI97" i="12"/>
  <c r="AH97" i="12"/>
  <c r="I115" i="12"/>
  <c r="G113" i="12"/>
  <c r="AV12" i="11"/>
  <c r="AU12" i="11"/>
  <c r="AZ12" i="11"/>
  <c r="AY12" i="11"/>
  <c r="V58" i="13"/>
  <c r="V57" i="13" s="1"/>
  <c r="X60" i="13"/>
  <c r="BN24" i="10"/>
  <c r="BN22" i="10" s="1"/>
  <c r="BH11" i="10" s="1"/>
  <c r="AQ27" i="10"/>
  <c r="M25" i="11"/>
  <c r="AE257" i="10"/>
  <c r="M8" i="10"/>
  <c r="M126" i="10" s="1"/>
  <c r="M130" i="10" s="1"/>
  <c r="AI147" i="12"/>
  <c r="AI145" i="12" s="1"/>
  <c r="AU9" i="10"/>
  <c r="AV9" i="10"/>
  <c r="AY9" i="10"/>
  <c r="AZ9" i="10"/>
  <c r="AJ67" i="13"/>
  <c r="AH67" i="13"/>
  <c r="AI67" i="13"/>
  <c r="BN11" i="13"/>
  <c r="C34" i="14" s="1"/>
  <c r="G85" i="13"/>
  <c r="I86" i="13"/>
  <c r="Y235" i="13"/>
  <c r="AA234" i="12"/>
  <c r="AV23" i="10"/>
  <c r="AU23" i="10"/>
  <c r="AZ23" i="10"/>
  <c r="I36" i="13"/>
  <c r="G35" i="13"/>
  <c r="AH14" i="11"/>
  <c r="AI90" i="10"/>
  <c r="AI63" i="10" s="1"/>
  <c r="AI12" i="10" s="1"/>
  <c r="AI10" i="10" s="1"/>
  <c r="I76" i="12"/>
  <c r="G75" i="12"/>
  <c r="BN16" i="11"/>
  <c r="BN15" i="11" s="1"/>
  <c r="BH10" i="11" s="1"/>
  <c r="X147" i="11"/>
  <c r="X145" i="11" s="1"/>
  <c r="X110" i="11" s="1"/>
  <c r="AQ26" i="11" s="1"/>
  <c r="AJ60" i="12"/>
  <c r="AI60" i="12"/>
  <c r="AI58" i="12" s="1"/>
  <c r="AI57" i="12" s="1"/>
  <c r="AH60" i="12"/>
  <c r="X58" i="12"/>
  <c r="X57" i="12" s="1"/>
  <c r="AU16" i="10"/>
  <c r="AZ16" i="10"/>
  <c r="AV16" i="10"/>
  <c r="AY16" i="10"/>
  <c r="Y97" i="13"/>
  <c r="AA96" i="12"/>
  <c r="N8" i="10"/>
  <c r="N126" i="10" s="1"/>
  <c r="N130" i="10" s="1"/>
  <c r="AA204" i="12"/>
  <c r="AA195" i="12" s="1"/>
  <c r="AA194" i="12" s="1"/>
  <c r="AA192" i="12" s="1"/>
  <c r="AH205" i="12"/>
  <c r="AH204" i="12" s="1"/>
  <c r="Y205" i="13"/>
  <c r="X245" i="13"/>
  <c r="V242" i="13"/>
  <c r="V231" i="13" s="1"/>
  <c r="AH240" i="13"/>
  <c r="AJ240" i="13"/>
  <c r="AI240" i="13"/>
  <c r="AW16" i="11"/>
  <c r="Y226" i="13"/>
  <c r="AA227" i="13"/>
  <c r="AA226" i="13" s="1"/>
  <c r="X63" i="11"/>
  <c r="BC22" i="10"/>
  <c r="AY9" i="11"/>
  <c r="AH59" i="13"/>
  <c r="AA58" i="13"/>
  <c r="AA57" i="13" s="1"/>
  <c r="AA255" i="13"/>
  <c r="AE227" i="13"/>
  <c r="AG226" i="12"/>
  <c r="AG219" i="12" s="1"/>
  <c r="AS30" i="12" s="1"/>
  <c r="AX30" i="12" s="1"/>
  <c r="AJ227" i="12"/>
  <c r="BP16" i="12"/>
  <c r="BP15" i="12" s="1"/>
  <c r="AD147" i="12"/>
  <c r="AD145" i="12" s="1"/>
  <c r="AD110" i="12" s="1"/>
  <c r="AI245" i="12"/>
  <c r="AI242" i="12" s="1"/>
  <c r="AH245" i="12"/>
  <c r="AJ245" i="12"/>
  <c r="X242" i="12"/>
  <c r="AB8" i="11"/>
  <c r="AB259" i="11" s="1"/>
  <c r="AB263" i="11" s="1"/>
  <c r="AB257" i="11"/>
  <c r="AA174" i="13"/>
  <c r="AH175" i="13"/>
  <c r="AI227" i="13"/>
  <c r="BO15" i="11"/>
  <c r="BI10" i="11" s="1"/>
  <c r="I79" i="13"/>
  <c r="G78" i="13"/>
  <c r="AH66" i="13"/>
  <c r="AI66" i="13"/>
  <c r="BN10" i="13"/>
  <c r="AQ22" i="13"/>
  <c r="Y257" i="11"/>
  <c r="G8" i="11"/>
  <c r="G126" i="11" s="1"/>
  <c r="G130" i="11" s="1"/>
  <c r="AJ125" i="12"/>
  <c r="AI125" i="12"/>
  <c r="AH125" i="12"/>
  <c r="X123" i="12"/>
  <c r="AA115" i="12"/>
  <c r="AH115" i="12" s="1"/>
  <c r="AH114" i="12" s="1"/>
  <c r="Y114" i="12"/>
  <c r="AJ83" i="11"/>
  <c r="BN27" i="11"/>
  <c r="BN25" i="11" s="1"/>
  <c r="BH12" i="11" s="1"/>
  <c r="X209" i="11"/>
  <c r="X208" i="11" s="1"/>
  <c r="AG259" i="10"/>
  <c r="AG263" i="10" s="1"/>
  <c r="AC1" i="10"/>
  <c r="BD19" i="12"/>
  <c r="I104" i="12"/>
  <c r="M105" i="12"/>
  <c r="M104" i="12" s="1"/>
  <c r="G105" i="13"/>
  <c r="AQ28" i="12"/>
  <c r="AE49" i="13"/>
  <c r="AG50" i="13"/>
  <c r="AG49" i="13" s="1"/>
  <c r="F29" i="12"/>
  <c r="F28" i="12" s="1"/>
  <c r="AQ9" i="12" s="1"/>
  <c r="N31" i="12"/>
  <c r="N29" i="12" s="1"/>
  <c r="M31" i="12"/>
  <c r="AI63" i="11"/>
  <c r="AA110" i="11"/>
  <c r="AG84" i="12"/>
  <c r="AE83" i="12"/>
  <c r="F69" i="13"/>
  <c r="N71" i="13"/>
  <c r="Y123" i="13"/>
  <c r="AA124" i="13"/>
  <c r="G42" i="12"/>
  <c r="I43" i="12"/>
  <c r="AQ25" i="11"/>
  <c r="BO11" i="13"/>
  <c r="AH18" i="13"/>
  <c r="AH261" i="11"/>
  <c r="Y1" i="10"/>
  <c r="AD259" i="10"/>
  <c r="AD263" i="10" s="1"/>
  <c r="AA242" i="12"/>
  <c r="Y243" i="13"/>
  <c r="AH243" i="12"/>
  <c r="AH242" i="12" s="1"/>
  <c r="I8" i="10"/>
  <c r="AA257" i="10"/>
  <c r="F25" i="12"/>
  <c r="AQ8" i="12" s="1"/>
  <c r="M27" i="12"/>
  <c r="N27" i="12"/>
  <c r="N25" i="12" s="1"/>
  <c r="E8" i="11"/>
  <c r="E126" i="11" s="1"/>
  <c r="E130" i="11" s="1"/>
  <c r="W257" i="11"/>
  <c r="N65" i="13"/>
  <c r="F63" i="13"/>
  <c r="M65" i="13"/>
  <c r="W257" i="12"/>
  <c r="AJ115" i="12"/>
  <c r="AJ114" i="12" s="1"/>
  <c r="X114" i="12"/>
  <c r="X112" i="12" s="1"/>
  <c r="AI115" i="12"/>
  <c r="AI114" i="12" s="1"/>
  <c r="AE104" i="13"/>
  <c r="AG108" i="13"/>
  <c r="AH47" i="13"/>
  <c r="AI47" i="13"/>
  <c r="AJ47" i="13"/>
  <c r="X44" i="13"/>
  <c r="AH93" i="12"/>
  <c r="AJ93" i="12"/>
  <c r="AI93" i="12"/>
  <c r="AI91" i="12" s="1"/>
  <c r="X91" i="12"/>
  <c r="AQ25" i="10"/>
  <c r="BN13" i="10"/>
  <c r="BN8" i="10" s="1"/>
  <c r="BN7" i="10" s="1"/>
  <c r="BN32" i="10" s="1"/>
  <c r="X14" i="10"/>
  <c r="X12" i="10" s="1"/>
  <c r="X10" i="10" s="1"/>
  <c r="X8" i="10" s="1"/>
  <c r="X259" i="10" s="1"/>
  <c r="X263" i="10" s="1"/>
  <c r="AG153" i="13"/>
  <c r="AE147" i="13"/>
  <c r="AJ112" i="11"/>
  <c r="AJ110" i="11" s="1"/>
  <c r="X150" i="13"/>
  <c r="V149" i="13"/>
  <c r="V147" i="13" s="1"/>
  <c r="V145" i="13" s="1"/>
  <c r="AJ70" i="12"/>
  <c r="AH70" i="12"/>
  <c r="AI70" i="12"/>
  <c r="AI69" i="12" s="1"/>
  <c r="AI65" i="12" s="1"/>
  <c r="X69" i="12"/>
  <c r="X65" i="12" s="1"/>
  <c r="X115" i="13"/>
  <c r="W114" i="13"/>
  <c r="W112" i="13" s="1"/>
  <c r="W110" i="13" s="1"/>
  <c r="AA153" i="12"/>
  <c r="Y147" i="12"/>
  <c r="Y145" i="12" s="1"/>
  <c r="Y261" i="12"/>
  <c r="AV29" i="10"/>
  <c r="AU29" i="10"/>
  <c r="AZ29" i="10"/>
  <c r="AY29" i="10"/>
  <c r="I58" i="13"/>
  <c r="G57" i="13"/>
  <c r="AI261" i="11"/>
  <c r="AA84" i="12"/>
  <c r="Y83" i="12"/>
  <c r="X149" i="12"/>
  <c r="X147" i="12" s="1"/>
  <c r="X145" i="12" s="1"/>
  <c r="AI150" i="12"/>
  <c r="AI149" i="12" s="1"/>
  <c r="AJ150" i="12"/>
  <c r="AJ149" i="12" s="1"/>
  <c r="AJ147" i="12" s="1"/>
  <c r="AJ145" i="12" s="1"/>
  <c r="AH150" i="12"/>
  <c r="AH149" i="12" s="1"/>
  <c r="V63" i="12"/>
  <c r="V12" i="12" s="1"/>
  <c r="V10" i="12" s="1"/>
  <c r="V8" i="12" s="1"/>
  <c r="V259" i="12" s="1"/>
  <c r="V263" i="12" s="1"/>
  <c r="AH231" i="11"/>
  <c r="AD151" i="13"/>
  <c r="AB149" i="13"/>
  <c r="AB147" i="13" s="1"/>
  <c r="AB145" i="13" s="1"/>
  <c r="W8" i="12"/>
  <c r="W259" i="12" s="1"/>
  <c r="W263" i="12" s="1"/>
  <c r="AA21" i="13"/>
  <c r="Y20" i="13"/>
  <c r="X93" i="13"/>
  <c r="W91" i="13"/>
  <c r="W90" i="13" s="1"/>
  <c r="W63" i="13" s="1"/>
  <c r="W12" i="13" s="1"/>
  <c r="Y45" i="13"/>
  <c r="AA44" i="12"/>
  <c r="AH45" i="12"/>
  <c r="AE36" i="13"/>
  <c r="AG35" i="12"/>
  <c r="AJ36" i="12"/>
  <c r="V69" i="13"/>
  <c r="V65" i="13" s="1"/>
  <c r="X70" i="13"/>
  <c r="AI168" i="11"/>
  <c r="AU23" i="11"/>
  <c r="AZ26" i="10"/>
  <c r="AV26" i="10"/>
  <c r="AU26" i="10"/>
  <c r="AY26" i="10"/>
  <c r="X234" i="12"/>
  <c r="AI235" i="12"/>
  <c r="AI234" i="12" s="1"/>
  <c r="AI233" i="12" s="1"/>
  <c r="AJ235" i="12"/>
  <c r="AH235" i="12"/>
  <c r="G66" i="12"/>
  <c r="I67" i="12"/>
  <c r="N78" i="13"/>
  <c r="F22" i="12"/>
  <c r="M24" i="12"/>
  <c r="N24" i="12"/>
  <c r="AG184" i="12"/>
  <c r="AE183" i="12"/>
  <c r="AE168" i="12" s="1"/>
  <c r="X229" i="13"/>
  <c r="X226" i="13" s="1"/>
  <c r="V226" i="13"/>
  <c r="V219" i="13" s="1"/>
  <c r="AJ168" i="11"/>
  <c r="V168" i="12"/>
  <c r="X14" i="11"/>
  <c r="BJ8" i="11"/>
  <c r="BJ7" i="11" s="1"/>
  <c r="BJ16" i="11" s="1"/>
  <c r="BP8" i="11"/>
  <c r="BP7" i="11" s="1"/>
  <c r="BP32" i="11" s="1"/>
  <c r="M82" i="12"/>
  <c r="M81" i="12" s="1"/>
  <c r="G82" i="13"/>
  <c r="I81" i="12"/>
  <c r="AJ91" i="12"/>
  <c r="BN25" i="10"/>
  <c r="BH12" i="10" s="1"/>
  <c r="N31" i="13"/>
  <c r="F29" i="13"/>
  <c r="M8" i="11"/>
  <c r="M126" i="11" s="1"/>
  <c r="M130" i="11" s="1"/>
  <c r="AG255" i="13"/>
  <c r="AE242" i="13"/>
  <c r="X235" i="13"/>
  <c r="W234" i="13"/>
  <c r="W233" i="13" s="1"/>
  <c r="W231" i="13" s="1"/>
  <c r="AG92" i="13"/>
  <c r="AE91" i="13"/>
  <c r="E72" i="13"/>
  <c r="E128" i="13"/>
  <c r="AG14" i="11"/>
  <c r="AS23" i="11"/>
  <c r="AV23" i="11" s="1"/>
  <c r="AJ48" i="13"/>
  <c r="AI48" i="13"/>
  <c r="AH48" i="13"/>
  <c r="N80" i="13"/>
  <c r="M80" i="13"/>
  <c r="V257" i="11"/>
  <c r="D8" i="11"/>
  <c r="D126" i="11" s="1"/>
  <c r="D130" i="11" s="1"/>
  <c r="BK7" i="10"/>
  <c r="BL8" i="10"/>
  <c r="AJ90" i="11"/>
  <c r="F24" i="13"/>
  <c r="D22" i="13"/>
  <c r="D128" i="13"/>
  <c r="Y63" i="12"/>
  <c r="AH229" i="12"/>
  <c r="AH226" i="12" s="1"/>
  <c r="AJ229" i="12"/>
  <c r="AI229" i="12"/>
  <c r="AI226" i="12" s="1"/>
  <c r="X226" i="12"/>
  <c r="AA148" i="13"/>
  <c r="AH148" i="13" s="1"/>
  <c r="AH168" i="11"/>
  <c r="X170" i="12"/>
  <c r="AJ171" i="12"/>
  <c r="AJ170" i="12" s="1"/>
  <c r="AI171" i="12"/>
  <c r="AI170" i="12" s="1"/>
  <c r="BN29" i="11"/>
  <c r="BH13" i="11" s="1"/>
  <c r="X233" i="11"/>
  <c r="X231" i="11" s="1"/>
  <c r="AQ30" i="11" s="1"/>
  <c r="BN12" i="11"/>
  <c r="BN9" i="11" s="1"/>
  <c r="G71" i="13"/>
  <c r="I128" i="12"/>
  <c r="BD21" i="12"/>
  <c r="I69" i="12"/>
  <c r="X125" i="13"/>
  <c r="V123" i="13"/>
  <c r="AH250" i="12"/>
  <c r="AJ250" i="12"/>
  <c r="AI250" i="12"/>
  <c r="D21" i="12"/>
  <c r="D19" i="12" s="1"/>
  <c r="D17" i="12" s="1"/>
  <c r="I10" i="12"/>
  <c r="M12" i="12"/>
  <c r="M10" i="12" s="1"/>
  <c r="G12" i="13"/>
  <c r="G73" i="13"/>
  <c r="I72" i="12"/>
  <c r="M73" i="12"/>
  <c r="M72" i="12" s="1"/>
  <c r="Y71" i="13"/>
  <c r="AA69" i="12"/>
  <c r="AA65" i="12" s="1"/>
  <c r="AH71" i="12"/>
  <c r="AA91" i="12"/>
  <c r="AA90" i="12" s="1"/>
  <c r="AH92" i="12"/>
  <c r="Y92" i="13"/>
  <c r="AY7" i="11"/>
  <c r="BN24" i="11"/>
  <c r="BN22" i="11" s="1"/>
  <c r="BH11" i="11" s="1"/>
  <c r="AQ27" i="11"/>
  <c r="M30" i="12"/>
  <c r="BD13" i="12"/>
  <c r="I29" i="12"/>
  <c r="I28" i="12" s="1"/>
  <c r="G30" i="13"/>
  <c r="AW9" i="12"/>
  <c r="AY9" i="12" s="1"/>
  <c r="V170" i="13"/>
  <c r="X171" i="13"/>
  <c r="D10" i="16"/>
  <c r="AJ148" i="13"/>
  <c r="AI148" i="13"/>
  <c r="BN18" i="13"/>
  <c r="C41" i="14" s="1"/>
  <c r="BO28" i="12"/>
  <c r="BO25" i="12" s="1"/>
  <c r="BI12" i="12" s="1"/>
  <c r="AG97" i="12"/>
  <c r="AE96" i="12"/>
  <c r="AE90" i="12" s="1"/>
  <c r="F21" i="11"/>
  <c r="F19" i="11" s="1"/>
  <c r="AQ7" i="11"/>
  <c r="X210" i="12"/>
  <c r="AI211" i="12"/>
  <c r="AI210" i="12" s="1"/>
  <c r="AI209" i="12" s="1"/>
  <c r="AI208" i="12" s="1"/>
  <c r="AJ211" i="12"/>
  <c r="AJ210" i="12" s="1"/>
  <c r="AJ209" i="12" s="1"/>
  <c r="AJ208" i="12" s="1"/>
  <c r="AH211" i="12"/>
  <c r="X185" i="13"/>
  <c r="X183" i="13" s="1"/>
  <c r="AH186" i="13"/>
  <c r="AH185" i="13" s="1"/>
  <c r="AH183" i="13" s="1"/>
  <c r="AI186" i="13"/>
  <c r="AI185" i="13" s="1"/>
  <c r="M92" i="12"/>
  <c r="M85" i="12" s="1"/>
  <c r="N92" i="12"/>
  <c r="N85" i="12" s="1"/>
  <c r="F128" i="12"/>
  <c r="BC21" i="12"/>
  <c r="AQ12" i="12"/>
  <c r="F85" i="12"/>
  <c r="Y90" i="12"/>
  <c r="M21" i="11"/>
  <c r="M19" i="11" s="1"/>
  <c r="M17" i="11" s="1"/>
  <c r="AE257" i="11" s="1"/>
  <c r="AE211" i="13"/>
  <c r="AG210" i="12"/>
  <c r="AG209" i="12" s="1"/>
  <c r="AG208" i="12" s="1"/>
  <c r="AS29" i="12" s="1"/>
  <c r="AX29" i="12" s="1"/>
  <c r="BH14" i="10"/>
  <c r="AU8" i="11"/>
  <c r="AV8" i="11"/>
  <c r="AZ8" i="11"/>
  <c r="Y196" i="13"/>
  <c r="AA197" i="13"/>
  <c r="AA259" i="10"/>
  <c r="AA263" i="10" s="1"/>
  <c r="U1" i="10"/>
  <c r="F32" i="13"/>
  <c r="M34" i="13"/>
  <c r="N34" i="13"/>
  <c r="AH48" i="12"/>
  <c r="AI48" i="12"/>
  <c r="AI44" i="12" s="1"/>
  <c r="AI43" i="12" s="1"/>
  <c r="AJ48" i="12"/>
  <c r="AI99" i="13"/>
  <c r="AH99" i="13"/>
  <c r="AJ99" i="13"/>
  <c r="AG63" i="11"/>
  <c r="AH198" i="13"/>
  <c r="AJ198" i="13"/>
  <c r="AI198" i="13"/>
  <c r="V49" i="13"/>
  <c r="X50" i="13"/>
  <c r="AJ181" i="12"/>
  <c r="AH181" i="12"/>
  <c r="AH174" i="12" s="1"/>
  <c r="AI181" i="12"/>
  <c r="AI174" i="12" s="1"/>
  <c r="X174" i="12"/>
  <c r="AJ226" i="11"/>
  <c r="AJ219" i="11" s="1"/>
  <c r="Y50" i="13"/>
  <c r="AA49" i="12"/>
  <c r="X211" i="13"/>
  <c r="V210" i="13"/>
  <c r="V209" i="13" s="1"/>
  <c r="V208" i="13" s="1"/>
  <c r="F92" i="13"/>
  <c r="D85" i="13"/>
  <c r="AJ96" i="11"/>
  <c r="I21" i="11"/>
  <c r="I19" i="11" s="1"/>
  <c r="AR7" i="11"/>
  <c r="G48" i="12"/>
  <c r="I49" i="12"/>
  <c r="X221" i="12"/>
  <c r="AJ222" i="12"/>
  <c r="AJ221" i="12" s="1"/>
  <c r="AH222" i="12"/>
  <c r="AH221" i="12" s="1"/>
  <c r="AI222" i="12"/>
  <c r="AI221" i="12" s="1"/>
  <c r="AJ99" i="12"/>
  <c r="AI99" i="12"/>
  <c r="AH99" i="12"/>
  <c r="AI88" i="12"/>
  <c r="AI83" i="12" s="1"/>
  <c r="AJ88" i="12"/>
  <c r="AH88" i="12"/>
  <c r="X83" i="12"/>
  <c r="AJ250" i="13"/>
  <c r="AI250" i="13"/>
  <c r="AH250" i="13"/>
  <c r="X261" i="12"/>
  <c r="BN31" i="12" s="1"/>
  <c r="BH15" i="12" s="1"/>
  <c r="AA8" i="11"/>
  <c r="Y259" i="11"/>
  <c r="Y263" i="11" s="1"/>
  <c r="X88" i="13"/>
  <c r="V83" i="13"/>
  <c r="AU28" i="11"/>
  <c r="AV28" i="11"/>
  <c r="AZ28" i="11"/>
  <c r="AY28" i="11"/>
  <c r="AA142" i="12"/>
  <c r="Y141" i="12"/>
  <c r="W192" i="13"/>
  <c r="AJ205" i="12"/>
  <c r="AJ204" i="12" s="1"/>
  <c r="AG204" i="12"/>
  <c r="AE205" i="13"/>
  <c r="X49" i="12"/>
  <c r="X43" i="12" s="1"/>
  <c r="AJ50" i="12"/>
  <c r="AJ49" i="12" s="1"/>
  <c r="AH50" i="12"/>
  <c r="AH49" i="12" s="1"/>
  <c r="AI50" i="12"/>
  <c r="AI49" i="12" s="1"/>
  <c r="W221" i="13"/>
  <c r="W219" i="13" s="1"/>
  <c r="X222" i="13"/>
  <c r="AE33" i="13"/>
  <c r="AG33" i="13" s="1"/>
  <c r="AJ33" i="13" s="1"/>
  <c r="AJ33" i="12"/>
  <c r="X181" i="13"/>
  <c r="V174" i="13"/>
  <c r="M71" i="12"/>
  <c r="M69" i="12" s="1"/>
  <c r="N22" i="11"/>
  <c r="N21" i="11" s="1"/>
  <c r="N19" i="11" s="1"/>
  <c r="N17" i="11" s="1"/>
  <c r="N128" i="11"/>
  <c r="AG197" i="12"/>
  <c r="AE196" i="12"/>
  <c r="AE195" i="12" s="1"/>
  <c r="AE194" i="12" s="1"/>
  <c r="AE192" i="12" s="1"/>
  <c r="AI131" i="12"/>
  <c r="AH131" i="12"/>
  <c r="AJ131" i="12"/>
  <c r="BN17" i="12"/>
  <c r="AH96" i="11"/>
  <c r="AH90" i="11" s="1"/>
  <c r="AH63" i="11" s="1"/>
  <c r="AJ136" i="13"/>
  <c r="AI136" i="13"/>
  <c r="AH136" i="13"/>
  <c r="D46" i="14"/>
  <c r="Q59" i="14"/>
  <c r="Q56" i="14"/>
  <c r="R56" i="14"/>
  <c r="BL7" i="13"/>
  <c r="BK16" i="13"/>
  <c r="BL16" i="13" s="1"/>
  <c r="BJ11" i="13"/>
  <c r="L8" i="12"/>
  <c r="AS17" i="12"/>
  <c r="A10" i="16"/>
  <c r="I78" i="13" l="1"/>
  <c r="AE112" i="13"/>
  <c r="M79" i="13"/>
  <c r="V192" i="13"/>
  <c r="N113" i="13"/>
  <c r="N57" i="13"/>
  <c r="N32" i="13"/>
  <c r="H126" i="13"/>
  <c r="AI183" i="13"/>
  <c r="V112" i="13"/>
  <c r="V110" i="13" s="1"/>
  <c r="D28" i="13"/>
  <c r="N45" i="13"/>
  <c r="E28" i="13"/>
  <c r="N54" i="13"/>
  <c r="F57" i="13"/>
  <c r="N63" i="13"/>
  <c r="N69" i="13"/>
  <c r="N72" i="13"/>
  <c r="C126" i="13"/>
  <c r="M60" i="13"/>
  <c r="J8" i="13"/>
  <c r="N29" i="13"/>
  <c r="V43" i="13"/>
  <c r="V14" i="13" s="1"/>
  <c r="M59" i="13"/>
  <c r="M31" i="13"/>
  <c r="AV15" i="13"/>
  <c r="AZ15" i="13"/>
  <c r="AU15" i="13"/>
  <c r="AD114" i="13"/>
  <c r="AI117" i="13"/>
  <c r="Y171" i="13"/>
  <c r="AA170" i="12"/>
  <c r="AA168" i="12" s="1"/>
  <c r="BO24" i="12" s="1"/>
  <c r="BO22" i="12" s="1"/>
  <c r="BI11" i="12" s="1"/>
  <c r="AH91" i="12"/>
  <c r="AJ35" i="12"/>
  <c r="AE145" i="13"/>
  <c r="AE110" i="13" s="1"/>
  <c r="AQ16" i="12"/>
  <c r="BC7" i="12"/>
  <c r="AI219" i="12"/>
  <c r="AH219" i="12"/>
  <c r="AV10" i="12"/>
  <c r="AZ10" i="12"/>
  <c r="AV16" i="11"/>
  <c r="AZ16" i="11"/>
  <c r="M77" i="13"/>
  <c r="F75" i="13"/>
  <c r="AH171" i="12"/>
  <c r="AH170" i="12" s="1"/>
  <c r="X90" i="12"/>
  <c r="AG123" i="13"/>
  <c r="AG112" i="13" s="1"/>
  <c r="AJ127" i="13"/>
  <c r="AU16" i="11"/>
  <c r="AD141" i="13"/>
  <c r="BP20" i="13" s="1"/>
  <c r="E43" i="14" s="1"/>
  <c r="AI143" i="13"/>
  <c r="AI141" i="13" s="1"/>
  <c r="AG141" i="13"/>
  <c r="AJ143" i="13"/>
  <c r="AJ141" i="13" s="1"/>
  <c r="AH37" i="13"/>
  <c r="AJ37" i="13"/>
  <c r="AI37" i="13"/>
  <c r="AI35" i="13" s="1"/>
  <c r="AI192" i="12"/>
  <c r="AH234" i="12"/>
  <c r="AH233" i="12" s="1"/>
  <c r="AH231" i="12" s="1"/>
  <c r="M51" i="12"/>
  <c r="X168" i="12"/>
  <c r="AJ234" i="12"/>
  <c r="AJ233" i="12" s="1"/>
  <c r="AJ231" i="12" s="1"/>
  <c r="AY16" i="11"/>
  <c r="AH58" i="12"/>
  <c r="AH57" i="12" s="1"/>
  <c r="N12" i="13"/>
  <c r="F10" i="13"/>
  <c r="AJ45" i="12"/>
  <c r="AJ44" i="12" s="1"/>
  <c r="AG44" i="12"/>
  <c r="AG43" i="12" s="1"/>
  <c r="AE45" i="13"/>
  <c r="AI231" i="12"/>
  <c r="AI200" i="13"/>
  <c r="AI196" i="13" s="1"/>
  <c r="AI195" i="13" s="1"/>
  <c r="AI194" i="13" s="1"/>
  <c r="AJ200" i="13"/>
  <c r="AH200" i="13"/>
  <c r="G54" i="13"/>
  <c r="I55" i="13"/>
  <c r="I52" i="13"/>
  <c r="G51" i="13"/>
  <c r="BC22" i="12"/>
  <c r="AI14" i="12"/>
  <c r="AJ242" i="12"/>
  <c r="AJ58" i="12"/>
  <c r="AJ57" i="12" s="1"/>
  <c r="AJ116" i="13"/>
  <c r="M53" i="13"/>
  <c r="N53" i="13"/>
  <c r="F51" i="13"/>
  <c r="G94" i="13"/>
  <c r="I95" i="13"/>
  <c r="AE170" i="13"/>
  <c r="AG171" i="13"/>
  <c r="AG170" i="13" s="1"/>
  <c r="AH123" i="12"/>
  <c r="N44" i="13"/>
  <c r="M44" i="13"/>
  <c r="F42" i="13"/>
  <c r="AE186" i="13"/>
  <c r="AG185" i="12"/>
  <c r="AJ186" i="12"/>
  <c r="AJ185" i="12" s="1"/>
  <c r="AG222" i="13"/>
  <c r="AG221" i="13" s="1"/>
  <c r="AE221" i="13"/>
  <c r="AG157" i="13"/>
  <c r="AG155" i="13" s="1"/>
  <c r="T10" i="16" s="1"/>
  <c r="U10" i="16" s="1"/>
  <c r="AJ164" i="13"/>
  <c r="AJ157" i="13" s="1"/>
  <c r="AJ155" i="13" s="1"/>
  <c r="AE59" i="13"/>
  <c r="AG58" i="12"/>
  <c r="AG57" i="12" s="1"/>
  <c r="N50" i="13"/>
  <c r="M50" i="13"/>
  <c r="F48" i="13"/>
  <c r="AJ226" i="12"/>
  <c r="AH69" i="12"/>
  <c r="AH65" i="12" s="1"/>
  <c r="AH195" i="12"/>
  <c r="AH194" i="12" s="1"/>
  <c r="AH192" i="12" s="1"/>
  <c r="AH10" i="10"/>
  <c r="AH210" i="12"/>
  <c r="AH209" i="12" s="1"/>
  <c r="AH208" i="12" s="1"/>
  <c r="AJ69" i="12"/>
  <c r="BN16" i="12"/>
  <c r="AH35" i="12"/>
  <c r="BP17" i="13"/>
  <c r="E40" i="14" s="1"/>
  <c r="AD123" i="13"/>
  <c r="M29" i="12"/>
  <c r="M28" i="12" s="1"/>
  <c r="X110" i="12"/>
  <c r="AQ26" i="12" s="1"/>
  <c r="AV26" i="12" s="1"/>
  <c r="I46" i="13"/>
  <c r="G45" i="13"/>
  <c r="AB112" i="13"/>
  <c r="AB110" i="13" s="1"/>
  <c r="AB10" i="13" s="1"/>
  <c r="W10" i="13"/>
  <c r="W8" i="13" s="1"/>
  <c r="W259" i="13" s="1"/>
  <c r="W263" i="13" s="1"/>
  <c r="AI44" i="13"/>
  <c r="M63" i="13"/>
  <c r="AV26" i="11"/>
  <c r="AZ26" i="11"/>
  <c r="AU26" i="11"/>
  <c r="AQ25" i="12"/>
  <c r="BN13" i="12"/>
  <c r="X14" i="12"/>
  <c r="AU30" i="11"/>
  <c r="AZ30" i="11"/>
  <c r="AV30" i="11"/>
  <c r="AY30" i="11"/>
  <c r="G10" i="13"/>
  <c r="I12" i="13"/>
  <c r="AX23" i="11"/>
  <c r="G67" i="13"/>
  <c r="I66" i="12"/>
  <c r="M67" i="12"/>
  <c r="M66" i="12" s="1"/>
  <c r="BD17" i="12"/>
  <c r="AE35" i="13"/>
  <c r="AG36" i="13"/>
  <c r="AA83" i="12"/>
  <c r="AA63" i="12" s="1"/>
  <c r="Y84" i="13"/>
  <c r="AH84" i="12"/>
  <c r="AH83" i="12" s="1"/>
  <c r="AZ26" i="12"/>
  <c r="AH12" i="11"/>
  <c r="AH10" i="11" s="1"/>
  <c r="AI8" i="10"/>
  <c r="AI259" i="10" s="1"/>
  <c r="AI263" i="10" s="1"/>
  <c r="AI257" i="10"/>
  <c r="BN27" i="12"/>
  <c r="BN25" i="12" s="1"/>
  <c r="BH12" i="12" s="1"/>
  <c r="X209" i="12"/>
  <c r="X208" i="12" s="1"/>
  <c r="AV27" i="11"/>
  <c r="AZ27" i="11"/>
  <c r="AU27" i="11"/>
  <c r="AY27" i="11"/>
  <c r="AJ125" i="13"/>
  <c r="AI125" i="13"/>
  <c r="AI123" i="13" s="1"/>
  <c r="AH125" i="13"/>
  <c r="X123" i="13"/>
  <c r="AG12" i="11"/>
  <c r="AG10" i="11" s="1"/>
  <c r="AH44" i="12"/>
  <c r="AH43" i="12" s="1"/>
  <c r="AG147" i="13"/>
  <c r="AJ153" i="13"/>
  <c r="N37" i="13"/>
  <c r="F35" i="13"/>
  <c r="M37" i="13"/>
  <c r="X63" i="12"/>
  <c r="BN12" i="12"/>
  <c r="BN9" i="12" s="1"/>
  <c r="AQ23" i="12"/>
  <c r="AJ88" i="13"/>
  <c r="AH88" i="13"/>
  <c r="AI88" i="13"/>
  <c r="AI83" i="13" s="1"/>
  <c r="X221" i="13"/>
  <c r="X219" i="13" s="1"/>
  <c r="AI222" i="13"/>
  <c r="AI221" i="13" s="1"/>
  <c r="AQ17" i="11"/>
  <c r="AV7" i="11"/>
  <c r="AU7" i="11"/>
  <c r="AZ7" i="11"/>
  <c r="AA43" i="12"/>
  <c r="BO13" i="12" s="1"/>
  <c r="N28" i="12"/>
  <c r="M36" i="13"/>
  <c r="I35" i="13"/>
  <c r="F17" i="11"/>
  <c r="AQ14" i="11"/>
  <c r="I82" i="13"/>
  <c r="G81" i="13"/>
  <c r="AA45" i="13"/>
  <c r="Y44" i="13"/>
  <c r="M58" i="13"/>
  <c r="I57" i="13"/>
  <c r="AZ9" i="12"/>
  <c r="AV9" i="12"/>
  <c r="AI123" i="12"/>
  <c r="AI112" i="12" s="1"/>
  <c r="AI110" i="12" s="1"/>
  <c r="BH8" i="10"/>
  <c r="BH7" i="10" s="1"/>
  <c r="BH16" i="10" s="1"/>
  <c r="BH17" i="10" s="1"/>
  <c r="Y222" i="13"/>
  <c r="AA221" i="12"/>
  <c r="AA219" i="12" s="1"/>
  <c r="BO30" i="12" s="1"/>
  <c r="BI14" i="12" s="1"/>
  <c r="AR14" i="11"/>
  <c r="AR17" i="11" s="1"/>
  <c r="AU35" i="11" s="1"/>
  <c r="I17" i="11"/>
  <c r="AA92" i="13"/>
  <c r="Y91" i="13"/>
  <c r="AZ25" i="10"/>
  <c r="AZ32" i="10" s="1"/>
  <c r="AV25" i="10"/>
  <c r="AU25" i="10"/>
  <c r="AY25" i="10"/>
  <c r="AY32" i="10" s="1"/>
  <c r="D34" i="14"/>
  <c r="AJ123" i="12"/>
  <c r="AJ112" i="12" s="1"/>
  <c r="AJ110" i="12" s="1"/>
  <c r="AJ43" i="12"/>
  <c r="Y96" i="13"/>
  <c r="AA97" i="13"/>
  <c r="AA96" i="13" s="1"/>
  <c r="BN29" i="12"/>
  <c r="X233" i="12"/>
  <c r="X231" i="12" s="1"/>
  <c r="AZ27" i="10"/>
  <c r="AV27" i="10"/>
  <c r="AU27" i="10"/>
  <c r="AY27" i="10"/>
  <c r="Y1" i="11"/>
  <c r="AD259" i="11"/>
  <c r="AD263" i="11" s="1"/>
  <c r="G21" i="12"/>
  <c r="G19" i="12" s="1"/>
  <c r="G17" i="12" s="1"/>
  <c r="AE81" i="13"/>
  <c r="AJ81" i="12"/>
  <c r="AG65" i="12"/>
  <c r="AG261" i="12"/>
  <c r="AH93" i="13"/>
  <c r="AJ93" i="13"/>
  <c r="AI93" i="13"/>
  <c r="AI91" i="13" s="1"/>
  <c r="X91" i="13"/>
  <c r="X12" i="11"/>
  <c r="X10" i="11" s="1"/>
  <c r="AH21" i="13"/>
  <c r="AH20" i="13" s="1"/>
  <c r="AA20" i="13"/>
  <c r="AA233" i="12"/>
  <c r="AA231" i="12" s="1"/>
  <c r="BO29" i="12"/>
  <c r="BI13" i="12" s="1"/>
  <c r="F17" i="10"/>
  <c r="AQ14" i="10"/>
  <c r="BD12" i="12"/>
  <c r="I22" i="12"/>
  <c r="M23" i="12"/>
  <c r="M22" i="12" s="1"/>
  <c r="AW7" i="12"/>
  <c r="G23" i="13"/>
  <c r="AE63" i="12"/>
  <c r="AE12" i="12" s="1"/>
  <c r="AE10" i="12" s="1"/>
  <c r="AE8" i="12" s="1"/>
  <c r="AE259" i="12" s="1"/>
  <c r="AE263" i="12" s="1"/>
  <c r="I71" i="13"/>
  <c r="G128" i="13"/>
  <c r="G69" i="13"/>
  <c r="N24" i="13"/>
  <c r="M24" i="13"/>
  <c r="F22" i="13"/>
  <c r="AG91" i="13"/>
  <c r="AJ92" i="13"/>
  <c r="BN8" i="11"/>
  <c r="BN7" i="11" s="1"/>
  <c r="BN32" i="11" s="1"/>
  <c r="BH8" i="11"/>
  <c r="BH7" i="11" s="1"/>
  <c r="BH16" i="11" s="1"/>
  <c r="BH17" i="11" s="1"/>
  <c r="AZ25" i="11"/>
  <c r="AU25" i="11"/>
  <c r="AV25" i="11"/>
  <c r="AY25" i="11"/>
  <c r="AE204" i="13"/>
  <c r="AG205" i="13"/>
  <c r="AQ24" i="12"/>
  <c r="BN14" i="12"/>
  <c r="BH9" i="12" s="1"/>
  <c r="AH211" i="13"/>
  <c r="AH210" i="13" s="1"/>
  <c r="AH209" i="13" s="1"/>
  <c r="AH208" i="13" s="1"/>
  <c r="X210" i="13"/>
  <c r="AI211" i="13"/>
  <c r="AI210" i="13" s="1"/>
  <c r="AI209" i="13" s="1"/>
  <c r="AI208" i="13" s="1"/>
  <c r="BK16" i="10"/>
  <c r="BL16" i="10" s="1"/>
  <c r="BL7" i="10"/>
  <c r="AI235" i="13"/>
  <c r="AI234" i="13" s="1"/>
  <c r="AI233" i="13" s="1"/>
  <c r="X234" i="13"/>
  <c r="G43" i="13"/>
  <c r="I42" i="12"/>
  <c r="AR10" i="12" s="1"/>
  <c r="AU10" i="12" s="1"/>
  <c r="AW10" i="12"/>
  <c r="AY10" i="12" s="1"/>
  <c r="M43" i="12"/>
  <c r="M42" i="12" s="1"/>
  <c r="BD16" i="12"/>
  <c r="AU28" i="12"/>
  <c r="AY28" i="12"/>
  <c r="AA235" i="13"/>
  <c r="AA234" i="13" s="1"/>
  <c r="Y234" i="13"/>
  <c r="Y233" i="13" s="1"/>
  <c r="AI60" i="13"/>
  <c r="AI58" i="13" s="1"/>
  <c r="AI57" i="13" s="1"/>
  <c r="AH60" i="13"/>
  <c r="AH58" i="13" s="1"/>
  <c r="AH57" i="13" s="1"/>
  <c r="AJ60" i="13"/>
  <c r="X58" i="13"/>
  <c r="X57" i="13" s="1"/>
  <c r="AY26" i="11"/>
  <c r="AW32" i="11"/>
  <c r="AI97" i="13"/>
  <c r="AI96" i="13" s="1"/>
  <c r="X96" i="13"/>
  <c r="Y33" i="13"/>
  <c r="AA33" i="13" s="1"/>
  <c r="AH33" i="13" s="1"/>
  <c r="AA16" i="12"/>
  <c r="AH33" i="12"/>
  <c r="AH16" i="12" s="1"/>
  <c r="AU28" i="10"/>
  <c r="AZ28" i="10"/>
  <c r="AV28" i="10"/>
  <c r="AY28" i="10"/>
  <c r="X83" i="13"/>
  <c r="BN14" i="13" s="1"/>
  <c r="AE97" i="13"/>
  <c r="AG96" i="12"/>
  <c r="AG90" i="12" s="1"/>
  <c r="AS25" i="12" s="1"/>
  <c r="AX25" i="12" s="1"/>
  <c r="M92" i="13"/>
  <c r="N92" i="13"/>
  <c r="AQ12" i="13"/>
  <c r="F128" i="13"/>
  <c r="F85" i="13"/>
  <c r="AV12" i="12"/>
  <c r="AZ12" i="12"/>
  <c r="AU12" i="12"/>
  <c r="AY12" i="12"/>
  <c r="AA71" i="13"/>
  <c r="Y69" i="13"/>
  <c r="Y65" i="13" s="1"/>
  <c r="AI168" i="12"/>
  <c r="M128" i="12"/>
  <c r="I105" i="13"/>
  <c r="G104" i="13"/>
  <c r="I85" i="13"/>
  <c r="M86" i="13"/>
  <c r="Y12" i="12"/>
  <c r="Y10" i="12" s="1"/>
  <c r="Y8" i="12" s="1"/>
  <c r="Y259" i="12" s="1"/>
  <c r="Y263" i="12" s="1"/>
  <c r="AE210" i="13"/>
  <c r="AE209" i="13" s="1"/>
  <c r="AE208" i="13" s="1"/>
  <c r="AG211" i="13"/>
  <c r="AG210" i="13" s="1"/>
  <c r="AG209" i="13" s="1"/>
  <c r="AG208" i="13" s="1"/>
  <c r="AS29" i="13" s="1"/>
  <c r="AX29" i="13" s="1"/>
  <c r="AE197" i="13"/>
  <c r="AG196" i="12"/>
  <c r="AG195" i="12" s="1"/>
  <c r="AG194" i="12" s="1"/>
  <c r="AJ197" i="12"/>
  <c r="AJ196" i="12" s="1"/>
  <c r="AJ195" i="12" s="1"/>
  <c r="AJ194" i="12" s="1"/>
  <c r="AJ192" i="12" s="1"/>
  <c r="AA50" i="13"/>
  <c r="AA49" i="13" s="1"/>
  <c r="Y49" i="13"/>
  <c r="AH168" i="12"/>
  <c r="AH153" i="12"/>
  <c r="AH147" i="12" s="1"/>
  <c r="AH145" i="12" s="1"/>
  <c r="Y153" i="13"/>
  <c r="AA147" i="12"/>
  <c r="AA145" i="12" s="1"/>
  <c r="AA261" i="12"/>
  <c r="BO31" i="12" s="1"/>
  <c r="BI15" i="12" s="1"/>
  <c r="AA123" i="13"/>
  <c r="BO17" i="13"/>
  <c r="D40" i="14" s="1"/>
  <c r="AH124" i="13"/>
  <c r="AY22" i="13"/>
  <c r="AZ22" i="13"/>
  <c r="AU22" i="13"/>
  <c r="AV22" i="13"/>
  <c r="I32" i="13"/>
  <c r="M33" i="13"/>
  <c r="AZ8" i="12"/>
  <c r="AV8" i="12"/>
  <c r="C33" i="14"/>
  <c r="BO14" i="12"/>
  <c r="BI9" i="12" s="1"/>
  <c r="AI261" i="12"/>
  <c r="N8" i="11"/>
  <c r="N126" i="11" s="1"/>
  <c r="N130" i="11" s="1"/>
  <c r="AF257" i="11"/>
  <c r="I73" i="13"/>
  <c r="G72" i="13"/>
  <c r="BN24" i="12"/>
  <c r="BN22" i="12" s="1"/>
  <c r="BH11" i="12" s="1"/>
  <c r="AQ27" i="12"/>
  <c r="AJ255" i="13"/>
  <c r="AG242" i="13"/>
  <c r="AH229" i="13"/>
  <c r="AJ229" i="13"/>
  <c r="AI229" i="13"/>
  <c r="AD149" i="13"/>
  <c r="AI151" i="13"/>
  <c r="AI115" i="13"/>
  <c r="AI114" i="13" s="1"/>
  <c r="AJ115" i="13"/>
  <c r="X114" i="13"/>
  <c r="AJ8" i="10"/>
  <c r="AJ259" i="10" s="1"/>
  <c r="AJ263" i="10" s="1"/>
  <c r="AJ257" i="10"/>
  <c r="AR26" i="12"/>
  <c r="AW26" i="12" s="1"/>
  <c r="AY26" i="12" s="1"/>
  <c r="AW25" i="12"/>
  <c r="AD10" i="12"/>
  <c r="X261" i="13"/>
  <c r="BN31" i="13" s="1"/>
  <c r="Y35" i="13"/>
  <c r="AA36" i="13"/>
  <c r="AI12" i="11"/>
  <c r="AI10" i="11" s="1"/>
  <c r="BJ10" i="12"/>
  <c r="BJ7" i="12" s="1"/>
  <c r="BJ16" i="12" s="1"/>
  <c r="BP7" i="12"/>
  <c r="BP32" i="12" s="1"/>
  <c r="I126" i="10"/>
  <c r="I130" i="10" s="1"/>
  <c r="K1" i="10"/>
  <c r="J5" i="10"/>
  <c r="AJ21" i="12"/>
  <c r="AJ20" i="12" s="1"/>
  <c r="AJ16" i="12" s="1"/>
  <c r="AJ14" i="12" s="1"/>
  <c r="AE21" i="13"/>
  <c r="AG20" i="12"/>
  <c r="AG16" i="12" s="1"/>
  <c r="AI171" i="13"/>
  <c r="AI170" i="13" s="1"/>
  <c r="X170" i="13"/>
  <c r="AG183" i="12"/>
  <c r="AG168" i="12" s="1"/>
  <c r="AS27" i="12" s="1"/>
  <c r="AX27" i="12" s="1"/>
  <c r="AE184" i="13"/>
  <c r="AJ184" i="12"/>
  <c r="AJ183" i="12" s="1"/>
  <c r="BO8" i="11"/>
  <c r="BO7" i="11" s="1"/>
  <c r="BO32" i="11" s="1"/>
  <c r="BI8" i="11"/>
  <c r="BI7" i="11" s="1"/>
  <c r="BI16" i="11" s="1"/>
  <c r="BD11" i="12"/>
  <c r="G26" i="13"/>
  <c r="AW8" i="12"/>
  <c r="AY8" i="12" s="1"/>
  <c r="M26" i="12"/>
  <c r="M25" i="12" s="1"/>
  <c r="I25" i="12"/>
  <c r="AR8" i="12" s="1"/>
  <c r="AU8" i="12" s="1"/>
  <c r="BN17" i="13"/>
  <c r="C40" i="14" s="1"/>
  <c r="AG104" i="13"/>
  <c r="AJ108" i="13"/>
  <c r="AJ104" i="13" s="1"/>
  <c r="Y242" i="13"/>
  <c r="AA243" i="13"/>
  <c r="M115" i="12"/>
  <c r="M113" i="12" s="1"/>
  <c r="G115" i="13"/>
  <c r="BD20" i="12"/>
  <c r="I113" i="12"/>
  <c r="AR15" i="12" s="1"/>
  <c r="AW15" i="12" s="1"/>
  <c r="AY15" i="12" s="1"/>
  <c r="AE234" i="13"/>
  <c r="AE233" i="13" s="1"/>
  <c r="AE231" i="13" s="1"/>
  <c r="AG235" i="13"/>
  <c r="AA259" i="11"/>
  <c r="AA263" i="11" s="1"/>
  <c r="AQ28" i="13"/>
  <c r="N128" i="12"/>
  <c r="N22" i="12"/>
  <c r="D8" i="12"/>
  <c r="D126" i="12" s="1"/>
  <c r="D130" i="12" s="1"/>
  <c r="V257" i="12"/>
  <c r="N27" i="13"/>
  <c r="M27" i="13"/>
  <c r="F25" i="13"/>
  <c r="AJ63" i="11"/>
  <c r="AJ12" i="11" s="1"/>
  <c r="AJ10" i="11" s="1"/>
  <c r="BD7" i="12"/>
  <c r="AR16" i="12"/>
  <c r="X69" i="13"/>
  <c r="X65" i="13" s="1"/>
  <c r="AJ70" i="13"/>
  <c r="AJ69" i="13" s="1"/>
  <c r="AI70" i="13"/>
  <c r="AI69" i="13" s="1"/>
  <c r="AI65" i="13" s="1"/>
  <c r="AH70" i="13"/>
  <c r="AJ97" i="12"/>
  <c r="AJ96" i="12" s="1"/>
  <c r="AJ90" i="12" s="1"/>
  <c r="V168" i="13"/>
  <c r="AJ219" i="12"/>
  <c r="AJ50" i="13"/>
  <c r="AJ49" i="13" s="1"/>
  <c r="X49" i="13"/>
  <c r="X43" i="13" s="1"/>
  <c r="AI50" i="13"/>
  <c r="AI49" i="13" s="1"/>
  <c r="I30" i="13"/>
  <c r="G29" i="13"/>
  <c r="F21" i="12"/>
  <c r="F19" i="12" s="1"/>
  <c r="AQ7" i="12"/>
  <c r="V63" i="13"/>
  <c r="AE226" i="13"/>
  <c r="AG227" i="13"/>
  <c r="AJ245" i="13"/>
  <c r="AI245" i="13"/>
  <c r="AI242" i="13" s="1"/>
  <c r="AH245" i="13"/>
  <c r="X242" i="13"/>
  <c r="AH96" i="12"/>
  <c r="AH90" i="12" s="1"/>
  <c r="AJ174" i="12"/>
  <c r="AJ168" i="12" s="1"/>
  <c r="X219" i="12"/>
  <c r="AH150" i="13"/>
  <c r="AH149" i="13" s="1"/>
  <c r="AJ150" i="13"/>
  <c r="AJ149" i="13" s="1"/>
  <c r="AI150" i="13"/>
  <c r="X149" i="13"/>
  <c r="AE84" i="13"/>
  <c r="AG83" i="12"/>
  <c r="AS24" i="12" s="1"/>
  <c r="AX24" i="12" s="1"/>
  <c r="AJ84" i="12"/>
  <c r="AJ83" i="12" s="1"/>
  <c r="Y112" i="12"/>
  <c r="Y110" i="12" s="1"/>
  <c r="AA205" i="13"/>
  <c r="Y204" i="13"/>
  <c r="Y195" i="13" s="1"/>
  <c r="Y194" i="13" s="1"/>
  <c r="Y192" i="13" s="1"/>
  <c r="M76" i="12"/>
  <c r="M75" i="12" s="1"/>
  <c r="G76" i="13"/>
  <c r="I75" i="12"/>
  <c r="AR9" i="12" s="1"/>
  <c r="AU9" i="12" s="1"/>
  <c r="AI96" i="12"/>
  <c r="AI90" i="12" s="1"/>
  <c r="AI63" i="12" s="1"/>
  <c r="AA141" i="12"/>
  <c r="BO20" i="12" s="1"/>
  <c r="Y142" i="13"/>
  <c r="AH142" i="12"/>
  <c r="AH141" i="12" s="1"/>
  <c r="AH112" i="12" s="1"/>
  <c r="BO26" i="13"/>
  <c r="AA196" i="13"/>
  <c r="AH197" i="13"/>
  <c r="I10" i="16"/>
  <c r="BO18" i="13"/>
  <c r="D41" i="14" s="1"/>
  <c r="AQ29" i="11"/>
  <c r="AQ32" i="11" s="1"/>
  <c r="X192" i="11"/>
  <c r="X174" i="13"/>
  <c r="AH181" i="13"/>
  <c r="AH174" i="13" s="1"/>
  <c r="AJ181" i="13"/>
  <c r="AI181" i="13"/>
  <c r="AI174" i="13" s="1"/>
  <c r="M49" i="12"/>
  <c r="M48" i="12" s="1"/>
  <c r="G49" i="13"/>
  <c r="I48" i="12"/>
  <c r="AW14" i="12"/>
  <c r="BD15" i="12"/>
  <c r="X195" i="13"/>
  <c r="BN28" i="13"/>
  <c r="C51" i="14" s="1"/>
  <c r="BN15" i="12"/>
  <c r="BH10" i="12" s="1"/>
  <c r="Y115" i="13"/>
  <c r="BO16" i="12"/>
  <c r="AA114" i="12"/>
  <c r="AH227" i="13"/>
  <c r="AH255" i="13"/>
  <c r="AG175" i="13"/>
  <c r="AE174" i="13"/>
  <c r="L126" i="12"/>
  <c r="L130" i="12" s="1"/>
  <c r="F10" i="16"/>
  <c r="P10" i="16"/>
  <c r="AB257" i="13" l="1"/>
  <c r="AB8" i="13"/>
  <c r="AB259" i="13" s="1"/>
  <c r="AB263" i="13" s="1"/>
  <c r="AG145" i="13"/>
  <c r="AK36" i="13"/>
  <c r="D4" i="17"/>
  <c r="G28" i="13"/>
  <c r="AJ222" i="13"/>
  <c r="AJ221" i="13" s="1"/>
  <c r="AI192" i="13"/>
  <c r="E21" i="13"/>
  <c r="E19" i="13" s="1"/>
  <c r="AD112" i="13"/>
  <c r="M78" i="13"/>
  <c r="AQ10" i="13"/>
  <c r="V12" i="13"/>
  <c r="N25" i="13"/>
  <c r="BC21" i="13"/>
  <c r="N85" i="13"/>
  <c r="N42" i="13"/>
  <c r="J126" i="13"/>
  <c r="M85" i="13"/>
  <c r="AQ7" i="13"/>
  <c r="AV7" i="13" s="1"/>
  <c r="C130" i="13"/>
  <c r="H130" i="13"/>
  <c r="M32" i="13"/>
  <c r="AH196" i="13"/>
  <c r="AH195" i="13" s="1"/>
  <c r="AH194" i="13" s="1"/>
  <c r="AH192" i="13" s="1"/>
  <c r="M57" i="13"/>
  <c r="F28" i="13"/>
  <c r="N10" i="13"/>
  <c r="N35" i="13"/>
  <c r="D21" i="13"/>
  <c r="N51" i="13"/>
  <c r="AQ8" i="13"/>
  <c r="AZ8" i="13" s="1"/>
  <c r="N48" i="13"/>
  <c r="AU26" i="12"/>
  <c r="AE219" i="13"/>
  <c r="AI261" i="13"/>
  <c r="AG59" i="13"/>
  <c r="AE58" i="13"/>
  <c r="AE57" i="13" s="1"/>
  <c r="Y16" i="13"/>
  <c r="Y14" i="13" s="1"/>
  <c r="AJ123" i="13"/>
  <c r="AH110" i="12"/>
  <c r="AH14" i="12"/>
  <c r="M52" i="13"/>
  <c r="I51" i="13"/>
  <c r="BD10" i="12"/>
  <c r="BD9" i="12" s="1"/>
  <c r="BD8" i="12" s="1"/>
  <c r="BD22" i="12" s="1"/>
  <c r="AE185" i="13"/>
  <c r="AE183" i="13" s="1"/>
  <c r="AE168" i="13" s="1"/>
  <c r="AG186" i="13"/>
  <c r="M55" i="13"/>
  <c r="I54" i="13"/>
  <c r="AI43" i="13"/>
  <c r="AI14" i="13" s="1"/>
  <c r="N21" i="12"/>
  <c r="N19" i="12" s="1"/>
  <c r="N17" i="12" s="1"/>
  <c r="AF257" i="12" s="1"/>
  <c r="AV10" i="13"/>
  <c r="AZ10" i="13"/>
  <c r="X14" i="13"/>
  <c r="M46" i="13"/>
  <c r="I45" i="13"/>
  <c r="AG63" i="12"/>
  <c r="AV16" i="12"/>
  <c r="AZ16" i="12"/>
  <c r="AH50" i="13"/>
  <c r="AH49" i="13" s="1"/>
  <c r="AJ65" i="12"/>
  <c r="X12" i="12"/>
  <c r="X10" i="12" s="1"/>
  <c r="AH257" i="10"/>
  <c r="AH8" i="10"/>
  <c r="AH259" i="10" s="1"/>
  <c r="AH263" i="10" s="1"/>
  <c r="AE44" i="13"/>
  <c r="AE43" i="13" s="1"/>
  <c r="AG45" i="13"/>
  <c r="M95" i="13"/>
  <c r="I94" i="13"/>
  <c r="BD18" i="13"/>
  <c r="D18" i="14"/>
  <c r="AG110" i="13"/>
  <c r="AS26" i="13" s="1"/>
  <c r="AX26" i="13" s="1"/>
  <c r="AI12" i="12"/>
  <c r="AI10" i="12" s="1"/>
  <c r="AJ171" i="13"/>
  <c r="AJ170" i="13" s="1"/>
  <c r="AJ114" i="13"/>
  <c r="BC7" i="13"/>
  <c r="C8" i="14"/>
  <c r="AQ16" i="13"/>
  <c r="Y170" i="13"/>
  <c r="Y168" i="13" s="1"/>
  <c r="AA171" i="13"/>
  <c r="AJ91" i="13"/>
  <c r="AQ24" i="13"/>
  <c r="AU24" i="13" s="1"/>
  <c r="AJ242" i="13"/>
  <c r="Y43" i="13"/>
  <c r="Y90" i="13"/>
  <c r="AH235" i="13"/>
  <c r="AH234" i="13" s="1"/>
  <c r="AH233" i="13" s="1"/>
  <c r="X168" i="13"/>
  <c r="BN24" i="13" s="1"/>
  <c r="BN22" i="13" s="1"/>
  <c r="X112" i="13"/>
  <c r="K10" i="16"/>
  <c r="AH97" i="13"/>
  <c r="AH96" i="13" s="1"/>
  <c r="AJ147" i="13"/>
  <c r="AJ145" i="13" s="1"/>
  <c r="AU32" i="11"/>
  <c r="AI8" i="12"/>
  <c r="AI259" i="12" s="1"/>
  <c r="AI263" i="12" s="1"/>
  <c r="AI257" i="12"/>
  <c r="AH63" i="12"/>
  <c r="AJ257" i="11"/>
  <c r="AJ8" i="11"/>
  <c r="AJ259" i="11" s="1"/>
  <c r="AJ263" i="11" s="1"/>
  <c r="I43" i="13"/>
  <c r="G42" i="13"/>
  <c r="AH226" i="13"/>
  <c r="AW16" i="12"/>
  <c r="AY16" i="12" s="1"/>
  <c r="AU16" i="12"/>
  <c r="AY25" i="12"/>
  <c r="AW32" i="12"/>
  <c r="I72" i="13"/>
  <c r="M73" i="13"/>
  <c r="AG192" i="12"/>
  <c r="AS28" i="12"/>
  <c r="AU12" i="13"/>
  <c r="AZ12" i="13"/>
  <c r="AV12" i="13"/>
  <c r="AY12" i="13"/>
  <c r="X90" i="13"/>
  <c r="AQ25" i="13" s="1"/>
  <c r="I49" i="13"/>
  <c r="G48" i="13"/>
  <c r="N8" i="12"/>
  <c r="N126" i="12" s="1"/>
  <c r="N130" i="12" s="1"/>
  <c r="AG197" i="13"/>
  <c r="AE196" i="13"/>
  <c r="AE195" i="13" s="1"/>
  <c r="AE194" i="13" s="1"/>
  <c r="AE192" i="13" s="1"/>
  <c r="BN27" i="13"/>
  <c r="X209" i="13"/>
  <c r="X208" i="13" s="1"/>
  <c r="AI90" i="13"/>
  <c r="AI63" i="13" s="1"/>
  <c r="M35" i="13"/>
  <c r="AZ27" i="12"/>
  <c r="AV27" i="12"/>
  <c r="AU27" i="12"/>
  <c r="AY27" i="12"/>
  <c r="AA242" i="13"/>
  <c r="AH243" i="13"/>
  <c r="AH242" i="13" s="1"/>
  <c r="F17" i="12"/>
  <c r="AQ14" i="12"/>
  <c r="AJ211" i="13"/>
  <c r="AJ210" i="13" s="1"/>
  <c r="AJ209" i="13" s="1"/>
  <c r="AJ208" i="13" s="1"/>
  <c r="I128" i="13"/>
  <c r="M71" i="13"/>
  <c r="I69" i="13"/>
  <c r="AA112" i="12"/>
  <c r="AA110" i="12" s="1"/>
  <c r="BO15" i="12"/>
  <c r="BI10" i="12" s="1"/>
  <c r="Y114" i="13"/>
  <c r="AA115" i="13"/>
  <c r="Y231" i="13"/>
  <c r="AH257" i="11"/>
  <c r="AH8" i="11"/>
  <c r="AH259" i="11" s="1"/>
  <c r="AH263" i="11" s="1"/>
  <c r="AG174" i="13"/>
  <c r="AJ175" i="13"/>
  <c r="AJ174" i="13" s="1"/>
  <c r="AG226" i="13"/>
  <c r="AG219" i="13" s="1"/>
  <c r="AJ227" i="13"/>
  <c r="AJ226" i="13" s="1"/>
  <c r="AJ219" i="13" s="1"/>
  <c r="AZ29" i="11"/>
  <c r="AU29" i="11"/>
  <c r="AV29" i="11"/>
  <c r="AY29" i="11"/>
  <c r="AY32" i="11" s="1"/>
  <c r="AE83" i="13"/>
  <c r="AG84" i="13"/>
  <c r="AG97" i="13"/>
  <c r="AE96" i="13"/>
  <c r="AE90" i="13" s="1"/>
  <c r="AA233" i="13"/>
  <c r="BO29" i="13"/>
  <c r="AI226" i="13"/>
  <c r="AI219" i="13" s="1"/>
  <c r="AZ7" i="12"/>
  <c r="AV7" i="12"/>
  <c r="AQ17" i="12"/>
  <c r="AI168" i="13"/>
  <c r="BN16" i="13"/>
  <c r="X147" i="13"/>
  <c r="X145" i="13" s="1"/>
  <c r="AS23" i="12"/>
  <c r="AG14" i="12"/>
  <c r="AG12" i="12" s="1"/>
  <c r="AG10" i="12" s="1"/>
  <c r="I29" i="13"/>
  <c r="BD13" i="13"/>
  <c r="D13" i="14" s="1"/>
  <c r="M30" i="13"/>
  <c r="AG21" i="13"/>
  <c r="AE20" i="13"/>
  <c r="AE16" i="13" s="1"/>
  <c r="AV24" i="12"/>
  <c r="AU24" i="12"/>
  <c r="AZ24" i="12"/>
  <c r="AY24" i="12"/>
  <c r="AH71" i="13"/>
  <c r="AH69" i="13" s="1"/>
  <c r="AH65" i="13" s="1"/>
  <c r="AA69" i="13"/>
  <c r="AA65" i="13" s="1"/>
  <c r="I23" i="13"/>
  <c r="G22" i="13"/>
  <c r="AV17" i="11"/>
  <c r="AU17" i="11"/>
  <c r="D49" i="14"/>
  <c r="M21" i="12"/>
  <c r="M19" i="12" s="1"/>
  <c r="M17" i="12" s="1"/>
  <c r="C37" i="14"/>
  <c r="BH9" i="13"/>
  <c r="AH123" i="13"/>
  <c r="AY7" i="12"/>
  <c r="AJ63" i="12"/>
  <c r="AJ12" i="12" s="1"/>
  <c r="AJ10" i="12" s="1"/>
  <c r="AJ261" i="12"/>
  <c r="I76" i="13"/>
  <c r="G75" i="13"/>
  <c r="AG204" i="13"/>
  <c r="AJ205" i="13"/>
  <c r="AJ204" i="13" s="1"/>
  <c r="BN30" i="12"/>
  <c r="BH14" i="12" s="1"/>
  <c r="AQ30" i="12"/>
  <c r="AI112" i="13"/>
  <c r="AG81" i="13"/>
  <c r="AE65" i="13"/>
  <c r="AE261" i="13"/>
  <c r="AI8" i="11"/>
  <c r="AI259" i="11" s="1"/>
  <c r="AI263" i="11" s="1"/>
  <c r="AI257" i="11"/>
  <c r="AY24" i="13"/>
  <c r="AY14" i="12"/>
  <c r="Y141" i="13"/>
  <c r="AA142" i="13"/>
  <c r="I26" i="13"/>
  <c r="G25" i="13"/>
  <c r="AI149" i="13"/>
  <c r="AI147" i="13" s="1"/>
  <c r="AI145" i="13" s="1"/>
  <c r="AH261" i="12"/>
  <c r="M105" i="13"/>
  <c r="BD19" i="13"/>
  <c r="D22" i="14" s="1"/>
  <c r="I104" i="13"/>
  <c r="AR7" i="12"/>
  <c r="AU7" i="12" s="1"/>
  <c r="I21" i="12"/>
  <c r="I19" i="12" s="1"/>
  <c r="Y257" i="12"/>
  <c r="G8" i="12"/>
  <c r="G126" i="12" s="1"/>
  <c r="G130" i="12" s="1"/>
  <c r="AA44" i="13"/>
  <c r="AA43" i="13" s="1"/>
  <c r="BO13" i="13" s="1"/>
  <c r="D36" i="14" s="1"/>
  <c r="AH45" i="13"/>
  <c r="AH44" i="13" s="1"/>
  <c r="AH43" i="13" s="1"/>
  <c r="BN30" i="13"/>
  <c r="Y83" i="13"/>
  <c r="AA84" i="13"/>
  <c r="AY28" i="13"/>
  <c r="AU28" i="13"/>
  <c r="BP16" i="13"/>
  <c r="AD147" i="13"/>
  <c r="AD145" i="13" s="1"/>
  <c r="AH12" i="12"/>
  <c r="AH10" i="12" s="1"/>
  <c r="AG257" i="11"/>
  <c r="AS31" i="11" s="1"/>
  <c r="AS32" i="11" s="1"/>
  <c r="AV32" i="11" s="1"/>
  <c r="AG8" i="11"/>
  <c r="AU25" i="12"/>
  <c r="AZ25" i="12"/>
  <c r="AV25" i="12"/>
  <c r="BO12" i="12"/>
  <c r="BO9" i="12" s="1"/>
  <c r="AA14" i="12"/>
  <c r="AA12" i="12" s="1"/>
  <c r="AU14" i="10"/>
  <c r="AV14" i="10"/>
  <c r="AZ14" i="10"/>
  <c r="AZ17" i="10" s="1"/>
  <c r="AZ35" i="10" s="1"/>
  <c r="AY14" i="10"/>
  <c r="AY17" i="10" s="1"/>
  <c r="AY35" i="10" s="1"/>
  <c r="AQ17" i="10"/>
  <c r="M82" i="13"/>
  <c r="I81" i="13"/>
  <c r="AG35" i="13"/>
  <c r="AJ36" i="13"/>
  <c r="AJ35" i="13" s="1"/>
  <c r="F8" i="10"/>
  <c r="F126" i="10" s="1"/>
  <c r="F130" i="10" s="1"/>
  <c r="X257" i="10"/>
  <c r="AQ31" i="10" s="1"/>
  <c r="AA153" i="13"/>
  <c r="Y261" i="13"/>
  <c r="Y147" i="13"/>
  <c r="Y145" i="13" s="1"/>
  <c r="AA91" i="13"/>
  <c r="AA90" i="13" s="1"/>
  <c r="AH92" i="13"/>
  <c r="AH91" i="13" s="1"/>
  <c r="BN29" i="13"/>
  <c r="X233" i="13"/>
  <c r="X231" i="13" s="1"/>
  <c r="AQ30" i="13" s="1"/>
  <c r="AU14" i="11"/>
  <c r="AV14" i="11"/>
  <c r="AZ14" i="11"/>
  <c r="AZ17" i="11" s="1"/>
  <c r="AY14" i="11"/>
  <c r="AY17" i="11" s="1"/>
  <c r="AJ235" i="13"/>
  <c r="AJ234" i="13" s="1"/>
  <c r="AJ233" i="13" s="1"/>
  <c r="AG234" i="13"/>
  <c r="AG233" i="13" s="1"/>
  <c r="AG231" i="13" s="1"/>
  <c r="V10" i="13"/>
  <c r="I8" i="11"/>
  <c r="AA257" i="11"/>
  <c r="X257" i="11"/>
  <c r="F8" i="11"/>
  <c r="F126" i="11" s="1"/>
  <c r="F130" i="11" s="1"/>
  <c r="BN12" i="13"/>
  <c r="AQ23" i="13"/>
  <c r="AG184" i="13"/>
  <c r="AA35" i="13"/>
  <c r="AH36" i="13"/>
  <c r="AH35" i="13" s="1"/>
  <c r="AI231" i="13"/>
  <c r="AA16" i="13"/>
  <c r="AU23" i="12"/>
  <c r="AV23" i="12"/>
  <c r="AY23" i="12"/>
  <c r="AY32" i="12" s="1"/>
  <c r="I67" i="13"/>
  <c r="G66" i="13"/>
  <c r="AH16" i="13"/>
  <c r="BH8" i="12"/>
  <c r="BH7" i="12" s="1"/>
  <c r="BN8" i="12"/>
  <c r="BN7" i="12" s="1"/>
  <c r="BH15" i="13"/>
  <c r="C54" i="14"/>
  <c r="M128" i="13"/>
  <c r="X8" i="11"/>
  <c r="AA222" i="13"/>
  <c r="Y221" i="13"/>
  <c r="Y219" i="13" s="1"/>
  <c r="AX32" i="11"/>
  <c r="AZ23" i="11"/>
  <c r="AA204" i="13"/>
  <c r="BO28" i="13" s="1"/>
  <c r="AH205" i="13"/>
  <c r="AH204" i="13" s="1"/>
  <c r="I115" i="13"/>
  <c r="G113" i="13"/>
  <c r="AD8" i="12"/>
  <c r="AD257" i="12"/>
  <c r="AR31" i="12" s="1"/>
  <c r="AR32" i="12" s="1"/>
  <c r="AV35" i="12" s="1"/>
  <c r="C24" i="14"/>
  <c r="BC22" i="13"/>
  <c r="N22" i="13"/>
  <c r="AQ29" i="12"/>
  <c r="X192" i="12"/>
  <c r="X8" i="12" s="1"/>
  <c r="X259" i="12" s="1"/>
  <c r="X263" i="12" s="1"/>
  <c r="I10" i="13"/>
  <c r="M12" i="13"/>
  <c r="AE63" i="13" l="1"/>
  <c r="AW9" i="13"/>
  <c r="AK84" i="13"/>
  <c r="AN84" i="13" s="1"/>
  <c r="D7" i="17"/>
  <c r="E7" i="17" s="1"/>
  <c r="H7" i="17" s="1"/>
  <c r="C25" i="14"/>
  <c r="E4" i="17"/>
  <c r="AK34" i="13"/>
  <c r="AK33" i="13" s="1"/>
  <c r="AN36" i="13"/>
  <c r="I28" i="13"/>
  <c r="AD110" i="13"/>
  <c r="AD10" i="13" s="1"/>
  <c r="AI12" i="13"/>
  <c r="AJ112" i="13"/>
  <c r="AJ110" i="13" s="1"/>
  <c r="M94" i="13"/>
  <c r="D19" i="13"/>
  <c r="M51" i="13"/>
  <c r="E17" i="13"/>
  <c r="M72" i="13"/>
  <c r="AV8" i="13"/>
  <c r="N28" i="13"/>
  <c r="J130" i="13"/>
  <c r="M10" i="13"/>
  <c r="AQ9" i="13"/>
  <c r="M81" i="13"/>
  <c r="M29" i="13"/>
  <c r="F21" i="13"/>
  <c r="M54" i="13"/>
  <c r="AZ7" i="13"/>
  <c r="M69" i="13"/>
  <c r="AH90" i="13"/>
  <c r="M104" i="13"/>
  <c r="M45" i="13"/>
  <c r="AZ35" i="11"/>
  <c r="AG185" i="13"/>
  <c r="AG183" i="13" s="1"/>
  <c r="AG168" i="13" s="1"/>
  <c r="AS27" i="13" s="1"/>
  <c r="AX27" i="13" s="1"/>
  <c r="AJ186" i="13"/>
  <c r="AJ185" i="13" s="1"/>
  <c r="AQ27" i="13"/>
  <c r="AU27" i="13" s="1"/>
  <c r="AG44" i="13"/>
  <c r="AG43" i="13" s="1"/>
  <c r="AJ45" i="13"/>
  <c r="AJ44" i="13" s="1"/>
  <c r="AJ43" i="13" s="1"/>
  <c r="AN35" i="13"/>
  <c r="AE14" i="13"/>
  <c r="AE12" i="13" s="1"/>
  <c r="AE10" i="13" s="1"/>
  <c r="AE8" i="13" s="1"/>
  <c r="AE259" i="13" s="1"/>
  <c r="AE263" i="13" s="1"/>
  <c r="AA170" i="13"/>
  <c r="AA168" i="13" s="1"/>
  <c r="BO24" i="13" s="1"/>
  <c r="AH171" i="13"/>
  <c r="AH170" i="13" s="1"/>
  <c r="AH168" i="13" s="1"/>
  <c r="AV16" i="13"/>
  <c r="AZ16" i="13"/>
  <c r="AG58" i="13"/>
  <c r="AG57" i="13" s="1"/>
  <c r="AJ59" i="13"/>
  <c r="AJ58" i="13" s="1"/>
  <c r="AJ57" i="13" s="1"/>
  <c r="BN32" i="12"/>
  <c r="X110" i="13"/>
  <c r="AQ26" i="13" s="1"/>
  <c r="AV26" i="13" s="1"/>
  <c r="Y63" i="13"/>
  <c r="Y12" i="13" s="1"/>
  <c r="AS30" i="13"/>
  <c r="AX30" i="13" s="1"/>
  <c r="AZ30" i="13" s="1"/>
  <c r="AH231" i="13"/>
  <c r="AA14" i="13"/>
  <c r="AA195" i="13"/>
  <c r="AA194" i="13" s="1"/>
  <c r="AA192" i="13" s="1"/>
  <c r="X63" i="13"/>
  <c r="X12" i="13" s="1"/>
  <c r="BN13" i="13"/>
  <c r="C36" i="14" s="1"/>
  <c r="AA231" i="13"/>
  <c r="AJ231" i="13"/>
  <c r="D51" i="14"/>
  <c r="D48" i="14" s="1"/>
  <c r="BO25" i="13"/>
  <c r="BI12" i="13" s="1"/>
  <c r="AJ257" i="12"/>
  <c r="AJ8" i="12"/>
  <c r="AJ259" i="12" s="1"/>
  <c r="AJ263" i="12" s="1"/>
  <c r="AY30" i="13"/>
  <c r="AU30" i="13"/>
  <c r="AQ29" i="13"/>
  <c r="X192" i="13"/>
  <c r="AJ81" i="13"/>
  <c r="AG65" i="13"/>
  <c r="AG261" i="13"/>
  <c r="AX23" i="12"/>
  <c r="AS32" i="12"/>
  <c r="AG196" i="13"/>
  <c r="AG195" i="13" s="1"/>
  <c r="AG194" i="13" s="1"/>
  <c r="AJ197" i="13"/>
  <c r="AJ196" i="13" s="1"/>
  <c r="AJ195" i="13" s="1"/>
  <c r="AJ194" i="13" s="1"/>
  <c r="AJ192" i="13" s="1"/>
  <c r="M67" i="13"/>
  <c r="I66" i="13"/>
  <c r="BD17" i="13"/>
  <c r="D17" i="14" s="1"/>
  <c r="C47" i="14"/>
  <c r="C45" i="14" s="1"/>
  <c r="BH11" i="13"/>
  <c r="I113" i="13"/>
  <c r="BD20" i="13"/>
  <c r="D23" i="14" s="1"/>
  <c r="M115" i="13"/>
  <c r="I17" i="12"/>
  <c r="AR14" i="12"/>
  <c r="AR17" i="12" s="1"/>
  <c r="AU35" i="12" s="1"/>
  <c r="AH8" i="12"/>
  <c r="AH259" i="12" s="1"/>
  <c r="AH263" i="12" s="1"/>
  <c r="AH257" i="12"/>
  <c r="AG8" i="12"/>
  <c r="AG257" i="12"/>
  <c r="AS31" i="12" s="1"/>
  <c r="V8" i="13"/>
  <c r="V259" i="13" s="1"/>
  <c r="V263" i="13" s="1"/>
  <c r="AI110" i="13"/>
  <c r="AI10" i="13" s="1"/>
  <c r="G21" i="13"/>
  <c r="AC1" i="11"/>
  <c r="AG259" i="11"/>
  <c r="AG263" i="11" s="1"/>
  <c r="AW31" i="10"/>
  <c r="AY31" i="10" s="1"/>
  <c r="AU31" i="10"/>
  <c r="AX31" i="10"/>
  <c r="AZ31" i="10" s="1"/>
  <c r="AV31" i="10"/>
  <c r="AQ32" i="10"/>
  <c r="AZ32" i="11"/>
  <c r="AU25" i="13"/>
  <c r="AR26" i="13"/>
  <c r="AW26" i="13" s="1"/>
  <c r="AZ30" i="12"/>
  <c r="AV30" i="12"/>
  <c r="AY30" i="12"/>
  <c r="AU30" i="12"/>
  <c r="BD12" i="13"/>
  <c r="D12" i="14" s="1"/>
  <c r="AW7" i="13"/>
  <c r="AY7" i="13" s="1"/>
  <c r="I22" i="13"/>
  <c r="M23" i="13"/>
  <c r="BN15" i="13"/>
  <c r="BH10" i="13" s="1"/>
  <c r="C39" i="14"/>
  <c r="C38" i="14" s="1"/>
  <c r="BN25" i="13"/>
  <c r="BH12" i="13" s="1"/>
  <c r="C50" i="14"/>
  <c r="C48" i="14" s="1"/>
  <c r="I126" i="11"/>
  <c r="I130" i="11" s="1"/>
  <c r="J5" i="11"/>
  <c r="K1" i="11"/>
  <c r="BP15" i="13"/>
  <c r="E39" i="14"/>
  <c r="E38" i="14" s="1"/>
  <c r="E29" i="14" s="1"/>
  <c r="E55" i="14" s="1"/>
  <c r="BD21" i="13"/>
  <c r="D24" i="14" s="1"/>
  <c r="AV17" i="12"/>
  <c r="M49" i="13"/>
  <c r="I48" i="13"/>
  <c r="BD15" i="13"/>
  <c r="D15" i="14" s="1"/>
  <c r="AW14" i="13"/>
  <c r="BD16" i="13"/>
  <c r="D16" i="14" s="1"/>
  <c r="M43" i="13"/>
  <c r="AW10" i="13"/>
  <c r="AY10" i="13" s="1"/>
  <c r="I42" i="13"/>
  <c r="AA221" i="13"/>
  <c r="AA219" i="13" s="1"/>
  <c r="BO30" i="13" s="1"/>
  <c r="AH222" i="13"/>
  <c r="AH221" i="13" s="1"/>
  <c r="AH219" i="13" s="1"/>
  <c r="BO12" i="13"/>
  <c r="X259" i="11"/>
  <c r="X263" i="11" s="1"/>
  <c r="U1" i="11"/>
  <c r="AU17" i="10"/>
  <c r="AV17" i="10"/>
  <c r="BD11" i="13"/>
  <c r="AW8" i="13"/>
  <c r="AY8" i="13" s="1"/>
  <c r="I25" i="13"/>
  <c r="M26" i="13"/>
  <c r="AY35" i="11"/>
  <c r="AA141" i="13"/>
  <c r="BO20" i="13" s="1"/>
  <c r="D43" i="14" s="1"/>
  <c r="AH142" i="13"/>
  <c r="AH141" i="13" s="1"/>
  <c r="AZ14" i="12"/>
  <c r="AZ17" i="12" s="1"/>
  <c r="AZ35" i="12" s="1"/>
  <c r="AV14" i="12"/>
  <c r="X257" i="12"/>
  <c r="AQ31" i="12" s="1"/>
  <c r="F8" i="12"/>
  <c r="F126" i="12" s="1"/>
  <c r="F130" i="12" s="1"/>
  <c r="AR16" i="13"/>
  <c r="D8" i="14"/>
  <c r="BD7" i="13"/>
  <c r="I75" i="13"/>
  <c r="M76" i="13"/>
  <c r="AZ29" i="12"/>
  <c r="AU29" i="12"/>
  <c r="AV29" i="12"/>
  <c r="AY29" i="12"/>
  <c r="AY17" i="12"/>
  <c r="AY35" i="12" s="1"/>
  <c r="D52" i="14"/>
  <c r="BI13" i="13"/>
  <c r="AA10" i="12"/>
  <c r="AA8" i="12" s="1"/>
  <c r="Y1" i="12" s="1"/>
  <c r="AX28" i="12"/>
  <c r="AZ28" i="12" s="1"/>
  <c r="AV28" i="12"/>
  <c r="AU23" i="13"/>
  <c r="AY23" i="13"/>
  <c r="BH13" i="13"/>
  <c r="BH13" i="12"/>
  <c r="BH16" i="12" s="1"/>
  <c r="BH17" i="12" s="1"/>
  <c r="C52" i="14"/>
  <c r="AG96" i="13"/>
  <c r="AG90" i="13" s="1"/>
  <c r="AJ97" i="13"/>
  <c r="AJ96" i="13" s="1"/>
  <c r="AJ90" i="13" s="1"/>
  <c r="C35" i="14"/>
  <c r="C32" i="14" s="1"/>
  <c r="BN9" i="13"/>
  <c r="AG83" i="13"/>
  <c r="AS24" i="13" s="1"/>
  <c r="AJ84" i="13"/>
  <c r="AJ83" i="13" s="1"/>
  <c r="BO16" i="13"/>
  <c r="AA114" i="13"/>
  <c r="AH115" i="13"/>
  <c r="AH114" i="13" s="1"/>
  <c r="AH153" i="13"/>
  <c r="AA261" i="13"/>
  <c r="BO31" i="13" s="1"/>
  <c r="AA147" i="13"/>
  <c r="AA145" i="13" s="1"/>
  <c r="AA83" i="13"/>
  <c r="AA63" i="13" s="1"/>
  <c r="AH84" i="13"/>
  <c r="AH83" i="13" s="1"/>
  <c r="AJ184" i="13"/>
  <c r="BO8" i="12"/>
  <c r="BO7" i="12" s="1"/>
  <c r="BO32" i="12" s="1"/>
  <c r="BI8" i="12"/>
  <c r="BI7" i="12" s="1"/>
  <c r="BI16" i="12" s="1"/>
  <c r="BH14" i="13"/>
  <c r="C53" i="14"/>
  <c r="AG20" i="13"/>
  <c r="AG16" i="13" s="1"/>
  <c r="AJ21" i="13"/>
  <c r="AJ20" i="13" s="1"/>
  <c r="AJ16" i="13" s="1"/>
  <c r="AH14" i="13"/>
  <c r="Y112" i="13"/>
  <c r="Y110" i="13" s="1"/>
  <c r="Y10" i="13" s="1"/>
  <c r="Y8" i="13" s="1"/>
  <c r="Y259" i="13" s="1"/>
  <c r="Y263" i="13" s="1"/>
  <c r="AQ33" i="11"/>
  <c r="AD259" i="12"/>
  <c r="AD263" i="12" s="1"/>
  <c r="AE257" i="12"/>
  <c r="M8" i="12"/>
  <c r="M126" i="12" s="1"/>
  <c r="M130" i="12" s="1"/>
  <c r="AR10" i="13" l="1"/>
  <c r="AU10" i="13" s="1"/>
  <c r="D8" i="17"/>
  <c r="AR15" i="13"/>
  <c r="AW15" i="13" s="1"/>
  <c r="AY15" i="13" s="1"/>
  <c r="H4" i="17"/>
  <c r="H8" i="17" s="1"/>
  <c r="E8" i="17"/>
  <c r="AN85" i="13"/>
  <c r="AN87" i="13" s="1"/>
  <c r="AA12" i="13"/>
  <c r="AW25" i="13"/>
  <c r="AY25" i="13" s="1"/>
  <c r="AR8" i="13"/>
  <c r="AU8" i="13" s="1"/>
  <c r="AH63" i="13"/>
  <c r="AH12" i="13" s="1"/>
  <c r="M25" i="13"/>
  <c r="AR9" i="13"/>
  <c r="AU9" i="13" s="1"/>
  <c r="AJ14" i="13"/>
  <c r="M66" i="13"/>
  <c r="AY9" i="13"/>
  <c r="M22" i="13"/>
  <c r="E8" i="13"/>
  <c r="W257" i="13"/>
  <c r="C31" i="14"/>
  <c r="C30" i="14" s="1"/>
  <c r="C29" i="14" s="1"/>
  <c r="C55" i="14" s="1"/>
  <c r="C56" i="14" s="1"/>
  <c r="F19" i="13"/>
  <c r="M113" i="13"/>
  <c r="M28" i="13"/>
  <c r="M75" i="13"/>
  <c r="D17" i="13"/>
  <c r="M42" i="13"/>
  <c r="G19" i="13"/>
  <c r="AZ26" i="13"/>
  <c r="AZ27" i="13"/>
  <c r="AJ183" i="13"/>
  <c r="AJ168" i="13" s="1"/>
  <c r="M48" i="13"/>
  <c r="AY27" i="13"/>
  <c r="AS25" i="13"/>
  <c r="AV30" i="13"/>
  <c r="AU14" i="12"/>
  <c r="D47" i="14"/>
  <c r="D45" i="14" s="1"/>
  <c r="BO22" i="13"/>
  <c r="BI11" i="13" s="1"/>
  <c r="AU17" i="12"/>
  <c r="X10" i="13"/>
  <c r="X8" i="13" s="1"/>
  <c r="X259" i="13" s="1"/>
  <c r="X263" i="13" s="1"/>
  <c r="BO14" i="13"/>
  <c r="AY26" i="13"/>
  <c r="AA112" i="13"/>
  <c r="AA110" i="13" s="1"/>
  <c r="AA10" i="13" s="1"/>
  <c r="AA8" i="13" s="1"/>
  <c r="BI9" i="13"/>
  <c r="D37" i="14"/>
  <c r="AG259" i="12"/>
  <c r="AG263" i="12" s="1"/>
  <c r="AC1" i="12"/>
  <c r="AX24" i="13"/>
  <c r="AZ24" i="13" s="1"/>
  <c r="AV24" i="13"/>
  <c r="AW16" i="13"/>
  <c r="AY16" i="13" s="1"/>
  <c r="AU16" i="13"/>
  <c r="D35" i="14"/>
  <c r="D32" i="14" s="1"/>
  <c r="D31" i="14" s="1"/>
  <c r="BO9" i="13"/>
  <c r="AV27" i="13"/>
  <c r="I8" i="12"/>
  <c r="AA257" i="12"/>
  <c r="D54" i="14"/>
  <c r="BI15" i="13"/>
  <c r="AH147" i="13"/>
  <c r="AH145" i="13" s="1"/>
  <c r="AH261" i="13"/>
  <c r="AY29" i="13"/>
  <c r="AU29" i="13"/>
  <c r="AV29" i="13"/>
  <c r="AZ29" i="13"/>
  <c r="AH112" i="13"/>
  <c r="AA259" i="12"/>
  <c r="AA263" i="12" s="1"/>
  <c r="U1" i="12"/>
  <c r="AQ33" i="10"/>
  <c r="AU32" i="10"/>
  <c r="AV32" i="10"/>
  <c r="AI257" i="13"/>
  <c r="AI8" i="13"/>
  <c r="AI259" i="13" s="1"/>
  <c r="AI263" i="13" s="1"/>
  <c r="AX31" i="12"/>
  <c r="AW31" i="12"/>
  <c r="AY31" i="12" s="1"/>
  <c r="AV31" i="12"/>
  <c r="AZ31" i="12"/>
  <c r="AU31" i="12"/>
  <c r="AQ32" i="12"/>
  <c r="BI14" i="13"/>
  <c r="D53" i="14"/>
  <c r="AR7" i="13"/>
  <c r="AU7" i="13" s="1"/>
  <c r="I21" i="13"/>
  <c r="D11" i="14"/>
  <c r="D10" i="14" s="1"/>
  <c r="D9" i="14" s="1"/>
  <c r="D25" i="14" s="1"/>
  <c r="BD10" i="13"/>
  <c r="BD9" i="13" s="1"/>
  <c r="BD8" i="13" s="1"/>
  <c r="B10" i="16" s="1"/>
  <c r="BN8" i="13"/>
  <c r="BN7" i="13" s="1"/>
  <c r="BN32" i="13" s="1"/>
  <c r="BH8" i="13"/>
  <c r="BH7" i="13" s="1"/>
  <c r="BH16" i="13" s="1"/>
  <c r="BH17" i="13" s="1"/>
  <c r="AG192" i="13"/>
  <c r="AS28" i="13"/>
  <c r="AX32" i="12"/>
  <c r="AZ23" i="12"/>
  <c r="AZ32" i="12" s="1"/>
  <c r="AG14" i="13"/>
  <c r="AS23" i="13"/>
  <c r="AU26" i="13"/>
  <c r="AG63" i="13"/>
  <c r="D39" i="14"/>
  <c r="D38" i="14" s="1"/>
  <c r="BO15" i="13"/>
  <c r="BI10" i="13" s="1"/>
  <c r="BJ10" i="13"/>
  <c r="BJ7" i="13" s="1"/>
  <c r="BJ16" i="13" s="1"/>
  <c r="BP7" i="13"/>
  <c r="BP32" i="13" s="1"/>
  <c r="AD8" i="13"/>
  <c r="AJ261" i="13"/>
  <c r="AJ65" i="13"/>
  <c r="AJ63" i="13" s="1"/>
  <c r="AJ12" i="13" s="1"/>
  <c r="AJ10" i="13" s="1"/>
  <c r="I19" i="13" l="1"/>
  <c r="AQ14" i="13"/>
  <c r="F17" i="13"/>
  <c r="D8" i="13"/>
  <c r="V257" i="13"/>
  <c r="G17" i="13"/>
  <c r="E126" i="13"/>
  <c r="M21" i="13"/>
  <c r="AN83" i="13"/>
  <c r="AN264" i="13" s="1"/>
  <c r="AL258" i="13"/>
  <c r="D30" i="14"/>
  <c r="D29" i="14" s="1"/>
  <c r="D55" i="14" s="1"/>
  <c r="D56" i="14" s="1"/>
  <c r="X257" i="13"/>
  <c r="AQ31" i="13" s="1"/>
  <c r="AW31" i="13" s="1"/>
  <c r="AH110" i="13"/>
  <c r="AH10" i="13" s="1"/>
  <c r="AH257" i="13" s="1"/>
  <c r="AX25" i="13"/>
  <c r="AZ25" i="13" s="1"/>
  <c r="AV25" i="13"/>
  <c r="AJ257" i="13"/>
  <c r="AJ8" i="13"/>
  <c r="AJ259" i="13" s="1"/>
  <c r="AJ263" i="13" s="1"/>
  <c r="E56" i="14"/>
  <c r="I126" i="12"/>
  <c r="I130" i="12" s="1"/>
  <c r="J5" i="12"/>
  <c r="K1" i="12"/>
  <c r="AV32" i="12"/>
  <c r="AQ33" i="12"/>
  <c r="AU32" i="12"/>
  <c r="AD259" i="13"/>
  <c r="AD263" i="13" s="1"/>
  <c r="Y1" i="13"/>
  <c r="E9" i="15"/>
  <c r="AA259" i="13"/>
  <c r="U1" i="13"/>
  <c r="BD22" i="13"/>
  <c r="AG12" i="13"/>
  <c r="AG10" i="13" s="1"/>
  <c r="L10" i="16"/>
  <c r="G10" i="16"/>
  <c r="V10" i="16"/>
  <c r="Q10" i="16"/>
  <c r="I17" i="13"/>
  <c r="AR14" i="13"/>
  <c r="AX23" i="13"/>
  <c r="AZ23" i="13" s="1"/>
  <c r="AV23" i="13"/>
  <c r="BO8" i="13"/>
  <c r="BO7" i="13" s="1"/>
  <c r="BO32" i="13" s="1"/>
  <c r="BI8" i="13"/>
  <c r="BI7" i="13" s="1"/>
  <c r="BI16" i="13" s="1"/>
  <c r="AX28" i="13"/>
  <c r="AZ28" i="13" s="1"/>
  <c r="AV28" i="13"/>
  <c r="AH8" i="13" l="1"/>
  <c r="AH259" i="13" s="1"/>
  <c r="AH263" i="13" s="1"/>
  <c r="AQ32" i="13"/>
  <c r="E130" i="13"/>
  <c r="AX31" i="13"/>
  <c r="AX32" i="13" s="1"/>
  <c r="M19" i="13"/>
  <c r="G8" i="13"/>
  <c r="Y257" i="13"/>
  <c r="D126" i="13"/>
  <c r="F8" i="13"/>
  <c r="AY14" i="13"/>
  <c r="AY17" i="13" s="1"/>
  <c r="AZ14" i="13"/>
  <c r="AQ17" i="13"/>
  <c r="AA263" i="13"/>
  <c r="E18" i="15"/>
  <c r="AQ33" i="13"/>
  <c r="AY31" i="13"/>
  <c r="AY32" i="13" s="1"/>
  <c r="AW32" i="13"/>
  <c r="AA257" i="13"/>
  <c r="I8" i="13"/>
  <c r="AG8" i="13"/>
  <c r="AG257" i="13"/>
  <c r="AS31" i="13" s="1"/>
  <c r="AR17" i="13"/>
  <c r="AU14" i="13"/>
  <c r="A9" i="15" l="1"/>
  <c r="F126" i="13"/>
  <c r="D130" i="13"/>
  <c r="M17" i="13"/>
  <c r="G126" i="13"/>
  <c r="AZ31" i="13"/>
  <c r="AZ32" i="13" s="1"/>
  <c r="AC1" i="13"/>
  <c r="AG259" i="13"/>
  <c r="F9" i="15"/>
  <c r="AY35" i="13"/>
  <c r="AU17" i="13"/>
  <c r="B9" i="15"/>
  <c r="I126" i="13"/>
  <c r="AS32" i="13"/>
  <c r="AV32" i="13" s="1"/>
  <c r="AV31" i="13"/>
  <c r="A18" i="15" l="1"/>
  <c r="F130" i="13"/>
  <c r="G130" i="13"/>
  <c r="M8" i="13"/>
  <c r="AE257" i="13"/>
  <c r="B18" i="15"/>
  <c r="I130" i="13"/>
  <c r="G9" i="15"/>
  <c r="I9" i="15"/>
  <c r="F18" i="15"/>
  <c r="AG263" i="13"/>
  <c r="M126" i="13" l="1"/>
  <c r="I18" i="15"/>
  <c r="G18" i="15"/>
  <c r="M130" i="13" l="1"/>
  <c r="N128" i="13" l="1"/>
  <c r="L128" i="13"/>
  <c r="AX9" i="13"/>
  <c r="AZ9" i="13" s="1"/>
  <c r="AZ17" i="13" s="1"/>
  <c r="AZ35" i="13" s="1"/>
  <c r="AX17" i="13"/>
  <c r="AS9" i="13"/>
  <c r="AV9" i="13" s="1"/>
  <c r="L75" i="13"/>
  <c r="L21" i="13" s="1"/>
  <c r="K75" i="13"/>
  <c r="L77" i="13"/>
  <c r="N77" i="13"/>
  <c r="N75" i="13"/>
  <c r="N21" i="13"/>
  <c r="N19" i="13" s="1"/>
  <c r="AW17" i="13" l="1"/>
  <c r="N17" i="13"/>
  <c r="L19" i="13"/>
  <c r="K21" i="13"/>
  <c r="L17" i="13" l="1"/>
  <c r="AS14" i="13"/>
  <c r="K19" i="13"/>
  <c r="AF257" i="13"/>
  <c r="N8" i="13"/>
  <c r="N126" i="13" l="1"/>
  <c r="K17" i="13"/>
  <c r="AS17" i="13"/>
  <c r="AV14" i="13"/>
  <c r="L8" i="13"/>
  <c r="AD257" i="13"/>
  <c r="AR31" i="13" s="1"/>
  <c r="C10" i="16"/>
  <c r="H10" i="16" l="1"/>
  <c r="R10" i="16"/>
  <c r="W10" i="16"/>
  <c r="M10" i="16"/>
  <c r="AU31" i="13"/>
  <c r="AR32" i="13"/>
  <c r="N130" i="13"/>
  <c r="C9" i="15"/>
  <c r="K1" i="13"/>
  <c r="J5" i="13"/>
  <c r="L126" i="13"/>
  <c r="AV35" i="13"/>
  <c r="AV17" i="13"/>
  <c r="K8" i="13"/>
  <c r="AC257" i="13"/>
  <c r="K126" i="13" l="1"/>
  <c r="L130" i="13"/>
  <c r="C18" i="15"/>
  <c r="H9" i="15"/>
  <c r="J9" i="15"/>
  <c r="D9" i="15"/>
  <c r="AU35" i="13"/>
  <c r="AU32" i="13"/>
  <c r="K130" i="13" l="1"/>
  <c r="J18" i="15"/>
  <c r="H18" i="15"/>
  <c r="D18"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P3" authorId="0" shapeId="0" xr:uid="{00000000-0006-0000-0100-000001000000}">
      <text>
        <r>
          <rPr>
            <sz val="10"/>
            <color rgb="FF000000"/>
            <rFont val="Arial"/>
            <family val="2"/>
          </rPr>
          <t>======
ID#AAAAND3HXSI
Carlos Norvey Bolivar    (2021-07-07 17:45:52)
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shapeId="0" xr:uid="{00000000-0006-0000-0100-000002000000}">
      <text>
        <r>
          <rPr>
            <sz val="10"/>
            <color rgb="FF000000"/>
            <rFont val="Arial"/>
            <family val="2"/>
          </rPr>
          <t>======
ID#AAAAND3HXRo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shapeId="0" xr:uid="{00000000-0006-0000-0100-000003000000}">
      <text>
        <r>
          <rPr>
            <sz val="10"/>
            <color rgb="FF000000"/>
            <rFont val="Arial"/>
            <family val="2"/>
          </rPr>
          <t>======
ID#AAAAND3HXRY
Carlos Norvey Bolivar    (2021-07-07 17:45:52)
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shapeId="0" xr:uid="{00000000-0006-0000-0100-000004000000}">
      <text>
        <r>
          <rPr>
            <sz val="10"/>
            <color rgb="FF000000"/>
            <rFont val="Arial"/>
            <family val="2"/>
          </rPr>
          <t>======
ID#AAAAND3HXQE
Carlos Norvey Bolivar    (2021-07-07 17:45:51)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 ref="B42" authorId="0" shapeId="0" xr:uid="{00000000-0006-0000-0100-000005000000}">
      <text>
        <r>
          <rPr>
            <sz val="10"/>
            <color rgb="FF000000"/>
            <rFont val="Arial"/>
            <family val="2"/>
          </rPr>
          <t>======
ID#AAAAND3HXQo
ATABORDAA    (2021-07-07 17:45:52)
Las actividades de Promoción y Prevención se manejaran en su respectivo régimen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P3" authorId="0" shapeId="0" xr:uid="{00000000-0006-0000-0A00-000001000000}">
      <text>
        <r>
          <rPr>
            <sz val="10"/>
            <color rgb="FF000000"/>
            <rFont val="Arial"/>
            <family val="2"/>
          </rPr>
          <t>======
ID#AAAAND3HXRc
Carlos Norvey Bolivar    (2021-07-07 17:45:52)
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shapeId="0" xr:uid="{00000000-0006-0000-0A00-000002000000}">
      <text>
        <r>
          <rPr>
            <sz val="10"/>
            <color rgb="FF000000"/>
            <rFont val="Arial"/>
            <family val="2"/>
          </rPr>
          <t>======
ID#AAAAND3HXQ8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shapeId="0" xr:uid="{00000000-0006-0000-0A00-000003000000}">
      <text>
        <r>
          <rPr>
            <sz val="10"/>
            <color rgb="FF000000"/>
            <rFont val="Arial"/>
            <family val="2"/>
          </rPr>
          <t>======
ID#AAAAND3HXQs
Carlos Norvey Bolivar    (2021-07-07 17:45:52)
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shapeId="0" xr:uid="{00000000-0006-0000-0A00-000004000000}">
      <text>
        <r>
          <rPr>
            <sz val="10"/>
            <color rgb="FF000000"/>
            <rFont val="Arial"/>
            <family val="2"/>
          </rPr>
          <t>======
ID#AAAAND3HXRI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P3" authorId="0" shapeId="0" xr:uid="{00000000-0006-0000-0B00-000001000000}">
      <text>
        <r>
          <rPr>
            <sz val="10"/>
            <color rgb="FF000000"/>
            <rFont val="Arial"/>
            <family val="2"/>
          </rPr>
          <t>======
ID#AAAAND3HXSo
Carlos Norvey Bolivar    (2021-07-07 17:45:52)
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shapeId="0" xr:uid="{00000000-0006-0000-0B00-000002000000}">
      <text>
        <r>
          <rPr>
            <sz val="10"/>
            <color rgb="FF000000"/>
            <rFont val="Arial"/>
            <family val="2"/>
          </rPr>
          <t>======
ID#AAAAND3HXRw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shapeId="0" xr:uid="{00000000-0006-0000-0B00-000003000000}">
      <text>
        <r>
          <rPr>
            <sz val="10"/>
            <color rgb="FF000000"/>
            <rFont val="Arial"/>
            <family val="2"/>
          </rPr>
          <t>======
ID#AAAAND3HXS4
Carlos Norvey Bolivar    (2021-07-07 17:45:52)
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shapeId="0" xr:uid="{00000000-0006-0000-0B00-000004000000}">
      <text>
        <r>
          <rPr>
            <sz val="10"/>
            <color rgb="FF000000"/>
            <rFont val="Arial"/>
            <family val="2"/>
          </rPr>
          <t>======
ID#AAAAND3HXR0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P3" authorId="0" shapeId="0" xr:uid="{00000000-0006-0000-0C00-000001000000}">
      <text>
        <r>
          <rPr>
            <sz val="10"/>
            <color rgb="FF000000"/>
            <rFont val="Arial"/>
            <family val="2"/>
          </rPr>
          <t>======
ID#AAAAND3HXRQ
Carlos Norvey Bolivar    (2021-07-07 17:45:52)
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shapeId="0" xr:uid="{00000000-0006-0000-0C00-000002000000}">
      <text>
        <r>
          <rPr>
            <sz val="10"/>
            <color rgb="FF000000"/>
            <rFont val="Arial"/>
            <family val="2"/>
          </rPr>
          <t>======
ID#AAAAND3HXRU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shapeId="0" xr:uid="{00000000-0006-0000-0C00-000003000000}">
      <text>
        <r>
          <rPr>
            <sz val="10"/>
            <color rgb="FF000000"/>
            <rFont val="Arial"/>
            <family val="2"/>
          </rPr>
          <t>======
ID#AAAAND3HXSE
Carlos Norvey Bolivar    (2021-07-07 17:45:52)
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shapeId="0" xr:uid="{00000000-0006-0000-0C00-000004000000}">
      <text>
        <r>
          <rPr>
            <sz val="10"/>
            <color rgb="FF000000"/>
            <rFont val="Arial"/>
            <family val="2"/>
          </rPr>
          <t>======
ID#AAAAND3HXSA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P3" authorId="0" shapeId="0" xr:uid="{00000000-0006-0000-0200-000001000000}">
      <text>
        <r>
          <rPr>
            <sz val="10"/>
            <color rgb="FF000000"/>
            <rFont val="Arial"/>
            <family val="2"/>
          </rPr>
          <t>======
ID#AAAAND3HXSU
Carlos Norvey Bolivar    (2021-07-07 17:45:52)
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shapeId="0" xr:uid="{00000000-0006-0000-0200-000002000000}">
      <text>
        <r>
          <rPr>
            <sz val="10"/>
            <color rgb="FF000000"/>
            <rFont val="Arial"/>
            <family val="2"/>
          </rPr>
          <t>======
ID#AAAAND3HXRA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shapeId="0" xr:uid="{00000000-0006-0000-0200-000003000000}">
      <text>
        <r>
          <rPr>
            <sz val="10"/>
            <color rgb="FF000000"/>
            <rFont val="Arial"/>
            <family val="2"/>
          </rPr>
          <t>======
ID#AAAAND3HXRg
Carlos Norvey Bolivar    (2021-07-07 17:45:52)
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shapeId="0" xr:uid="{00000000-0006-0000-0200-000004000000}">
      <text>
        <r>
          <rPr>
            <sz val="10"/>
            <color rgb="FF000000"/>
            <rFont val="Arial"/>
            <family val="2"/>
          </rPr>
          <t>======
ID#AAAAND3HXRk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P3" authorId="0" shapeId="0" xr:uid="{00000000-0006-0000-0300-000001000000}">
      <text>
        <r>
          <rPr>
            <sz val="10"/>
            <color rgb="FF000000"/>
            <rFont val="Arial"/>
            <family val="2"/>
          </rPr>
          <t>======
ID#AAAAND3HXQ4
Carlos Norvey Bolivar    (2021-07-07 17:45:52)
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shapeId="0" xr:uid="{00000000-0006-0000-0300-000002000000}">
      <text>
        <r>
          <rPr>
            <sz val="10"/>
            <color rgb="FF000000"/>
            <rFont val="Arial"/>
            <family val="2"/>
          </rPr>
          <t>======
ID#AAAAND3HXQQ
Carlos Norvey Bolivar    (2021-07-07 17:45:51)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shapeId="0" xr:uid="{00000000-0006-0000-0300-000003000000}">
      <text>
        <r>
          <rPr>
            <sz val="10"/>
            <color rgb="FF000000"/>
            <rFont val="Arial"/>
            <family val="2"/>
          </rPr>
          <t>======
ID#AAAAND3HXS8
Carlos Norvey Bolivar    (2021-07-07 17:45:52)
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shapeId="0" xr:uid="{00000000-0006-0000-0300-000004000000}">
      <text>
        <r>
          <rPr>
            <sz val="10"/>
            <color rgb="FF000000"/>
            <rFont val="Arial"/>
            <family val="2"/>
          </rPr>
          <t>======
ID#AAAAND3HXS0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P3" authorId="0" shapeId="0" xr:uid="{00000000-0006-0000-0400-000001000000}">
      <text>
        <r>
          <rPr>
            <sz val="10"/>
            <color rgb="FF000000"/>
            <rFont val="Arial"/>
            <family val="2"/>
          </rPr>
          <t>======
ID#AAAAND3HXSs
Carlos Norvey Bolivar    (2021-07-07 17:45:52)
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shapeId="0" xr:uid="{00000000-0006-0000-0400-000002000000}">
      <text>
        <r>
          <rPr>
            <sz val="10"/>
            <color rgb="FF000000"/>
            <rFont val="Arial"/>
            <family val="2"/>
          </rPr>
          <t>======
ID#AAAAND3HXSg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shapeId="0" xr:uid="{00000000-0006-0000-0400-000003000000}">
      <text>
        <r>
          <rPr>
            <sz val="10"/>
            <color rgb="FF000000"/>
            <rFont val="Arial"/>
            <family val="2"/>
          </rPr>
          <t>======
ID#AAAAND3HXQI
Carlos Norvey Bolivar    (2021-07-07 17:45:51)
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shapeId="0" xr:uid="{00000000-0006-0000-0400-000004000000}">
      <text>
        <r>
          <rPr>
            <sz val="10"/>
            <color rgb="FF000000"/>
            <rFont val="Arial"/>
            <family val="2"/>
          </rPr>
          <t>======
ID#AAAAND3HXSY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P3" authorId="0" shapeId="0" xr:uid="{00000000-0006-0000-0500-000001000000}">
      <text>
        <r>
          <rPr>
            <sz val="10"/>
            <color rgb="FF000000"/>
            <rFont val="Arial"/>
            <family val="2"/>
          </rPr>
          <t>======
ID#AAAAND3HXR4
Carlos Norvey Bolivar    (2021-07-07 17:45:52)
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shapeId="0" xr:uid="{00000000-0006-0000-0500-000002000000}">
      <text>
        <r>
          <rPr>
            <sz val="10"/>
            <color rgb="FF000000"/>
            <rFont val="Arial"/>
            <family val="2"/>
          </rPr>
          <t>======
ID#AAAAND3HXSk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shapeId="0" xr:uid="{00000000-0006-0000-0500-000003000000}">
      <text>
        <r>
          <rPr>
            <sz val="10"/>
            <color rgb="FF000000"/>
            <rFont val="Arial"/>
            <family val="2"/>
          </rPr>
          <t>======
ID#AAAAND3HXQc
Carlos Norvey Bolivar    (2021-07-07 17:45:52)
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shapeId="0" xr:uid="{00000000-0006-0000-0500-000004000000}">
      <text>
        <r>
          <rPr>
            <sz val="10"/>
            <color rgb="FF000000"/>
            <rFont val="Arial"/>
            <family val="2"/>
          </rPr>
          <t>======
ID#AAAAND3HXRs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P3" authorId="0" shapeId="0" xr:uid="{00000000-0006-0000-0600-000001000000}">
      <text>
        <r>
          <rPr>
            <sz val="10"/>
            <color rgb="FF000000"/>
            <rFont val="Arial"/>
            <family val="2"/>
          </rPr>
          <t>======
ID#AAAAND3HXTA
Carlos Norvey Bolivar    (2021-07-07 17:45:52)
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shapeId="0" xr:uid="{00000000-0006-0000-0600-000002000000}">
      <text>
        <r>
          <rPr>
            <sz val="10"/>
            <color rgb="FF000000"/>
            <rFont val="Arial"/>
            <family val="2"/>
          </rPr>
          <t>======
ID#AAAAND3HXQU
Carlos Norvey Bolivar    (2021-07-07 17:45:51)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shapeId="0" xr:uid="{00000000-0006-0000-0600-000003000000}">
      <text>
        <r>
          <rPr>
            <sz val="10"/>
            <color rgb="FF000000"/>
            <rFont val="Arial"/>
            <family val="2"/>
          </rPr>
          <t>======
ID#AAAAND3HXSM
Carlos Norvey Bolivar    (2021-07-07 17:45:52)
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shapeId="0" xr:uid="{00000000-0006-0000-0600-000004000000}">
      <text>
        <r>
          <rPr>
            <sz val="10"/>
            <color rgb="FF000000"/>
            <rFont val="Arial"/>
            <family val="2"/>
          </rPr>
          <t>======
ID#AAAAND3HXQw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P3" authorId="0" shapeId="0" xr:uid="{00000000-0006-0000-0700-000001000000}">
      <text>
        <r>
          <rPr>
            <sz val="10"/>
            <color rgb="FF000000"/>
            <rFont val="Arial"/>
            <family val="2"/>
          </rPr>
          <t>======
ID#AAAAND3HXQg
Carlos Norvey Bolivar    (2021-07-07 17:45:52)
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shapeId="0" xr:uid="{00000000-0006-0000-0700-000002000000}">
      <text>
        <r>
          <rPr>
            <sz val="10"/>
            <color rgb="FF000000"/>
            <rFont val="Arial"/>
            <family val="2"/>
          </rPr>
          <t>======
ID#AAAAND3HXQM
Carlos Norvey Bolivar    (2021-07-07 17:45:51)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shapeId="0" xr:uid="{00000000-0006-0000-0700-000003000000}">
      <text>
        <r>
          <rPr>
            <sz val="10"/>
            <color rgb="FF000000"/>
            <rFont val="Arial"/>
            <family val="2"/>
          </rPr>
          <t>======
ID#AAAAND3HXSc
Carlos Norvey Bolivar    (2021-07-07 17:45:52)
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shapeId="0" xr:uid="{00000000-0006-0000-0700-000004000000}">
      <text>
        <r>
          <rPr>
            <sz val="10"/>
            <color rgb="FF000000"/>
            <rFont val="Arial"/>
            <family val="2"/>
          </rPr>
          <t>======
ID#AAAAND3HXRM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P3" authorId="0" shapeId="0" xr:uid="{00000000-0006-0000-0800-000001000000}">
      <text>
        <r>
          <rPr>
            <sz val="10"/>
            <color rgb="FF000000"/>
            <rFont val="Arial"/>
            <family val="2"/>
          </rPr>
          <t>======
ID#AAAAND3HXRE
Carlos Norvey Bolivar    (2021-07-07 17:45:52)
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shapeId="0" xr:uid="{00000000-0006-0000-0800-000002000000}">
      <text>
        <r>
          <rPr>
            <sz val="10"/>
            <color rgb="FF000000"/>
            <rFont val="Arial"/>
            <family val="2"/>
          </rPr>
          <t>======
ID#AAAAND3HXR8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shapeId="0" xr:uid="{00000000-0006-0000-0800-000003000000}">
      <text>
        <r>
          <rPr>
            <sz val="10"/>
            <color rgb="FF000000"/>
            <rFont val="Arial"/>
            <family val="2"/>
          </rPr>
          <t>======
ID#AAAAND3HXQY
Carlos Norvey Bolivar    (2021-07-07 17:45:51)
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shapeId="0" xr:uid="{00000000-0006-0000-0800-000004000000}">
      <text>
        <r>
          <rPr>
            <sz val="10"/>
            <color rgb="FF000000"/>
            <rFont val="Arial"/>
            <family val="2"/>
          </rPr>
          <t>======
ID#AAAAND3HXQk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P3" authorId="0" shapeId="0" xr:uid="{00000000-0006-0000-0900-000001000000}">
      <text>
        <r>
          <rPr>
            <sz val="10"/>
            <color rgb="FF000000"/>
            <rFont val="Arial"/>
            <family val="2"/>
          </rPr>
          <t>======
ID#AAAAND3HXSQ
Carlos Norvey Bolivar    (2021-07-07 17:45:52)
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shapeId="0" xr:uid="{00000000-0006-0000-0900-000002000000}">
      <text>
        <r>
          <rPr>
            <sz val="10"/>
            <color rgb="FF000000"/>
            <rFont val="Arial"/>
            <family val="2"/>
          </rPr>
          <t>======
ID#AAAAND3HXQ0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shapeId="0" xr:uid="{00000000-0006-0000-0900-000003000000}">
      <text>
        <r>
          <rPr>
            <sz val="10"/>
            <color rgb="FF000000"/>
            <rFont val="Arial"/>
            <family val="2"/>
          </rPr>
          <t>======
ID#AAAAND3HXQY
Carlos Norvey Bolivar    (2021-07-07 17:45:51)
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shapeId="0" xr:uid="{00000000-0006-0000-0900-000004000000}">
      <text>
        <r>
          <rPr>
            <sz val="10"/>
            <color rgb="FF000000"/>
            <rFont val="Arial"/>
            <family val="2"/>
          </rPr>
          <t>======
ID#AAAAND3HXQk
Carlos Norvey Bolivar    (2021-07-07 17:45:52)
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sharedStrings.xml><?xml version="1.0" encoding="utf-8"?>
<sst xmlns="http://schemas.openxmlformats.org/spreadsheetml/2006/main" count="3678" uniqueCount="803">
  <si>
    <t>DIGITAR AQUÍ LOS NOMBRES DEL MUNICIPIO Y DE LA INSTITUCION PARA LA IDENTIFICACION DEL ARCHIVO</t>
  </si>
  <si>
    <t>MUNICIPIO:</t>
  </si>
  <si>
    <t>BELLO</t>
  </si>
  <si>
    <t>VIGENCIA</t>
  </si>
  <si>
    <t>INSTITUCION:</t>
  </si>
  <si>
    <t>ESE HOSPITAL MARCO FIDEL SUAREZ</t>
  </si>
  <si>
    <t>NO AGREGARLE NI LINEAS NI COLUMNAS, ESTO IMPIDE LA CONSOLIDACION AUTOMÁTICA</t>
  </si>
  <si>
    <t>CUANDO SE NECESITA HACER CORRECCIONES A VALORES, NUNCA CORTE EL DATO, PORQUE CORTA LA REFERENCIA DE LAS FORMULAS.</t>
  </si>
  <si>
    <t>El presupuesto inicial se digita en la Hoja ENERO: Columnas C ( Ingresos ) y U (Gastos)</t>
  </si>
  <si>
    <t>En las celdas en blanco puede registrar otros conceptos que esten dentro del grupo correspondiente</t>
  </si>
  <si>
    <t>Las modificaciones al presupuesto ( Rebajas y Traslados) se digitan en las columnas P y AL, en el mes en que se producen, no lo intente en las columnas D y V, porque daña las referencias.  A las rebajas y a los contracréditos se les antepone el signo menos (-).  Las adiciones las digita en la columna Q y AM   tampoco lo intente en las columnas E y W porque también destruye las referencias.</t>
  </si>
  <si>
    <t>A partir del mes de febrero solamente se trabaja en las columnas H, K, P y Q en ingresos y en las columnas Z, AC, AF,AL y AM para los gastos.</t>
  </si>
  <si>
    <t>NO HACER CORRECIONES SOBRE MESES ANTERIORES. SE HACEN EN EL MES QUE CURSA</t>
  </si>
  <si>
    <t>PARA LA VALIDACION DE LOS REPORTES TRIMESTRALES, LA EJECUCION DEBE ESTAR DILIGENCIADA SOLAMENTE HASTA EL MES DEL CORTE</t>
  </si>
  <si>
    <t>LA INSTITUCION DEBE LLEVAR LAS TARJETAS POR CADA RUBRO U APROPIACION Y ALLI REGISTRAR LA OPERACION PRESUPUESTAL EN EL MOMENTO EN QUE SE PRODUZCA</t>
  </si>
  <si>
    <t>AL FINALIZAR EL MES SE TOTALIZARAN LOS RECONOCIMIENTOS Y  RECAUDOS POR CADA RUBRO DE INGRESOS Y LOS COMPROMISOS OBLIGACIONES Y PAGOS POR CADA APROPIACION DEL GASTO. ESOS TOTALES SERAN LOS QUE SE LLEVAN AL INFORME DE EJECUCION</t>
  </si>
  <si>
    <t>Para enviar la información a la S.S.S.A. debe sacar copia del mes utilizando el comando Edición, así:</t>
  </si>
  <si>
    <t>Edición - Mover o Copiar Hoja - Crear copia, en libro nuevo</t>
  </si>
  <si>
    <t xml:space="preserve">Con este comando puede crear una copia en otro libro. </t>
  </si>
  <si>
    <t>Si ejecuta mover, su archivo se quedará sin el mes que esta trabajando dejándolo incompleto.</t>
  </si>
  <si>
    <t>Resumen:</t>
  </si>
  <si>
    <r>
      <rPr>
        <sz val="9"/>
        <color theme="1"/>
        <rFont val="Arial"/>
        <family val="2"/>
      </rPr>
      <t xml:space="preserve">Edición (Clic)    Mover o Copiar Hoja...(Clic)    Al Libro = Nuevo Libro (Clic)    Activar la opción </t>
    </r>
    <r>
      <rPr>
        <b/>
        <sz val="9"/>
        <color rgb="FFFF0000"/>
        <rFont val="Arial"/>
        <family val="2"/>
      </rPr>
      <t>Crear una</t>
    </r>
    <r>
      <rPr>
        <sz val="9"/>
        <color rgb="FFFF0000"/>
        <rFont val="Arial"/>
        <family val="2"/>
      </rPr>
      <t xml:space="preserve"> Copia (Click)- Enter. Una vez ejecutada esta orden se renombra el libro creado</t>
    </r>
  </si>
  <si>
    <t>CONCEPTOS BASICOS</t>
  </si>
  <si>
    <t>RECONOCIMIENTOS</t>
  </si>
  <si>
    <t>*  Registrar los valores facturados en cada rubro de la vigencia  y el total de CxC de vigencias anteriores por cada concepto.</t>
  </si>
  <si>
    <t xml:space="preserve">* Para los recursos de la Disponibilidad inicial su reconocimiento debe ser siempre igual al presupuesto definitivo por corresponder a recursos disponibles a diciembre 31 del año anterior. </t>
  </si>
  <si>
    <t>RECAUDOS</t>
  </si>
  <si>
    <t>* Registrar mes a mes los valores recaudados por cada concepto y que correspondan a facturacion de servicios de la vigencia actual y las anteriores</t>
  </si>
  <si>
    <t xml:space="preserve">* Para los recursos de Disponibilidad inicial su recaudo debe ser siempre igual a presupuesto definitivo por corresponder a recursos disponibles a Dic-31 del año anterior. </t>
  </si>
  <si>
    <t>COMPROMISOS</t>
  </si>
  <si>
    <t>Acto realizado por los órganos que en desarrollo de la capacidad de contratar y de comprometer el presupuesto a nombre de la persona jurídica de la cual hagan parte, se encuentren en el proceso de llevar a cabo el objeto establecido en los mismos.</t>
  </si>
  <si>
    <t>OBLIGACIONES</t>
  </si>
  <si>
    <t>Monto adeudado producto del desarrollo de los compromisos adquiridos por el valor equivalente a los bienes recibidos, servicios prestados y demás exigibles pendientes de pago.</t>
  </si>
  <si>
    <t>* Registrarlas deudas producto del desarrollo de compromisos adquiridos por el valor equivalente a bienes recibidos, servicios prestados y demás exigibles causados en el mes en la columna "DEL MES" y el acumulado durante el período transcurrido en la columna "TOTAL"</t>
  </si>
  <si>
    <t>PAGOS</t>
  </si>
  <si>
    <t>* Desembolsos de Caja o Bancos, tanto como pago a compromisos como anticipos realizados</t>
  </si>
  <si>
    <t>SECRETARIA SECCIONAL DE SALUD Y PROTECCION SOCIAL DE ANTIOQUIA DE ANTIOQUIA</t>
  </si>
  <si>
    <t>MES</t>
  </si>
  <si>
    <t>AÑO</t>
  </si>
  <si>
    <t>MODIFICACIONES</t>
  </si>
  <si>
    <t xml:space="preserve">  ANALISIS DE LA SITUACION PRESUPUESTAL</t>
  </si>
  <si>
    <t>INFORMACION DE INGRESOS CONSOLIDAR INFORMES DEL SIHO</t>
  </si>
  <si>
    <t>INFORMACION DE GASTOS CONSOLIDAR INFORMES DEL SIHO</t>
  </si>
  <si>
    <t>EJECUCION PRESUPUESTAL DE INGRESOS</t>
  </si>
  <si>
    <t>ENERO</t>
  </si>
  <si>
    <r>
      <rPr>
        <b/>
        <sz val="9"/>
        <color theme="1"/>
        <rFont val="Bookman Old Style"/>
        <family val="1"/>
      </rPr>
      <t xml:space="preserve">Traslados entre rubros,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</si>
  <si>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</si>
  <si>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t>EJECUCION PRESUPUESTAL DE GASTOS</t>
  </si>
  <si>
    <r>
      <rPr>
        <b/>
        <sz val="9"/>
        <color theme="1"/>
        <rFont val="Bookman Old Style"/>
        <family val="1"/>
      </rPr>
      <t>Traslados entre apropiaciones, tanto positivos como negativos</t>
    </r>
    <r>
      <rPr>
        <sz val="9"/>
        <color theme="1"/>
        <rFont val="Bookman Old Style"/>
        <family val="1"/>
      </rPr>
      <t xml:space="preserve"> 
(No hacen variar el total general presupuestado)</t>
    </r>
  </si>
  <si>
    <r>
      <rPr>
        <b/>
        <sz val="9"/>
        <color theme="1"/>
        <rFont val="Bookman Old Style"/>
        <family val="1"/>
      </rPr>
      <t>Incrementos o disminuciones al presupuesto general.</t>
    </r>
    <r>
      <rPr>
        <sz val="9"/>
        <color theme="1"/>
        <rFont val="Bookman Old Style"/>
        <family val="1"/>
      </rPr>
      <t xml:space="preserve">  
(Admite valores positivos y negativos.)</t>
    </r>
  </si>
  <si>
    <t>INGRESOS</t>
  </si>
  <si>
    <t xml:space="preserve"> </t>
  </si>
  <si>
    <t xml:space="preserve">PRESUPUESTO </t>
  </si>
  <si>
    <t>RECONOC.</t>
  </si>
  <si>
    <t>RECAUDADO</t>
  </si>
  <si>
    <t>PORCENTAJE</t>
  </si>
  <si>
    <t>RUBRO</t>
  </si>
  <si>
    <t>PRESUPUESTO</t>
  </si>
  <si>
    <r>
      <rPr>
        <b/>
        <sz val="13"/>
        <color theme="1"/>
        <rFont val="Arial"/>
        <family val="2"/>
      </rPr>
      <t xml:space="preserve">RECONOCIMIENTO </t>
    </r>
    <r>
      <rPr>
        <b/>
        <sz val="8"/>
        <color theme="1"/>
        <rFont val="Arial"/>
        <family val="2"/>
      </rPr>
      <t xml:space="preserve">
</t>
    </r>
    <r>
      <rPr>
        <b/>
        <sz val="10"/>
        <color theme="1"/>
        <rFont val="Arial"/>
        <family val="2"/>
      </rPr>
      <t>(Facturación real del contrato firmado)</t>
    </r>
  </si>
  <si>
    <t>INGRESOS POR EJECUTAR</t>
  </si>
  <si>
    <t>APROPIACION</t>
  </si>
  <si>
    <t>DESCRIPCION</t>
  </si>
  <si>
    <r>
      <rPr>
        <b/>
        <sz val="14"/>
        <color theme="1"/>
        <rFont val="Arial"/>
        <family val="2"/>
      </rPr>
      <t xml:space="preserve">COMPROMISOS 
</t>
    </r>
    <r>
      <rPr>
        <b/>
        <sz val="10"/>
        <color theme="1"/>
        <rFont val="Arial"/>
        <family val="2"/>
      </rPr>
      <t>(REGISTROS PRESUPUESTALES)</t>
    </r>
  </si>
  <si>
    <r>
      <rPr>
        <b/>
        <sz val="14"/>
        <color theme="1"/>
        <rFont val="Arial"/>
        <family val="2"/>
      </rPr>
      <t xml:space="preserve">OBLIGACIONES 
</t>
    </r>
    <r>
      <rPr>
        <b/>
        <sz val="10"/>
        <color theme="1"/>
        <rFont val="Arial"/>
        <family val="2"/>
      </rPr>
      <t>(BIENES RECIBIDOS O SERVICIOS PRESTADOS)</t>
    </r>
  </si>
  <si>
    <t>GASTOS POR EJECUTAR</t>
  </si>
  <si>
    <t>CONCEPTOS</t>
  </si>
  <si>
    <t>A</t>
  </si>
  <si>
    <t>ESPERADO A</t>
  </si>
  <si>
    <t>EJECUTADO</t>
  </si>
  <si>
    <t>SITUACION</t>
  </si>
  <si>
    <t>FUENTE</t>
  </si>
  <si>
    <t>CONCEPTO</t>
  </si>
  <si>
    <t>INICIAL</t>
  </si>
  <si>
    <t>MODIFICAC</t>
  </si>
  <si>
    <t>ADICIONES</t>
  </si>
  <si>
    <t>DEFINITIVO</t>
  </si>
  <si>
    <t>MES ANTERIOR</t>
  </si>
  <si>
    <t>DEL MES</t>
  </si>
  <si>
    <t>TOTAL</t>
  </si>
  <si>
    <t>RECONOC</t>
  </si>
  <si>
    <t>RECAUDO</t>
  </si>
  <si>
    <t>TRASLADOS</t>
  </si>
  <si>
    <t>VARIACIONES</t>
  </si>
  <si>
    <t>Definitivo</t>
  </si>
  <si>
    <t>Reconocido</t>
  </si>
  <si>
    <t>Recaudos del mes</t>
  </si>
  <si>
    <t>Compromisos</t>
  </si>
  <si>
    <t>Obligaciones</t>
  </si>
  <si>
    <t>Pagos del mes</t>
  </si>
  <si>
    <t>Régimen Contributivo</t>
  </si>
  <si>
    <t>I. DISPONIBILIDAD INICIAL</t>
  </si>
  <si>
    <t>GASTOS DE FUNCIONAMIENTO</t>
  </si>
  <si>
    <t>GASTOS</t>
  </si>
  <si>
    <t>Régimen Subsidiado</t>
  </si>
  <si>
    <t>INGRESOS CORRIENTES</t>
  </si>
  <si>
    <t xml:space="preserve">   GASTOS DE PERSONAL DE PLANTA</t>
  </si>
  <si>
    <t xml:space="preserve">   GASTOS DE PERSONAL</t>
  </si>
  <si>
    <t>Atención Población Vinculada</t>
  </si>
  <si>
    <t>INGRESOS DE EXPLOTACION</t>
  </si>
  <si>
    <t>SERVICIOS PERSONALES INDIRECTOS</t>
  </si>
  <si>
    <t xml:space="preserve">   Servicios personales asociados a la nómina</t>
  </si>
  <si>
    <t>DISPONIBILIDAD INICIAL</t>
  </si>
  <si>
    <t>Prevención y Promoción</t>
  </si>
  <si>
    <t>Venta de servicios de salud</t>
  </si>
  <si>
    <t xml:space="preserve">   GASTOS GENERALES</t>
  </si>
  <si>
    <t>Sueldos del personal de nómina</t>
  </si>
  <si>
    <t>Convenios con la Nacion ligados a venta de servicios de salud</t>
  </si>
  <si>
    <t>Régimen subsidiado</t>
  </si>
  <si>
    <t xml:space="preserve">   TRANSFERENCIAS CORRIENTES</t>
  </si>
  <si>
    <t>Horas extras. Dominicales y festivos</t>
  </si>
  <si>
    <t>GASTOS DE PERSONAL</t>
  </si>
  <si>
    <t>Convenios con el Departamento ligados a venta de servicios de salud</t>
  </si>
  <si>
    <t>Régimen contributivo</t>
  </si>
  <si>
    <t>GASTOS DE OPERACIÓN, COMERCIALIZACION Y PRESTACION DE SERVICIOS</t>
  </si>
  <si>
    <t>Otros conceptos de servicios personales asociados a la nómina</t>
  </si>
  <si>
    <t>Convenios con el Municipio ligados a venta de servicios de salud</t>
  </si>
  <si>
    <t>Atencion a poblacion  pobre en lo no cubierto con subsidios a la demanda</t>
  </si>
  <si>
    <t>INVERSION</t>
  </si>
  <si>
    <t>Contribuciones inherentes a la nómina</t>
  </si>
  <si>
    <t>Gastos de Administración</t>
  </si>
  <si>
    <t>Otras Rentas Propias</t>
  </si>
  <si>
    <t>SOAT</t>
  </si>
  <si>
    <t>DEUDA PUBLICA</t>
  </si>
  <si>
    <t>Servicios personales indirectos</t>
  </si>
  <si>
    <t>Recursos del Capital</t>
  </si>
  <si>
    <t>FOSYGA</t>
  </si>
  <si>
    <t>CUENTAS POR PAGAR VIGENCIAS ANTERIORES</t>
  </si>
  <si>
    <t>Servicios Personales Asociados a Nómina</t>
  </si>
  <si>
    <t>Disponibilidad Inicial</t>
  </si>
  <si>
    <t>Plan de intervenciones colectivas</t>
  </si>
  <si>
    <t>III. TOTAL GASTOS</t>
  </si>
  <si>
    <t xml:space="preserve">   Adquisión de bienes</t>
  </si>
  <si>
    <t>INGRESOS  CORRIENTES</t>
  </si>
  <si>
    <t>Sueldos del Personal de nómina</t>
  </si>
  <si>
    <t>TOTAL PRESUPUESTO INGRESOS</t>
  </si>
  <si>
    <t>Otras ventas de servicios de salud</t>
  </si>
  <si>
    <t>IV=(I+II-III) DISPONIBILIDAD FINAL</t>
  </si>
  <si>
    <t xml:space="preserve">   Adquisición de servicios (Diferentes a mantenimiento)</t>
  </si>
  <si>
    <t>Horas Extras,Dominic.,Festivos y Rec. Nocturnos</t>
  </si>
  <si>
    <t>Aportes de la nación, dpto, distrito o municipio, no ligados a la venta de servicios</t>
  </si>
  <si>
    <t xml:space="preserve">   Mantenimiento</t>
  </si>
  <si>
    <t>VENTA DE SERVICIOS</t>
  </si>
  <si>
    <t>Prima Técnica</t>
  </si>
  <si>
    <t>PAGADO</t>
  </si>
  <si>
    <t>Otros ingresos corrientes</t>
  </si>
  <si>
    <t xml:space="preserve">   Servicios públicos</t>
  </si>
  <si>
    <t>Otros</t>
  </si>
  <si>
    <t>SITUACION PROY</t>
  </si>
  <si>
    <t>Ingresos de capital</t>
  </si>
  <si>
    <t>Impuestos y multas</t>
  </si>
  <si>
    <t>Venta de Servicios de Salud</t>
  </si>
  <si>
    <t xml:space="preserve">Prima de Navidad </t>
  </si>
  <si>
    <t>Cuentas por cobrar Vigencias Anteriores</t>
  </si>
  <si>
    <t xml:space="preserve">   Otros</t>
  </si>
  <si>
    <t>EPS - REGIMEN CONTRIBUTIVO</t>
  </si>
  <si>
    <t>Prima de Vacaciones</t>
  </si>
  <si>
    <t>Sueldos</t>
  </si>
  <si>
    <t>II. TOTAL DE INGRESOS</t>
  </si>
  <si>
    <t>Bonificación  por servicios prestados</t>
  </si>
  <si>
    <t>Otros Servicios Pers. Asoc. a Nómina</t>
  </si>
  <si>
    <t xml:space="preserve">   Pago directo de pensionados o jubilados</t>
  </si>
  <si>
    <t>Vigencia Anterior</t>
  </si>
  <si>
    <t>Prima de Servicios</t>
  </si>
  <si>
    <t>Servicios Personales Indirectos</t>
  </si>
  <si>
    <t xml:space="preserve">   Otras transferencias corrientes</t>
  </si>
  <si>
    <t>ARS - REGIMEN SUBSIDIADO</t>
  </si>
  <si>
    <t>1010104-5</t>
  </si>
  <si>
    <t>Bonificación Convencional</t>
  </si>
  <si>
    <t>Contribuciones Inherentes a la Nómina</t>
  </si>
  <si>
    <t>GASTOS DE OPERACIÓN COMERCIAL Y PRESTACION DE SERVICIOS</t>
  </si>
  <si>
    <t>Auxilio de Transporte</t>
  </si>
  <si>
    <t>Gastos Generales</t>
  </si>
  <si>
    <t>Medicamentos</t>
  </si>
  <si>
    <t>Auxilio de Alimentación</t>
  </si>
  <si>
    <t>Transferencias Corrientes</t>
  </si>
  <si>
    <t>De comercialización (Compra de B y S distintos de medicamentos)</t>
  </si>
  <si>
    <t>SUBSIDIO A LA OFERTA- ATENCION PERSONAS POBRES NO CUBIERTOS CON SUBSIDIO A LA DEMANDA</t>
  </si>
  <si>
    <t>1010104-8</t>
  </si>
  <si>
    <t>Indemnizaciones por Vacaciones o Supresión de Cargos por Reestructuración</t>
  </si>
  <si>
    <t>Gastos Prestacion de servicios</t>
  </si>
  <si>
    <t>De prestación de servicios  (Compra de B y S distintos de medicamentos)</t>
  </si>
  <si>
    <t>1130103-1</t>
  </si>
  <si>
    <t>Prestación de Servicios de salud  1er Nivel</t>
  </si>
  <si>
    <t>1010104-9</t>
  </si>
  <si>
    <t>Gastos de Representacion</t>
  </si>
  <si>
    <t>Gastos Cccial</t>
  </si>
  <si>
    <t>1130103-1-1</t>
  </si>
  <si>
    <t>Bonificación Especial por Recreación</t>
  </si>
  <si>
    <t>Servicio Deuda, Invers. y Progr. Espec.</t>
  </si>
  <si>
    <t>1130103-1-2</t>
  </si>
  <si>
    <t>Disponibilidad Final</t>
  </si>
  <si>
    <t>CUENTAS POR PAGAR (Vigencias anteriores)</t>
  </si>
  <si>
    <t>Prestación de Servicios de salud  2o. Nivel</t>
  </si>
  <si>
    <t>1010104-12</t>
  </si>
  <si>
    <t xml:space="preserve">TOTAL </t>
  </si>
  <si>
    <t>TOTAL GASTOS</t>
  </si>
  <si>
    <t>Vigencias Anteriores</t>
  </si>
  <si>
    <t>DISPONIBILIDAD FINAL</t>
  </si>
  <si>
    <t xml:space="preserve">  RESULTADO DE EJECUCION</t>
  </si>
  <si>
    <t>CAUSACION (RECONOC-OBLIG)</t>
  </si>
  <si>
    <t>CAJA      (RECAUDOS-OBLIG)</t>
  </si>
  <si>
    <t>CAUSACION</t>
  </si>
  <si>
    <t>CAJA</t>
  </si>
  <si>
    <t>1130103-3</t>
  </si>
  <si>
    <t>Prestación de Servicios de salud  3o. Nivel</t>
  </si>
  <si>
    <t>PROYECTADA A DIC31</t>
  </si>
  <si>
    <t>1130103-3-1</t>
  </si>
  <si>
    <t>1130103-3-2</t>
  </si>
  <si>
    <t>Personal Supernumerario</t>
  </si>
  <si>
    <t>( * ) POR SER LINEAL, ESTA PROYECCION NO ES LA REALIDAD, DEBE SER CALCULADA POR LA INSTITUCION PARA CADA RUBRO UTILIZANDO UN FLUJO DE FONDOS MES A MES</t>
  </si>
  <si>
    <t>1130103-4</t>
  </si>
  <si>
    <t xml:space="preserve"> Aportes Patronales  1o. Nivel</t>
  </si>
  <si>
    <t>Honorarios de la Junta Directiva</t>
  </si>
  <si>
    <t>1130103-5</t>
  </si>
  <si>
    <t xml:space="preserve"> Aportes Patronales  2o. Nivel</t>
  </si>
  <si>
    <t>Otros Honorarios</t>
  </si>
  <si>
    <t>1130103-6</t>
  </si>
  <si>
    <t xml:space="preserve"> Aportes Patronales  3er. Nivel</t>
  </si>
  <si>
    <t>Certificación, Habilitación y Acreditación</t>
  </si>
  <si>
    <t>SUBSIDIO A LA OFERTA- ACTIVIDADES NO POS-S</t>
  </si>
  <si>
    <t>SALUD PUBLICA - PLAN DE INTERVENCIONES COLECTIVAS</t>
  </si>
  <si>
    <t>Contribuciones Inherentes nómina al Sector Privado</t>
  </si>
  <si>
    <t>Contribuciones - SGP - Aportes Patronales - Cuenta Maestra</t>
  </si>
  <si>
    <t>1010301-1</t>
  </si>
  <si>
    <t>E.P.S. - Aportes cuenta maestra</t>
  </si>
  <si>
    <t>1010301-2</t>
  </si>
  <si>
    <t>Fondos pensionales - Aportes cuenta maestra</t>
  </si>
  <si>
    <t>1010301-3</t>
  </si>
  <si>
    <t>Fondos de cesantías - Aportes cuenta maestra</t>
  </si>
  <si>
    <t>1010301-4</t>
  </si>
  <si>
    <t>Riesgos laborales - Aportes cuenta maestra</t>
  </si>
  <si>
    <t>Contribuciones - Otros</t>
  </si>
  <si>
    <t>Aportes a E.P.S. - recursos propios</t>
  </si>
  <si>
    <t>Aportes Fondos Pensionales - recursos propios</t>
  </si>
  <si>
    <t>Aportes a Fondos de Cesantia - recursos propios</t>
  </si>
  <si>
    <t>Aporte a ARL. - recursos propios</t>
  </si>
  <si>
    <t>EMPRESAS MEDICINA PREPAGADA</t>
  </si>
  <si>
    <t>Aporte a Caja Compensación Familiar</t>
  </si>
  <si>
    <t>IPS PRIVADAS</t>
  </si>
  <si>
    <t>Contribuciones Inherentes nómina del Sector Publico</t>
  </si>
  <si>
    <t>S.E.N.A.</t>
  </si>
  <si>
    <t>IPS PUBLICAS</t>
  </si>
  <si>
    <t>I.C.B.F.</t>
  </si>
  <si>
    <t>COMPAÑIAS DE SEGUROS  - ACCIDENTES DE TRANSITO (SOAT)</t>
  </si>
  <si>
    <t>Gastos de Operación</t>
  </si>
  <si>
    <t>ENTIDADES DE REGIMEN ESPECIAL (Magisterio, Fuerza Pca.)</t>
  </si>
  <si>
    <t>ADMINISTRADORAS DE RIESGOS LABORALES</t>
  </si>
  <si>
    <t>PARTICULARES   (Venta de Contado)</t>
  </si>
  <si>
    <t>Otras Ventas de Servicios de Salud</t>
  </si>
  <si>
    <t>1020200-2</t>
  </si>
  <si>
    <t>Agendamiento y aplicación de la vacuna COVID 19(Res.166/2021)</t>
  </si>
  <si>
    <t>1020200-3</t>
  </si>
  <si>
    <t>CONVENIOS CON EL DEPARTAMENTO LIGADOS A LA VENTA SERVICIOS</t>
  </si>
  <si>
    <t>OTROS CONVENIOS LIGADOS A LA VENTA DE SERVICIOS</t>
  </si>
  <si>
    <t>1020301-1</t>
  </si>
  <si>
    <t>1020301-2</t>
  </si>
  <si>
    <t>Aportes (No ligados a la venta de servicios de salud)</t>
  </si>
  <si>
    <t>1020301-3</t>
  </si>
  <si>
    <t>1020301-4</t>
  </si>
  <si>
    <t>11303-5</t>
  </si>
  <si>
    <t>RECURSOS PARA PROGRAMA DE SANEAMIENTO FINANCIERO</t>
  </si>
  <si>
    <t>ESTAMPILLA PROHOSPITALES</t>
  </si>
  <si>
    <t>11303-7</t>
  </si>
  <si>
    <t>SUBSIDIO A LA OFERTA (ART. 2.4.2.6 DECRETO 268 DE 2020)</t>
  </si>
  <si>
    <t>Bienestar Social</t>
  </si>
  <si>
    <t>Fondo de la Vivienda</t>
  </si>
  <si>
    <t>GASTOS GENERALES</t>
  </si>
  <si>
    <t>INGRESOS DE CAPITAL</t>
  </si>
  <si>
    <t>Adquisición de bienes</t>
  </si>
  <si>
    <t>CREDITO INTERNO</t>
  </si>
  <si>
    <t>2100-1</t>
  </si>
  <si>
    <t>CREDITO EXTERNO</t>
  </si>
  <si>
    <t>2200-1</t>
  </si>
  <si>
    <t>VENTA DE ACTIVOS</t>
  </si>
  <si>
    <t>DONACIONES</t>
  </si>
  <si>
    <t>OTROS INGRESOS DE CAPITAL</t>
  </si>
  <si>
    <t>Adquisición de Servicios</t>
  </si>
  <si>
    <t>Seguros</t>
  </si>
  <si>
    <t>TOTAL INGRESOS DIFERENTES A CUENTAS POR COBRAR</t>
  </si>
  <si>
    <t>Comunicaciones y Transportes</t>
  </si>
  <si>
    <t>TOTAL INGRESOS DE VIGENCIAS ANTERIORES</t>
  </si>
  <si>
    <t>Arrendamientos</t>
  </si>
  <si>
    <t xml:space="preserve">TOTAL PRESUPUESTO DE INGRESOS </t>
  </si>
  <si>
    <t>2010200-11</t>
  </si>
  <si>
    <t>Convenio Docencia Servicios</t>
  </si>
  <si>
    <t>Impuestos y Multas</t>
  </si>
  <si>
    <t>Impuestos (Predial, Vehiculos, Otros)</t>
  </si>
  <si>
    <t>TRANSFERENCIAS CORRIENTES</t>
  </si>
  <si>
    <t>Transferencias al Sector Público</t>
  </si>
  <si>
    <t>Transf. Previsión y Seguridad Social</t>
  </si>
  <si>
    <t>Pensiones y Jubilaciones (Pago Directo)</t>
  </si>
  <si>
    <t>Cesantías Pago Directo (Pago Directo)</t>
  </si>
  <si>
    <t>Otras Transferencias</t>
  </si>
  <si>
    <t>Destinatarios de otras transferencias</t>
  </si>
  <si>
    <t>B</t>
  </si>
  <si>
    <t>GASTOS DE OPERACION COMERCIAL Y PRESTACION DE SERVICIOS</t>
  </si>
  <si>
    <t>Productos Farmaceuticos</t>
  </si>
  <si>
    <t>Material Médico Quirúrgico</t>
  </si>
  <si>
    <t>Material de Laboratorio</t>
  </si>
  <si>
    <t>Gastos Complementarios e Intermedios</t>
  </si>
  <si>
    <t>GASTOS DE COMERCIALIZACION</t>
  </si>
  <si>
    <t>Insumos y Suministros para Venta al Público</t>
  </si>
  <si>
    <t>Compra de Bienes para la venta</t>
  </si>
  <si>
    <t>5100100-1</t>
  </si>
  <si>
    <t>5100100-2</t>
  </si>
  <si>
    <t>5100100-3</t>
  </si>
  <si>
    <t>C</t>
  </si>
  <si>
    <t xml:space="preserve">SERVICIO DE LA DEUDA </t>
  </si>
  <si>
    <t>SERVICIO DE LA DEUDA INTERNA</t>
  </si>
  <si>
    <t>Intereses Comisiones y gastos de la Deuda Pública</t>
  </si>
  <si>
    <t>SERVICIO DE LA DEUDA EXTERNA</t>
  </si>
  <si>
    <t>Amortización deuda Pública Externa</t>
  </si>
  <si>
    <t>D</t>
  </si>
  <si>
    <t>Programas de Inversión</t>
  </si>
  <si>
    <t>Formación Bruta del Capital</t>
  </si>
  <si>
    <t>8001000-4</t>
  </si>
  <si>
    <t>Subprogr.Construc. Remodelac. Adecuación y Apliac.4</t>
  </si>
  <si>
    <t>8001000-5</t>
  </si>
  <si>
    <t>Subprogr.Construc. Remodelac. Adecuación y Apliac.5</t>
  </si>
  <si>
    <t>Gastos Operativos de Inversion   (Programas Especiales)</t>
  </si>
  <si>
    <t>8002100-1</t>
  </si>
  <si>
    <t>8002100-2</t>
  </si>
  <si>
    <t>8002100-3</t>
  </si>
  <si>
    <t>Programas Especial 02</t>
  </si>
  <si>
    <t>8002100-4</t>
  </si>
  <si>
    <t>Programas Especial 03</t>
  </si>
  <si>
    <t>8002100-5</t>
  </si>
  <si>
    <t>Programas Especial 04</t>
  </si>
  <si>
    <t>8002100-6</t>
  </si>
  <si>
    <t>Programas Especial 05</t>
  </si>
  <si>
    <t>8002100-7</t>
  </si>
  <si>
    <t>Programas Especial 06</t>
  </si>
  <si>
    <t>8002100-8</t>
  </si>
  <si>
    <t>Programas Especial 07</t>
  </si>
  <si>
    <t>8002100-9</t>
  </si>
  <si>
    <t>Programas Especial 08</t>
  </si>
  <si>
    <t>8002100-10</t>
  </si>
  <si>
    <t>Programas Especial 09</t>
  </si>
  <si>
    <t>8002100-11</t>
  </si>
  <si>
    <t>Programas Especial 10</t>
  </si>
  <si>
    <t>8002100-12</t>
  </si>
  <si>
    <t>Programas Especial 11</t>
  </si>
  <si>
    <t>E</t>
  </si>
  <si>
    <t>TOTAL GASTOS DIFERENTES A CUENTAS POR PAGAR</t>
  </si>
  <si>
    <t>TOTAL GASTOS DE VIGENCIAS ANTERIORES</t>
  </si>
  <si>
    <t>TOTAL PRESUPUESTO DE GASTOS</t>
  </si>
  <si>
    <t>RECOMENDACIONES</t>
  </si>
  <si>
    <t>FEBRERO</t>
  </si>
  <si>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</si>
  <si>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9"/>
        <color theme="1"/>
        <rFont val="Bookman Old Style"/>
        <family val="1"/>
      </rPr>
      <t xml:space="preserve">Traslados entre apropiaciones, tanto positivos como negativos </t>
    </r>
    <r>
      <rPr>
        <sz val="9"/>
        <color theme="1"/>
        <rFont val="Bookman Old Style"/>
        <family val="1"/>
      </rPr>
      <t xml:space="preserve">
(No hacen variar el total general presupuestado)</t>
    </r>
  </si>
  <si>
    <t>Plan Nacional de Vacunación</t>
  </si>
  <si>
    <t>MARZO</t>
  </si>
  <si>
    <t>RECAUDOS ACUMULADOS DEL AÑO</t>
  </si>
  <si>
    <t>PAGOS ACUMULADOS DEL AÑO</t>
  </si>
  <si>
    <t>Proyecto Mantenimiento Preventivo y Correctivo de Infraestructura</t>
  </si>
  <si>
    <t>ABRIL</t>
  </si>
  <si>
    <r>
      <rPr>
        <b/>
        <sz val="9"/>
        <color theme="1"/>
        <rFont val="Bookman Old Style"/>
        <family val="1"/>
      </rPr>
      <t xml:space="preserve">Traslados entre rubros,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</si>
  <si>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</si>
  <si>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9"/>
        <color theme="1"/>
        <rFont val="Bookman Old Style"/>
        <family val="1"/>
      </rPr>
      <t xml:space="preserve">Traslados entre apropiaciones,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</si>
  <si>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</si>
  <si>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13"/>
        <color theme="1"/>
        <rFont val="Arial"/>
        <family val="2"/>
      </rPr>
      <t xml:space="preserve">RECONOCIMIENTO </t>
    </r>
    <r>
      <rPr>
        <b/>
        <sz val="8"/>
        <color theme="1"/>
        <rFont val="Arial"/>
        <family val="2"/>
      </rPr>
      <t xml:space="preserve">
</t>
    </r>
    <r>
      <rPr>
        <b/>
        <sz val="10"/>
        <color theme="1"/>
        <rFont val="Arial"/>
        <family val="2"/>
      </rPr>
      <t>(Facturación real del contrato firmado)</t>
    </r>
  </si>
  <si>
    <r>
      <rPr>
        <b/>
        <sz val="14"/>
        <color theme="1"/>
        <rFont val="Arial"/>
        <family val="2"/>
      </rPr>
      <t xml:space="preserve">COMPROMISOS 
</t>
    </r>
    <r>
      <rPr>
        <b/>
        <sz val="10"/>
        <color theme="1"/>
        <rFont val="Arial"/>
        <family val="2"/>
      </rPr>
      <t>(REGISTROS PRESUPUESTALES)</t>
    </r>
  </si>
  <si>
    <r>
      <rPr>
        <b/>
        <sz val="14"/>
        <color theme="1"/>
        <rFont val="Arial"/>
        <family val="2"/>
      </rPr>
      <t xml:space="preserve">OBLIGACIONES 
</t>
    </r>
    <r>
      <rPr>
        <b/>
        <sz val="10"/>
        <color theme="1"/>
        <rFont val="Arial"/>
        <family val="2"/>
      </rPr>
      <t>(BIENES RECIBIDOS O SERVICIOS PRESTADOS)</t>
    </r>
  </si>
  <si>
    <t>MAYO</t>
  </si>
  <si>
    <r>
      <rPr>
        <b/>
        <sz val="9"/>
        <color theme="1"/>
        <rFont val="Bookman Old Style"/>
        <family val="1"/>
      </rPr>
      <t xml:space="preserve">Traslados entre rubros,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</si>
  <si>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</si>
  <si>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9"/>
        <color theme="1"/>
        <rFont val="Bookman Old Style"/>
        <family val="1"/>
      </rPr>
      <t xml:space="preserve">Traslados entre apropiaciones,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</si>
  <si>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</si>
  <si>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13"/>
        <color theme="1"/>
        <rFont val="Arial"/>
        <family val="2"/>
      </rPr>
      <t xml:space="preserve">RECONOCIMIENTO </t>
    </r>
    <r>
      <rPr>
        <b/>
        <sz val="8"/>
        <color theme="1"/>
        <rFont val="Arial"/>
        <family val="2"/>
      </rPr>
      <t xml:space="preserve">
</t>
    </r>
    <r>
      <rPr>
        <b/>
        <sz val="10"/>
        <color theme="1"/>
        <rFont val="Arial"/>
        <family val="2"/>
      </rPr>
      <t>(Facturación real del contrato firmado)</t>
    </r>
  </si>
  <si>
    <r>
      <rPr>
        <b/>
        <sz val="14"/>
        <color theme="1"/>
        <rFont val="Arial"/>
        <family val="2"/>
      </rPr>
      <t xml:space="preserve">COMPROMISOS 
</t>
    </r>
    <r>
      <rPr>
        <b/>
        <sz val="10"/>
        <color theme="1"/>
        <rFont val="Arial"/>
        <family val="2"/>
      </rPr>
      <t>(REGISTROS PRESUPUESTALES)</t>
    </r>
  </si>
  <si>
    <r>
      <rPr>
        <b/>
        <sz val="14"/>
        <color theme="1"/>
        <rFont val="Arial"/>
        <family val="2"/>
      </rPr>
      <t xml:space="preserve">OBLIGACIONES 
</t>
    </r>
    <r>
      <rPr>
        <b/>
        <sz val="10"/>
        <color theme="1"/>
        <rFont val="Arial"/>
        <family val="2"/>
      </rPr>
      <t>(BIENES RECIBIDOS O SERVICIOS PRESTADOS)</t>
    </r>
  </si>
  <si>
    <t>JUNIO</t>
  </si>
  <si>
    <r>
      <rPr>
        <b/>
        <sz val="9"/>
        <color theme="1"/>
        <rFont val="Bookman Old Style"/>
        <family val="1"/>
      </rPr>
      <t xml:space="preserve">Traslados entre rubros,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</si>
  <si>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</si>
  <si>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9"/>
        <color theme="1"/>
        <rFont val="Bookman Old Style"/>
        <family val="1"/>
      </rPr>
      <t xml:space="preserve">Traslados entre apropiaciones,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</si>
  <si>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</si>
  <si>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13"/>
        <color theme="1"/>
        <rFont val="Arial"/>
        <family val="2"/>
      </rPr>
      <t xml:space="preserve">RECONOCIMIENTO </t>
    </r>
    <r>
      <rPr>
        <b/>
        <sz val="8"/>
        <color theme="1"/>
        <rFont val="Arial"/>
        <family val="2"/>
      </rPr>
      <t xml:space="preserve">
</t>
    </r>
    <r>
      <rPr>
        <b/>
        <sz val="10"/>
        <color theme="1"/>
        <rFont val="Arial"/>
        <family val="2"/>
      </rPr>
      <t>(Facturación real del contrato firmado)</t>
    </r>
  </si>
  <si>
    <r>
      <rPr>
        <b/>
        <sz val="14"/>
        <color theme="1"/>
        <rFont val="Arial"/>
        <family val="2"/>
      </rPr>
      <t xml:space="preserve">COMPROMISOS 
</t>
    </r>
    <r>
      <rPr>
        <b/>
        <sz val="10"/>
        <color theme="1"/>
        <rFont val="Arial"/>
        <family val="2"/>
      </rPr>
      <t>(REGISTROS PRESUPUESTALES)</t>
    </r>
  </si>
  <si>
    <r>
      <rPr>
        <b/>
        <sz val="14"/>
        <color theme="1"/>
        <rFont val="Arial"/>
        <family val="2"/>
      </rPr>
      <t xml:space="preserve">OBLIGACIONES 
</t>
    </r>
    <r>
      <rPr>
        <b/>
        <sz val="10"/>
        <color theme="1"/>
        <rFont val="Arial"/>
        <family val="2"/>
      </rPr>
      <t>(BIENES RECIBIDOS O SERVICIOS PRESTADOS)</t>
    </r>
  </si>
  <si>
    <t>JULIO</t>
  </si>
  <si>
    <r>
      <rPr>
        <b/>
        <sz val="9"/>
        <color theme="1"/>
        <rFont val="Bookman Old Style"/>
        <family val="1"/>
      </rPr>
      <t xml:space="preserve">Traslados entre rubros,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</si>
  <si>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</si>
  <si>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9"/>
        <color theme="1"/>
        <rFont val="Bookman Old Style"/>
        <family val="1"/>
      </rPr>
      <t xml:space="preserve">Traslados entre apropiaciones,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</si>
  <si>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</si>
  <si>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13"/>
        <color theme="1"/>
        <rFont val="Arial"/>
        <family val="2"/>
      </rPr>
      <t xml:space="preserve">RECONOCIMIENTO </t>
    </r>
    <r>
      <rPr>
        <b/>
        <sz val="8"/>
        <color theme="1"/>
        <rFont val="Arial"/>
        <family val="2"/>
      </rPr>
      <t xml:space="preserve">
</t>
    </r>
    <r>
      <rPr>
        <b/>
        <sz val="10"/>
        <color theme="1"/>
        <rFont val="Arial"/>
        <family val="2"/>
      </rPr>
      <t>(Facturación real del contrato firmado)</t>
    </r>
  </si>
  <si>
    <r>
      <rPr>
        <b/>
        <sz val="14"/>
        <color theme="1"/>
        <rFont val="Arial"/>
        <family val="2"/>
      </rPr>
      <t xml:space="preserve">COMPROMISOS 
</t>
    </r>
    <r>
      <rPr>
        <b/>
        <sz val="10"/>
        <color theme="1"/>
        <rFont val="Arial"/>
        <family val="2"/>
      </rPr>
      <t>(REGISTROS PRESUPUESTALES)</t>
    </r>
  </si>
  <si>
    <r>
      <rPr>
        <b/>
        <sz val="14"/>
        <color theme="1"/>
        <rFont val="Arial"/>
        <family val="2"/>
      </rPr>
      <t xml:space="preserve">OBLIGACIONES 
</t>
    </r>
    <r>
      <rPr>
        <b/>
        <sz val="10"/>
        <color theme="1"/>
        <rFont val="Arial"/>
        <family val="2"/>
      </rPr>
      <t>(BIENES RECIBIDOS O SERVICIOS PRESTADOS)</t>
    </r>
  </si>
  <si>
    <t>AGOSTO</t>
  </si>
  <si>
    <r>
      <rPr>
        <b/>
        <sz val="9"/>
        <color theme="1"/>
        <rFont val="Bookman Old Style"/>
        <family val="1"/>
      </rPr>
      <t xml:space="preserve">Traslados entre rubros,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</si>
  <si>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</si>
  <si>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13"/>
        <color theme="1"/>
        <rFont val="Arial"/>
        <family val="2"/>
      </rPr>
      <t xml:space="preserve">RECONOCIMIENTO </t>
    </r>
    <r>
      <rPr>
        <b/>
        <sz val="8"/>
        <color theme="1"/>
        <rFont val="Arial"/>
        <family val="2"/>
      </rPr>
      <t xml:space="preserve">
</t>
    </r>
    <r>
      <rPr>
        <b/>
        <sz val="10"/>
        <color theme="1"/>
        <rFont val="Arial"/>
        <family val="2"/>
      </rPr>
      <t>(Facturación real del contrato firmado)</t>
    </r>
  </si>
  <si>
    <r>
      <rPr>
        <b/>
        <sz val="14"/>
        <color theme="1"/>
        <rFont val="Arial"/>
        <family val="2"/>
      </rPr>
      <t xml:space="preserve">COMPROMISOS 
</t>
    </r>
    <r>
      <rPr>
        <b/>
        <sz val="10"/>
        <color theme="1"/>
        <rFont val="Arial"/>
        <family val="2"/>
      </rPr>
      <t>(REGISTROS PRESUPUESTALES)</t>
    </r>
  </si>
  <si>
    <r>
      <rPr>
        <b/>
        <sz val="14"/>
        <color theme="1"/>
        <rFont val="Arial"/>
        <family val="2"/>
      </rPr>
      <t xml:space="preserve">OBLIGACIONES 
</t>
    </r>
    <r>
      <rPr>
        <b/>
        <sz val="10"/>
        <color theme="1"/>
        <rFont val="Arial"/>
        <family val="2"/>
      </rPr>
      <t>(BIENES RECIBIDOS O SERVICIOS PRESTADOS)</t>
    </r>
  </si>
  <si>
    <t>SEPTIEMBRE</t>
  </si>
  <si>
    <r>
      <rPr>
        <b/>
        <sz val="9"/>
        <color theme="1"/>
        <rFont val="Bookman Old Style"/>
        <family val="1"/>
      </rPr>
      <t xml:space="preserve">Traslados entre rubros,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</si>
  <si>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</si>
  <si>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13"/>
        <color theme="1"/>
        <rFont val="Arial"/>
        <family val="2"/>
      </rPr>
      <t xml:space="preserve">RECONOCIMIENTO </t>
    </r>
    <r>
      <rPr>
        <b/>
        <sz val="8"/>
        <color theme="1"/>
        <rFont val="Arial"/>
        <family val="2"/>
      </rPr>
      <t xml:space="preserve">
</t>
    </r>
    <r>
      <rPr>
        <b/>
        <sz val="10"/>
        <color theme="1"/>
        <rFont val="Arial"/>
        <family val="2"/>
      </rPr>
      <t>(Facturación real del contrato firmado)</t>
    </r>
  </si>
  <si>
    <r>
      <rPr>
        <b/>
        <sz val="14"/>
        <color theme="1"/>
        <rFont val="Arial"/>
        <family val="2"/>
      </rPr>
      <t xml:space="preserve">COMPROMISOS 
</t>
    </r>
    <r>
      <rPr>
        <b/>
        <sz val="10"/>
        <color theme="1"/>
        <rFont val="Arial"/>
        <family val="2"/>
      </rPr>
      <t>(REGISTROS PRESUPUESTALES)</t>
    </r>
  </si>
  <si>
    <r>
      <rPr>
        <b/>
        <sz val="14"/>
        <color theme="1"/>
        <rFont val="Arial"/>
        <family val="2"/>
      </rPr>
      <t xml:space="preserve">OBLIGACIONES 
</t>
    </r>
    <r>
      <rPr>
        <b/>
        <sz val="10"/>
        <color theme="1"/>
        <rFont val="Arial"/>
        <family val="2"/>
      </rPr>
      <t>(BIENES RECIBIDOS O SERVICIOS PRESTADOS)</t>
    </r>
  </si>
  <si>
    <t>OCTUBRE</t>
  </si>
  <si>
    <r>
      <rPr>
        <b/>
        <sz val="9"/>
        <color theme="1"/>
        <rFont val="Bookman Old Style"/>
        <family val="1"/>
      </rPr>
      <t xml:space="preserve">Traslados entre rubros,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</si>
  <si>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</si>
  <si>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9"/>
        <color theme="1"/>
        <rFont val="Bookman Old Style"/>
        <family val="1"/>
      </rPr>
      <t xml:space="preserve">Traslados entre apropiaciones,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</si>
  <si>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</si>
  <si>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13"/>
        <color theme="1"/>
        <rFont val="Arial"/>
        <family val="2"/>
      </rPr>
      <t xml:space="preserve">RECONOCIMIENTO </t>
    </r>
    <r>
      <rPr>
        <b/>
        <sz val="8"/>
        <color theme="1"/>
        <rFont val="Arial"/>
        <family val="2"/>
      </rPr>
      <t xml:space="preserve">
</t>
    </r>
    <r>
      <rPr>
        <b/>
        <sz val="10"/>
        <color theme="1"/>
        <rFont val="Arial"/>
        <family val="2"/>
      </rPr>
      <t>(Facturación real del contrato firmado)</t>
    </r>
  </si>
  <si>
    <r>
      <rPr>
        <b/>
        <sz val="14"/>
        <color theme="1"/>
        <rFont val="Arial"/>
        <family val="2"/>
      </rPr>
      <t xml:space="preserve">COMPROMISOS 
</t>
    </r>
    <r>
      <rPr>
        <b/>
        <sz val="10"/>
        <color theme="1"/>
        <rFont val="Arial"/>
        <family val="2"/>
      </rPr>
      <t>(REGISTROS PRESUPUESTALES)</t>
    </r>
  </si>
  <si>
    <r>
      <rPr>
        <b/>
        <sz val="14"/>
        <color theme="1"/>
        <rFont val="Arial"/>
        <family val="2"/>
      </rPr>
      <t xml:space="preserve">OBLIGACIONES 
</t>
    </r>
    <r>
      <rPr>
        <b/>
        <sz val="10"/>
        <color theme="1"/>
        <rFont val="Arial"/>
        <family val="2"/>
      </rPr>
      <t>(BIENES RECIBIDOS O SERVICIOS PRESTADOS)</t>
    </r>
  </si>
  <si>
    <t>NOVIEMBRE</t>
  </si>
  <si>
    <r>
      <rPr>
        <b/>
        <sz val="9"/>
        <color theme="1"/>
        <rFont val="Bookman Old Style"/>
        <family val="1"/>
      </rPr>
      <t xml:space="preserve">Traslados entre rubros,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</si>
  <si>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</si>
  <si>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9"/>
        <color theme="1"/>
        <rFont val="Bookman Old Style"/>
        <family val="1"/>
      </rPr>
      <t xml:space="preserve">Traslados entre apropiaciones,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</si>
  <si>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</si>
  <si>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13"/>
        <color theme="1"/>
        <rFont val="Arial"/>
        <family val="2"/>
      </rPr>
      <t xml:space="preserve">RECONOCIMIENTO </t>
    </r>
    <r>
      <rPr>
        <b/>
        <sz val="8"/>
        <color theme="1"/>
        <rFont val="Arial"/>
        <family val="2"/>
      </rPr>
      <t xml:space="preserve">
</t>
    </r>
    <r>
      <rPr>
        <b/>
        <sz val="10"/>
        <color theme="1"/>
        <rFont val="Arial"/>
        <family val="2"/>
      </rPr>
      <t>(Facturación real del contrato firmado)</t>
    </r>
  </si>
  <si>
    <r>
      <rPr>
        <b/>
        <sz val="14"/>
        <color theme="1"/>
        <rFont val="Arial"/>
        <family val="2"/>
      </rPr>
      <t xml:space="preserve">COMPROMISOS 
</t>
    </r>
    <r>
      <rPr>
        <b/>
        <sz val="10"/>
        <color theme="1"/>
        <rFont val="Arial"/>
        <family val="2"/>
      </rPr>
      <t>(REGISTROS PRESUPUESTALES)</t>
    </r>
  </si>
  <si>
    <r>
      <rPr>
        <b/>
        <sz val="14"/>
        <color theme="1"/>
        <rFont val="Arial"/>
        <family val="2"/>
      </rPr>
      <t xml:space="preserve">OBLIGACIONES 
</t>
    </r>
    <r>
      <rPr>
        <b/>
        <sz val="10"/>
        <color theme="1"/>
        <rFont val="Arial"/>
        <family val="2"/>
      </rPr>
      <t>(BIENES RECIBIDOS O SERVICIOS PRESTADOS)</t>
    </r>
  </si>
  <si>
    <t>DICIEMBRE</t>
  </si>
  <si>
    <t>Traslados entre rubros, tanto positivos como negativos 
(No hacen variar el total general presupuestado)</t>
  </si>
  <si>
    <t>Incrementos o disminuciones al presupuesto general.  
(Admite valores positivos y negativos.)</t>
  </si>
  <si>
    <r>
      <rPr>
        <b/>
        <sz val="9"/>
        <color theme="1"/>
        <rFont val="Bookman Old Style"/>
        <family val="1"/>
      </rPr>
      <t xml:space="preserve">Traslados entre apropiaciones, tanto positivos como negativos </t>
    </r>
    <r>
      <rPr>
        <sz val="9"/>
        <color theme="1"/>
        <rFont val="Bookman Old Style"/>
        <family val="1"/>
      </rPr>
      <t xml:space="preserve">
(No hacen variar el total general presupuestado)</t>
    </r>
  </si>
  <si>
    <r>
      <rPr>
        <b/>
        <sz val="9"/>
        <color theme="1"/>
        <rFont val="Bookman Old Style"/>
        <family val="1"/>
      </rPr>
      <t xml:space="preserve">Incrementos o disminuciones al presupuesto general.  </t>
    </r>
    <r>
      <rPr>
        <sz val="9"/>
        <color theme="1"/>
        <rFont val="Bookman Old Style"/>
        <family val="1"/>
      </rPr>
      <t xml:space="preserve">
(Admite valores positivos y negativos.)</t>
    </r>
  </si>
  <si>
    <r>
      <rPr>
        <b/>
        <sz val="13"/>
        <color theme="1"/>
        <rFont val="Arial"/>
        <family val="2"/>
      </rPr>
      <t xml:space="preserve">RECONOCIMIENTO </t>
    </r>
    <r>
      <rPr>
        <b/>
        <sz val="8"/>
        <color theme="1"/>
        <rFont val="Arial"/>
        <family val="2"/>
      </rPr>
      <t xml:space="preserve">
</t>
    </r>
    <r>
      <rPr>
        <b/>
        <sz val="10"/>
        <color theme="1"/>
        <rFont val="Arial"/>
        <family val="2"/>
      </rPr>
      <t>(Facturación real del contrato firmado)</t>
    </r>
  </si>
  <si>
    <r>
      <rPr>
        <b/>
        <sz val="14"/>
        <color theme="1"/>
        <rFont val="Arial"/>
        <family val="2"/>
      </rPr>
      <t xml:space="preserve">COMPROMISOS 
</t>
    </r>
    <r>
      <rPr>
        <b/>
        <sz val="10"/>
        <color theme="1"/>
        <rFont val="Arial"/>
        <family val="2"/>
      </rPr>
      <t>(REGISTROS PRESUPUESTALES)</t>
    </r>
  </si>
  <si>
    <r>
      <rPr>
        <b/>
        <sz val="14"/>
        <color theme="1"/>
        <rFont val="Arial"/>
        <family val="2"/>
      </rPr>
      <t xml:space="preserve">OBLIGACIONES 
</t>
    </r>
    <r>
      <rPr>
        <b/>
        <sz val="10"/>
        <color theme="1"/>
        <rFont val="Arial"/>
        <family val="2"/>
      </rPr>
      <t>(BIENES RECIBIDOS O SERVICIOS PRESTADOS)</t>
    </r>
  </si>
  <si>
    <t>FLUJO DE CAJA PARA EL INFORME TRIMESTRAL DEL SIHO</t>
  </si>
  <si>
    <r>
      <rPr>
        <b/>
        <sz val="12"/>
        <color rgb="FF333399"/>
        <rFont val="Arial"/>
        <family val="2"/>
      </rPr>
      <t xml:space="preserve">MARQUE </t>
    </r>
    <r>
      <rPr>
        <b/>
        <sz val="16"/>
        <color rgb="FFFF0000"/>
        <rFont val="Arial"/>
        <family val="2"/>
      </rPr>
      <t>1</t>
    </r>
    <r>
      <rPr>
        <b/>
        <sz val="12"/>
        <color rgb="FF333399"/>
        <rFont val="Arial"/>
        <family val="2"/>
      </rPr>
      <t xml:space="preserve"> EN EL RECUADRO DEL TRIMESTRE A CONSOLIDAR</t>
    </r>
  </si>
  <si>
    <t>TRIMESTRE 1</t>
  </si>
  <si>
    <t>TRIMESTRE 2</t>
  </si>
  <si>
    <t>TRIMESTRE 3</t>
  </si>
  <si>
    <t>Total Definitivo al finalizar el trimestre reportado</t>
  </si>
  <si>
    <t>Total Reconocimientos al finalizar el trimestre reportado</t>
  </si>
  <si>
    <t>Recaudos Reales</t>
  </si>
  <si>
    <t>Total Recaudos acumulados del año</t>
  </si>
  <si>
    <t>SOAT (Diferentes ECAT)</t>
  </si>
  <si>
    <t>ADRES (Antes FOSYGA)</t>
  </si>
  <si>
    <t>Aportes de la Nación no ligados a la venta de servicios</t>
  </si>
  <si>
    <t>Aportes del Departamento no ligados a la venta de servicios</t>
  </si>
  <si>
    <t>Aportes del Municipio no ligados a la venta de servicios</t>
  </si>
  <si>
    <t>Programa de Saneamiento Fiscal y Financiero</t>
  </si>
  <si>
    <t>TOTAL DE INGRESOS</t>
  </si>
  <si>
    <t>Total Compromisos al finalizar el trimestre reportado</t>
  </si>
  <si>
    <t>Total Obligaciones al finalizar el trimestre reportado</t>
  </si>
  <si>
    <t>Pagos Reales</t>
  </si>
  <si>
    <t>Total Pagos acumulados del año</t>
  </si>
  <si>
    <t>Gastos del personal de planta</t>
  </si>
  <si>
    <t>Servicios personales asociados a la nómina</t>
  </si>
  <si>
    <t>Adquisión de bienes</t>
  </si>
  <si>
    <t>Adquisición de servicios (Diferentes a mantenimiento)</t>
  </si>
  <si>
    <t>Mantenimiento</t>
  </si>
  <si>
    <t>Servicios públicos</t>
  </si>
  <si>
    <t>Pago directo de pensionados o jubilados</t>
  </si>
  <si>
    <t>Otras transferencias corrientes</t>
  </si>
  <si>
    <t>GASTOS DE OPERACIÓN, COMERCIALIZACION Y 
PRESTACION DE SERVICIOS</t>
  </si>
  <si>
    <t>De comercialización (Compra de B y S para la venta distintos de medicamentos)</t>
  </si>
  <si>
    <t>De prestación de servicios  (Compra de B y S para prestacion de servicios distintos de medicamentos)</t>
  </si>
  <si>
    <t>incluyendo vigencias anteriores</t>
  </si>
  <si>
    <t>% RECAUDO DE LO RECONOCIDO</t>
  </si>
  <si>
    <t>EQUILIBRIO</t>
  </si>
  <si>
    <t>DEFICIT / EXCEDENTE PRESUPUESTAL</t>
  </si>
  <si>
    <t>Con reconocimientos</t>
  </si>
  <si>
    <t>Con recaudos</t>
  </si>
  <si>
    <t>F = A/D</t>
  </si>
  <si>
    <t>G = B/D</t>
  </si>
  <si>
    <t>H = A-D</t>
  </si>
  <si>
    <t>G = B-D</t>
  </si>
  <si>
    <t>sin vigencias anteriores</t>
  </si>
  <si>
    <t xml:space="preserve">RECUERDE QUE DEBE CUMPLIRSE QUE: </t>
  </si>
  <si>
    <t>RECONOCIDO&gt;=COMPROMISO</t>
  </si>
  <si>
    <t>RECONOCIDO / COMPROMISO &gt;= 1,00</t>
  </si>
  <si>
    <t>RECAUDOS&gt;=COMPROMISO</t>
  </si>
  <si>
    <t>RECAUDO / COMPROMISO &gt;= 1,00</t>
  </si>
  <si>
    <t>PRESUPUESTO DE VENTA DE SERVICIOS DE LA VIGENCIA - DEFINITIVO</t>
  </si>
  <si>
    <t>PRESUPUESTO DE VENTA DE SERVICIOS DE LA VIGENCIA - RECONOCIDO</t>
  </si>
  <si>
    <t>PRESUPUESTO DE VENTA DE SERVICIOS DE LA VIGENCIA - RECAUDADO</t>
  </si>
  <si>
    <t>VALOR ASIGNADO</t>
  </si>
  <si>
    <t>% ASIGNADO RESPECTO AL INGRESO DEFINITIVO</t>
  </si>
  <si>
    <t>% ASIGNADO RESPECTO AL INGRESO RECONOCIDO</t>
  </si>
  <si>
    <t>% ASIGNADO RESPECTO AL INGRESO RECAUDADO</t>
  </si>
  <si>
    <t>VALOR COMPROMETIDO</t>
  </si>
  <si>
    <t>% COMPROMETIDO RESPECTO AL INGRESO DEFINITIVO</t>
  </si>
  <si>
    <t>% COMPROMETIDO RESPECTO AL INGRESO RECONOCIDO</t>
  </si>
  <si>
    <t>% COMPROMETIDO RESPECTO AL INGRESO RECAUDADO</t>
  </si>
  <si>
    <t xml:space="preserve">VALOR EJECUTADO (OBLIGADO) </t>
  </si>
  <si>
    <t>% OBLIGADO RESPECTO AL INGRESO DEFINITIVO</t>
  </si>
  <si>
    <t>% OBLIGADO RESPECTO AL INGRESO RECONOCIDO</t>
  </si>
  <si>
    <t>% OBLIGADO RESPECTO AL INGRESO RECAUDADO</t>
  </si>
  <si>
    <t>VALOR PAGADO</t>
  </si>
  <si>
    <t>% PAGADO RESPECTO AL INGRESO DEFINITIVO</t>
  </si>
  <si>
    <t>% PAGADO RESPECTO AL INGRESO RECONOCIDO</t>
  </si>
  <si>
    <t>% PAGADO RESPECTO AL INGRESO RECAUDADO</t>
  </si>
  <si>
    <t>Adquisicion de Bienes</t>
  </si>
  <si>
    <t>Adquisicion de servicios</t>
  </si>
  <si>
    <t>Adquisiciòm de Dispositvos mèdicos para dotaciòn proyecto de Quiròfanos</t>
  </si>
  <si>
    <t>Adquisicion de Equipos de Computo</t>
  </si>
  <si>
    <t>1.1.02.05.001.09.02.02</t>
  </si>
  <si>
    <t>1.1.02.05.001.09.02</t>
  </si>
  <si>
    <t>1.1.02.05.001.09.02.01</t>
  </si>
  <si>
    <t>1.1.02.05.001.09.02.01.99</t>
  </si>
  <si>
    <t>1.1.02.05.001.09.02.15</t>
  </si>
  <si>
    <t>1.1.02.05.001.09.02.15.99</t>
  </si>
  <si>
    <t>1.1.02.05.001.09.02.11</t>
  </si>
  <si>
    <t>1.1.02.05.001.09.02.11.99</t>
  </si>
  <si>
    <t>1.1.02.05.001.09.02.17</t>
  </si>
  <si>
    <t>1.1.02.05.001.09.02.17.99</t>
  </si>
  <si>
    <t>1.1.02.05.001.09.02.09</t>
  </si>
  <si>
    <t>1.1.02.05.001.09.02.09.99</t>
  </si>
  <si>
    <t>1.1.02.05.001.09.02.10</t>
  </si>
  <si>
    <t>1.1.02.05.001.09.02.10.99</t>
  </si>
  <si>
    <t>1.1.02.05.001.09.02.90.01</t>
  </si>
  <si>
    <t>1.1.02.05.001.09.02.90.01.99</t>
  </si>
  <si>
    <t>1.1.02.05.001.09.02.90.02</t>
  </si>
  <si>
    <t>1.1.02.05.001.09.02.90.02.99</t>
  </si>
  <si>
    <t>1.1.02.05.001.09.02.06</t>
  </si>
  <si>
    <t>1.1.02.05.001.09.02.06.99</t>
  </si>
  <si>
    <t>1.1.02.05.001.09.02.13-1</t>
  </si>
  <si>
    <t>1.1.02.05.001.09.02.13.99-1</t>
  </si>
  <si>
    <t>1.1.02.05.001.09.02.08</t>
  </si>
  <si>
    <t>1.1.02.05.001.09.02.08,99</t>
  </si>
  <si>
    <t>POLICIA NACIONAL</t>
  </si>
  <si>
    <t>1.1.02.05.001.09.02.90</t>
  </si>
  <si>
    <t>1.1.02.05.001.09.02.90.04</t>
  </si>
  <si>
    <t>1.1.02.06.006.06</t>
  </si>
  <si>
    <t>Aportes del Municipio para fortalecimiento</t>
  </si>
  <si>
    <t>Aportes del Departamento - Subsidio a la Oferta</t>
  </si>
  <si>
    <t>1.0</t>
  </si>
  <si>
    <t>1.1</t>
  </si>
  <si>
    <t>1.0.01</t>
  </si>
  <si>
    <t>Caja</t>
  </si>
  <si>
    <t>1.0.02</t>
  </si>
  <si>
    <t>Bancos</t>
  </si>
  <si>
    <t>1.0.03</t>
  </si>
  <si>
    <t>Inversiones Temporales</t>
  </si>
  <si>
    <t>2.1</t>
  </si>
  <si>
    <t>2</t>
  </si>
  <si>
    <t>2.1.1</t>
  </si>
  <si>
    <t>2.1.1.01</t>
  </si>
  <si>
    <t>2.1.1.01.01</t>
  </si>
  <si>
    <t>2.1.1.01.01.001.01</t>
  </si>
  <si>
    <t>2.1.1.01.01.001.02</t>
  </si>
  <si>
    <t>2.1.1.01.01.001.08.01</t>
  </si>
  <si>
    <t>2.1.1.01.01.001.08.02</t>
  </si>
  <si>
    <t>2.1.1.01.01.001.06</t>
  </si>
  <si>
    <t>2.1.1.01.01.001.07</t>
  </si>
  <si>
    <t>2.1.1.01.01.001.05</t>
  </si>
  <si>
    <t>2.1.1.01.01.001.04</t>
  </si>
  <si>
    <t>2.1.1.01.03.001.01</t>
  </si>
  <si>
    <t>Vacaciones</t>
  </si>
  <si>
    <t>2.1.1.01.03.001.03</t>
  </si>
  <si>
    <t>2.1.1.01.02.003</t>
  </si>
  <si>
    <t>2.1.1.01.02.003.99</t>
  </si>
  <si>
    <t>Vigencias Anteriores Cesantias</t>
  </si>
  <si>
    <t>2.1.1.01.02.001</t>
  </si>
  <si>
    <t>2.1.1.01.02.002</t>
  </si>
  <si>
    <t>2.1.1.01.02.004</t>
  </si>
  <si>
    <t>2.1.1.01.02.005</t>
  </si>
  <si>
    <t>2.1.1.01.02.006</t>
  </si>
  <si>
    <t>2.1.1.01.02.007</t>
  </si>
  <si>
    <t>2.1.2.02.02.008</t>
  </si>
  <si>
    <t>2.1.2.02.02.008.802</t>
  </si>
  <si>
    <t>2.1.2.02.02.008.809</t>
  </si>
  <si>
    <t>2.1.2.02.02.009.906</t>
  </si>
  <si>
    <t>Servicios de Agremiación (administrativo)</t>
  </si>
  <si>
    <t>Servicios Personales Administrativos (Contador, Abogado, otros)</t>
  </si>
  <si>
    <t>2.1.1.01.01-1</t>
  </si>
  <si>
    <t>2.1.1.01.01.001.01-1</t>
  </si>
  <si>
    <t>2.1.1.01.01.001.02-1</t>
  </si>
  <si>
    <t>2.1.1.01.01.001.08.01-1</t>
  </si>
  <si>
    <t>2.1.1.01.01.001.08.02-1</t>
  </si>
  <si>
    <t>2.1.1.01.01.001.07-1</t>
  </si>
  <si>
    <t>2.1.1.01.01.001.06-1</t>
  </si>
  <si>
    <t>2.1.1.01.01.001.05-1</t>
  </si>
  <si>
    <t>2.1.1.01.01.001.04-1</t>
  </si>
  <si>
    <t>2.1.1.01.03.001.03-1</t>
  </si>
  <si>
    <t>2.1.1.01.03.001.01-1</t>
  </si>
  <si>
    <t>2.1.2.02.02.009.902</t>
  </si>
  <si>
    <t>Servicios Personales (Personal Asistencial)</t>
  </si>
  <si>
    <t>2.1.2.02.02.009.902.99</t>
  </si>
  <si>
    <t>1010200-2</t>
  </si>
  <si>
    <t>2.1.1.01.02.001-1</t>
  </si>
  <si>
    <t>2.1.1.01.02.002-1</t>
  </si>
  <si>
    <t>2.1.1.01.02.003-1</t>
  </si>
  <si>
    <t>2.1.1.01.02.005-1</t>
  </si>
  <si>
    <t>2.1.1.01.02.006-1</t>
  </si>
  <si>
    <t>2.1.1.01.02.004-1</t>
  </si>
  <si>
    <t>2.1.1.01.02.007-1</t>
  </si>
  <si>
    <t>2.1.2.02.02.007.703</t>
  </si>
  <si>
    <t>2.1.2.02.02.009.903</t>
  </si>
  <si>
    <t>2.1.2.02.02.008.801</t>
  </si>
  <si>
    <t>2.1.2.02.02.006.604</t>
  </si>
  <si>
    <t>2.1.2.02.02.010</t>
  </si>
  <si>
    <t>2.1.2.02.02.008.804</t>
  </si>
  <si>
    <t xml:space="preserve">Vigilancia </t>
  </si>
  <si>
    <t>2.1.2.02.02.009.908</t>
  </si>
  <si>
    <t>2.1.2.02.02.009.905</t>
  </si>
  <si>
    <t>Servicios de Capacitacion</t>
  </si>
  <si>
    <t>2.1.2.02.02.009.909</t>
  </si>
  <si>
    <t>2.1.8.01</t>
  </si>
  <si>
    <t>2.1.8.01.52</t>
  </si>
  <si>
    <t>2.1.2</t>
  </si>
  <si>
    <t>Papeleria</t>
  </si>
  <si>
    <t>Elementos de Aseo</t>
  </si>
  <si>
    <t xml:space="preserve">Insumos hospitalarios </t>
  </si>
  <si>
    <t>2.1.2.02.02</t>
  </si>
  <si>
    <t>2.1.2.02.02.008.805</t>
  </si>
  <si>
    <t>2.1.2.02.02.008.806</t>
  </si>
  <si>
    <t>2.1.2.02.02.008.807</t>
  </si>
  <si>
    <t>2.1.2.02.02.008.808</t>
  </si>
  <si>
    <t>2.1.2.02.02.008.810</t>
  </si>
  <si>
    <t>Publicidad</t>
  </si>
  <si>
    <t>2.1.2.02.02.008.811</t>
  </si>
  <si>
    <t>2.1.2.02.02.005.502</t>
  </si>
  <si>
    <t>2.1.2.02.02.009.907</t>
  </si>
  <si>
    <t>2.4</t>
  </si>
  <si>
    <t>GASTOS  DEOPERACIÓN COMERCIAL</t>
  </si>
  <si>
    <t>2.4.5</t>
  </si>
  <si>
    <t>GASTOS DE COMERCIALIZACIÓN Y PRODUCCIÓN</t>
  </si>
  <si>
    <t>2.4.5.01</t>
  </si>
  <si>
    <t>Materiales y suministros</t>
  </si>
  <si>
    <t>2.4.5.01.03.301</t>
  </si>
  <si>
    <t>2.4.5.01.03.302</t>
  </si>
  <si>
    <t>2.4.5.01.03.303</t>
  </si>
  <si>
    <t>2.4.5.02.06.601</t>
  </si>
  <si>
    <t>Servicio de alimentación</t>
  </si>
  <si>
    <t>Vigencias Anteriores Medicamentos</t>
  </si>
  <si>
    <t xml:space="preserve">Servicio de Lavandería </t>
  </si>
  <si>
    <t>Servicios de esterilización</t>
  </si>
  <si>
    <t>2.4.5.02.09.901</t>
  </si>
  <si>
    <t>Servicios de ayudas diagnòsticas</t>
  </si>
  <si>
    <t>2.4.5.02.08.802.99</t>
  </si>
  <si>
    <t>Vigencias Anteriores de esterilizacion</t>
  </si>
  <si>
    <t>2.4.5.02.08.801.99</t>
  </si>
  <si>
    <t>Vigencias Anteriores lavanderia</t>
  </si>
  <si>
    <t>1.1.02.05.002.07</t>
  </si>
  <si>
    <t>Servicios financieros y servicios conexos, servicios inmobiliarios y servicios de leasing (ARRENDAMIENTOS)</t>
  </si>
  <si>
    <t>1.1.02.05.002.08</t>
  </si>
  <si>
    <t>Servicios prestados a las empresas y servicios de producción(APROVECHAMIENTOS)</t>
  </si>
  <si>
    <t>1.1.02.05.002.09</t>
  </si>
  <si>
    <t>Convenio Docencia Servicio</t>
  </si>
  <si>
    <t>1.2.05.02</t>
  </si>
  <si>
    <t>Depositos (RENDIMIENTOS FINANCIEROS)</t>
  </si>
  <si>
    <t>Vigencias Anteriores Aportes a cesantías</t>
  </si>
  <si>
    <t>Vigencias Anteriores Vigilancia</t>
  </si>
  <si>
    <t>Servicios prestados por IPS</t>
  </si>
  <si>
    <t>Gastos Bancarios</t>
  </si>
  <si>
    <t>2.1.8.04.01</t>
  </si>
  <si>
    <t>Cuotas de fiscalizacion y auditaje</t>
  </si>
  <si>
    <t>Cuota de Afiliación o sostenimiento (COHAN, AESA, OTROS)</t>
  </si>
  <si>
    <t>Combustible</t>
  </si>
  <si>
    <t>2.1.2.02.02.01.003.010</t>
  </si>
  <si>
    <t>Mantenimiento- Bienes- Repuestos</t>
  </si>
  <si>
    <t>Vigencias Anteriores ayudas diagnosticas, lavanderia, esterilizacion,alimentacion</t>
  </si>
  <si>
    <t>2.1.3.07.02.002.02</t>
  </si>
  <si>
    <t>Cuotas partes pensionales a cargo de la entidad ( de pensiones)</t>
  </si>
  <si>
    <t>2.1.3.07.02.003.02</t>
  </si>
  <si>
    <t>Bonos pensionales a cargo de la entidad ( de pensiones)</t>
  </si>
  <si>
    <t>2.1.3.07.02.031</t>
  </si>
  <si>
    <t>Programa de Salud Ocupacional</t>
  </si>
  <si>
    <t>2.1.3.13.01.001</t>
  </si>
  <si>
    <t>Sentencias</t>
  </si>
  <si>
    <t>2.1.3.13.01.002</t>
  </si>
  <si>
    <t>Conciliaciones</t>
  </si>
  <si>
    <t>2.3.2.01.01</t>
  </si>
  <si>
    <t>Activos fijos</t>
  </si>
  <si>
    <t>2.3.2.02.02.005</t>
  </si>
  <si>
    <t>Servicios de la Construcción</t>
  </si>
  <si>
    <t>2.3.2.02.02.009</t>
  </si>
  <si>
    <t>Servicios para la comunidad, sociales y personales</t>
  </si>
  <si>
    <t>1020200-4</t>
  </si>
  <si>
    <t>Vigencia Anterior Servicios Personales</t>
  </si>
  <si>
    <t>Vigencias  Servicios para la comunidad sociales y personales</t>
  </si>
  <si>
    <t>2.3.2.02.02.009.99</t>
  </si>
  <si>
    <t>1.1.02.05.001.09.02.90.05.99</t>
  </si>
  <si>
    <t>Vigencia Anterior de Otros Convenios de Salud Nacionales (vacunacion covid-19 agendamiento y aplicación)</t>
  </si>
  <si>
    <t>1.1.02.05.002.07.99</t>
  </si>
  <si>
    <t>Vigencia anterior Servicios financieros y servicios conexos, servicios inmobiliarios y servicios de leasing (ARRENDAMIENTOS)</t>
  </si>
  <si>
    <t>1.2.08.06.002</t>
  </si>
  <si>
    <t>Condicionadas a la adquisicion de un activo</t>
  </si>
  <si>
    <t>1.1.02.05.001.08</t>
  </si>
  <si>
    <t>Servicios Prestados a las empresas y servicios de produccion</t>
  </si>
  <si>
    <t>Vigencias Anteriores Servicios para la comunidad, sociales y personales</t>
  </si>
  <si>
    <t>1.1.02.06.007.02.08</t>
  </si>
  <si>
    <t>Agendamiento y aplicación de la vacuna COVID 19(Res.166/2021) INSTITUCIONAL</t>
  </si>
  <si>
    <t>ACTIVOS FIJOS</t>
  </si>
  <si>
    <t>SERVICIOS DE LA CONTRUCCION</t>
  </si>
  <si>
    <t>IMPUESTO PREDIAL UNIFICADO</t>
  </si>
  <si>
    <t>Servicios para la comunidad sociales y personales (PNV)</t>
  </si>
  <si>
    <t>Vigencias Anteriores (PNV)</t>
  </si>
  <si>
    <t>servicios para la comunidad,sociales y personales</t>
  </si>
  <si>
    <t>va</t>
  </si>
  <si>
    <t>VA</t>
  </si>
  <si>
    <t>2.1.8.04.07</t>
  </si>
  <si>
    <t>Contribucion de Vigilancia Superintendencia Nacional de Salud</t>
  </si>
  <si>
    <t>Servicios para la Comunidad Sociales y personales</t>
  </si>
  <si>
    <t>2.3.2.02.02.008</t>
  </si>
  <si>
    <t>Servicios prestados a las empresas y servicios de produccion</t>
  </si>
  <si>
    <t>Condicionados a la adquisición de un activo (DSSA)</t>
  </si>
  <si>
    <t>1.2.08.02</t>
  </si>
  <si>
    <t>Indemnizaciones Relacionadas con seguros No de vida</t>
  </si>
  <si>
    <t>2.4.5.01.03.99.01</t>
  </si>
  <si>
    <t>Activos Fijos</t>
  </si>
  <si>
    <t>2.2.2.02</t>
  </si>
  <si>
    <t xml:space="preserve">COMPAÑIAS DE SEGUROS  - PLANES DE SALUD </t>
  </si>
  <si>
    <t>2.1.2.02.01.003.301</t>
  </si>
  <si>
    <t>2.1.2.02.01.003.302</t>
  </si>
  <si>
    <t>2.1.2.02.01.003.303</t>
  </si>
  <si>
    <t>2.1.2.02.01.003.304</t>
  </si>
  <si>
    <t>2.1.2.02.01.003.305</t>
  </si>
  <si>
    <t>Mantenimiento -  Partes, accesorios, herramientas</t>
  </si>
  <si>
    <t>2.1.2.02.01.003.306</t>
  </si>
  <si>
    <t>2.1.2.02.01.003.307</t>
  </si>
  <si>
    <t>Mantenimiento - Arrendamiento Software</t>
  </si>
  <si>
    <t>Mantenimiento Servicios - Ambiental y sanitaria</t>
  </si>
  <si>
    <t>Mantenimiento servicios - planta física y sistemas</t>
  </si>
  <si>
    <t>Mantenimiento - Bienes sistemas</t>
  </si>
  <si>
    <t>Mantenimiento  - Servicios Planta Fisica</t>
  </si>
  <si>
    <t>2.1.2.02.02.005.501</t>
  </si>
  <si>
    <t>2.1.2.02.02.006.603</t>
  </si>
  <si>
    <t>Impresos y Publicaciones</t>
  </si>
  <si>
    <t>2.1.2.02.02.007.702</t>
  </si>
  <si>
    <t>Servicios Publicos (energia, Gas, Agua, Internet, Telefonia Fija y Movil)</t>
  </si>
  <si>
    <t>Mantenimiento  - Servicios Dotación y vehiculos</t>
  </si>
  <si>
    <t>Mantenimiento - Servicio de Metrología y Calibracion</t>
  </si>
  <si>
    <t>Mantenimiento Servicios-fotocopias y otros</t>
  </si>
  <si>
    <t>Mantenimiento - Bienes Ambiental y Sanitaria</t>
  </si>
  <si>
    <t>Viáticos de los funcionarios en comisión</t>
  </si>
  <si>
    <t xml:space="preserve">Vigencias Anteriores Serv.Publicos </t>
  </si>
  <si>
    <t>Vigencia anterior Mantenimiento - Partes,Accesorios, Herramientas.</t>
  </si>
  <si>
    <t xml:space="preserve">Vigencia Anterior </t>
  </si>
  <si>
    <t>2.1.2.02.02.009.99.01</t>
  </si>
  <si>
    <t>2.1.2.02.02.009.99.02</t>
  </si>
  <si>
    <t>Vigencias Anteriores servicios de agremiacion</t>
  </si>
  <si>
    <t>2.1.7.01.01</t>
  </si>
  <si>
    <t>2.4.5.01.03.305</t>
  </si>
  <si>
    <t>Sangre</t>
  </si>
  <si>
    <t>2.4.5.02.08</t>
  </si>
  <si>
    <t>2.4.5.02.08.99</t>
  </si>
  <si>
    <t>2.4.5.02.09.902</t>
  </si>
  <si>
    <t>2.1.2.02.01.003.99</t>
  </si>
  <si>
    <t>2.1.2.02.02.008.800</t>
  </si>
  <si>
    <t xml:space="preserve">Mantenimiento- Servicios </t>
  </si>
  <si>
    <t>2.1.2.02.02.008.99.03</t>
  </si>
  <si>
    <t xml:space="preserve">Vigencias Anteriores Mantenimiento Servicios </t>
  </si>
  <si>
    <t>2.1.2.02.02.008.99.01</t>
  </si>
  <si>
    <t>2.1.2.02.02.008.99.02</t>
  </si>
  <si>
    <t>Vigencias Anteriores Deuda Pública</t>
  </si>
  <si>
    <t>2.3.2.01.01.99</t>
  </si>
  <si>
    <t>Vigencias Anteriores Activos Fijos</t>
  </si>
  <si>
    <t>1.1.02.06.006.07.99</t>
  </si>
  <si>
    <t>Vigencia Anterior estampilla</t>
  </si>
  <si>
    <t>1.1.02.06.006.07</t>
  </si>
  <si>
    <t>Aportes no ligados a la venta de servicios de Salud</t>
  </si>
  <si>
    <t xml:space="preserve">                           </t>
  </si>
  <si>
    <t>2.1.2.02.01.003.308</t>
  </si>
  <si>
    <t>Mantenimiento - Bienes Adecuaciones locativas</t>
  </si>
  <si>
    <t>Roperia</t>
  </si>
  <si>
    <t>2.2.2.2.01.02.002.02</t>
  </si>
  <si>
    <t>Banca Comercial</t>
  </si>
  <si>
    <t>2.4.5.02.09.91122</t>
  </si>
  <si>
    <t>Servicios de Certificación, Habilitación y Acreditación</t>
  </si>
  <si>
    <t>1.1.02.05.001.09.02.04</t>
  </si>
  <si>
    <t>1.1.02.05.001.09.02.04.99</t>
  </si>
  <si>
    <t>2.1.8.02</t>
  </si>
  <si>
    <t>Impuesto de Industria y comercio</t>
  </si>
  <si>
    <t>2.1.8.01.54</t>
  </si>
  <si>
    <t>Cuotas de auditaje supersalud</t>
  </si>
  <si>
    <t>EVENTOS CATASTROFICOS Y ACCIDENTES DE TRANSITO</t>
  </si>
  <si>
    <t>FUERZAS MILITARES</t>
  </si>
  <si>
    <t>1.1.02.05.001.09.02.07</t>
  </si>
  <si>
    <t>1.1.02.05.001.09.02.07.99</t>
  </si>
  <si>
    <t>Poblacion Especial</t>
  </si>
  <si>
    <t>1.1.02.05.001.09.02.16</t>
  </si>
  <si>
    <t>Fondo Nacional de la Salud personas privadas de la Libertad</t>
  </si>
  <si>
    <t>1.1.02.05.001.09.02.16.99</t>
  </si>
  <si>
    <t>1.1.02.05.001.09.02.18.01</t>
  </si>
  <si>
    <t>1.1.02.05.001.09.02.18.01.99</t>
  </si>
  <si>
    <t>Proyecto Epidemiologia</t>
  </si>
  <si>
    <t xml:space="preserve">CONVENIOS CON EL MUNICIPIO LIGADOS A LA VENTA DE SERVICIOS </t>
  </si>
  <si>
    <t>2.1.2.02.01.002.001</t>
  </si>
  <si>
    <t>1.1.02.05.001.09.02.02.99</t>
  </si>
  <si>
    <t>1.1.02.05.001.09.02.03</t>
  </si>
  <si>
    <t>1.1.02.05.001.09.02.03.99</t>
  </si>
  <si>
    <t>1.1.02.05.001.09.02.18.03</t>
  </si>
  <si>
    <t>2.1.3.13.01.002.99</t>
  </si>
  <si>
    <t>Vigencias Anteriores Conciliaciones</t>
  </si>
  <si>
    <t>2.1.2.02.02.008.99.04</t>
  </si>
  <si>
    <t>Vigencias Anteriores Servicios personales administrativos</t>
  </si>
  <si>
    <t>2.1.8.05.01</t>
  </si>
  <si>
    <t>Conciliación de estampillas</t>
  </si>
  <si>
    <t>Multas y sanciones</t>
  </si>
  <si>
    <t>Transferencias para las Empresas Sociales del Estado</t>
  </si>
  <si>
    <t>ESTEFANIA MOSQUERA MONTOYA</t>
  </si>
  <si>
    <t>DIRECTORA FINANCIERA</t>
  </si>
  <si>
    <t>LYDA DINORAH SUAREZ A.</t>
  </si>
  <si>
    <t>TECNICA DE PRESUPUESTO</t>
  </si>
  <si>
    <t>SENA</t>
  </si>
  <si>
    <t>SALDO A SEPTIEMBRE</t>
  </si>
  <si>
    <t>SALDO A DICIEMBRE</t>
  </si>
  <si>
    <t>VARIACIÓN A REPORTAR EN EL SIHO</t>
  </si>
  <si>
    <t>TOTALES</t>
  </si>
  <si>
    <t>REDUCCIONES</t>
  </si>
  <si>
    <t>DATO APORTADO PARA DISTRIBUCION SIHO</t>
  </si>
  <si>
    <t>DIFERENCIA</t>
  </si>
  <si>
    <t>DATOS EJEUCION A DICIEMBRE</t>
  </si>
  <si>
    <t>ADICIOENS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</si>
</sst>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0000"/>
    <numFmt numFmtId="166" formatCode="#,##0_ ;[Red]\-#,##0\ "/>
    <numFmt numFmtId="167" formatCode="\X"/>
    <numFmt numFmtId="168" formatCode="&quot;$&quot;#,##0.00"/>
    <numFmt numFmtId="169" formatCode="00"/>
    <numFmt numFmtId="170" formatCode="_(&quot;$&quot;* #,##0_);_(&quot;$&quot;* \(#,##0\);_(&quot;$&quot;* &quot;-&quot;??_);_(@_)"/>
    <numFmt numFmtId="171" formatCode="_-&quot;$&quot;\ * #,##0_-;\-&quot;$&quot;\ * #,##0_-;_-&quot;$&quot;\ * &quot;-&quot;??_-;_-@_-"/>
  </numFmts>
  <fonts count="74">
    <font>
      <sz val="10"/>
      <color rgb="FF000000"/>
      <name val="Arial"/>
    </font>
    <font>
      <sz val="11"/>
      <color theme="1"/>
      <name val="Calibri"/>
      <family val="2"/>
      <scheme val="minor"/>
    </font>
    <font>
      <sz val="11"/>
      <color theme="1"/>
      <name val="Calibri"/>
      <family val="2"/>
      <scheme val="minor"/>
    </font>
    <font>
      <b/>
      <sz val="13"/>
      <color rgb="FFFF0000"/>
      <name val="Arial"/>
      <family val="2"/>
    </font>
    <font>
      <sz val="10"/>
      <name val="Arial"/>
      <family val="2"/>
    </font>
    <font>
      <b/>
      <sz val="9"/>
      <color rgb="FFFF0000"/>
      <name val="Arial"/>
      <family val="2"/>
    </font>
    <font>
      <sz val="9"/>
      <color theme="1"/>
      <name val="Arial"/>
      <family val="2"/>
    </font>
    <font>
      <sz val="9"/>
      <color theme="1"/>
      <name val="Arimo"/>
    </font>
    <font>
      <sz val="14"/>
      <color theme="1"/>
      <name val="Arial"/>
      <family val="2"/>
    </font>
    <font>
      <b/>
      <sz val="14"/>
      <color theme="1"/>
      <name val="Arial"/>
      <family val="2"/>
    </font>
    <font>
      <b/>
      <sz val="15"/>
      <color theme="1"/>
      <name val="Arial"/>
      <family val="2"/>
    </font>
    <font>
      <sz val="10"/>
      <color theme="1"/>
      <name val="Arial"/>
      <family val="2"/>
    </font>
    <font>
      <b/>
      <sz val="12"/>
      <color rgb="FFFF0000"/>
      <name val="Arial"/>
      <family val="2"/>
    </font>
    <font>
      <sz val="9"/>
      <color rgb="FFFF0000"/>
      <name val="Arial"/>
      <family val="2"/>
    </font>
    <font>
      <b/>
      <sz val="9"/>
      <color rgb="FF000000"/>
      <name val="Arial"/>
      <family val="2"/>
    </font>
    <font>
      <b/>
      <sz val="12"/>
      <color rgb="FF0000FF"/>
      <name val="Arial"/>
      <family val="2"/>
    </font>
    <font>
      <b/>
      <sz val="16"/>
      <color theme="1"/>
      <name val="Arial"/>
      <family val="2"/>
    </font>
    <font>
      <b/>
      <sz val="12"/>
      <color theme="1"/>
      <name val="Arial"/>
      <family val="2"/>
    </font>
    <font>
      <sz val="8"/>
      <color theme="1"/>
      <name val="Arial"/>
      <family val="2"/>
    </font>
    <font>
      <sz val="11"/>
      <color theme="1"/>
      <name val="Arial"/>
      <family val="2"/>
    </font>
    <font>
      <sz val="12"/>
      <color theme="1"/>
      <name val="Arial"/>
      <family val="2"/>
    </font>
    <font>
      <b/>
      <sz val="16"/>
      <color theme="1"/>
      <name val="Helvetica Neue"/>
    </font>
    <font>
      <sz val="10"/>
      <color rgb="FFFFFFFF"/>
      <name val="Arial"/>
      <family val="2"/>
    </font>
    <font>
      <b/>
      <sz val="10"/>
      <color theme="1"/>
      <name val="Arial"/>
      <family val="2"/>
    </font>
    <font>
      <b/>
      <sz val="13"/>
      <color theme="1"/>
      <name val="Arial"/>
      <family val="2"/>
    </font>
    <font>
      <b/>
      <sz val="14"/>
      <color theme="1"/>
      <name val="Arial Rounded"/>
    </font>
    <font>
      <b/>
      <sz val="9"/>
      <color theme="1"/>
      <name val="Bookman Old Style"/>
      <family val="1"/>
    </font>
    <font>
      <sz val="7"/>
      <color theme="1"/>
      <name val="Arial"/>
      <family val="2"/>
    </font>
    <font>
      <b/>
      <sz val="8"/>
      <color theme="1"/>
      <name val="Arial"/>
      <family val="2"/>
    </font>
    <font>
      <b/>
      <sz val="11"/>
      <color theme="1"/>
      <name val="Arial"/>
      <family val="2"/>
    </font>
    <font>
      <b/>
      <sz val="18"/>
      <color theme="1"/>
      <name val="Arial"/>
      <family val="2"/>
    </font>
    <font>
      <b/>
      <sz val="9"/>
      <color theme="1"/>
      <name val="Arial"/>
      <family val="2"/>
    </font>
    <font>
      <i/>
      <sz val="8"/>
      <color theme="1"/>
      <name val="Arial"/>
      <family val="2"/>
    </font>
    <font>
      <b/>
      <sz val="11"/>
      <color rgb="FF000000"/>
      <name val="Arial"/>
      <family val="2"/>
    </font>
    <font>
      <b/>
      <sz val="12"/>
      <color rgb="FF000000"/>
      <name val="Arial"/>
      <family val="2"/>
    </font>
    <font>
      <sz val="11"/>
      <color rgb="FF000000"/>
      <name val="Arial"/>
      <family val="2"/>
    </font>
    <font>
      <sz val="10"/>
      <color rgb="FFFF0000"/>
      <name val="Arial"/>
      <family val="2"/>
    </font>
    <font>
      <sz val="8"/>
      <color rgb="FFFF0000"/>
      <name val="Arial"/>
      <family val="2"/>
    </font>
    <font>
      <sz val="9"/>
      <color theme="1"/>
      <name val="Bookman Old Style"/>
      <family val="1"/>
    </font>
    <font>
      <b/>
      <sz val="20"/>
      <color rgb="FF008080"/>
      <name val="Arial"/>
      <family val="2"/>
    </font>
    <font>
      <b/>
      <sz val="24"/>
      <color rgb="FFFF6600"/>
      <name val="Arial"/>
      <family val="2"/>
    </font>
    <font>
      <sz val="12"/>
      <color theme="1"/>
      <name val="Tahoma"/>
      <family val="2"/>
    </font>
    <font>
      <b/>
      <sz val="20"/>
      <color rgb="FFFF0000"/>
      <name val="Arial"/>
      <family val="2"/>
    </font>
    <font>
      <b/>
      <sz val="20"/>
      <color rgb="FF800080"/>
      <name val="Arial"/>
      <family val="2"/>
    </font>
    <font>
      <b/>
      <sz val="18"/>
      <color rgb="FFFF0000"/>
      <name val="Arial"/>
      <family val="2"/>
    </font>
    <font>
      <b/>
      <sz val="12"/>
      <color rgb="FF333399"/>
      <name val="Arial"/>
      <family val="2"/>
    </font>
    <font>
      <b/>
      <sz val="28"/>
      <color theme="1"/>
      <name val="Arial Rounded"/>
    </font>
    <font>
      <sz val="10"/>
      <color theme="1"/>
      <name val="Tahoma"/>
      <family val="2"/>
    </font>
    <font>
      <b/>
      <sz val="18"/>
      <color rgb="FF008000"/>
      <name val="Arial"/>
      <family val="2"/>
    </font>
    <font>
      <b/>
      <sz val="11"/>
      <color rgb="FF008000"/>
      <name val="Arial"/>
      <family val="2"/>
    </font>
    <font>
      <b/>
      <sz val="13"/>
      <color rgb="FF008000"/>
      <name val="Arial"/>
      <family val="2"/>
    </font>
    <font>
      <b/>
      <sz val="12"/>
      <color rgb="FF008000"/>
      <name val="Arial"/>
      <family val="2"/>
    </font>
    <font>
      <sz val="17"/>
      <color theme="1"/>
      <name val="Arial"/>
      <family val="2"/>
    </font>
    <font>
      <b/>
      <sz val="17"/>
      <color theme="1"/>
      <name val="Arial"/>
      <family val="2"/>
    </font>
    <font>
      <b/>
      <sz val="12"/>
      <color rgb="FF800080"/>
      <name val="Arial"/>
      <family val="2"/>
    </font>
    <font>
      <b/>
      <sz val="16"/>
      <color rgb="FFFF0000"/>
      <name val="Arial"/>
      <family val="2"/>
    </font>
    <font>
      <sz val="10"/>
      <color rgb="FF000000"/>
      <name val="Arial"/>
      <family val="2"/>
    </font>
    <font>
      <sz val="10"/>
      <name val="Arial Narrow"/>
      <family val="2"/>
    </font>
    <font>
      <sz val="10"/>
      <color theme="1"/>
      <name val="Arial Narrow"/>
      <family val="2"/>
    </font>
    <font>
      <sz val="12"/>
      <color theme="1"/>
      <name val="Calibri"/>
      <family val="2"/>
      <scheme val="minor"/>
    </font>
    <font>
      <b/>
      <sz val="10"/>
      <color theme="1"/>
      <name val="Arial Narrow"/>
      <family val="2"/>
    </font>
    <font>
      <b/>
      <sz val="10"/>
      <color theme="0"/>
      <name val="Arial Narrow"/>
      <family val="2"/>
    </font>
    <font>
      <sz val="9"/>
      <name val="Arial"/>
      <family val="2"/>
    </font>
    <font>
      <b/>
      <sz val="9"/>
      <name val="Arial"/>
      <family val="2"/>
    </font>
    <font>
      <sz val="14"/>
      <name val="Arial"/>
      <family val="2"/>
    </font>
    <font>
      <b/>
      <sz val="14"/>
      <color rgb="FF008000"/>
      <name val="Arial"/>
      <family val="2"/>
    </font>
    <font>
      <b/>
      <sz val="10"/>
      <name val="Arial Narrow"/>
      <family val="2"/>
    </font>
    <font>
      <sz val="8"/>
      <name val="Arial"/>
      <family val="2"/>
    </font>
    <font>
      <b/>
      <sz val="8"/>
      <name val="Arial"/>
      <family val="2"/>
    </font>
    <font>
      <b/>
      <sz val="10"/>
      <color rgb="FF000000"/>
      <name val="Arial"/>
      <family val="2"/>
    </font>
    <font>
      <sz val="10"/>
      <color theme="3"/>
      <name val="Arial"/>
      <family val="2"/>
    </font>
    <font>
      <sz val="10"/>
      <color rgb="FF000000"/>
      <name val="Arial"/>
      <family val="2"/>
    </font>
    <font>
      <sz val="12"/>
      <color rgb="FF000000"/>
      <name val="Arial"/>
      <family val="2"/>
    </font>
    <font>
      <b/>
      <sz val="12"/>
      <color theme="1"/>
      <name val="Calibri"/>
      <family val="2"/>
      <scheme val="minor"/>
    </font>
  </fonts>
  <fills count="28">
    <fill>
      <patternFill patternType="none"/>
    </fill>
    <fill>
      <patternFill patternType="gray125"/>
    </fill>
    <fill>
      <patternFill patternType="solid">
        <fgColor rgb="FFCCFFFF"/>
        <bgColor rgb="FFCCFFFF"/>
      </patternFill>
    </fill>
    <fill>
      <patternFill patternType="solid">
        <fgColor rgb="FFFFFFFF"/>
        <bgColor rgb="FFFFFFFF"/>
      </patternFill>
    </fill>
    <fill>
      <patternFill patternType="solid">
        <fgColor rgb="FFCCFFCC"/>
        <bgColor rgb="FFCCFFCC"/>
      </patternFill>
    </fill>
    <fill>
      <patternFill patternType="solid">
        <fgColor rgb="FF99CCFF"/>
        <bgColor rgb="FF99CCFF"/>
      </patternFill>
    </fill>
    <fill>
      <patternFill patternType="solid">
        <fgColor rgb="FFFFCC99"/>
        <bgColor rgb="FFFFCC99"/>
      </patternFill>
    </fill>
    <fill>
      <patternFill patternType="solid">
        <fgColor rgb="FFD6E3BC"/>
        <bgColor rgb="FFD6E3BC"/>
      </patternFill>
    </fill>
    <fill>
      <patternFill patternType="solid">
        <fgColor rgb="FFFFFF00"/>
        <bgColor rgb="FFFFFFFF"/>
      </patternFill>
    </fill>
    <fill>
      <patternFill patternType="solid">
        <fgColor theme="0"/>
        <bgColor rgb="FF99CCFF"/>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587582"/>
        <bgColor indexed="64"/>
      </patternFill>
    </fill>
    <fill>
      <patternFill patternType="solid">
        <fgColor theme="0"/>
        <bgColor rgb="FFFFFFFF"/>
      </patternFill>
    </fill>
    <fill>
      <patternFill patternType="solid">
        <fgColor theme="0"/>
        <bgColor rgb="FFFFFF00"/>
      </patternFill>
    </fill>
    <fill>
      <patternFill patternType="solid">
        <fgColor rgb="FFFFFFFF"/>
        <bgColor rgb="FF000000"/>
      </patternFill>
    </fill>
    <fill>
      <patternFill patternType="solid">
        <fgColor rgb="FF92D050"/>
        <bgColor rgb="FFFFFFFF"/>
      </patternFill>
    </fill>
    <fill>
      <patternFill patternType="solid">
        <fgColor theme="8" tint="0.39997558519241921"/>
        <bgColor rgb="FF99CCFF"/>
      </patternFill>
    </fill>
    <fill>
      <patternFill patternType="solid">
        <fgColor theme="6" tint="0.39997558519241921"/>
        <bgColor rgb="FFFFFFFF"/>
      </patternFill>
    </fill>
    <fill>
      <patternFill patternType="solid">
        <fgColor rgb="FF92D050"/>
        <bgColor rgb="FF99CCFF"/>
      </patternFill>
    </fill>
    <fill>
      <patternFill patternType="solid">
        <fgColor rgb="FF92D050"/>
        <bgColor indexed="64"/>
      </patternFill>
    </fill>
    <fill>
      <patternFill patternType="solid">
        <fgColor theme="4" tint="0.39997558519241921"/>
        <bgColor indexed="64"/>
      </patternFill>
    </fill>
    <fill>
      <patternFill patternType="solid">
        <fgColor rgb="FF00B050"/>
        <bgColor rgb="FFFFFFFF"/>
      </patternFill>
    </fill>
    <fill>
      <patternFill patternType="solid">
        <fgColor rgb="FF00B050"/>
        <bgColor rgb="FF99CCFF"/>
      </patternFill>
    </fill>
    <fill>
      <patternFill patternType="solid">
        <fgColor rgb="FF00B050"/>
        <bgColor indexed="64"/>
      </patternFill>
    </fill>
  </fills>
  <borders count="21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style="thin">
        <color rgb="FF000000"/>
      </bottom>
      <diagonal/>
    </border>
    <border>
      <left style="medium">
        <color rgb="FF000000"/>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top/>
      <bottom/>
      <diagonal/>
    </border>
    <border>
      <left/>
      <right/>
      <top style="thin">
        <color rgb="FF000000"/>
      </top>
      <bottom/>
      <diagonal/>
    </border>
    <border>
      <left style="medium">
        <color rgb="FF000000"/>
      </left>
      <right style="medium">
        <color rgb="FF000000"/>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right/>
      <top/>
      <bottom/>
      <diagonal/>
    </border>
    <border>
      <left style="medium">
        <color rgb="FF000000"/>
      </left>
      <right style="thin">
        <color rgb="FF000000"/>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top style="medium">
        <color rgb="FF000000"/>
      </top>
      <bottom style="thin">
        <color rgb="FF000000"/>
      </bottom>
      <diagonal/>
    </border>
    <border>
      <left style="medium">
        <color rgb="FF000000"/>
      </left>
      <right/>
      <top/>
      <bottom/>
      <diagonal/>
    </border>
    <border>
      <left style="medium">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thin">
        <color rgb="FF000000"/>
      </top>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bottom style="thin">
        <color rgb="FF000000"/>
      </bottom>
      <diagonal/>
    </border>
    <border>
      <left style="thin">
        <color rgb="FF000000"/>
      </left>
      <right/>
      <top/>
      <bottom/>
      <diagonal/>
    </border>
    <border>
      <left style="thin">
        <color rgb="FF000000"/>
      </left>
      <right/>
      <top/>
      <bottom style="medium">
        <color rgb="FF000000"/>
      </bottom>
      <diagonal/>
    </border>
    <border>
      <left style="medium">
        <color rgb="FF000000"/>
      </left>
      <right/>
      <top style="thin">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double">
        <color rgb="FF00808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medium">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right style="thick">
        <color rgb="FF008000"/>
      </right>
      <top style="thick">
        <color rgb="FF008000"/>
      </top>
      <bottom/>
      <diagonal/>
    </border>
    <border>
      <left/>
      <right style="thick">
        <color rgb="FF008000"/>
      </right>
      <top style="medium">
        <color rgb="FF000000"/>
      </top>
      <bottom style="thin">
        <color rgb="FF000000"/>
      </bottom>
      <diagonal/>
    </border>
    <border>
      <left style="thick">
        <color rgb="FF008000"/>
      </left>
      <right/>
      <top style="thick">
        <color rgb="FF008000"/>
      </top>
      <bottom/>
      <diagonal/>
    </border>
    <border>
      <left/>
      <right style="thick">
        <color rgb="FF008000"/>
      </right>
      <top/>
      <bottom/>
      <diagonal/>
    </border>
    <border>
      <left style="thick">
        <color rgb="FF008000"/>
      </left>
      <right/>
      <top/>
      <bottom/>
      <diagonal/>
    </border>
    <border>
      <left/>
      <right style="thick">
        <color rgb="FF008000"/>
      </right>
      <top style="thin">
        <color rgb="FF000000"/>
      </top>
      <bottom style="thin">
        <color rgb="FF000000"/>
      </bottom>
      <diagonal/>
    </border>
    <border>
      <left style="thick">
        <color rgb="FF008000"/>
      </left>
      <right/>
      <top style="thin">
        <color rgb="FF000000"/>
      </top>
      <bottom style="thin">
        <color rgb="FF000000"/>
      </bottom>
      <diagonal/>
    </border>
    <border>
      <left/>
      <right/>
      <top/>
      <bottom/>
      <diagonal/>
    </border>
    <border>
      <left/>
      <right/>
      <top style="medium">
        <color rgb="FF000000"/>
      </top>
      <bottom/>
      <diagonal/>
    </border>
    <border>
      <left style="medium">
        <color rgb="FF000000"/>
      </left>
      <right/>
      <top/>
      <bottom style="medium">
        <color rgb="FF000000"/>
      </bottom>
      <diagonal/>
    </border>
    <border>
      <left style="medium">
        <color rgb="FF000000"/>
      </left>
      <right style="medium">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thin">
        <color rgb="FF000000"/>
      </left>
      <right style="thin">
        <color rgb="FF000000"/>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double">
        <color rgb="FF008080"/>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style="medium">
        <color rgb="FF000000"/>
      </bottom>
      <diagonal/>
    </border>
    <border>
      <left style="medium">
        <color indexed="64"/>
      </left>
      <right/>
      <top/>
      <bottom style="medium">
        <color rgb="FF000000"/>
      </bottom>
      <diagonal/>
    </border>
    <border>
      <left/>
      <right style="medium">
        <color indexed="64"/>
      </right>
      <top/>
      <bottom/>
      <diagonal/>
    </border>
    <border>
      <left style="medium">
        <color indexed="64"/>
      </left>
      <right style="medium">
        <color rgb="FF000000"/>
      </right>
      <top style="medium">
        <color rgb="FF000000"/>
      </top>
      <bottom/>
      <diagonal/>
    </border>
    <border>
      <left/>
      <right style="medium">
        <color indexed="64"/>
      </right>
      <top style="medium">
        <color rgb="FF000000"/>
      </top>
      <bottom style="thin">
        <color rgb="FF000000"/>
      </bottom>
      <diagonal/>
    </border>
    <border>
      <left style="medium">
        <color indexed="64"/>
      </left>
      <right style="medium">
        <color rgb="FF000000"/>
      </right>
      <top/>
      <bottom style="medium">
        <color rgb="FF000000"/>
      </bottom>
      <diagonal/>
    </border>
    <border>
      <left style="thin">
        <color rgb="FF000000"/>
      </left>
      <right style="medium">
        <color indexed="64"/>
      </right>
      <top style="thin">
        <color rgb="FF000000"/>
      </top>
      <bottom/>
      <diagonal/>
    </border>
    <border>
      <left style="medium">
        <color indexed="64"/>
      </left>
      <right/>
      <top style="medium">
        <color rgb="FF000000"/>
      </top>
      <bottom style="thin">
        <color rgb="FF000000"/>
      </bottom>
      <diagonal/>
    </border>
    <border>
      <left style="thin">
        <color rgb="FF000000"/>
      </left>
      <right style="medium">
        <color indexed="64"/>
      </right>
      <top style="medium">
        <color rgb="FF000000"/>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medium">
        <color indexed="64"/>
      </top>
      <bottom/>
      <diagonal/>
    </border>
    <border>
      <left style="thin">
        <color rgb="FF000000"/>
      </left>
      <right style="medium">
        <color rgb="FF000000"/>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rgb="FF000000"/>
      </bottom>
      <diagonal/>
    </border>
    <border>
      <left style="medium">
        <color indexed="64"/>
      </left>
      <right style="thin">
        <color rgb="FF000000"/>
      </right>
      <top style="medium">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bottom style="thin">
        <color rgb="FF000000"/>
      </bottom>
      <diagonal/>
    </border>
    <border>
      <left/>
      <right style="medium">
        <color rgb="FF000000"/>
      </right>
      <top style="thin">
        <color rgb="FF000000"/>
      </top>
      <bottom/>
      <diagonal/>
    </border>
    <border>
      <left/>
      <right style="medium">
        <color rgb="FF000000"/>
      </right>
      <top/>
      <bottom style="thin">
        <color rgb="FF000000"/>
      </bottom>
      <diagonal/>
    </border>
    <border>
      <left style="thin">
        <color rgb="FF000000"/>
      </left>
      <right/>
      <top style="thin">
        <color rgb="FF000000"/>
      </top>
      <bottom/>
      <diagonal/>
    </border>
    <border>
      <left/>
      <right/>
      <top style="thin">
        <color rgb="FF000000"/>
      </top>
      <bottom style="medium">
        <color indexed="64"/>
      </bottom>
      <diagonal/>
    </border>
    <border>
      <left style="thin">
        <color rgb="FF000000"/>
      </left>
      <right style="thin">
        <color rgb="FF000000"/>
      </right>
      <top/>
      <bottom style="medium">
        <color indexed="64"/>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style="thin">
        <color rgb="FF000000"/>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medium">
        <color indexed="64"/>
      </top>
      <bottom/>
      <diagonal/>
    </border>
  </borders>
  <cellStyleXfs count="31">
    <xf numFmtId="0" fontId="0" fillId="0" borderId="0"/>
    <xf numFmtId="0" fontId="2" fillId="0" borderId="150"/>
    <xf numFmtId="0" fontId="2" fillId="0" borderId="150"/>
    <xf numFmtId="0" fontId="59" fillId="0" borderId="150"/>
    <xf numFmtId="0" fontId="2" fillId="0" borderId="150"/>
    <xf numFmtId="0" fontId="4" fillId="0" borderId="150"/>
    <xf numFmtId="41" fontId="4" fillId="0" borderId="150" applyFont="0" applyFill="0" applyBorder="0" applyAlignment="0" applyProtection="0"/>
    <xf numFmtId="9" fontId="4" fillId="0" borderId="150" applyFont="0" applyFill="0" applyBorder="0" applyAlignment="0" applyProtection="0"/>
    <xf numFmtId="0" fontId="1" fillId="0" borderId="150"/>
    <xf numFmtId="0" fontId="1" fillId="0" borderId="150"/>
    <xf numFmtId="1" fontId="57" fillId="10" borderId="150" applyFill="0">
      <alignment horizontal="center" vertical="center"/>
    </xf>
    <xf numFmtId="0" fontId="1" fillId="0" borderId="150"/>
    <xf numFmtId="0" fontId="1" fillId="0" borderId="150"/>
    <xf numFmtId="169" fontId="57" fillId="0" borderId="150" applyFill="0">
      <alignment horizontal="center" vertical="center" wrapText="1"/>
    </xf>
    <xf numFmtId="0" fontId="4" fillId="0" borderId="150"/>
    <xf numFmtId="0" fontId="1" fillId="0" borderId="150"/>
    <xf numFmtId="0" fontId="1" fillId="0" borderId="150"/>
    <xf numFmtId="0" fontId="1" fillId="0" borderId="150"/>
    <xf numFmtId="43" fontId="4" fillId="0" borderId="150" applyFont="0" applyFill="0" applyBorder="0" applyAlignment="0" applyProtection="0"/>
    <xf numFmtId="0" fontId="4" fillId="0" borderId="150"/>
    <xf numFmtId="43" fontId="4" fillId="0" borderId="150" applyFont="0" applyFill="0" applyBorder="0" applyAlignment="0" applyProtection="0"/>
    <xf numFmtId="41" fontId="4" fillId="0" borderId="150" applyFont="0" applyFill="0" applyBorder="0" applyAlignment="0" applyProtection="0"/>
    <xf numFmtId="0" fontId="4" fillId="0" borderId="150"/>
    <xf numFmtId="43" fontId="4" fillId="0" borderId="150" applyFont="0" applyFill="0" applyBorder="0" applyAlignment="0" applyProtection="0"/>
    <xf numFmtId="0" fontId="4" fillId="0" borderId="150"/>
    <xf numFmtId="9" fontId="4" fillId="0" borderId="150" applyFont="0" applyFill="0" applyBorder="0" applyAlignment="0" applyProtection="0"/>
    <xf numFmtId="0" fontId="1" fillId="0" borderId="150"/>
    <xf numFmtId="9" fontId="1" fillId="0" borderId="150" applyFont="0" applyFill="0" applyBorder="0" applyAlignment="0" applyProtection="0"/>
    <xf numFmtId="164" fontId="1" fillId="0" borderId="150" applyFont="0" applyFill="0" applyBorder="0" applyAlignment="0" applyProtection="0"/>
    <xf numFmtId="0" fontId="1" fillId="0" borderId="150"/>
    <xf numFmtId="44" fontId="71" fillId="0" borderId="0" applyFont="0" applyFill="0" applyBorder="0" applyAlignment="0" applyProtection="0"/>
  </cellStyleXfs>
  <cellXfs count="1527">
    <xf numFmtId="0" fontId="0" fillId="0" borderId="0" xfId="0"/>
    <xf numFmtId="0" fontId="6" fillId="0" borderId="4" xfId="0" applyFont="1" applyBorder="1"/>
    <xf numFmtId="0" fontId="6" fillId="0" borderId="0" xfId="0" applyFont="1"/>
    <xf numFmtId="0" fontId="8" fillId="0" borderId="4" xfId="0" applyFont="1" applyBorder="1" applyAlignment="1">
      <alignment horizontal="center" vertical="center"/>
    </xf>
    <xf numFmtId="0" fontId="8" fillId="0" borderId="0" xfId="0" applyFont="1" applyAlignment="1">
      <alignment horizontal="center" vertical="center"/>
    </xf>
    <xf numFmtId="1" fontId="10" fillId="2" borderId="9" xfId="0" applyNumberFormat="1" applyFont="1" applyFill="1" applyBorder="1" applyAlignment="1">
      <alignment horizontal="center" vertical="center"/>
    </xf>
    <xf numFmtId="0" fontId="8" fillId="0" borderId="4" xfId="0" applyFont="1" applyBorder="1" applyAlignment="1">
      <alignment horizontal="center"/>
    </xf>
    <xf numFmtId="0" fontId="6" fillId="0" borderId="5" xfId="0" applyFont="1" applyBorder="1"/>
    <xf numFmtId="0" fontId="11" fillId="0" borderId="10" xfId="0" applyFont="1" applyBorder="1"/>
    <xf numFmtId="0" fontId="11" fillId="0" borderId="11" xfId="0" applyFont="1" applyBorder="1"/>
    <xf numFmtId="0" fontId="11" fillId="0" borderId="12" xfId="0" applyFont="1" applyBorder="1"/>
    <xf numFmtId="0" fontId="6" fillId="0" borderId="4" xfId="0" applyFont="1" applyBorder="1" applyAlignment="1">
      <alignment horizontal="left"/>
    </xf>
    <xf numFmtId="0" fontId="6" fillId="0" borderId="0" xfId="0" applyFont="1" applyAlignment="1">
      <alignment horizontal="left"/>
    </xf>
    <xf numFmtId="0" fontId="6" fillId="0" borderId="5" xfId="0" applyFont="1" applyBorder="1" applyAlignment="1">
      <alignment horizontal="left"/>
    </xf>
    <xf numFmtId="0" fontId="6" fillId="0" borderId="4" xfId="0" quotePrefix="1" applyFont="1" applyBorder="1" applyAlignment="1">
      <alignment horizontal="left"/>
    </xf>
    <xf numFmtId="0" fontId="6" fillId="0" borderId="10" xfId="0" applyFont="1" applyBorder="1" applyAlignment="1">
      <alignment horizontal="left"/>
    </xf>
    <xf numFmtId="0" fontId="6" fillId="0" borderId="11" xfId="0" applyFont="1" applyBorder="1"/>
    <xf numFmtId="0" fontId="6" fillId="0" borderId="12" xfId="0" applyFont="1" applyBorder="1"/>
    <xf numFmtId="0" fontId="6" fillId="0" borderId="1" xfId="0" applyFont="1" applyBorder="1"/>
    <xf numFmtId="0" fontId="6" fillId="0" borderId="2" xfId="0" applyFont="1" applyBorder="1"/>
    <xf numFmtId="0" fontId="6" fillId="0" borderId="3" xfId="0" applyFont="1" applyBorder="1"/>
    <xf numFmtId="0" fontId="14" fillId="0" borderId="4" xfId="0" applyFont="1" applyBorder="1"/>
    <xf numFmtId="0" fontId="15" fillId="0" borderId="1" xfId="0" applyFont="1" applyBorder="1"/>
    <xf numFmtId="0" fontId="15" fillId="0" borderId="2" xfId="0" applyFont="1" applyBorder="1"/>
    <xf numFmtId="0" fontId="11" fillId="0" borderId="4" xfId="0" applyFont="1" applyBorder="1"/>
    <xf numFmtId="0" fontId="11" fillId="0" borderId="4" xfId="0" applyFont="1" applyBorder="1" applyAlignment="1">
      <alignment horizontal="left" vertical="top"/>
    </xf>
    <xf numFmtId="0" fontId="15" fillId="0" borderId="4" xfId="0" applyFont="1" applyBorder="1"/>
    <xf numFmtId="0" fontId="0" fillId="0" borderId="4" xfId="0" applyBorder="1"/>
    <xf numFmtId="0" fontId="11" fillId="0" borderId="0" xfId="0" applyFont="1" applyAlignment="1">
      <alignment horizontal="left" vertical="top"/>
    </xf>
    <xf numFmtId="0" fontId="11" fillId="0" borderId="5" xfId="0" applyFont="1" applyBorder="1" applyAlignment="1">
      <alignment horizontal="left" vertical="top"/>
    </xf>
    <xf numFmtId="3" fontId="17" fillId="3" borderId="15" xfId="0" applyNumberFormat="1" applyFont="1" applyFill="1" applyBorder="1" applyAlignment="1">
      <alignment vertical="center" wrapText="1"/>
    </xf>
    <xf numFmtId="3" fontId="18" fillId="3" borderId="17" xfId="0" applyNumberFormat="1" applyFont="1" applyFill="1" applyBorder="1"/>
    <xf numFmtId="3" fontId="11" fillId="3" borderId="17" xfId="0" applyNumberFormat="1" applyFont="1" applyFill="1" applyBorder="1"/>
    <xf numFmtId="1" fontId="11" fillId="3" borderId="17" xfId="0" applyNumberFormat="1" applyFont="1" applyFill="1" applyBorder="1" applyAlignment="1">
      <alignment horizontal="center"/>
    </xf>
    <xf numFmtId="3" fontId="18" fillId="3" borderId="17" xfId="0" applyNumberFormat="1" applyFont="1" applyFill="1" applyBorder="1" applyAlignment="1">
      <alignment wrapText="1"/>
    </xf>
    <xf numFmtId="3" fontId="17" fillId="3" borderId="17" xfId="0" applyNumberFormat="1" applyFont="1" applyFill="1" applyBorder="1"/>
    <xf numFmtId="0" fontId="11" fillId="3" borderId="17" xfId="0" applyFont="1" applyFill="1" applyBorder="1"/>
    <xf numFmtId="1" fontId="19" fillId="3" borderId="18" xfId="0" applyNumberFormat="1" applyFont="1" applyFill="1" applyBorder="1" applyAlignment="1">
      <alignment horizontal="center"/>
    </xf>
    <xf numFmtId="3" fontId="20" fillId="3" borderId="18" xfId="0" applyNumberFormat="1" applyFont="1" applyFill="1" applyBorder="1" applyAlignment="1">
      <alignment horizontal="center" wrapText="1"/>
    </xf>
    <xf numFmtId="3" fontId="18" fillId="3" borderId="18" xfId="0" applyNumberFormat="1" applyFont="1" applyFill="1" applyBorder="1"/>
    <xf numFmtId="3" fontId="21" fillId="3" borderId="21" xfId="0" applyNumberFormat="1" applyFont="1" applyFill="1" applyBorder="1" applyAlignment="1">
      <alignment horizontal="left" vertical="center"/>
    </xf>
    <xf numFmtId="3" fontId="21" fillId="3" borderId="21" xfId="0" applyNumberFormat="1" applyFont="1" applyFill="1" applyBorder="1" applyAlignment="1">
      <alignment vertical="center"/>
    </xf>
    <xf numFmtId="3" fontId="17" fillId="3" borderId="22" xfId="0" applyNumberFormat="1" applyFont="1" applyFill="1" applyBorder="1"/>
    <xf numFmtId="3" fontId="17" fillId="3" borderId="25" xfId="0" applyNumberFormat="1" applyFont="1" applyFill="1" applyBorder="1" applyAlignment="1">
      <alignment horizontal="center" vertical="center"/>
    </xf>
    <xf numFmtId="1" fontId="11" fillId="3" borderId="18" xfId="0" applyNumberFormat="1" applyFont="1" applyFill="1" applyBorder="1" applyAlignment="1">
      <alignment horizontal="center"/>
    </xf>
    <xf numFmtId="3" fontId="20" fillId="3" borderId="21" xfId="0" applyNumberFormat="1" applyFont="1" applyFill="1" applyBorder="1" applyAlignment="1">
      <alignment horizontal="center" wrapText="1"/>
    </xf>
    <xf numFmtId="3" fontId="22" fillId="3" borderId="30" xfId="0" applyNumberFormat="1" applyFont="1" applyFill="1" applyBorder="1"/>
    <xf numFmtId="0" fontId="20" fillId="3" borderId="33" xfId="0" applyFont="1" applyFill="1" applyBorder="1" applyAlignment="1">
      <alignment horizontal="center" vertical="center"/>
    </xf>
    <xf numFmtId="1" fontId="19" fillId="3" borderId="34" xfId="0" applyNumberFormat="1" applyFont="1" applyFill="1" applyBorder="1" applyAlignment="1">
      <alignment horizontal="center"/>
    </xf>
    <xf numFmtId="3" fontId="24" fillId="3" borderId="34" xfId="0" applyNumberFormat="1" applyFont="1" applyFill="1" applyBorder="1"/>
    <xf numFmtId="1" fontId="11" fillId="3" borderId="34" xfId="0" applyNumberFormat="1" applyFont="1" applyFill="1" applyBorder="1" applyAlignment="1">
      <alignment horizontal="center"/>
    </xf>
    <xf numFmtId="3" fontId="18" fillId="3" borderId="34" xfId="0" applyNumberFormat="1" applyFont="1" applyFill="1" applyBorder="1"/>
    <xf numFmtId="3" fontId="11" fillId="3" borderId="47" xfId="0" applyNumberFormat="1" applyFont="1" applyFill="1" applyBorder="1" applyAlignment="1">
      <alignment horizontal="center"/>
    </xf>
    <xf numFmtId="0" fontId="20" fillId="3" borderId="53" xfId="0" applyFont="1" applyFill="1" applyBorder="1" applyAlignment="1">
      <alignment horizontal="center" vertical="center"/>
    </xf>
    <xf numFmtId="3" fontId="17" fillId="3" borderId="54" xfId="0" applyNumberFormat="1" applyFont="1" applyFill="1" applyBorder="1" applyAlignment="1">
      <alignment horizontal="center" vertical="center"/>
    </xf>
    <xf numFmtId="0" fontId="17" fillId="3" borderId="17" xfId="0" applyFont="1" applyFill="1" applyBorder="1" applyAlignment="1">
      <alignment horizontal="center" vertical="center"/>
    </xf>
    <xf numFmtId="3" fontId="18" fillId="3" borderId="57" xfId="0" applyNumberFormat="1" applyFont="1" applyFill="1" applyBorder="1"/>
    <xf numFmtId="3" fontId="18" fillId="3" borderId="65" xfId="0" applyNumberFormat="1" applyFont="1" applyFill="1" applyBorder="1"/>
    <xf numFmtId="3" fontId="18" fillId="3" borderId="66" xfId="0" applyNumberFormat="1" applyFont="1" applyFill="1" applyBorder="1" applyAlignment="1">
      <alignment horizontal="center"/>
    </xf>
    <xf numFmtId="3" fontId="18" fillId="3" borderId="17" xfId="0" applyNumberFormat="1" applyFont="1" applyFill="1" applyBorder="1" applyAlignment="1">
      <alignment horizontal="center"/>
    </xf>
    <xf numFmtId="3" fontId="27" fillId="3" borderId="57" xfId="0" applyNumberFormat="1" applyFont="1" applyFill="1" applyBorder="1" applyAlignment="1">
      <alignment horizontal="left" vertical="center"/>
    </xf>
    <xf numFmtId="3" fontId="18" fillId="3" borderId="15" xfId="0" applyNumberFormat="1" applyFont="1" applyFill="1" applyBorder="1" applyAlignment="1">
      <alignment vertical="center"/>
    </xf>
    <xf numFmtId="3" fontId="17" fillId="3" borderId="15" xfId="0" applyNumberFormat="1" applyFont="1" applyFill="1" applyBorder="1" applyAlignment="1">
      <alignment vertical="center"/>
    </xf>
    <xf numFmtId="3" fontId="17" fillId="3" borderId="68" xfId="0" applyNumberFormat="1" applyFont="1" applyFill="1" applyBorder="1" applyAlignment="1">
      <alignment vertical="center"/>
    </xf>
    <xf numFmtId="3" fontId="17" fillId="3" borderId="17" xfId="0" applyNumberFormat="1" applyFont="1" applyFill="1" applyBorder="1" applyAlignment="1">
      <alignment vertical="center"/>
    </xf>
    <xf numFmtId="3" fontId="11" fillId="3" borderId="68" xfId="0" applyNumberFormat="1" applyFont="1" applyFill="1" applyBorder="1" applyAlignment="1">
      <alignment vertical="center"/>
    </xf>
    <xf numFmtId="3" fontId="28" fillId="3" borderId="17" xfId="0" applyNumberFormat="1" applyFont="1" applyFill="1" applyBorder="1"/>
    <xf numFmtId="3" fontId="18" fillId="3" borderId="17" xfId="0" applyNumberFormat="1" applyFont="1" applyFill="1" applyBorder="1" applyAlignment="1">
      <alignment vertical="center"/>
    </xf>
    <xf numFmtId="3" fontId="18" fillId="3" borderId="47" xfId="0" applyNumberFormat="1" applyFont="1" applyFill="1" applyBorder="1" applyAlignment="1">
      <alignment horizontal="center"/>
    </xf>
    <xf numFmtId="3" fontId="18" fillId="3" borderId="65" xfId="0" applyNumberFormat="1" applyFont="1" applyFill="1" applyBorder="1" applyAlignment="1">
      <alignment horizontal="center"/>
    </xf>
    <xf numFmtId="3" fontId="18" fillId="3" borderId="69" xfId="0" applyNumberFormat="1" applyFont="1" applyFill="1" applyBorder="1" applyAlignment="1">
      <alignment horizontal="center"/>
    </xf>
    <xf numFmtId="0" fontId="9" fillId="3" borderId="30" xfId="0" applyFont="1" applyFill="1" applyBorder="1" applyAlignment="1">
      <alignment horizontal="center" vertical="center"/>
    </xf>
    <xf numFmtId="0" fontId="9" fillId="3" borderId="73" xfId="0" applyFont="1" applyFill="1" applyBorder="1" applyAlignment="1">
      <alignment horizontal="left" vertical="center"/>
    </xf>
    <xf numFmtId="0" fontId="28" fillId="3" borderId="74" xfId="0" applyFont="1" applyFill="1" applyBorder="1" applyAlignment="1">
      <alignment horizontal="center"/>
    </xf>
    <xf numFmtId="3" fontId="9" fillId="3" borderId="75" xfId="0" applyNumberFormat="1" applyFont="1" applyFill="1" applyBorder="1" applyAlignment="1">
      <alignment horizontal="left" vertical="center"/>
    </xf>
    <xf numFmtId="0" fontId="28" fillId="3" borderId="17" xfId="0" applyFont="1" applyFill="1" applyBorder="1" applyAlignment="1">
      <alignment horizontal="center"/>
    </xf>
    <xf numFmtId="3" fontId="28" fillId="3" borderId="80" xfId="0" applyNumberFormat="1" applyFont="1" applyFill="1" applyBorder="1" applyAlignment="1">
      <alignment horizontal="center" vertical="center"/>
    </xf>
    <xf numFmtId="3" fontId="28" fillId="3" borderId="81" xfId="0" applyNumberFormat="1" applyFont="1" applyFill="1" applyBorder="1" applyAlignment="1">
      <alignment horizontal="center" vertical="center"/>
    </xf>
    <xf numFmtId="3" fontId="28" fillId="3" borderId="82" xfId="0" applyNumberFormat="1" applyFont="1" applyFill="1" applyBorder="1" applyAlignment="1">
      <alignment horizontal="center" vertical="center"/>
    </xf>
    <xf numFmtId="3" fontId="28" fillId="3" borderId="65" xfId="0" applyNumberFormat="1" applyFont="1" applyFill="1" applyBorder="1" applyAlignment="1">
      <alignment horizontal="center" vertical="center"/>
    </xf>
    <xf numFmtId="3" fontId="28" fillId="3" borderId="83" xfId="0" applyNumberFormat="1" applyFont="1" applyFill="1" applyBorder="1" applyAlignment="1">
      <alignment horizontal="center" vertical="center"/>
    </xf>
    <xf numFmtId="3" fontId="28" fillId="3" borderId="84" xfId="0" applyNumberFormat="1" applyFont="1" applyFill="1" applyBorder="1" applyAlignment="1">
      <alignment horizontal="center" vertical="center"/>
    </xf>
    <xf numFmtId="3" fontId="28" fillId="3" borderId="85" xfId="0" applyNumberFormat="1" applyFont="1" applyFill="1" applyBorder="1" applyAlignment="1">
      <alignment horizontal="center" vertical="center"/>
    </xf>
    <xf numFmtId="3" fontId="28" fillId="3" borderId="54" xfId="0" applyNumberFormat="1" applyFont="1" applyFill="1" applyBorder="1" applyAlignment="1">
      <alignment horizontal="center" vertical="center"/>
    </xf>
    <xf numFmtId="3" fontId="28" fillId="3" borderId="53" xfId="0" applyNumberFormat="1" applyFont="1" applyFill="1" applyBorder="1" applyAlignment="1">
      <alignment horizontal="center" vertical="center"/>
    </xf>
    <xf numFmtId="3" fontId="18" fillId="3" borderId="86" xfId="0" applyNumberFormat="1" applyFont="1" applyFill="1" applyBorder="1"/>
    <xf numFmtId="3" fontId="18" fillId="3" borderId="87" xfId="0" applyNumberFormat="1" applyFont="1" applyFill="1" applyBorder="1"/>
    <xf numFmtId="3" fontId="18" fillId="3" borderId="88" xfId="0" applyNumberFormat="1" applyFont="1" applyFill="1" applyBorder="1" applyAlignment="1">
      <alignment horizontal="center"/>
    </xf>
    <xf numFmtId="3" fontId="18" fillId="3" borderId="68" xfId="0" applyNumberFormat="1" applyFont="1" applyFill="1" applyBorder="1" applyAlignment="1">
      <alignment horizontal="center"/>
    </xf>
    <xf numFmtId="0" fontId="28" fillId="3" borderId="89" xfId="0" applyFont="1" applyFill="1" applyBorder="1" applyAlignment="1">
      <alignment horizontal="center" vertical="center"/>
    </xf>
    <xf numFmtId="0" fontId="28" fillId="3" borderId="53" xfId="0" applyFont="1" applyFill="1" applyBorder="1" applyAlignment="1">
      <alignment horizontal="center" vertical="center" wrapText="1"/>
    </xf>
    <xf numFmtId="0" fontId="28" fillId="3" borderId="85" xfId="0" applyFont="1" applyFill="1" applyBorder="1" applyAlignment="1">
      <alignment horizontal="center" vertical="center" wrapText="1"/>
    </xf>
    <xf numFmtId="0" fontId="28" fillId="3" borderId="54" xfId="0" applyFont="1" applyFill="1" applyBorder="1" applyAlignment="1">
      <alignment horizontal="center" vertical="center" wrapText="1"/>
    </xf>
    <xf numFmtId="0" fontId="28" fillId="3" borderId="17" xfId="0" applyFont="1" applyFill="1" applyBorder="1" applyAlignment="1">
      <alignment horizontal="center" vertical="center" wrapText="1"/>
    </xf>
    <xf numFmtId="0" fontId="29" fillId="3" borderId="81" xfId="0" applyFont="1" applyFill="1" applyBorder="1" applyAlignment="1">
      <alignment horizontal="center" vertical="center" wrapText="1"/>
    </xf>
    <xf numFmtId="0" fontId="29" fillId="3" borderId="82" xfId="0" applyFont="1" applyFill="1" applyBorder="1" applyAlignment="1">
      <alignment horizontal="center" vertical="center" wrapText="1"/>
    </xf>
    <xf numFmtId="0" fontId="29" fillId="3" borderId="80" xfId="0" applyFont="1" applyFill="1" applyBorder="1" applyAlignment="1">
      <alignment horizontal="center" vertical="center" wrapText="1"/>
    </xf>
    <xf numFmtId="1" fontId="29" fillId="3" borderId="18" xfId="0" applyNumberFormat="1" applyFont="1" applyFill="1" applyBorder="1" applyAlignment="1">
      <alignment horizontal="center" vertical="center"/>
    </xf>
    <xf numFmtId="3" fontId="28" fillId="3" borderId="21" xfId="0" applyNumberFormat="1" applyFont="1" applyFill="1" applyBorder="1" applyAlignment="1">
      <alignment horizontal="center" vertical="center"/>
    </xf>
    <xf numFmtId="3" fontId="28" fillId="3" borderId="22" xfId="0" applyNumberFormat="1" applyFont="1" applyFill="1" applyBorder="1" applyAlignment="1">
      <alignment horizontal="center" vertical="center"/>
    </xf>
    <xf numFmtId="3" fontId="28" fillId="3" borderId="18" xfId="0" applyNumberFormat="1" applyFont="1" applyFill="1" applyBorder="1" applyAlignment="1">
      <alignment horizontal="center" vertical="center"/>
    </xf>
    <xf numFmtId="3" fontId="11" fillId="3" borderId="17" xfId="0" applyNumberFormat="1" applyFont="1" applyFill="1" applyBorder="1" applyAlignment="1">
      <alignment vertical="center"/>
    </xf>
    <xf numFmtId="1" fontId="17" fillId="3" borderId="90" xfId="0" applyNumberFormat="1" applyFont="1" applyFill="1" applyBorder="1" applyAlignment="1">
      <alignment horizontal="center" vertical="center" wrapText="1"/>
    </xf>
    <xf numFmtId="3" fontId="17" fillId="3" borderId="91" xfId="0" applyNumberFormat="1" applyFont="1" applyFill="1" applyBorder="1" applyAlignment="1">
      <alignment horizontal="center" vertical="center" wrapText="1"/>
    </xf>
    <xf numFmtId="3" fontId="28" fillId="3" borderId="91" xfId="0" applyNumberFormat="1" applyFont="1" applyFill="1" applyBorder="1" applyAlignment="1">
      <alignment horizontal="center" vertical="center"/>
    </xf>
    <xf numFmtId="3" fontId="28" fillId="3" borderId="92" xfId="0" applyNumberFormat="1" applyFont="1" applyFill="1" applyBorder="1" applyAlignment="1">
      <alignment horizontal="center" vertical="center"/>
    </xf>
    <xf numFmtId="3" fontId="28" fillId="3" borderId="93" xfId="0" applyNumberFormat="1" applyFont="1" applyFill="1" applyBorder="1" applyAlignment="1">
      <alignment horizontal="center" vertical="center"/>
    </xf>
    <xf numFmtId="3" fontId="28" fillId="3" borderId="94" xfId="0" applyNumberFormat="1" applyFont="1" applyFill="1" applyBorder="1" applyAlignment="1">
      <alignment horizontal="center" vertical="center"/>
    </xf>
    <xf numFmtId="3" fontId="11" fillId="3" borderId="47" xfId="0" applyNumberFormat="1" applyFont="1" applyFill="1" applyBorder="1" applyAlignment="1">
      <alignment horizontal="center" vertical="center"/>
    </xf>
    <xf numFmtId="3" fontId="11" fillId="3" borderId="95" xfId="0" applyNumberFormat="1" applyFont="1" applyFill="1" applyBorder="1" applyAlignment="1">
      <alignment horizontal="left" vertical="center"/>
    </xf>
    <xf numFmtId="3" fontId="11" fillId="3" borderId="96" xfId="0" applyNumberFormat="1" applyFont="1" applyFill="1" applyBorder="1" applyAlignment="1">
      <alignment vertical="center"/>
    </xf>
    <xf numFmtId="10" fontId="11" fillId="3" borderId="97" xfId="0" applyNumberFormat="1" applyFont="1" applyFill="1" applyBorder="1" applyAlignment="1">
      <alignment vertical="center"/>
    </xf>
    <xf numFmtId="3" fontId="11" fillId="3" borderId="83" xfId="0" applyNumberFormat="1" applyFont="1" applyFill="1" applyBorder="1" applyAlignment="1">
      <alignment vertical="center"/>
    </xf>
    <xf numFmtId="0" fontId="23" fillId="3" borderId="73" xfId="0" applyFont="1" applyFill="1" applyBorder="1" applyAlignment="1">
      <alignment wrapText="1"/>
    </xf>
    <xf numFmtId="3" fontId="29" fillId="3" borderId="33" xfId="0" applyNumberFormat="1" applyFont="1" applyFill="1" applyBorder="1"/>
    <xf numFmtId="3" fontId="29" fillId="3" borderId="98" xfId="0" applyNumberFormat="1" applyFont="1" applyFill="1" applyBorder="1"/>
    <xf numFmtId="3" fontId="29" fillId="3" borderId="25" xfId="0" applyNumberFormat="1" applyFont="1" applyFill="1" applyBorder="1"/>
    <xf numFmtId="3" fontId="29" fillId="3" borderId="17" xfId="0" applyNumberFormat="1" applyFont="1" applyFill="1" applyBorder="1"/>
    <xf numFmtId="0" fontId="29" fillId="4" borderId="33" xfId="0" applyFont="1" applyFill="1" applyBorder="1" applyAlignment="1">
      <alignment wrapText="1"/>
    </xf>
    <xf numFmtId="3" fontId="29" fillId="4" borderId="98" xfId="0" applyNumberFormat="1" applyFont="1" applyFill="1" applyBorder="1" applyAlignment="1">
      <alignment horizontal="right"/>
    </xf>
    <xf numFmtId="3" fontId="29" fillId="4" borderId="25" xfId="0" applyNumberFormat="1" applyFont="1" applyFill="1" applyBorder="1" applyAlignment="1">
      <alignment horizontal="right"/>
    </xf>
    <xf numFmtId="3" fontId="29" fillId="3" borderId="33" xfId="0" applyNumberFormat="1" applyFont="1" applyFill="1" applyBorder="1" applyAlignment="1">
      <alignment horizontal="right"/>
    </xf>
    <xf numFmtId="3" fontId="29" fillId="3" borderId="98" xfId="0" applyNumberFormat="1" applyFont="1" applyFill="1" applyBorder="1" applyAlignment="1">
      <alignment horizontal="right"/>
    </xf>
    <xf numFmtId="1" fontId="29" fillId="3" borderId="90" xfId="0" applyNumberFormat="1" applyFont="1" applyFill="1" applyBorder="1" applyAlignment="1">
      <alignment horizontal="center" vertical="center"/>
    </xf>
    <xf numFmtId="3" fontId="30" fillId="3" borderId="93" xfId="0" applyNumberFormat="1" applyFont="1" applyFill="1" applyBorder="1" applyAlignment="1">
      <alignment vertical="center" wrapText="1"/>
    </xf>
    <xf numFmtId="3" fontId="28" fillId="3" borderId="99" xfId="0" applyNumberFormat="1" applyFont="1" applyFill="1" applyBorder="1" applyAlignment="1">
      <alignment horizontal="right" vertical="center"/>
    </xf>
    <xf numFmtId="3" fontId="18" fillId="3" borderId="17" xfId="0" applyNumberFormat="1" applyFont="1" applyFill="1" applyBorder="1" applyAlignment="1">
      <alignment horizontal="right" vertical="center"/>
    </xf>
    <xf numFmtId="3" fontId="28" fillId="3" borderId="93" xfId="0" applyNumberFormat="1" applyFont="1" applyFill="1" applyBorder="1" applyAlignment="1">
      <alignment horizontal="right" vertical="center"/>
    </xf>
    <xf numFmtId="3" fontId="28" fillId="3" borderId="94" xfId="0" applyNumberFormat="1" applyFont="1" applyFill="1" applyBorder="1" applyAlignment="1">
      <alignment horizontal="right" vertical="center"/>
    </xf>
    <xf numFmtId="165" fontId="6" fillId="3" borderId="93" xfId="0" applyNumberFormat="1" applyFont="1" applyFill="1" applyBorder="1" applyAlignment="1">
      <alignment horizontal="center" vertical="center"/>
    </xf>
    <xf numFmtId="3" fontId="10" fillId="3" borderId="94" xfId="0" applyNumberFormat="1" applyFont="1" applyFill="1" applyBorder="1" applyAlignment="1">
      <alignment vertical="center" wrapText="1"/>
    </xf>
    <xf numFmtId="3" fontId="31" fillId="3" borderId="100" xfId="0" applyNumberFormat="1" applyFont="1" applyFill="1" applyBorder="1" applyAlignment="1">
      <alignment horizontal="right" vertical="center"/>
    </xf>
    <xf numFmtId="3" fontId="31" fillId="3" borderId="99" xfId="0" applyNumberFormat="1" applyFont="1" applyFill="1" applyBorder="1" applyAlignment="1">
      <alignment horizontal="right" vertical="center"/>
    </xf>
    <xf numFmtId="3" fontId="31" fillId="3" borderId="101" xfId="0" applyNumberFormat="1" applyFont="1" applyFill="1" applyBorder="1" applyAlignment="1">
      <alignment horizontal="right" vertical="center"/>
    </xf>
    <xf numFmtId="3" fontId="31" fillId="3" borderId="93" xfId="0" applyNumberFormat="1" applyFont="1" applyFill="1" applyBorder="1" applyAlignment="1">
      <alignment horizontal="right" vertical="center"/>
    </xf>
    <xf numFmtId="3" fontId="31" fillId="3" borderId="94" xfId="0" applyNumberFormat="1" applyFont="1" applyFill="1" applyBorder="1" applyAlignment="1">
      <alignment horizontal="right" vertical="center"/>
    </xf>
    <xf numFmtId="3" fontId="31" fillId="3" borderId="102" xfId="0" applyNumberFormat="1" applyFont="1" applyFill="1" applyBorder="1" applyAlignment="1">
      <alignment horizontal="right" vertical="center"/>
    </xf>
    <xf numFmtId="3" fontId="31" fillId="3" borderId="103" xfId="0" applyNumberFormat="1" applyFont="1" applyFill="1" applyBorder="1" applyAlignment="1">
      <alignment horizontal="right" vertical="center"/>
    </xf>
    <xf numFmtId="3" fontId="11" fillId="3" borderId="81" xfId="0" applyNumberFormat="1" applyFont="1" applyFill="1" applyBorder="1" applyAlignment="1">
      <alignment vertical="center"/>
    </xf>
    <xf numFmtId="10" fontId="11" fillId="3" borderId="104" xfId="0" applyNumberFormat="1" applyFont="1" applyFill="1" applyBorder="1" applyAlignment="1">
      <alignment vertical="center"/>
    </xf>
    <xf numFmtId="3" fontId="11" fillId="3" borderId="82" xfId="0" applyNumberFormat="1" applyFont="1" applyFill="1" applyBorder="1" applyAlignment="1">
      <alignment vertical="center"/>
    </xf>
    <xf numFmtId="0" fontId="23" fillId="3" borderId="105" xfId="0" applyFont="1" applyFill="1" applyBorder="1" applyAlignment="1">
      <alignment wrapText="1"/>
    </xf>
    <xf numFmtId="3" fontId="29" fillId="3" borderId="106" xfId="0" applyNumberFormat="1" applyFont="1" applyFill="1" applyBorder="1"/>
    <xf numFmtId="3" fontId="29" fillId="3" borderId="104" xfId="0" applyNumberFormat="1" applyFont="1" applyFill="1" applyBorder="1"/>
    <xf numFmtId="3" fontId="29" fillId="3" borderId="107" xfId="0" applyNumberFormat="1" applyFont="1" applyFill="1" applyBorder="1"/>
    <xf numFmtId="0" fontId="11" fillId="4" borderId="106" xfId="0" applyFont="1" applyFill="1" applyBorder="1" applyAlignment="1">
      <alignment wrapText="1"/>
    </xf>
    <xf numFmtId="3" fontId="19" fillId="3" borderId="104" xfId="0" applyNumberFormat="1" applyFont="1" applyFill="1" applyBorder="1" applyAlignment="1">
      <alignment horizontal="right" wrapText="1"/>
    </xf>
    <xf numFmtId="3" fontId="19" fillId="3" borderId="107" xfId="0" applyNumberFormat="1" applyFont="1" applyFill="1" applyBorder="1" applyAlignment="1">
      <alignment horizontal="right" wrapText="1"/>
    </xf>
    <xf numFmtId="3" fontId="19" fillId="3" borderId="106" xfId="0" applyNumberFormat="1" applyFont="1" applyFill="1" applyBorder="1" applyAlignment="1">
      <alignment horizontal="right" wrapText="1"/>
    </xf>
    <xf numFmtId="1" fontId="29" fillId="3" borderId="34" xfId="0" applyNumberFormat="1" applyFont="1" applyFill="1" applyBorder="1" applyAlignment="1">
      <alignment horizontal="center" vertical="center"/>
    </xf>
    <xf numFmtId="3" fontId="10" fillId="3" borderId="34" xfId="0" applyNumberFormat="1" applyFont="1" applyFill="1" applyBorder="1" applyAlignment="1">
      <alignment vertical="center" wrapText="1"/>
    </xf>
    <xf numFmtId="3" fontId="28" fillId="3" borderId="17" xfId="0" applyNumberFormat="1" applyFont="1" applyFill="1" applyBorder="1" applyAlignment="1">
      <alignment horizontal="right" vertical="center"/>
    </xf>
    <xf numFmtId="3" fontId="28" fillId="3" borderId="69" xfId="0" applyNumberFormat="1" applyFont="1" applyFill="1" applyBorder="1" applyAlignment="1">
      <alignment horizontal="right" vertical="center"/>
    </xf>
    <xf numFmtId="3" fontId="28" fillId="3" borderId="34" xfId="0" applyNumberFormat="1" applyFont="1" applyFill="1" applyBorder="1" applyAlignment="1">
      <alignment horizontal="right" vertical="center"/>
    </xf>
    <xf numFmtId="3" fontId="31" fillId="3" borderId="90" xfId="0" applyNumberFormat="1" applyFont="1" applyFill="1" applyBorder="1" applyAlignment="1">
      <alignment horizontal="right" vertical="center"/>
    </xf>
    <xf numFmtId="3" fontId="31" fillId="3" borderId="92" xfId="0" applyNumberFormat="1" applyFont="1" applyFill="1" applyBorder="1" applyAlignment="1">
      <alignment horizontal="right" vertical="center"/>
    </xf>
    <xf numFmtId="3" fontId="18" fillId="3" borderId="47" xfId="0" applyNumberFormat="1" applyFont="1" applyFill="1" applyBorder="1" applyAlignment="1">
      <alignment vertical="center"/>
    </xf>
    <xf numFmtId="10" fontId="18" fillId="3" borderId="104" xfId="0" applyNumberFormat="1" applyFont="1" applyFill="1" applyBorder="1" applyAlignment="1">
      <alignment vertical="center"/>
    </xf>
    <xf numFmtId="3" fontId="18" fillId="3" borderId="81" xfId="0" applyNumberFormat="1" applyFont="1" applyFill="1" applyBorder="1" applyAlignment="1">
      <alignment vertical="center"/>
    </xf>
    <xf numFmtId="3" fontId="18" fillId="3" borderId="82" xfId="0" applyNumberFormat="1" applyFont="1" applyFill="1" applyBorder="1" applyAlignment="1">
      <alignment vertical="center"/>
    </xf>
    <xf numFmtId="0" fontId="18" fillId="3" borderId="105" xfId="0" applyFont="1" applyFill="1" applyBorder="1" applyAlignment="1">
      <alignment vertical="center" wrapText="1"/>
    </xf>
    <xf numFmtId="3" fontId="19" fillId="3" borderId="106" xfId="0" applyNumberFormat="1" applyFont="1" applyFill="1" applyBorder="1" applyAlignment="1">
      <alignment vertical="center"/>
    </xf>
    <xf numFmtId="3" fontId="19" fillId="3" borderId="104" xfId="0" applyNumberFormat="1" applyFont="1" applyFill="1" applyBorder="1" applyAlignment="1">
      <alignment vertical="center"/>
    </xf>
    <xf numFmtId="3" fontId="19" fillId="3" borderId="107" xfId="0" applyNumberFormat="1" applyFont="1" applyFill="1" applyBorder="1" applyAlignment="1">
      <alignment vertical="center"/>
    </xf>
    <xf numFmtId="3" fontId="19" fillId="3" borderId="17" xfId="0" applyNumberFormat="1" applyFont="1" applyFill="1" applyBorder="1" applyAlignment="1">
      <alignment vertical="center"/>
    </xf>
    <xf numFmtId="0" fontId="11" fillId="4" borderId="106" xfId="0" applyFont="1" applyFill="1" applyBorder="1" applyAlignment="1">
      <alignment horizontal="left" wrapText="1"/>
    </xf>
    <xf numFmtId="3" fontId="19" fillId="3" borderId="104" xfId="0" applyNumberFormat="1" applyFont="1" applyFill="1" applyBorder="1" applyAlignment="1">
      <alignment horizontal="right" vertical="center" wrapText="1"/>
    </xf>
    <xf numFmtId="3" fontId="19" fillId="3" borderId="107" xfId="0" applyNumberFormat="1" applyFont="1" applyFill="1" applyBorder="1" applyAlignment="1">
      <alignment horizontal="right" vertical="center" wrapText="1"/>
    </xf>
    <xf numFmtId="3" fontId="19" fillId="3" borderId="106" xfId="0" applyNumberFormat="1" applyFont="1" applyFill="1" applyBorder="1" applyAlignment="1">
      <alignment horizontal="right" vertical="center" wrapText="1"/>
    </xf>
    <xf numFmtId="1" fontId="29" fillId="3" borderId="73" xfId="0" applyNumberFormat="1" applyFont="1" applyFill="1" applyBorder="1" applyAlignment="1">
      <alignment horizontal="center" vertical="center"/>
    </xf>
    <xf numFmtId="3" fontId="24" fillId="3" borderId="73" xfId="0" applyNumberFormat="1" applyFont="1" applyFill="1" applyBorder="1" applyAlignment="1">
      <alignment vertical="center" wrapText="1"/>
    </xf>
    <xf numFmtId="3" fontId="28" fillId="3" borderId="33" xfId="0" applyNumberFormat="1" applyFont="1" applyFill="1" applyBorder="1" applyAlignment="1">
      <alignment horizontal="right" vertical="center"/>
    </xf>
    <xf numFmtId="3" fontId="28" fillId="3" borderId="98" xfId="0" applyNumberFormat="1" applyFont="1" applyFill="1" applyBorder="1" applyAlignment="1">
      <alignment horizontal="right" vertical="center"/>
    </xf>
    <xf numFmtId="3" fontId="28" fillId="3" borderId="25" xfId="0" applyNumberFormat="1" applyFont="1" applyFill="1" applyBorder="1" applyAlignment="1">
      <alignment horizontal="right" vertical="center"/>
    </xf>
    <xf numFmtId="3" fontId="28" fillId="3" borderId="108" xfId="0" applyNumberFormat="1" applyFont="1" applyFill="1" applyBorder="1" applyAlignment="1">
      <alignment horizontal="right" vertical="center"/>
    </xf>
    <xf numFmtId="3" fontId="28" fillId="3" borderId="109" xfId="0" applyNumberFormat="1" applyFont="1" applyFill="1" applyBorder="1" applyAlignment="1">
      <alignment horizontal="right" vertical="center"/>
    </xf>
    <xf numFmtId="165" fontId="10" fillId="3" borderId="33" xfId="0" applyNumberFormat="1" applyFont="1" applyFill="1" applyBorder="1" applyAlignment="1">
      <alignment horizontal="center" vertical="center"/>
    </xf>
    <xf numFmtId="3" fontId="24" fillId="3" borderId="25" xfId="0" applyNumberFormat="1" applyFont="1" applyFill="1" applyBorder="1" applyAlignment="1">
      <alignment vertical="center" wrapText="1"/>
    </xf>
    <xf numFmtId="3" fontId="31" fillId="3" borderId="108" xfId="0" applyNumberFormat="1" applyFont="1" applyFill="1" applyBorder="1" applyAlignment="1">
      <alignment horizontal="right" vertical="center"/>
    </xf>
    <xf numFmtId="3" fontId="31" fillId="3" borderId="98" xfId="0" applyNumberFormat="1" applyFont="1" applyFill="1" applyBorder="1" applyAlignment="1">
      <alignment horizontal="right" vertical="center"/>
    </xf>
    <xf numFmtId="3" fontId="31" fillId="3" borderId="25" xfId="0" applyNumberFormat="1" applyFont="1" applyFill="1" applyBorder="1" applyAlignment="1">
      <alignment horizontal="right" vertical="center"/>
    </xf>
    <xf numFmtId="3" fontId="31" fillId="3" borderId="33" xfId="0" applyNumberFormat="1" applyFont="1" applyFill="1" applyBorder="1" applyAlignment="1">
      <alignment horizontal="right" vertical="center"/>
    </xf>
    <xf numFmtId="3" fontId="31" fillId="3" borderId="109" xfId="0" applyNumberFormat="1" applyFont="1" applyFill="1" applyBorder="1" applyAlignment="1">
      <alignment horizontal="right" vertical="center"/>
    </xf>
    <xf numFmtId="3" fontId="31" fillId="3" borderId="110" xfId="0" applyNumberFormat="1" applyFont="1" applyFill="1" applyBorder="1" applyAlignment="1">
      <alignment horizontal="right" vertical="center"/>
    </xf>
    <xf numFmtId="3" fontId="31" fillId="3" borderId="111" xfId="0" applyNumberFormat="1" applyFont="1" applyFill="1" applyBorder="1" applyAlignment="1">
      <alignment horizontal="right" vertical="center"/>
    </xf>
    <xf numFmtId="0" fontId="18" fillId="3" borderId="105" xfId="0" applyFont="1" applyFill="1" applyBorder="1" applyAlignment="1">
      <alignment horizontal="left" vertical="center" wrapText="1"/>
    </xf>
    <xf numFmtId="3" fontId="19" fillId="3" borderId="104" xfId="0" applyNumberFormat="1" applyFont="1" applyFill="1" applyBorder="1" applyAlignment="1">
      <alignment horizontal="right"/>
    </xf>
    <xf numFmtId="3" fontId="19" fillId="3" borderId="107" xfId="0" applyNumberFormat="1" applyFont="1" applyFill="1" applyBorder="1" applyAlignment="1">
      <alignment horizontal="right"/>
    </xf>
    <xf numFmtId="3" fontId="19" fillId="3" borderId="106" xfId="0" applyNumberFormat="1" applyFont="1" applyFill="1" applyBorder="1" applyAlignment="1">
      <alignment horizontal="right"/>
    </xf>
    <xf numFmtId="1" fontId="17" fillId="3" borderId="105" xfId="0" applyNumberFormat="1" applyFont="1" applyFill="1" applyBorder="1" applyAlignment="1">
      <alignment horizontal="center" vertical="center" wrapText="1"/>
    </xf>
    <xf numFmtId="3" fontId="17" fillId="3" borderId="112" xfId="0" applyNumberFormat="1" applyFont="1" applyFill="1" applyBorder="1" applyAlignment="1">
      <alignment horizontal="center" vertical="center" wrapText="1"/>
    </xf>
    <xf numFmtId="3" fontId="28" fillId="3" borderId="113" xfId="0" applyNumberFormat="1" applyFont="1" applyFill="1" applyBorder="1" applyAlignment="1">
      <alignment horizontal="center" vertical="center"/>
    </xf>
    <xf numFmtId="3" fontId="28" fillId="3" borderId="112" xfId="0" applyNumberFormat="1" applyFont="1" applyFill="1" applyBorder="1" applyAlignment="1">
      <alignment horizontal="center" vertical="center"/>
    </xf>
    <xf numFmtId="3" fontId="28" fillId="3" borderId="105" xfId="0" applyNumberFormat="1" applyFont="1" applyFill="1" applyBorder="1" applyAlignment="1">
      <alignment horizontal="center" vertical="center"/>
    </xf>
    <xf numFmtId="3" fontId="31" fillId="3" borderId="105" xfId="0" applyNumberFormat="1" applyFont="1" applyFill="1" applyBorder="1" applyAlignment="1">
      <alignment horizontal="right" vertical="center"/>
    </xf>
    <xf numFmtId="3" fontId="31" fillId="3" borderId="112" xfId="0" applyNumberFormat="1" applyFont="1" applyFill="1" applyBorder="1" applyAlignment="1">
      <alignment horizontal="right" vertical="center"/>
    </xf>
    <xf numFmtId="3" fontId="18" fillId="3" borderId="47" xfId="0" applyNumberFormat="1" applyFont="1" applyFill="1" applyBorder="1" applyAlignment="1">
      <alignment horizontal="center" vertical="center"/>
    </xf>
    <xf numFmtId="3" fontId="11" fillId="3" borderId="95" xfId="0" applyNumberFormat="1" applyFont="1" applyFill="1" applyBorder="1" applyAlignment="1">
      <alignment horizontal="left" vertical="center" wrapText="1"/>
    </xf>
    <xf numFmtId="10" fontId="11" fillId="3" borderId="96" xfId="0" applyNumberFormat="1" applyFont="1" applyFill="1" applyBorder="1" applyAlignment="1">
      <alignment horizontal="center" vertical="center"/>
    </xf>
    <xf numFmtId="3" fontId="19" fillId="3" borderId="104" xfId="0" applyNumberFormat="1" applyFont="1" applyFill="1" applyBorder="1" applyAlignment="1">
      <alignment horizontal="right" vertical="center"/>
    </xf>
    <xf numFmtId="3" fontId="19" fillId="3" borderId="107" xfId="0" applyNumberFormat="1" applyFont="1" applyFill="1" applyBorder="1" applyAlignment="1">
      <alignment horizontal="right" vertical="center"/>
    </xf>
    <xf numFmtId="3" fontId="19" fillId="3" borderId="106" xfId="0" applyNumberFormat="1" applyFont="1" applyFill="1" applyBorder="1" applyAlignment="1">
      <alignment horizontal="right" vertical="center"/>
    </xf>
    <xf numFmtId="1" fontId="19" fillId="3" borderId="105" xfId="0" applyNumberFormat="1" applyFont="1" applyFill="1" applyBorder="1" applyAlignment="1">
      <alignment horizontal="center" vertical="center"/>
    </xf>
    <xf numFmtId="3" fontId="18" fillId="3" borderId="105" xfId="0" applyNumberFormat="1" applyFont="1" applyFill="1" applyBorder="1" applyAlignment="1">
      <alignment horizontal="left" vertical="center" wrapText="1"/>
    </xf>
    <xf numFmtId="3" fontId="31" fillId="5" borderId="106" xfId="0" applyNumberFormat="1" applyFont="1" applyFill="1" applyBorder="1" applyAlignment="1">
      <alignment vertical="center"/>
    </xf>
    <xf numFmtId="3" fontId="18" fillId="3" borderId="104" xfId="0" applyNumberFormat="1" applyFont="1" applyFill="1" applyBorder="1" applyAlignment="1">
      <alignment vertical="center"/>
    </xf>
    <xf numFmtId="3" fontId="18" fillId="3" borderId="107" xfId="0" applyNumberFormat="1" applyFont="1" applyFill="1" applyBorder="1" applyAlignment="1">
      <alignment vertical="center"/>
    </xf>
    <xf numFmtId="3" fontId="18" fillId="3" borderId="106" xfId="0" applyNumberFormat="1" applyFont="1" applyFill="1" applyBorder="1" applyAlignment="1">
      <alignment vertical="center"/>
    </xf>
    <xf numFmtId="3" fontId="31" fillId="5" borderId="104" xfId="0" applyNumberFormat="1" applyFont="1" applyFill="1" applyBorder="1" applyAlignment="1">
      <alignment vertical="center"/>
    </xf>
    <xf numFmtId="3" fontId="31" fillId="0" borderId="104" xfId="0" applyNumberFormat="1" applyFont="1" applyBorder="1" applyAlignment="1">
      <alignment vertical="center"/>
    </xf>
    <xf numFmtId="3" fontId="31" fillId="5" borderId="107" xfId="0" applyNumberFormat="1" applyFont="1" applyFill="1" applyBorder="1" applyAlignment="1">
      <alignment vertical="center"/>
    </xf>
    <xf numFmtId="165" fontId="17" fillId="3" borderId="110" xfId="0" applyNumberFormat="1" applyFont="1" applyFill="1" applyBorder="1" applyAlignment="1">
      <alignment horizontal="center" vertical="center"/>
    </xf>
    <xf numFmtId="3" fontId="17" fillId="3" borderId="111" xfId="0" applyNumberFormat="1" applyFont="1" applyFill="1" applyBorder="1" applyAlignment="1">
      <alignment horizontal="left" vertical="center" wrapText="1"/>
    </xf>
    <xf numFmtId="3" fontId="31" fillId="3" borderId="95" xfId="0" applyNumberFormat="1" applyFont="1" applyFill="1" applyBorder="1" applyAlignment="1">
      <alignment horizontal="right" vertical="center"/>
    </xf>
    <xf numFmtId="3" fontId="31" fillId="3" borderId="97" xfId="0" applyNumberFormat="1" applyFont="1" applyFill="1" applyBorder="1" applyAlignment="1">
      <alignment horizontal="right" vertical="center"/>
    </xf>
    <xf numFmtId="3" fontId="31" fillId="3" borderId="114" xfId="0" applyNumberFormat="1" applyFont="1" applyFill="1" applyBorder="1" applyAlignment="1">
      <alignment horizontal="right" vertical="center"/>
    </xf>
    <xf numFmtId="0" fontId="11" fillId="3" borderId="17" xfId="0" applyFont="1" applyFill="1" applyBorder="1" applyAlignment="1">
      <alignment vertical="center"/>
    </xf>
    <xf numFmtId="3" fontId="31" fillId="3" borderId="106" xfId="0" applyNumberFormat="1" applyFont="1" applyFill="1" applyBorder="1" applyAlignment="1">
      <alignment horizontal="right" vertical="center"/>
    </xf>
    <xf numFmtId="3" fontId="31" fillId="3" borderId="107" xfId="0" applyNumberFormat="1" applyFont="1" applyFill="1" applyBorder="1" applyAlignment="1">
      <alignment horizontal="right" vertical="center"/>
    </xf>
    <xf numFmtId="0" fontId="23" fillId="4" borderId="106" xfId="0" applyFont="1" applyFill="1" applyBorder="1" applyAlignment="1">
      <alignment wrapText="1"/>
    </xf>
    <xf numFmtId="3" fontId="6" fillId="3" borderId="104" xfId="0" applyNumberFormat="1" applyFont="1" applyFill="1" applyBorder="1" applyAlignment="1">
      <alignment horizontal="right" vertical="center"/>
    </xf>
    <xf numFmtId="3" fontId="11" fillId="3" borderId="47" xfId="0" applyNumberFormat="1" applyFont="1" applyFill="1" applyBorder="1" applyAlignment="1">
      <alignment vertical="center"/>
    </xf>
    <xf numFmtId="0" fontId="18" fillId="0" borderId="48" xfId="0" applyFont="1" applyBorder="1" applyAlignment="1">
      <alignment horizontal="left" wrapText="1"/>
    </xf>
    <xf numFmtId="3" fontId="29" fillId="3" borderId="106" xfId="0" applyNumberFormat="1" applyFont="1" applyFill="1" applyBorder="1" applyAlignment="1">
      <alignment vertical="center"/>
    </xf>
    <xf numFmtId="3" fontId="29" fillId="3" borderId="104" xfId="0" applyNumberFormat="1" applyFont="1" applyFill="1" applyBorder="1" applyAlignment="1">
      <alignment vertical="center"/>
    </xf>
    <xf numFmtId="3" fontId="29" fillId="3" borderId="107" xfId="0" applyNumberFormat="1" applyFont="1" applyFill="1" applyBorder="1" applyAlignment="1">
      <alignment vertical="center"/>
    </xf>
    <xf numFmtId="3" fontId="29" fillId="3" borderId="17" xfId="0" applyNumberFormat="1" applyFont="1" applyFill="1" applyBorder="1" applyAlignment="1">
      <alignment vertical="center"/>
    </xf>
    <xf numFmtId="0" fontId="29" fillId="4" borderId="106" xfId="0" applyFont="1" applyFill="1" applyBorder="1" applyAlignment="1">
      <alignment wrapText="1"/>
    </xf>
    <xf numFmtId="165" fontId="17" fillId="3" borderId="106" xfId="0" applyNumberFormat="1" applyFont="1" applyFill="1" applyBorder="1" applyAlignment="1">
      <alignment horizontal="center" vertical="center"/>
    </xf>
    <xf numFmtId="3" fontId="28" fillId="3" borderId="107" xfId="0" applyNumberFormat="1" applyFont="1" applyFill="1" applyBorder="1" applyAlignment="1">
      <alignment horizontal="left" vertical="center" wrapText="1"/>
    </xf>
    <xf numFmtId="3" fontId="31" fillId="3" borderId="115" xfId="0" applyNumberFormat="1" applyFont="1" applyFill="1" applyBorder="1" applyAlignment="1">
      <alignment vertical="center"/>
    </xf>
    <xf numFmtId="3" fontId="31" fillId="3" borderId="104" xfId="0" applyNumberFormat="1" applyFont="1" applyFill="1" applyBorder="1" applyAlignment="1">
      <alignment vertical="center"/>
    </xf>
    <xf numFmtId="3" fontId="31" fillId="3" borderId="107" xfId="0" applyNumberFormat="1" applyFont="1" applyFill="1" applyBorder="1" applyAlignment="1">
      <alignment vertical="center"/>
    </xf>
    <xf numFmtId="3" fontId="31" fillId="3" borderId="106" xfId="0" applyNumberFormat="1" applyFont="1" applyFill="1" applyBorder="1" applyAlignment="1">
      <alignment vertical="center"/>
    </xf>
    <xf numFmtId="3" fontId="31" fillId="3" borderId="116" xfId="0" applyNumberFormat="1" applyFont="1" applyFill="1" applyBorder="1" applyAlignment="1">
      <alignment vertical="center"/>
    </xf>
    <xf numFmtId="3" fontId="18" fillId="0" borderId="117" xfId="0" applyNumberFormat="1" applyFont="1" applyBorder="1" applyAlignment="1">
      <alignment vertical="center"/>
    </xf>
    <xf numFmtId="0" fontId="18" fillId="3" borderId="105" xfId="0" applyFont="1" applyFill="1" applyBorder="1" applyAlignment="1">
      <alignment horizontal="left" wrapText="1"/>
    </xf>
    <xf numFmtId="3" fontId="19" fillId="3" borderId="106" xfId="0" applyNumberFormat="1" applyFont="1" applyFill="1" applyBorder="1"/>
    <xf numFmtId="3" fontId="19" fillId="3" borderId="104" xfId="0" applyNumberFormat="1" applyFont="1" applyFill="1" applyBorder="1"/>
    <xf numFmtId="3" fontId="19" fillId="3" borderId="107" xfId="0" applyNumberFormat="1" applyFont="1" applyFill="1" applyBorder="1"/>
    <xf numFmtId="3" fontId="19" fillId="3" borderId="17" xfId="0" applyNumberFormat="1" applyFont="1" applyFill="1" applyBorder="1"/>
    <xf numFmtId="1" fontId="19" fillId="3" borderId="118" xfId="0" applyNumberFormat="1" applyFont="1" applyFill="1" applyBorder="1" applyAlignment="1">
      <alignment horizontal="center" vertical="center"/>
    </xf>
    <xf numFmtId="3" fontId="31" fillId="5" borderId="53" xfId="0" applyNumberFormat="1" applyFont="1" applyFill="1" applyBorder="1" applyAlignment="1">
      <alignment vertical="center"/>
    </xf>
    <xf numFmtId="3" fontId="18" fillId="3" borderId="85" xfId="0" applyNumberFormat="1" applyFont="1" applyFill="1" applyBorder="1" applyAlignment="1">
      <alignment vertical="center"/>
    </xf>
    <xf numFmtId="3" fontId="18" fillId="3" borderId="54" xfId="0" applyNumberFormat="1" applyFont="1" applyFill="1" applyBorder="1" applyAlignment="1">
      <alignment vertical="center"/>
    </xf>
    <xf numFmtId="3" fontId="18" fillId="3" borderId="53" xfId="0" applyNumberFormat="1" applyFont="1" applyFill="1" applyBorder="1" applyAlignment="1">
      <alignment vertical="center"/>
    </xf>
    <xf numFmtId="3" fontId="31" fillId="5" borderId="85" xfId="0" applyNumberFormat="1" applyFont="1" applyFill="1" applyBorder="1" applyAlignment="1">
      <alignment vertical="center"/>
    </xf>
    <xf numFmtId="3" fontId="31" fillId="0" borderId="85" xfId="0" applyNumberFormat="1" applyFont="1" applyBorder="1" applyAlignment="1">
      <alignment vertical="center"/>
    </xf>
    <xf numFmtId="3" fontId="31" fillId="5" borderId="54" xfId="0" applyNumberFormat="1" applyFont="1" applyFill="1" applyBorder="1" applyAlignment="1">
      <alignment vertical="center"/>
    </xf>
    <xf numFmtId="3" fontId="6" fillId="3" borderId="105" xfId="0" applyNumberFormat="1" applyFont="1" applyFill="1" applyBorder="1" applyAlignment="1">
      <alignment vertical="center"/>
    </xf>
    <xf numFmtId="3" fontId="6" fillId="3" borderId="112" xfId="0" applyNumberFormat="1" applyFont="1" applyFill="1" applyBorder="1" applyAlignment="1">
      <alignment vertical="center"/>
    </xf>
    <xf numFmtId="1" fontId="19" fillId="3" borderId="18" xfId="0" applyNumberFormat="1" applyFont="1" applyFill="1" applyBorder="1" applyAlignment="1">
      <alignment horizontal="center" vertical="center"/>
    </xf>
    <xf numFmtId="3" fontId="18" fillId="3" borderId="18" xfId="0" applyNumberFormat="1" applyFont="1" applyFill="1" applyBorder="1" applyAlignment="1">
      <alignment horizontal="left" vertical="center" wrapText="1"/>
    </xf>
    <xf numFmtId="3" fontId="18" fillId="3" borderId="21" xfId="0" applyNumberFormat="1" applyFont="1" applyFill="1" applyBorder="1" applyAlignment="1">
      <alignment vertical="center"/>
    </xf>
    <xf numFmtId="3" fontId="18" fillId="3" borderId="22" xfId="0" applyNumberFormat="1" applyFont="1" applyFill="1" applyBorder="1" applyAlignment="1">
      <alignment vertical="center"/>
    </xf>
    <xf numFmtId="3" fontId="18" fillId="3" borderId="90" xfId="0" applyNumberFormat="1" applyFont="1" applyFill="1" applyBorder="1" applyAlignment="1">
      <alignment vertical="center"/>
    </xf>
    <xf numFmtId="3" fontId="18" fillId="3" borderId="92" xfId="0" applyNumberFormat="1" applyFont="1" applyFill="1" applyBorder="1" applyAlignment="1">
      <alignment vertical="center"/>
    </xf>
    <xf numFmtId="165" fontId="29" fillId="3" borderId="106" xfId="0" applyNumberFormat="1" applyFont="1" applyFill="1" applyBorder="1" applyAlignment="1">
      <alignment horizontal="center" vertical="center"/>
    </xf>
    <xf numFmtId="3" fontId="29" fillId="3" borderId="107" xfId="0" quotePrefix="1" applyNumberFormat="1" applyFont="1" applyFill="1" applyBorder="1" applyAlignment="1">
      <alignment horizontal="left" vertical="center" wrapText="1"/>
    </xf>
    <xf numFmtId="3" fontId="11" fillId="3" borderId="88" xfId="0" applyNumberFormat="1" applyFont="1" applyFill="1" applyBorder="1" applyAlignment="1">
      <alignment horizontal="left" vertical="center"/>
    </xf>
    <xf numFmtId="3" fontId="11" fillId="3" borderId="85" xfId="0" applyNumberFormat="1" applyFont="1" applyFill="1" applyBorder="1" applyAlignment="1">
      <alignment vertical="center"/>
    </xf>
    <xf numFmtId="10" fontId="11" fillId="3" borderId="85" xfId="0" applyNumberFormat="1" applyFont="1" applyFill="1" applyBorder="1" applyAlignment="1">
      <alignment vertical="center"/>
    </xf>
    <xf numFmtId="3" fontId="11" fillId="3" borderId="54" xfId="0" applyNumberFormat="1" applyFont="1" applyFill="1" applyBorder="1" applyAlignment="1">
      <alignment vertical="center"/>
    </xf>
    <xf numFmtId="3" fontId="29" fillId="4" borderId="104" xfId="0" applyNumberFormat="1" applyFont="1" applyFill="1" applyBorder="1" applyAlignment="1">
      <alignment horizontal="right"/>
    </xf>
    <xf numFmtId="3" fontId="29" fillId="4" borderId="107" xfId="0" applyNumberFormat="1" applyFont="1" applyFill="1" applyBorder="1" applyAlignment="1">
      <alignment horizontal="right"/>
    </xf>
    <xf numFmtId="3" fontId="24" fillId="3" borderId="9" xfId="0" applyNumberFormat="1" applyFont="1" applyFill="1" applyBorder="1" applyAlignment="1">
      <alignment vertical="center" wrapText="1"/>
    </xf>
    <xf numFmtId="165" fontId="11" fillId="3" borderId="106" xfId="0" applyNumberFormat="1" applyFont="1" applyFill="1" applyBorder="1" applyAlignment="1">
      <alignment horizontal="center" vertical="center"/>
    </xf>
    <xf numFmtId="3" fontId="11" fillId="3" borderId="107" xfId="0" applyNumberFormat="1" applyFont="1" applyFill="1" applyBorder="1" applyAlignment="1">
      <alignment horizontal="left" vertical="center" wrapText="1"/>
    </xf>
    <xf numFmtId="3" fontId="31" fillId="5" borderId="115" xfId="0" applyNumberFormat="1" applyFont="1" applyFill="1" applyBorder="1" applyAlignment="1">
      <alignment vertical="center"/>
    </xf>
    <xf numFmtId="3" fontId="6" fillId="3" borderId="107" xfId="0" applyNumberFormat="1" applyFont="1" applyFill="1" applyBorder="1" applyAlignment="1">
      <alignment horizontal="right" vertical="center"/>
    </xf>
    <xf numFmtId="3" fontId="6" fillId="3" borderId="106" xfId="0" applyNumberFormat="1" applyFont="1" applyFill="1" applyBorder="1" applyAlignment="1">
      <alignment horizontal="right" vertical="center"/>
    </xf>
    <xf numFmtId="3" fontId="6" fillId="3" borderId="116" xfId="0" applyNumberFormat="1" applyFont="1" applyFill="1" applyBorder="1" applyAlignment="1">
      <alignment horizontal="right" vertical="center"/>
    </xf>
    <xf numFmtId="3" fontId="18" fillId="3" borderId="91" xfId="0" applyNumberFormat="1" applyFont="1" applyFill="1" applyBorder="1" applyAlignment="1">
      <alignment vertical="center"/>
    </xf>
    <xf numFmtId="3" fontId="18" fillId="3" borderId="100" xfId="0" applyNumberFormat="1" applyFont="1" applyFill="1" applyBorder="1" applyAlignment="1">
      <alignment vertical="center"/>
    </xf>
    <xf numFmtId="3" fontId="18" fillId="3" borderId="99" xfId="0" applyNumberFormat="1" applyFont="1" applyFill="1" applyBorder="1" applyAlignment="1">
      <alignment vertical="center"/>
    </xf>
    <xf numFmtId="3" fontId="18" fillId="3" borderId="101" xfId="0" applyNumberFormat="1" applyFont="1" applyFill="1" applyBorder="1" applyAlignment="1">
      <alignment vertical="center"/>
    </xf>
    <xf numFmtId="3" fontId="18" fillId="3" borderId="119" xfId="0" applyNumberFormat="1" applyFont="1" applyFill="1" applyBorder="1" applyAlignment="1">
      <alignment vertical="center"/>
    </xf>
    <xf numFmtId="3" fontId="11" fillId="3" borderId="99" xfId="0" applyNumberFormat="1" applyFont="1" applyFill="1" applyBorder="1" applyAlignment="1">
      <alignment vertical="center"/>
    </xf>
    <xf numFmtId="3" fontId="18" fillId="3" borderId="94" xfId="0" applyNumberFormat="1" applyFont="1" applyFill="1" applyBorder="1" applyAlignment="1">
      <alignment vertical="center"/>
    </xf>
    <xf numFmtId="0" fontId="29" fillId="4" borderId="53" xfId="0" applyFont="1" applyFill="1" applyBorder="1" applyAlignment="1">
      <alignment wrapText="1"/>
    </xf>
    <xf numFmtId="3" fontId="29" fillId="4" borderId="85" xfId="0" applyNumberFormat="1" applyFont="1" applyFill="1" applyBorder="1" applyAlignment="1">
      <alignment horizontal="right"/>
    </xf>
    <xf numFmtId="3" fontId="29" fillId="4" borderId="54" xfId="0" applyNumberFormat="1" applyFont="1" applyFill="1" applyBorder="1" applyAlignment="1">
      <alignment horizontal="right"/>
    </xf>
    <xf numFmtId="3" fontId="28" fillId="3" borderId="34" xfId="0" applyNumberFormat="1" applyFont="1" applyFill="1" applyBorder="1" applyAlignment="1">
      <alignment horizontal="left" vertical="center" wrapText="1"/>
    </xf>
    <xf numFmtId="3" fontId="18" fillId="3" borderId="69" xfId="0" applyNumberFormat="1" applyFont="1" applyFill="1" applyBorder="1" applyAlignment="1">
      <alignment vertical="center"/>
    </xf>
    <xf numFmtId="3" fontId="18" fillId="3" borderId="105" xfId="0" applyNumberFormat="1" applyFont="1" applyFill="1" applyBorder="1" applyAlignment="1">
      <alignment vertical="center"/>
    </xf>
    <xf numFmtId="3" fontId="18" fillId="3" borderId="112" xfId="0" applyNumberFormat="1" applyFont="1" applyFill="1" applyBorder="1" applyAlignment="1">
      <alignment vertical="center"/>
    </xf>
    <xf numFmtId="1" fontId="29" fillId="3" borderId="105" xfId="0" applyNumberFormat="1" applyFont="1" applyFill="1" applyBorder="1" applyAlignment="1">
      <alignment horizontal="center" vertical="center"/>
    </xf>
    <xf numFmtId="3" fontId="17" fillId="3" borderId="9" xfId="0" applyNumberFormat="1" applyFont="1" applyFill="1" applyBorder="1" applyAlignment="1">
      <alignment vertical="center" wrapText="1"/>
    </xf>
    <xf numFmtId="3" fontId="28" fillId="3" borderId="106" xfId="0" applyNumberFormat="1" applyFont="1" applyFill="1" applyBorder="1" applyAlignment="1">
      <alignment horizontal="right" vertical="center"/>
    </xf>
    <xf numFmtId="3" fontId="28" fillId="3" borderId="107" xfId="0" applyNumberFormat="1" applyFont="1" applyFill="1" applyBorder="1" applyAlignment="1">
      <alignment horizontal="right" vertical="center"/>
    </xf>
    <xf numFmtId="3" fontId="11" fillId="3" borderId="120" xfId="0" applyNumberFormat="1" applyFont="1" applyFill="1" applyBorder="1" applyAlignment="1">
      <alignment horizontal="left" vertical="center"/>
    </xf>
    <xf numFmtId="3" fontId="11" fillId="3" borderId="120" xfId="0" applyNumberFormat="1" applyFont="1" applyFill="1" applyBorder="1" applyAlignment="1">
      <alignment horizontal="center" vertical="center"/>
    </xf>
    <xf numFmtId="3" fontId="11" fillId="3" borderId="121" xfId="0" applyNumberFormat="1" applyFont="1" applyFill="1" applyBorder="1" applyAlignment="1">
      <alignment horizontal="center" vertical="center"/>
    </xf>
    <xf numFmtId="3" fontId="11" fillId="3" borderId="122" xfId="0" applyNumberFormat="1" applyFont="1" applyFill="1" applyBorder="1" applyAlignment="1">
      <alignment horizontal="center" vertical="center"/>
    </xf>
    <xf numFmtId="10" fontId="11" fillId="3" borderId="108" xfId="0" applyNumberFormat="1" applyFont="1" applyFill="1" applyBorder="1" applyAlignment="1">
      <alignment horizontal="center" vertical="center"/>
    </xf>
    <xf numFmtId="10" fontId="11" fillId="3" borderId="98" xfId="0" applyNumberFormat="1" applyFont="1" applyFill="1" applyBorder="1" applyAlignment="1">
      <alignment horizontal="center" vertical="center"/>
    </xf>
    <xf numFmtId="0" fontId="18" fillId="3" borderId="105" xfId="0" applyFont="1" applyFill="1" applyBorder="1" applyAlignment="1">
      <alignment wrapText="1"/>
    </xf>
    <xf numFmtId="3" fontId="19" fillId="0" borderId="106" xfId="0" applyNumberFormat="1" applyFont="1" applyBorder="1"/>
    <xf numFmtId="3" fontId="28" fillId="3" borderId="123" xfId="0" applyNumberFormat="1" applyFont="1" applyFill="1" applyBorder="1" applyAlignment="1">
      <alignment horizontal="left" vertical="center" wrapText="1"/>
    </xf>
    <xf numFmtId="3" fontId="6" fillId="3" borderId="115" xfId="0" applyNumberFormat="1" applyFont="1" applyFill="1" applyBorder="1" applyAlignment="1">
      <alignment horizontal="right" vertical="center"/>
    </xf>
    <xf numFmtId="3" fontId="6" fillId="0" borderId="104" xfId="0" applyNumberFormat="1" applyFont="1" applyBorder="1" applyAlignment="1">
      <alignment vertical="center"/>
    </xf>
    <xf numFmtId="3" fontId="6" fillId="3" borderId="106" xfId="0" applyNumberFormat="1" applyFont="1" applyFill="1" applyBorder="1" applyAlignment="1">
      <alignment vertical="center"/>
    </xf>
    <xf numFmtId="3" fontId="6" fillId="3" borderId="107" xfId="0" applyNumberFormat="1" applyFont="1" applyFill="1" applyBorder="1" applyAlignment="1">
      <alignment vertical="center"/>
    </xf>
    <xf numFmtId="3" fontId="18" fillId="3" borderId="66" xfId="0" applyNumberFormat="1" applyFont="1" applyFill="1" applyBorder="1" applyAlignment="1">
      <alignment vertical="center"/>
    </xf>
    <xf numFmtId="3" fontId="18" fillId="3" borderId="96" xfId="0" applyNumberFormat="1" applyFont="1" applyFill="1" applyBorder="1" applyAlignment="1">
      <alignment horizontal="center" vertical="center"/>
    </xf>
    <xf numFmtId="3" fontId="18" fillId="3" borderId="124" xfId="0" applyNumberFormat="1" applyFont="1" applyFill="1" applyBorder="1" applyAlignment="1">
      <alignment horizontal="center" vertical="center"/>
    </xf>
    <xf numFmtId="3" fontId="18" fillId="3" borderId="81" xfId="0" applyNumberFormat="1" applyFont="1" applyFill="1" applyBorder="1" applyAlignment="1">
      <alignment horizontal="center" vertical="center"/>
    </xf>
    <xf numFmtId="3" fontId="18" fillId="3" borderId="69" xfId="0" applyNumberFormat="1" applyFont="1" applyFill="1" applyBorder="1" applyAlignment="1">
      <alignment horizontal="center" vertical="center"/>
    </xf>
    <xf numFmtId="0" fontId="28" fillId="3" borderId="105" xfId="0" applyFont="1" applyFill="1" applyBorder="1" applyAlignment="1">
      <alignment wrapText="1"/>
    </xf>
    <xf numFmtId="1" fontId="29" fillId="3" borderId="123" xfId="0" applyNumberFormat="1" applyFont="1" applyFill="1" applyBorder="1" applyAlignment="1">
      <alignment horizontal="center" vertical="center"/>
    </xf>
    <xf numFmtId="3" fontId="17" fillId="3" borderId="123" xfId="0" applyNumberFormat="1" applyFont="1" applyFill="1" applyBorder="1" applyAlignment="1">
      <alignment vertical="center" wrapText="1"/>
    </xf>
    <xf numFmtId="165" fontId="6" fillId="3" borderId="106" xfId="0" applyNumberFormat="1" applyFont="1" applyFill="1" applyBorder="1" applyAlignment="1">
      <alignment horizontal="center" vertical="center"/>
    </xf>
    <xf numFmtId="3" fontId="18" fillId="3" borderId="107" xfId="0" applyNumberFormat="1" applyFont="1" applyFill="1" applyBorder="1" applyAlignment="1">
      <alignment horizontal="left" vertical="center" wrapText="1"/>
    </xf>
    <xf numFmtId="0" fontId="11" fillId="3" borderId="88" xfId="0" applyFont="1" applyFill="1" applyBorder="1" applyAlignment="1">
      <alignment vertical="center"/>
    </xf>
    <xf numFmtId="0" fontId="11" fillId="3" borderId="119" xfId="0" applyFont="1" applyFill="1" applyBorder="1" applyAlignment="1">
      <alignment horizontal="center" vertical="center"/>
    </xf>
    <xf numFmtId="3" fontId="18" fillId="3" borderId="119" xfId="0" applyNumberFormat="1" applyFont="1" applyFill="1" applyBorder="1" applyAlignment="1">
      <alignment horizontal="center" vertical="center"/>
    </xf>
    <xf numFmtId="3" fontId="18" fillId="3" borderId="125" xfId="0" applyNumberFormat="1" applyFont="1" applyFill="1" applyBorder="1" applyAlignment="1">
      <alignment horizontal="center" vertical="center"/>
    </xf>
    <xf numFmtId="0" fontId="11" fillId="3" borderId="119" xfId="0" applyFont="1" applyFill="1" applyBorder="1" applyAlignment="1">
      <alignment vertical="center"/>
    </xf>
    <xf numFmtId="3" fontId="18" fillId="3" borderId="68" xfId="0" applyNumberFormat="1" applyFont="1" applyFill="1" applyBorder="1" applyAlignment="1">
      <alignment horizontal="center" vertical="center"/>
    </xf>
    <xf numFmtId="3" fontId="23" fillId="3" borderId="105" xfId="0" applyNumberFormat="1" applyFont="1" applyFill="1" applyBorder="1" applyAlignment="1">
      <alignment vertical="center" wrapText="1"/>
    </xf>
    <xf numFmtId="3" fontId="28" fillId="3" borderId="104" xfId="0" applyNumberFormat="1" applyFont="1" applyFill="1" applyBorder="1" applyAlignment="1">
      <alignment horizontal="right" vertical="center"/>
    </xf>
    <xf numFmtId="3" fontId="11" fillId="3" borderId="34" xfId="0" applyNumberFormat="1" applyFont="1" applyFill="1" applyBorder="1" applyAlignment="1">
      <alignment horizontal="center" vertical="center"/>
    </xf>
    <xf numFmtId="3" fontId="18" fillId="3" borderId="33" xfId="0" applyNumberFormat="1" applyFont="1" applyFill="1" applyBorder="1" applyAlignment="1">
      <alignment horizontal="left" vertical="center"/>
    </xf>
    <xf numFmtId="3" fontId="18" fillId="3" borderId="98" xfId="0" applyNumberFormat="1" applyFont="1" applyFill="1" applyBorder="1" applyAlignment="1">
      <alignment vertical="center"/>
    </xf>
    <xf numFmtId="3" fontId="18" fillId="3" borderId="121" xfId="0" applyNumberFormat="1" applyFont="1" applyFill="1" applyBorder="1" applyAlignment="1">
      <alignment vertical="center"/>
    </xf>
    <xf numFmtId="10" fontId="18" fillId="3" borderId="98" xfId="0" applyNumberFormat="1" applyFont="1" applyFill="1" applyBorder="1" applyAlignment="1">
      <alignment vertical="center"/>
    </xf>
    <xf numFmtId="3" fontId="18" fillId="3" borderId="25" xfId="0" applyNumberFormat="1" applyFont="1" applyFill="1" applyBorder="1" applyAlignment="1">
      <alignment vertical="center"/>
    </xf>
    <xf numFmtId="0" fontId="23" fillId="3" borderId="126" xfId="0" applyFont="1" applyFill="1" applyBorder="1" applyAlignment="1">
      <alignment wrapText="1"/>
    </xf>
    <xf numFmtId="3" fontId="23" fillId="3" borderId="53" xfId="0" applyNumberFormat="1" applyFont="1" applyFill="1" applyBorder="1"/>
    <xf numFmtId="3" fontId="23" fillId="3" borderId="85" xfId="0" applyNumberFormat="1" applyFont="1" applyFill="1" applyBorder="1"/>
    <xf numFmtId="3" fontId="23" fillId="3" borderId="54" xfId="0" applyNumberFormat="1" applyFont="1" applyFill="1" applyBorder="1"/>
    <xf numFmtId="3" fontId="11" fillId="3" borderId="105" xfId="0" applyNumberFormat="1" applyFont="1" applyFill="1" applyBorder="1" applyAlignment="1">
      <alignment horizontal="left" vertical="center" wrapText="1"/>
    </xf>
    <xf numFmtId="3" fontId="18" fillId="3" borderId="34" xfId="0" applyNumberFormat="1" applyFont="1" applyFill="1" applyBorder="1" applyAlignment="1">
      <alignment horizontal="center" vertical="center"/>
    </xf>
    <xf numFmtId="3" fontId="11" fillId="3" borderId="106" xfId="0" applyNumberFormat="1" applyFont="1" applyFill="1" applyBorder="1" applyAlignment="1">
      <alignment horizontal="left" vertical="center"/>
    </xf>
    <xf numFmtId="3" fontId="11" fillId="3" borderId="104" xfId="0" applyNumberFormat="1" applyFont="1" applyFill="1" applyBorder="1" applyAlignment="1">
      <alignment vertical="center"/>
    </xf>
    <xf numFmtId="3" fontId="11" fillId="3" borderId="107" xfId="0" applyNumberFormat="1" applyFont="1" applyFill="1" applyBorder="1" applyAlignment="1">
      <alignment vertical="center"/>
    </xf>
    <xf numFmtId="3" fontId="32" fillId="3" borderId="17" xfId="0" applyNumberFormat="1" applyFont="1" applyFill="1" applyBorder="1" applyAlignment="1">
      <alignment vertical="center"/>
    </xf>
    <xf numFmtId="3" fontId="18" fillId="3" borderId="65" xfId="0" applyNumberFormat="1" applyFont="1" applyFill="1" applyBorder="1" applyAlignment="1">
      <alignment vertical="center"/>
    </xf>
    <xf numFmtId="3" fontId="18" fillId="3" borderId="96" xfId="0" applyNumberFormat="1" applyFont="1" applyFill="1" applyBorder="1" applyAlignment="1">
      <alignment vertical="center"/>
    </xf>
    <xf numFmtId="3" fontId="27" fillId="3" borderId="17" xfId="0" applyNumberFormat="1" applyFont="1" applyFill="1" applyBorder="1" applyAlignment="1">
      <alignment horizontal="left" vertical="center"/>
    </xf>
    <xf numFmtId="3" fontId="29" fillId="3" borderId="106" xfId="0" applyNumberFormat="1" applyFont="1" applyFill="1" applyBorder="1" applyAlignment="1">
      <alignment horizontal="right"/>
    </xf>
    <xf numFmtId="3" fontId="29" fillId="3" borderId="104" xfId="0" applyNumberFormat="1" applyFont="1" applyFill="1" applyBorder="1" applyAlignment="1">
      <alignment horizontal="right"/>
    </xf>
    <xf numFmtId="3" fontId="11" fillId="3" borderId="65" xfId="0" applyNumberFormat="1" applyFont="1" applyFill="1" applyBorder="1" applyAlignment="1">
      <alignment horizontal="left" vertical="center"/>
    </xf>
    <xf numFmtId="3" fontId="18" fillId="3" borderId="34" xfId="0" applyNumberFormat="1" applyFont="1" applyFill="1" applyBorder="1" applyAlignment="1">
      <alignment vertical="center"/>
    </xf>
    <xf numFmtId="3" fontId="23" fillId="0" borderId="48" xfId="0" applyNumberFormat="1" applyFont="1" applyBorder="1" applyAlignment="1">
      <alignment vertical="center" wrapText="1"/>
    </xf>
    <xf numFmtId="3" fontId="11" fillId="3" borderId="105" xfId="0" applyNumberFormat="1" applyFont="1" applyFill="1" applyBorder="1" applyAlignment="1">
      <alignment vertical="center" wrapText="1"/>
    </xf>
    <xf numFmtId="3" fontId="18" fillId="3" borderId="106" xfId="0" applyNumberFormat="1" applyFont="1" applyFill="1" applyBorder="1" applyAlignment="1">
      <alignment horizontal="right" vertical="center"/>
    </xf>
    <xf numFmtId="3" fontId="18" fillId="3" borderId="107" xfId="0" applyNumberFormat="1" applyFont="1" applyFill="1" applyBorder="1" applyAlignment="1">
      <alignment horizontal="right" vertical="center"/>
    </xf>
    <xf numFmtId="3" fontId="11" fillId="3" borderId="53" xfId="0" applyNumberFormat="1" applyFont="1" applyFill="1" applyBorder="1" applyAlignment="1">
      <alignment horizontal="left" vertical="center"/>
    </xf>
    <xf numFmtId="3" fontId="11" fillId="3" borderId="119" xfId="0" applyNumberFormat="1" applyFont="1" applyFill="1" applyBorder="1" applyAlignment="1">
      <alignment vertical="center"/>
    </xf>
    <xf numFmtId="10" fontId="18" fillId="3" borderId="85" xfId="0" applyNumberFormat="1" applyFont="1" applyFill="1" applyBorder="1" applyAlignment="1">
      <alignment vertical="center"/>
    </xf>
    <xf numFmtId="3" fontId="11" fillId="3" borderId="18" xfId="0" applyNumberFormat="1" applyFont="1" applyFill="1" applyBorder="1" applyAlignment="1">
      <alignment horizontal="left" vertical="center"/>
    </xf>
    <xf numFmtId="3" fontId="11" fillId="3" borderId="21" xfId="0" applyNumberFormat="1" applyFont="1" applyFill="1" applyBorder="1" applyAlignment="1">
      <alignment vertical="center"/>
    </xf>
    <xf numFmtId="10" fontId="18" fillId="3" borderId="33" xfId="0" applyNumberFormat="1" applyFont="1" applyFill="1" applyBorder="1" applyAlignment="1">
      <alignment vertical="center"/>
    </xf>
    <xf numFmtId="3" fontId="11" fillId="3" borderId="34" xfId="0" applyNumberFormat="1" applyFont="1" applyFill="1" applyBorder="1" applyAlignment="1">
      <alignment horizontal="left" vertical="center"/>
    </xf>
    <xf numFmtId="10" fontId="18" fillId="3" borderId="53" xfId="0" applyNumberFormat="1" applyFont="1" applyFill="1" applyBorder="1" applyAlignment="1">
      <alignment horizontal="center" vertical="center"/>
    </xf>
    <xf numFmtId="10" fontId="18" fillId="3" borderId="85" xfId="0" applyNumberFormat="1" applyFont="1" applyFill="1" applyBorder="1" applyAlignment="1">
      <alignment horizontal="center" vertical="center"/>
    </xf>
    <xf numFmtId="0" fontId="11" fillId="3" borderId="85" xfId="0" applyFont="1" applyFill="1" applyBorder="1" applyAlignment="1">
      <alignment vertical="center"/>
    </xf>
    <xf numFmtId="3" fontId="18" fillId="3" borderId="57" xfId="0" applyNumberFormat="1" applyFont="1" applyFill="1" applyBorder="1" applyAlignment="1">
      <alignment vertical="center"/>
    </xf>
    <xf numFmtId="3" fontId="18" fillId="3" borderId="15" xfId="0" applyNumberFormat="1" applyFont="1" applyFill="1" applyBorder="1" applyAlignment="1">
      <alignment horizontal="center" vertical="center"/>
    </xf>
    <xf numFmtId="3" fontId="18" fillId="3" borderId="93" xfId="0" applyNumberFormat="1" applyFont="1" applyFill="1" applyBorder="1" applyAlignment="1">
      <alignment horizontal="center" vertical="center"/>
    </xf>
    <xf numFmtId="3" fontId="18" fillId="3" borderId="99" xfId="0" applyNumberFormat="1" applyFont="1" applyFill="1" applyBorder="1" applyAlignment="1">
      <alignment horizontal="center" vertical="center"/>
    </xf>
    <xf numFmtId="3" fontId="18" fillId="3" borderId="94" xfId="0" applyNumberFormat="1" applyFont="1" applyFill="1" applyBorder="1" applyAlignment="1">
      <alignment horizontal="center" vertical="center"/>
    </xf>
    <xf numFmtId="3" fontId="18" fillId="3" borderId="89" xfId="0" applyNumberFormat="1" applyFont="1" applyFill="1" applyBorder="1" applyAlignment="1">
      <alignment vertical="center"/>
    </xf>
    <xf numFmtId="0" fontId="11" fillId="3" borderId="15" xfId="0" applyFont="1" applyFill="1" applyBorder="1" applyAlignment="1">
      <alignment horizontal="left" vertical="center"/>
    </xf>
    <xf numFmtId="0" fontId="11" fillId="3" borderId="68" xfId="0" applyFont="1" applyFill="1" applyBorder="1" applyAlignment="1">
      <alignment horizontal="left" vertical="center"/>
    </xf>
    <xf numFmtId="3" fontId="11" fillId="3" borderId="21" xfId="0" applyNumberFormat="1" applyFont="1" applyFill="1" applyBorder="1" applyAlignment="1">
      <alignment horizontal="left" vertical="center"/>
    </xf>
    <xf numFmtId="1" fontId="19" fillId="0" borderId="48" xfId="0" applyNumberFormat="1" applyFont="1" applyBorder="1" applyAlignment="1">
      <alignment horizontal="center" vertical="center"/>
    </xf>
    <xf numFmtId="3" fontId="11" fillId="0" borderId="48" xfId="0" applyNumberFormat="1" applyFont="1" applyBorder="1" applyAlignment="1">
      <alignment vertical="center" wrapText="1"/>
    </xf>
    <xf numFmtId="3" fontId="18" fillId="0" borderId="0" xfId="0" applyNumberFormat="1" applyFont="1" applyAlignment="1">
      <alignment vertical="center"/>
    </xf>
    <xf numFmtId="3" fontId="6" fillId="3" borderId="105" xfId="0" applyNumberFormat="1" applyFont="1" applyFill="1" applyBorder="1" applyAlignment="1">
      <alignment horizontal="right" vertical="center"/>
    </xf>
    <xf numFmtId="3" fontId="6" fillId="3" borderId="112" xfId="0" applyNumberFormat="1" applyFont="1" applyFill="1" applyBorder="1" applyAlignment="1">
      <alignment horizontal="right" vertical="center"/>
    </xf>
    <xf numFmtId="3" fontId="18" fillId="3" borderId="17" xfId="0" applyNumberFormat="1" applyFont="1" applyFill="1" applyBorder="1" applyAlignment="1">
      <alignment horizontal="left" vertical="center"/>
    </xf>
    <xf numFmtId="3" fontId="6" fillId="3" borderId="115" xfId="0" applyNumberFormat="1" applyFont="1" applyFill="1" applyBorder="1" applyAlignment="1">
      <alignment vertical="center"/>
    </xf>
    <xf numFmtId="3" fontId="6" fillId="3" borderId="104" xfId="0" applyNumberFormat="1" applyFont="1" applyFill="1" applyBorder="1" applyAlignment="1">
      <alignment vertical="center"/>
    </xf>
    <xf numFmtId="3" fontId="6" fillId="3" borderId="116" xfId="0" applyNumberFormat="1" applyFont="1" applyFill="1" applyBorder="1" applyAlignment="1">
      <alignment vertical="center"/>
    </xf>
    <xf numFmtId="3" fontId="18" fillId="3" borderId="17" xfId="0" applyNumberFormat="1" applyFont="1" applyFill="1" applyBorder="1" applyAlignment="1">
      <alignment horizontal="center" vertical="center"/>
    </xf>
    <xf numFmtId="3" fontId="11" fillId="3" borderId="126" xfId="0" applyNumberFormat="1" applyFont="1" applyFill="1" applyBorder="1" applyAlignment="1">
      <alignment horizontal="left" vertical="center" wrapText="1"/>
    </xf>
    <xf numFmtId="165" fontId="6" fillId="3" borderId="34" xfId="0" applyNumberFormat="1" applyFont="1" applyFill="1" applyBorder="1" applyAlignment="1">
      <alignment horizontal="center" vertical="center"/>
    </xf>
    <xf numFmtId="3" fontId="18" fillId="3" borderId="34" xfId="0" applyNumberFormat="1" applyFont="1" applyFill="1" applyBorder="1" applyAlignment="1">
      <alignment horizontal="left" vertical="center" wrapText="1"/>
    </xf>
    <xf numFmtId="3" fontId="18" fillId="3" borderId="18" xfId="0" applyNumberFormat="1" applyFont="1" applyFill="1" applyBorder="1" applyAlignment="1">
      <alignment vertical="center"/>
    </xf>
    <xf numFmtId="165" fontId="29" fillId="3" borderId="116" xfId="0" applyNumberFormat="1" applyFont="1" applyFill="1" applyBorder="1" applyAlignment="1">
      <alignment horizontal="center" vertical="center"/>
    </xf>
    <xf numFmtId="3" fontId="17" fillId="3" borderId="129" xfId="0" applyNumberFormat="1" applyFont="1" applyFill="1" applyBorder="1" applyAlignment="1">
      <alignment horizontal="left" vertical="center" wrapText="1"/>
    </xf>
    <xf numFmtId="3" fontId="28" fillId="3" borderId="108" xfId="0" applyNumberFormat="1" applyFont="1" applyFill="1" applyBorder="1" applyAlignment="1">
      <alignment vertical="center"/>
    </xf>
    <xf numFmtId="3" fontId="28" fillId="3" borderId="98" xfId="0" applyNumberFormat="1" applyFont="1" applyFill="1" applyBorder="1" applyAlignment="1">
      <alignment vertical="center"/>
    </xf>
    <xf numFmtId="3" fontId="28" fillId="3" borderId="25" xfId="0" applyNumberFormat="1" applyFont="1" applyFill="1" applyBorder="1" applyAlignment="1">
      <alignment vertical="center"/>
    </xf>
    <xf numFmtId="1" fontId="19" fillId="3" borderId="116" xfId="0" applyNumberFormat="1" applyFont="1" applyFill="1" applyBorder="1" applyAlignment="1">
      <alignment horizontal="center" vertical="center"/>
    </xf>
    <xf numFmtId="3" fontId="11" fillId="0" borderId="130" xfId="0" applyNumberFormat="1" applyFont="1" applyBorder="1" applyAlignment="1">
      <alignment horizontal="left" vertical="center" wrapText="1"/>
    </xf>
    <xf numFmtId="3" fontId="11" fillId="3" borderId="130" xfId="0" applyNumberFormat="1" applyFont="1" applyFill="1" applyBorder="1" applyAlignment="1">
      <alignment horizontal="left" vertical="center" wrapText="1"/>
    </xf>
    <xf numFmtId="3" fontId="11" fillId="0" borderId="0" xfId="0" applyNumberFormat="1" applyFont="1" applyAlignment="1">
      <alignment vertical="center"/>
    </xf>
    <xf numFmtId="3" fontId="11" fillId="3" borderId="131" xfId="0" applyNumberFormat="1" applyFont="1" applyFill="1" applyBorder="1" applyAlignment="1">
      <alignment horizontal="left" vertical="center" wrapText="1"/>
    </xf>
    <xf numFmtId="3" fontId="31" fillId="5" borderId="84" xfId="0" applyNumberFormat="1" applyFont="1" applyFill="1" applyBorder="1" applyAlignment="1">
      <alignment vertical="center"/>
    </xf>
    <xf numFmtId="1" fontId="33" fillId="3" borderId="132" xfId="0" applyNumberFormat="1" applyFont="1" applyFill="1" applyBorder="1" applyAlignment="1">
      <alignment horizontal="center" vertical="center"/>
    </xf>
    <xf numFmtId="3" fontId="34" fillId="3" borderId="129" xfId="0" applyNumberFormat="1" applyFont="1" applyFill="1" applyBorder="1" applyAlignment="1">
      <alignment horizontal="left" vertical="center" wrapText="1"/>
    </xf>
    <xf numFmtId="1" fontId="35" fillId="3" borderId="132" xfId="0" applyNumberFormat="1" applyFont="1" applyFill="1" applyBorder="1" applyAlignment="1">
      <alignment horizontal="center" vertical="center"/>
    </xf>
    <xf numFmtId="3" fontId="6" fillId="0" borderId="106" xfId="0" applyNumberFormat="1" applyFont="1" applyBorder="1" applyAlignment="1">
      <alignment vertical="center"/>
    </xf>
    <xf numFmtId="3" fontId="6" fillId="0" borderId="107" xfId="0" applyNumberFormat="1" applyFont="1" applyBorder="1" applyAlignment="1">
      <alignment vertical="center"/>
    </xf>
    <xf numFmtId="3" fontId="0" fillId="3" borderId="130" xfId="0" applyNumberFormat="1" applyFill="1" applyBorder="1" applyAlignment="1">
      <alignment horizontal="left" vertical="center" wrapText="1"/>
    </xf>
    <xf numFmtId="165" fontId="29" fillId="3" borderId="90" xfId="0" applyNumberFormat="1" applyFont="1" applyFill="1" applyBorder="1" applyAlignment="1">
      <alignment horizontal="center" vertical="center"/>
    </xf>
    <xf numFmtId="3" fontId="28" fillId="3" borderId="90" xfId="0" applyNumberFormat="1" applyFont="1" applyFill="1" applyBorder="1" applyAlignment="1">
      <alignment horizontal="left" vertical="center" wrapText="1"/>
    </xf>
    <xf numFmtId="3" fontId="28" fillId="3" borderId="91" xfId="0" applyNumberFormat="1" applyFont="1" applyFill="1" applyBorder="1" applyAlignment="1">
      <alignment vertical="center"/>
    </xf>
    <xf numFmtId="3" fontId="28" fillId="3" borderId="92" xfId="0" applyNumberFormat="1" applyFont="1" applyFill="1" applyBorder="1" applyAlignment="1">
      <alignment vertical="center"/>
    </xf>
    <xf numFmtId="3" fontId="28" fillId="3" borderId="90" xfId="0" applyNumberFormat="1" applyFont="1" applyFill="1" applyBorder="1" applyAlignment="1">
      <alignment vertical="center"/>
    </xf>
    <xf numFmtId="3" fontId="0" fillId="0" borderId="130" xfId="0" applyNumberFormat="1" applyBorder="1" applyAlignment="1">
      <alignment horizontal="left" vertical="center" wrapText="1"/>
    </xf>
    <xf numFmtId="3" fontId="17" fillId="3" borderId="107" xfId="0" applyNumberFormat="1" applyFont="1" applyFill="1" applyBorder="1" applyAlignment="1">
      <alignment horizontal="left" vertical="center" wrapText="1"/>
    </xf>
    <xf numFmtId="3" fontId="31" fillId="3" borderId="115" xfId="0" applyNumberFormat="1" applyFont="1" applyFill="1" applyBorder="1" applyAlignment="1">
      <alignment horizontal="right" vertical="center"/>
    </xf>
    <xf numFmtId="3" fontId="31" fillId="3" borderId="104" xfId="0" applyNumberFormat="1" applyFont="1" applyFill="1" applyBorder="1" applyAlignment="1">
      <alignment horizontal="right" vertical="center"/>
    </xf>
    <xf numFmtId="3" fontId="31" fillId="3" borderId="116" xfId="0" applyNumberFormat="1" applyFont="1" applyFill="1" applyBorder="1" applyAlignment="1">
      <alignment horizontal="right" vertical="center"/>
    </xf>
    <xf numFmtId="3" fontId="19" fillId="3" borderId="131" xfId="0" applyNumberFormat="1" applyFont="1" applyFill="1" applyBorder="1" applyAlignment="1">
      <alignment horizontal="left" vertical="center" wrapText="1"/>
    </xf>
    <xf numFmtId="3" fontId="28" fillId="0" borderId="93" xfId="0" applyNumberFormat="1" applyFont="1" applyBorder="1" applyAlignment="1">
      <alignment horizontal="right" vertical="center"/>
    </xf>
    <xf numFmtId="3" fontId="28" fillId="0" borderId="128" xfId="0" applyNumberFormat="1" applyFont="1" applyBorder="1" applyAlignment="1">
      <alignment horizontal="right" vertical="center"/>
    </xf>
    <xf numFmtId="3" fontId="28" fillId="0" borderId="8" xfId="0" applyNumberFormat="1" applyFont="1" applyBorder="1" applyAlignment="1">
      <alignment horizontal="right" vertical="center"/>
    </xf>
    <xf numFmtId="165" fontId="19" fillId="0" borderId="48" xfId="0" applyNumberFormat="1" applyFont="1" applyBorder="1" applyAlignment="1">
      <alignment horizontal="center" vertical="center"/>
    </xf>
    <xf numFmtId="3" fontId="18" fillId="0" borderId="104" xfId="0" applyNumberFormat="1" applyFont="1" applyBorder="1" applyAlignment="1">
      <alignment vertical="center"/>
    </xf>
    <xf numFmtId="3" fontId="18" fillId="0" borderId="67" xfId="0" applyNumberFormat="1" applyFont="1" applyBorder="1" applyAlignment="1">
      <alignment vertical="center"/>
    </xf>
    <xf numFmtId="3" fontId="18" fillId="0" borderId="106" xfId="0" applyNumberFormat="1" applyFont="1" applyBorder="1" applyAlignment="1">
      <alignment vertical="center"/>
    </xf>
    <xf numFmtId="3" fontId="18" fillId="0" borderId="107" xfId="0" applyNumberFormat="1" applyFont="1" applyBorder="1" applyAlignment="1">
      <alignment vertical="center"/>
    </xf>
    <xf numFmtId="3" fontId="18" fillId="0" borderId="133" xfId="0" applyNumberFormat="1" applyFont="1" applyBorder="1" applyAlignment="1">
      <alignment vertical="center"/>
    </xf>
    <xf numFmtId="165" fontId="19" fillId="0" borderId="48" xfId="0" quotePrefix="1" applyNumberFormat="1" applyFont="1" applyBorder="1" applyAlignment="1">
      <alignment horizontal="center" vertical="center"/>
    </xf>
    <xf numFmtId="3" fontId="18" fillId="3" borderId="116" xfId="0" applyNumberFormat="1" applyFont="1" applyFill="1" applyBorder="1" applyAlignment="1">
      <alignment vertical="center"/>
    </xf>
    <xf numFmtId="3" fontId="18" fillId="3" borderId="115" xfId="0" applyNumberFormat="1" applyFont="1" applyFill="1" applyBorder="1" applyAlignment="1">
      <alignment vertical="center"/>
    </xf>
    <xf numFmtId="165" fontId="19" fillId="3" borderId="105" xfId="0" applyNumberFormat="1" applyFont="1" applyFill="1" applyBorder="1" applyAlignment="1">
      <alignment horizontal="center" vertical="center"/>
    </xf>
    <xf numFmtId="165" fontId="29" fillId="0" borderId="106" xfId="0" applyNumberFormat="1" applyFont="1" applyBorder="1" applyAlignment="1">
      <alignment horizontal="center" vertical="center"/>
    </xf>
    <xf numFmtId="3" fontId="29" fillId="0" borderId="107" xfId="0" quotePrefix="1" applyNumberFormat="1" applyFont="1" applyBorder="1" applyAlignment="1">
      <alignment horizontal="left" vertical="center" wrapText="1"/>
    </xf>
    <xf numFmtId="3" fontId="31" fillId="0" borderId="133" xfId="0" applyNumberFormat="1" applyFont="1" applyBorder="1" applyAlignment="1">
      <alignment vertical="center"/>
    </xf>
    <xf numFmtId="3" fontId="31" fillId="0" borderId="107" xfId="0" applyNumberFormat="1" applyFont="1" applyBorder="1" applyAlignment="1">
      <alignment vertical="center"/>
    </xf>
    <xf numFmtId="3" fontId="31" fillId="0" borderId="106" xfId="0" applyNumberFormat="1" applyFont="1" applyBorder="1" applyAlignment="1">
      <alignment vertical="center"/>
    </xf>
    <xf numFmtId="3" fontId="31" fillId="0" borderId="67" xfId="0" applyNumberFormat="1" applyFont="1" applyBorder="1" applyAlignment="1">
      <alignment vertical="center"/>
    </xf>
    <xf numFmtId="165" fontId="19" fillId="3" borderId="126" xfId="0" applyNumberFormat="1" applyFont="1" applyFill="1" applyBorder="1" applyAlignment="1">
      <alignment horizontal="center" vertical="center"/>
    </xf>
    <xf numFmtId="3" fontId="18" fillId="0" borderId="85" xfId="0" applyNumberFormat="1" applyFont="1" applyBorder="1" applyAlignment="1">
      <alignment vertical="center"/>
    </xf>
    <xf numFmtId="3" fontId="18" fillId="0" borderId="134" xfId="0" applyNumberFormat="1" applyFont="1" applyBorder="1" applyAlignment="1">
      <alignment vertical="center"/>
    </xf>
    <xf numFmtId="3" fontId="18" fillId="3" borderId="135" xfId="0" applyNumberFormat="1" applyFont="1" applyFill="1" applyBorder="1" applyAlignment="1">
      <alignment vertical="center"/>
    </xf>
    <xf numFmtId="3" fontId="18" fillId="3" borderId="84" xfId="0" applyNumberFormat="1" applyFont="1" applyFill="1" applyBorder="1" applyAlignment="1">
      <alignment vertical="center"/>
    </xf>
    <xf numFmtId="165" fontId="29" fillId="3" borderId="18" xfId="0" quotePrefix="1" applyNumberFormat="1" applyFont="1" applyFill="1" applyBorder="1" applyAlignment="1">
      <alignment horizontal="left" vertical="center"/>
    </xf>
    <xf numFmtId="3" fontId="28" fillId="3" borderId="18" xfId="0" applyNumberFormat="1" applyFont="1" applyFill="1" applyBorder="1" applyAlignment="1">
      <alignment horizontal="left" vertical="center" wrapText="1"/>
    </xf>
    <xf numFmtId="3" fontId="28" fillId="3" borderId="102" xfId="0" applyNumberFormat="1" applyFont="1" applyFill="1" applyBorder="1" applyAlignment="1">
      <alignment vertical="center"/>
    </xf>
    <xf numFmtId="3" fontId="28" fillId="3" borderId="30" xfId="0" applyNumberFormat="1" applyFont="1" applyFill="1" applyBorder="1" applyAlignment="1">
      <alignment vertical="center"/>
    </xf>
    <xf numFmtId="3" fontId="28" fillId="3" borderId="93" xfId="0" applyNumberFormat="1" applyFont="1" applyFill="1" applyBorder="1" applyAlignment="1">
      <alignment vertical="center"/>
    </xf>
    <xf numFmtId="3" fontId="28" fillId="3" borderId="94" xfId="0" applyNumberFormat="1" applyFont="1" applyFill="1" applyBorder="1" applyAlignment="1">
      <alignment vertical="center"/>
    </xf>
    <xf numFmtId="165" fontId="29" fillId="0" borderId="4" xfId="0" quotePrefix="1" applyNumberFormat="1" applyFont="1" applyBorder="1" applyAlignment="1">
      <alignment horizontal="left" vertical="center"/>
    </xf>
    <xf numFmtId="3" fontId="28" fillId="0" borderId="4" xfId="0" applyNumberFormat="1" applyFont="1" applyBorder="1" applyAlignment="1">
      <alignment horizontal="left" vertical="center" wrapText="1"/>
    </xf>
    <xf numFmtId="3" fontId="28" fillId="0" borderId="62" xfId="0" applyNumberFormat="1" applyFont="1" applyBorder="1" applyAlignment="1">
      <alignment vertical="center"/>
    </xf>
    <xf numFmtId="3" fontId="28" fillId="0" borderId="136" xfId="0" applyNumberFormat="1" applyFont="1" applyBorder="1" applyAlignment="1">
      <alignment vertical="center"/>
    </xf>
    <xf numFmtId="3" fontId="28" fillId="0" borderId="63" xfId="0" applyNumberFormat="1" applyFont="1" applyBorder="1" applyAlignment="1">
      <alignment vertical="center"/>
    </xf>
    <xf numFmtId="165" fontId="29" fillId="3" borderId="57" xfId="0" quotePrefix="1" applyNumberFormat="1" applyFont="1" applyFill="1" applyBorder="1" applyAlignment="1">
      <alignment horizontal="left" vertical="center"/>
    </xf>
    <xf numFmtId="3" fontId="28" fillId="3" borderId="57" xfId="0" applyNumberFormat="1" applyFont="1" applyFill="1" applyBorder="1" applyAlignment="1">
      <alignment horizontal="left" vertical="center" wrapText="1"/>
    </xf>
    <xf numFmtId="3" fontId="28" fillId="3" borderId="87" xfId="0" applyNumberFormat="1" applyFont="1" applyFill="1" applyBorder="1" applyAlignment="1">
      <alignment vertical="center"/>
    </xf>
    <xf numFmtId="3" fontId="28" fillId="3" borderId="119" xfId="0" applyNumberFormat="1" applyFont="1" applyFill="1" applyBorder="1" applyAlignment="1">
      <alignment vertical="center"/>
    </xf>
    <xf numFmtId="3" fontId="28" fillId="3" borderId="137" xfId="0" applyNumberFormat="1" applyFont="1" applyFill="1" applyBorder="1" applyAlignment="1">
      <alignment vertical="center"/>
    </xf>
    <xf numFmtId="165" fontId="29" fillId="3" borderId="17" xfId="0" applyNumberFormat="1" applyFont="1" applyFill="1" applyBorder="1" applyAlignment="1">
      <alignment horizontal="center" vertical="center"/>
    </xf>
    <xf numFmtId="3" fontId="28" fillId="3" borderId="17" xfId="0" applyNumberFormat="1" applyFont="1" applyFill="1" applyBorder="1" applyAlignment="1">
      <alignment horizontal="left" vertical="center" wrapText="1"/>
    </xf>
    <xf numFmtId="3" fontId="28" fillId="3" borderId="17" xfId="0" applyNumberFormat="1" applyFont="1" applyFill="1" applyBorder="1" applyAlignment="1">
      <alignment vertical="center"/>
    </xf>
    <xf numFmtId="1" fontId="19" fillId="3" borderId="17" xfId="0" applyNumberFormat="1" applyFont="1" applyFill="1" applyBorder="1" applyAlignment="1">
      <alignment horizontal="center" vertical="center"/>
    </xf>
    <xf numFmtId="3" fontId="18" fillId="3" borderId="17" xfId="0" applyNumberFormat="1" applyFont="1" applyFill="1" applyBorder="1" applyAlignment="1">
      <alignment vertical="center" wrapText="1"/>
    </xf>
    <xf numFmtId="3" fontId="6" fillId="3" borderId="130" xfId="0" applyNumberFormat="1" applyFont="1" applyFill="1" applyBorder="1" applyAlignment="1">
      <alignment horizontal="right" vertical="center"/>
    </xf>
    <xf numFmtId="1" fontId="17" fillId="3" borderId="73" xfId="0" applyNumberFormat="1" applyFont="1" applyFill="1" applyBorder="1" applyAlignment="1">
      <alignment horizontal="center" vertical="center" wrapText="1"/>
    </xf>
    <xf numFmtId="3" fontId="17" fillId="3" borderId="74" xfId="0" applyNumberFormat="1" applyFont="1" applyFill="1" applyBorder="1" applyAlignment="1">
      <alignment horizontal="center" vertical="center" wrapText="1"/>
    </xf>
    <xf numFmtId="3" fontId="28" fillId="3" borderId="74" xfId="0" applyNumberFormat="1" applyFont="1" applyFill="1" applyBorder="1" applyAlignment="1">
      <alignment horizontal="center" vertical="center"/>
    </xf>
    <xf numFmtId="3" fontId="28" fillId="3" borderId="75" xfId="0" applyNumberFormat="1" applyFont="1" applyFill="1" applyBorder="1" applyAlignment="1">
      <alignment horizontal="center" vertical="center"/>
    </xf>
    <xf numFmtId="3" fontId="28" fillId="3" borderId="73" xfId="0" applyNumberFormat="1" applyFont="1" applyFill="1" applyBorder="1" applyAlignment="1">
      <alignment horizontal="center" vertical="center"/>
    </xf>
    <xf numFmtId="3" fontId="31" fillId="3" borderId="73" xfId="0" applyNumberFormat="1" applyFont="1" applyFill="1" applyBorder="1" applyAlignment="1">
      <alignment horizontal="right" vertical="center"/>
    </xf>
    <xf numFmtId="3" fontId="31" fillId="3" borderId="75" xfId="0" applyNumberFormat="1" applyFont="1" applyFill="1" applyBorder="1" applyAlignment="1">
      <alignment horizontal="right" vertical="center"/>
    </xf>
    <xf numFmtId="165" fontId="10" fillId="3" borderId="104" xfId="0" applyNumberFormat="1" applyFont="1" applyFill="1" applyBorder="1" applyAlignment="1">
      <alignment horizontal="center" vertical="center"/>
    </xf>
    <xf numFmtId="3" fontId="24" fillId="3" borderId="104" xfId="0" applyNumberFormat="1" applyFont="1" applyFill="1" applyBorder="1" applyAlignment="1">
      <alignment vertical="center" wrapText="1"/>
    </xf>
    <xf numFmtId="3" fontId="6" fillId="0" borderId="107" xfId="0" applyNumberFormat="1" applyFont="1" applyBorder="1" applyAlignment="1">
      <alignment horizontal="right" vertical="center"/>
    </xf>
    <xf numFmtId="3" fontId="18" fillId="3" borderId="104" xfId="0" applyNumberFormat="1" applyFont="1" applyFill="1" applyBorder="1" applyAlignment="1">
      <alignment horizontal="left" vertical="center" wrapText="1"/>
    </xf>
    <xf numFmtId="165" fontId="11" fillId="3" borderId="53" xfId="0" applyNumberFormat="1" applyFont="1" applyFill="1" applyBorder="1" applyAlignment="1">
      <alignment horizontal="center" vertical="center"/>
    </xf>
    <xf numFmtId="3" fontId="11" fillId="3" borderId="54" xfId="0" applyNumberFormat="1" applyFont="1" applyFill="1" applyBorder="1" applyAlignment="1">
      <alignment horizontal="left" vertical="center" wrapText="1"/>
    </xf>
    <xf numFmtId="3" fontId="6" fillId="3" borderId="85" xfId="0" applyNumberFormat="1" applyFont="1" applyFill="1" applyBorder="1" applyAlignment="1">
      <alignment horizontal="right" vertical="center"/>
    </xf>
    <xf numFmtId="3" fontId="6" fillId="3" borderId="54" xfId="0" applyNumberFormat="1" applyFont="1" applyFill="1" applyBorder="1" applyAlignment="1">
      <alignment horizontal="right" vertical="center"/>
    </xf>
    <xf numFmtId="3" fontId="6" fillId="3" borderId="53" xfId="0" applyNumberFormat="1" applyFont="1" applyFill="1" applyBorder="1" applyAlignment="1">
      <alignment horizontal="right" vertical="center"/>
    </xf>
    <xf numFmtId="3" fontId="6" fillId="3" borderId="135" xfId="0" applyNumberFormat="1" applyFont="1" applyFill="1" applyBorder="1" applyAlignment="1">
      <alignment horizontal="right" vertical="center"/>
    </xf>
    <xf numFmtId="165" fontId="17" fillId="3" borderId="104" xfId="0" applyNumberFormat="1" applyFont="1" applyFill="1" applyBorder="1" applyAlignment="1">
      <alignment horizontal="center" vertical="center"/>
    </xf>
    <xf numFmtId="3" fontId="17" fillId="3" borderId="104" xfId="0" applyNumberFormat="1" applyFont="1" applyFill="1" applyBorder="1" applyAlignment="1">
      <alignment horizontal="left" vertical="center" wrapText="1"/>
    </xf>
    <xf numFmtId="165" fontId="29" fillId="3" borderId="104" xfId="0" applyNumberFormat="1" applyFont="1" applyFill="1" applyBorder="1" applyAlignment="1">
      <alignment horizontal="center" vertical="center"/>
    </xf>
    <xf numFmtId="3" fontId="29" fillId="3" borderId="104" xfId="0" quotePrefix="1" applyNumberFormat="1" applyFont="1" applyFill="1" applyBorder="1" applyAlignment="1">
      <alignment horizontal="left" vertical="center" wrapText="1"/>
    </xf>
    <xf numFmtId="165" fontId="11" fillId="3" borderId="104" xfId="0" applyNumberFormat="1" applyFont="1" applyFill="1" applyBorder="1" applyAlignment="1">
      <alignment horizontal="center" vertical="center"/>
    </xf>
    <xf numFmtId="3" fontId="11" fillId="3" borderId="104" xfId="0" applyNumberFormat="1" applyFont="1" applyFill="1" applyBorder="1" applyAlignment="1">
      <alignment horizontal="left" vertical="center" wrapText="1"/>
    </xf>
    <xf numFmtId="165" fontId="6" fillId="3" borderId="104" xfId="0" applyNumberFormat="1" applyFont="1" applyFill="1" applyBorder="1" applyAlignment="1">
      <alignment horizontal="center" vertical="center"/>
    </xf>
    <xf numFmtId="3" fontId="6" fillId="3" borderId="84" xfId="0" applyNumberFormat="1" applyFont="1" applyFill="1" applyBorder="1" applyAlignment="1">
      <alignment horizontal="right" vertical="center"/>
    </xf>
    <xf numFmtId="1" fontId="17" fillId="3" borderId="34" xfId="0" applyNumberFormat="1" applyFont="1" applyFill="1" applyBorder="1" applyAlignment="1">
      <alignment horizontal="center" vertical="center" wrapText="1"/>
    </xf>
    <xf numFmtId="3" fontId="17" fillId="3" borderId="17" xfId="0" applyNumberFormat="1" applyFont="1" applyFill="1" applyBorder="1" applyAlignment="1">
      <alignment horizontal="center" vertical="center" wrapText="1"/>
    </xf>
    <xf numFmtId="3" fontId="28" fillId="3" borderId="17" xfId="0" applyNumberFormat="1" applyFont="1" applyFill="1" applyBorder="1" applyAlignment="1">
      <alignment horizontal="center" vertical="center"/>
    </xf>
    <xf numFmtId="3" fontId="28" fillId="3" borderId="34" xfId="0" applyNumberFormat="1" applyFont="1" applyFill="1" applyBorder="1" applyAlignment="1">
      <alignment horizontal="center" vertical="center"/>
    </xf>
    <xf numFmtId="3" fontId="28" fillId="3" borderId="69" xfId="0" applyNumberFormat="1" applyFont="1" applyFill="1" applyBorder="1" applyAlignment="1">
      <alignment horizontal="center" vertical="center"/>
    </xf>
    <xf numFmtId="3" fontId="6" fillId="3" borderId="90" xfId="0" applyNumberFormat="1" applyFont="1" applyFill="1" applyBorder="1" applyAlignment="1">
      <alignment horizontal="right" vertical="center"/>
    </xf>
    <xf numFmtId="3" fontId="6" fillId="3" borderId="92" xfId="0" applyNumberFormat="1" applyFont="1" applyFill="1" applyBorder="1" applyAlignment="1">
      <alignment horizontal="right" vertical="center"/>
    </xf>
    <xf numFmtId="3" fontId="20" fillId="3" borderId="17" xfId="0" applyNumberFormat="1" applyFont="1" applyFill="1" applyBorder="1" applyAlignment="1">
      <alignment vertical="center"/>
    </xf>
    <xf numFmtId="3" fontId="17" fillId="3" borderId="113" xfId="0" applyNumberFormat="1" applyFont="1" applyFill="1" applyBorder="1" applyAlignment="1">
      <alignment horizontal="center" vertical="center" wrapText="1"/>
    </xf>
    <xf numFmtId="3" fontId="31" fillId="5" borderId="80" xfId="0" applyNumberFormat="1" applyFont="1" applyFill="1" applyBorder="1" applyAlignment="1">
      <alignment vertical="center"/>
    </xf>
    <xf numFmtId="3" fontId="31" fillId="5" borderId="82" xfId="0" applyNumberFormat="1" applyFont="1" applyFill="1" applyBorder="1" applyAlignment="1">
      <alignment vertical="center"/>
    </xf>
    <xf numFmtId="3" fontId="6" fillId="3" borderId="73" xfId="0" applyNumberFormat="1" applyFont="1" applyFill="1" applyBorder="1" applyAlignment="1">
      <alignment horizontal="right" vertical="center"/>
    </xf>
    <xf numFmtId="3" fontId="6" fillId="3" borderId="75" xfId="0" applyNumberFormat="1" applyFont="1" applyFill="1" applyBorder="1" applyAlignment="1">
      <alignment horizontal="right" vertical="center"/>
    </xf>
    <xf numFmtId="165" fontId="10" fillId="3" borderId="106" xfId="0" applyNumberFormat="1" applyFont="1" applyFill="1" applyBorder="1" applyAlignment="1">
      <alignment horizontal="center" vertical="center"/>
    </xf>
    <xf numFmtId="3" fontId="24" fillId="3" borderId="107" xfId="0" applyNumberFormat="1" applyFont="1" applyFill="1" applyBorder="1" applyAlignment="1">
      <alignment vertical="center" wrapText="1"/>
    </xf>
    <xf numFmtId="3" fontId="6" fillId="0" borderId="133" xfId="0" applyNumberFormat="1" applyFont="1" applyBorder="1" applyAlignment="1">
      <alignment vertical="center"/>
    </xf>
    <xf numFmtId="165" fontId="19" fillId="3" borderId="106" xfId="0" applyNumberFormat="1" applyFont="1" applyFill="1" applyBorder="1" applyAlignment="1">
      <alignment horizontal="center" vertical="center"/>
    </xf>
    <xf numFmtId="165" fontId="23" fillId="3" borderId="106" xfId="0" applyNumberFormat="1" applyFont="1" applyFill="1" applyBorder="1" applyAlignment="1">
      <alignment horizontal="center" vertical="center"/>
    </xf>
    <xf numFmtId="3" fontId="23" fillId="3" borderId="107" xfId="0" applyNumberFormat="1" applyFont="1" applyFill="1" applyBorder="1" applyAlignment="1">
      <alignment horizontal="left" vertical="center" wrapText="1"/>
    </xf>
    <xf numFmtId="165" fontId="19" fillId="3" borderId="53" xfId="0" applyNumberFormat="1" applyFont="1" applyFill="1" applyBorder="1" applyAlignment="1">
      <alignment horizontal="center" vertical="center"/>
    </xf>
    <xf numFmtId="3" fontId="18" fillId="3" borderId="54" xfId="0" applyNumberFormat="1" applyFont="1" applyFill="1" applyBorder="1" applyAlignment="1">
      <alignment horizontal="left" vertical="center" wrapText="1"/>
    </xf>
    <xf numFmtId="3" fontId="6" fillId="3" borderId="57" xfId="0" applyNumberFormat="1" applyFont="1" applyFill="1" applyBorder="1" applyAlignment="1">
      <alignment horizontal="right" vertical="center"/>
    </xf>
    <xf numFmtId="3" fontId="6" fillId="3" borderId="68" xfId="0" applyNumberFormat="1" applyFont="1" applyFill="1" applyBorder="1" applyAlignment="1">
      <alignment horizontal="right" vertical="center"/>
    </xf>
    <xf numFmtId="165" fontId="10" fillId="3" borderId="102" xfId="0" applyNumberFormat="1" applyFont="1" applyFill="1" applyBorder="1" applyAlignment="1">
      <alignment horizontal="center" vertical="center"/>
    </xf>
    <xf numFmtId="3" fontId="24" fillId="3" borderId="103" xfId="0" applyNumberFormat="1" applyFont="1" applyFill="1" applyBorder="1" applyAlignment="1">
      <alignment vertical="center" wrapText="1"/>
    </xf>
    <xf numFmtId="3" fontId="31" fillId="3" borderId="30" xfId="0" applyNumberFormat="1" applyFont="1" applyFill="1" applyBorder="1" applyAlignment="1">
      <alignment horizontal="right" vertical="center"/>
    </xf>
    <xf numFmtId="3" fontId="31" fillId="3" borderId="21" xfId="0" applyNumberFormat="1" applyFont="1" applyFill="1" applyBorder="1" applyAlignment="1">
      <alignment vertical="center"/>
    </xf>
    <xf numFmtId="3" fontId="31" fillId="3" borderId="22" xfId="0" applyNumberFormat="1" applyFont="1" applyFill="1" applyBorder="1" applyAlignment="1">
      <alignment vertical="center"/>
    </xf>
    <xf numFmtId="3" fontId="31" fillId="3" borderId="93" xfId="0" applyNumberFormat="1" applyFont="1" applyFill="1" applyBorder="1" applyAlignment="1">
      <alignment vertical="center"/>
    </xf>
    <xf numFmtId="3" fontId="31" fillId="3" borderId="94" xfId="0" applyNumberFormat="1" applyFont="1" applyFill="1" applyBorder="1" applyAlignment="1">
      <alignment vertical="center"/>
    </xf>
    <xf numFmtId="165" fontId="29" fillId="3" borderId="102" xfId="0" quotePrefix="1" applyNumberFormat="1" applyFont="1" applyFill="1" applyBorder="1" applyAlignment="1">
      <alignment horizontal="left" vertical="center"/>
    </xf>
    <xf numFmtId="3" fontId="28" fillId="3" borderId="121" xfId="0" applyNumberFormat="1" applyFont="1" applyFill="1" applyBorder="1" applyAlignment="1">
      <alignment horizontal="left" vertical="center" wrapText="1"/>
    </xf>
    <xf numFmtId="3" fontId="31" fillId="3" borderId="121" xfId="0" applyNumberFormat="1" applyFont="1" applyFill="1" applyBorder="1" applyAlignment="1">
      <alignment vertical="center"/>
    </xf>
    <xf numFmtId="3" fontId="31" fillId="3" borderId="103" xfId="0" applyNumberFormat="1" applyFont="1" applyFill="1" applyBorder="1" applyAlignment="1">
      <alignment vertical="center"/>
    </xf>
    <xf numFmtId="165" fontId="24" fillId="3" borderId="90" xfId="0" applyNumberFormat="1" applyFont="1" applyFill="1" applyBorder="1" applyAlignment="1">
      <alignment vertical="center"/>
    </xf>
    <xf numFmtId="165" fontId="24" fillId="3" borderId="91" xfId="0" applyNumberFormat="1" applyFont="1" applyFill="1" applyBorder="1" applyAlignment="1">
      <alignment vertical="center"/>
    </xf>
    <xf numFmtId="3" fontId="31" fillId="3" borderId="91" xfId="0" applyNumberFormat="1" applyFont="1" applyFill="1" applyBorder="1" applyAlignment="1">
      <alignment vertical="center"/>
    </xf>
    <xf numFmtId="3" fontId="31" fillId="3" borderId="92" xfId="0" applyNumberFormat="1" applyFont="1" applyFill="1" applyBorder="1" applyAlignment="1">
      <alignment vertical="center"/>
    </xf>
    <xf numFmtId="165" fontId="29" fillId="0" borderId="138" xfId="0" quotePrefix="1" applyNumberFormat="1" applyFont="1" applyBorder="1" applyAlignment="1">
      <alignment horizontal="left" vertical="center"/>
    </xf>
    <xf numFmtId="3" fontId="28" fillId="0" borderId="139" xfId="0" applyNumberFormat="1" applyFont="1" applyBorder="1" applyAlignment="1">
      <alignment horizontal="left" vertical="center" wrapText="1"/>
    </xf>
    <xf numFmtId="165" fontId="29" fillId="3" borderId="53" xfId="0" quotePrefix="1" applyNumberFormat="1" applyFont="1" applyFill="1" applyBorder="1" applyAlignment="1">
      <alignment horizontal="left" vertical="center"/>
    </xf>
    <xf numFmtId="3" fontId="28" fillId="3" borderId="85" xfId="0" applyNumberFormat="1" applyFont="1" applyFill="1" applyBorder="1" applyAlignment="1">
      <alignment horizontal="left" vertical="center" wrapText="1"/>
    </xf>
    <xf numFmtId="3" fontId="31" fillId="3" borderId="85" xfId="0" applyNumberFormat="1" applyFont="1" applyFill="1" applyBorder="1" applyAlignment="1">
      <alignment vertical="center"/>
    </xf>
    <xf numFmtId="3" fontId="31" fillId="3" borderId="54" xfId="0" applyNumberFormat="1" applyFont="1" applyFill="1" applyBorder="1" applyAlignment="1">
      <alignment vertical="center"/>
    </xf>
    <xf numFmtId="1" fontId="6" fillId="3" borderId="18" xfId="0" applyNumberFormat="1" applyFont="1" applyFill="1" applyBorder="1" applyAlignment="1">
      <alignment horizontal="center"/>
    </xf>
    <xf numFmtId="1" fontId="6" fillId="3" borderId="34" xfId="0" applyNumberFormat="1" applyFont="1" applyFill="1" applyBorder="1" applyAlignment="1">
      <alignment horizontal="center"/>
    </xf>
    <xf numFmtId="1" fontId="17" fillId="3" borderId="90" xfId="0" applyNumberFormat="1" applyFont="1" applyFill="1" applyBorder="1" applyAlignment="1">
      <alignment horizontal="center" vertical="center"/>
    </xf>
    <xf numFmtId="3" fontId="28" fillId="3" borderId="90" xfId="0" applyNumberFormat="1" applyFont="1" applyFill="1" applyBorder="1" applyAlignment="1">
      <alignment horizontal="center" vertical="center"/>
    </xf>
    <xf numFmtId="3" fontId="11" fillId="0" borderId="117" xfId="0" applyNumberFormat="1" applyFont="1" applyBorder="1" applyAlignment="1">
      <alignment vertical="center"/>
    </xf>
    <xf numFmtId="3" fontId="24" fillId="3" borderId="109" xfId="0" applyNumberFormat="1" applyFont="1" applyFill="1" applyBorder="1" applyAlignment="1">
      <alignment vertical="center" wrapText="1"/>
    </xf>
    <xf numFmtId="3" fontId="17" fillId="3" borderId="114" xfId="0" applyNumberFormat="1" applyFont="1" applyFill="1" applyBorder="1" applyAlignment="1">
      <alignment horizontal="left" vertical="center" wrapText="1"/>
    </xf>
    <xf numFmtId="3" fontId="28" fillId="3" borderId="116" xfId="0" applyNumberFormat="1" applyFont="1" applyFill="1" applyBorder="1" applyAlignment="1">
      <alignment horizontal="left" vertical="center" wrapText="1"/>
    </xf>
    <xf numFmtId="3" fontId="29" fillId="3" borderId="116" xfId="0" applyNumberFormat="1" applyFont="1" applyFill="1" applyBorder="1" applyAlignment="1">
      <alignment horizontal="left" vertical="center" wrapText="1"/>
    </xf>
    <xf numFmtId="3" fontId="11" fillId="0" borderId="85" xfId="0" applyNumberFormat="1" applyFont="1" applyBorder="1" applyAlignment="1">
      <alignment vertical="center"/>
    </xf>
    <xf numFmtId="3" fontId="11" fillId="3" borderId="116" xfId="0" applyNumberFormat="1" applyFont="1" applyFill="1" applyBorder="1" applyAlignment="1">
      <alignment horizontal="left" vertical="center" wrapText="1"/>
    </xf>
    <xf numFmtId="3" fontId="18" fillId="3" borderId="116" xfId="0" applyNumberFormat="1" applyFont="1" applyFill="1" applyBorder="1" applyAlignment="1">
      <alignment horizontal="left" vertical="center" wrapText="1"/>
    </xf>
    <xf numFmtId="3" fontId="18" fillId="3" borderId="95" xfId="0" applyNumberFormat="1" applyFont="1" applyFill="1" applyBorder="1" applyAlignment="1">
      <alignment horizontal="left" vertical="center"/>
    </xf>
    <xf numFmtId="3" fontId="18" fillId="3" borderId="97" xfId="0" applyNumberFormat="1" applyFont="1" applyFill="1" applyBorder="1" applyAlignment="1">
      <alignment vertical="center"/>
    </xf>
    <xf numFmtId="3" fontId="11" fillId="3" borderId="115" xfId="0" applyNumberFormat="1" applyFont="1" applyFill="1" applyBorder="1" applyAlignment="1">
      <alignment horizontal="left" vertical="center"/>
    </xf>
    <xf numFmtId="3" fontId="11" fillId="3" borderId="66" xfId="0" applyNumberFormat="1" applyFont="1" applyFill="1" applyBorder="1" applyAlignment="1">
      <alignment horizontal="left" vertical="center"/>
    </xf>
    <xf numFmtId="3" fontId="11" fillId="3" borderId="84" xfId="0" applyNumberFormat="1" applyFont="1" applyFill="1" applyBorder="1" applyAlignment="1">
      <alignment horizontal="left" vertical="center"/>
    </xf>
    <xf numFmtId="3" fontId="17" fillId="3" borderId="116" xfId="0" applyNumberFormat="1" applyFont="1" applyFill="1" applyBorder="1" applyAlignment="1">
      <alignment horizontal="left" vertical="center" wrapText="1"/>
    </xf>
    <xf numFmtId="1" fontId="6" fillId="3" borderId="17" xfId="0" applyNumberFormat="1" applyFont="1" applyFill="1" applyBorder="1" applyAlignment="1">
      <alignment horizontal="center" vertical="center"/>
    </xf>
    <xf numFmtId="3" fontId="11" fillId="3" borderId="135" xfId="0" applyNumberFormat="1" applyFont="1" applyFill="1" applyBorder="1" applyAlignment="1">
      <alignment horizontal="left" vertical="center" wrapText="1"/>
    </xf>
    <xf numFmtId="3" fontId="6" fillId="3" borderId="53" xfId="0" applyNumberFormat="1" applyFont="1" applyFill="1" applyBorder="1" applyAlignment="1">
      <alignment vertical="center"/>
    </xf>
    <xf numFmtId="165" fontId="17" fillId="3" borderId="106" xfId="0" applyNumberFormat="1" applyFont="1" applyFill="1" applyBorder="1" applyAlignment="1">
      <alignment horizontal="left" vertical="center" wrapText="1"/>
    </xf>
    <xf numFmtId="3" fontId="29" fillId="3" borderId="107" xfId="0" applyNumberFormat="1" applyFont="1" applyFill="1" applyBorder="1" applyAlignment="1">
      <alignment horizontal="left" vertical="center" wrapText="1"/>
    </xf>
    <xf numFmtId="3" fontId="6" fillId="3" borderId="84" xfId="0" applyNumberFormat="1" applyFont="1" applyFill="1" applyBorder="1" applyAlignment="1">
      <alignment vertical="center"/>
    </xf>
    <xf numFmtId="3" fontId="37" fillId="3" borderId="107" xfId="0" applyNumberFormat="1" applyFont="1" applyFill="1" applyBorder="1" applyAlignment="1">
      <alignment horizontal="left" vertical="center" wrapText="1"/>
    </xf>
    <xf numFmtId="0" fontId="29" fillId="3" borderId="110" xfId="0" applyFont="1" applyFill="1" applyBorder="1" applyAlignment="1">
      <alignment horizontal="center" vertical="center"/>
    </xf>
    <xf numFmtId="0" fontId="29" fillId="3" borderId="106" xfId="0" applyFont="1" applyFill="1" applyBorder="1" applyAlignment="1">
      <alignment horizontal="center" vertical="center"/>
    </xf>
    <xf numFmtId="0" fontId="29" fillId="3" borderId="104" xfId="0" applyFont="1" applyFill="1" applyBorder="1" applyAlignment="1">
      <alignment horizontal="center" vertical="center" wrapText="1"/>
    </xf>
    <xf numFmtId="0" fontId="29" fillId="3" borderId="107" xfId="0" applyFont="1" applyFill="1" applyBorder="1" applyAlignment="1">
      <alignment horizontal="center" vertical="center" wrapText="1"/>
    </xf>
    <xf numFmtId="3" fontId="29" fillId="4" borderId="148" xfId="0" applyNumberFormat="1" applyFont="1" applyFill="1" applyBorder="1"/>
    <xf numFmtId="3" fontId="29" fillId="4" borderId="97" xfId="0" applyNumberFormat="1" applyFont="1" applyFill="1" applyBorder="1" applyAlignment="1">
      <alignment horizontal="right"/>
    </xf>
    <xf numFmtId="3" fontId="29" fillId="4" borderId="149" xfId="0" applyNumberFormat="1" applyFont="1" applyFill="1" applyBorder="1"/>
    <xf numFmtId="165" fontId="29" fillId="3" borderId="90" xfId="0" applyNumberFormat="1" applyFont="1" applyFill="1" applyBorder="1" applyAlignment="1">
      <alignment horizontal="left" vertical="center"/>
    </xf>
    <xf numFmtId="3" fontId="6" fillId="3" borderId="113" xfId="0" applyNumberFormat="1" applyFont="1" applyFill="1" applyBorder="1" applyAlignment="1">
      <alignment vertical="center"/>
    </xf>
    <xf numFmtId="165" fontId="11" fillId="3" borderId="105" xfId="0" applyNumberFormat="1" applyFont="1" applyFill="1" applyBorder="1" applyAlignment="1">
      <alignment horizontal="center" vertical="center"/>
    </xf>
    <xf numFmtId="3" fontId="11" fillId="3" borderId="113" xfId="0" applyNumberFormat="1" applyFont="1" applyFill="1" applyBorder="1" applyAlignment="1">
      <alignment horizontal="left" vertical="center" wrapText="1"/>
    </xf>
    <xf numFmtId="3" fontId="6" fillId="3" borderId="113" xfId="0" applyNumberFormat="1" applyFont="1" applyFill="1" applyBorder="1" applyAlignment="1">
      <alignment horizontal="right" vertical="center"/>
    </xf>
    <xf numFmtId="3" fontId="31" fillId="5" borderId="113" xfId="0" applyNumberFormat="1" applyFont="1" applyFill="1" applyBorder="1" applyAlignment="1">
      <alignment vertical="center"/>
    </xf>
    <xf numFmtId="3" fontId="31" fillId="5" borderId="105" xfId="0" applyNumberFormat="1" applyFont="1" applyFill="1" applyBorder="1" applyAlignment="1">
      <alignment vertical="center"/>
    </xf>
    <xf numFmtId="3" fontId="31" fillId="5" borderId="112" xfId="0" applyNumberFormat="1" applyFont="1" applyFill="1" applyBorder="1" applyAlignment="1">
      <alignment vertical="center"/>
    </xf>
    <xf numFmtId="3" fontId="19" fillId="0" borderId="130" xfId="0" applyNumberFormat="1" applyFont="1" applyBorder="1" applyAlignment="1">
      <alignment horizontal="left" vertical="center" wrapText="1"/>
    </xf>
    <xf numFmtId="3" fontId="19" fillId="3" borderId="130" xfId="0" applyNumberFormat="1" applyFont="1" applyFill="1" applyBorder="1" applyAlignment="1">
      <alignment horizontal="left" vertical="center" wrapText="1"/>
    </xf>
    <xf numFmtId="165" fontId="29" fillId="3" borderId="18" xfId="0" quotePrefix="1" applyNumberFormat="1" applyFont="1" applyFill="1" applyBorder="1" applyAlignment="1">
      <alignment vertical="center"/>
    </xf>
    <xf numFmtId="3" fontId="28" fillId="3" borderId="18" xfId="0" applyNumberFormat="1" applyFont="1" applyFill="1" applyBorder="1" applyAlignment="1">
      <alignment vertical="center" wrapText="1"/>
    </xf>
    <xf numFmtId="165" fontId="29" fillId="3" borderId="90" xfId="0" applyNumberFormat="1" applyFont="1" applyFill="1" applyBorder="1" applyAlignment="1">
      <alignment vertical="center"/>
    </xf>
    <xf numFmtId="3" fontId="28" fillId="3" borderId="90" xfId="0" applyNumberFormat="1" applyFont="1" applyFill="1" applyBorder="1" applyAlignment="1">
      <alignment vertical="center" wrapText="1"/>
    </xf>
    <xf numFmtId="165" fontId="29" fillId="0" borderId="4" xfId="0" quotePrefix="1" applyNumberFormat="1" applyFont="1" applyBorder="1" applyAlignment="1">
      <alignment vertical="center"/>
    </xf>
    <xf numFmtId="3" fontId="28" fillId="0" borderId="4" xfId="0" applyNumberFormat="1" applyFont="1" applyBorder="1" applyAlignment="1">
      <alignment vertical="center" wrapText="1"/>
    </xf>
    <xf numFmtId="165" fontId="29" fillId="3" borderId="57" xfId="0" quotePrefix="1" applyNumberFormat="1" applyFont="1" applyFill="1" applyBorder="1" applyAlignment="1">
      <alignment vertical="center"/>
    </xf>
    <xf numFmtId="3" fontId="28" fillId="3" borderId="57" xfId="0" applyNumberFormat="1" applyFont="1" applyFill="1" applyBorder="1" applyAlignment="1">
      <alignment vertical="center" wrapText="1"/>
    </xf>
    <xf numFmtId="3" fontId="19" fillId="0" borderId="104" xfId="0" applyNumberFormat="1" applyFont="1" applyBorder="1" applyAlignment="1">
      <alignment horizontal="right" vertical="center" wrapText="1"/>
    </xf>
    <xf numFmtId="3" fontId="19" fillId="0" borderId="104" xfId="0" applyNumberFormat="1" applyFont="1" applyBorder="1" applyAlignment="1">
      <alignment horizontal="right"/>
    </xf>
    <xf numFmtId="3" fontId="19" fillId="0" borderId="104" xfId="0" applyNumberFormat="1" applyFont="1" applyBorder="1" applyAlignment="1">
      <alignment horizontal="right" vertical="center"/>
    </xf>
    <xf numFmtId="0" fontId="11" fillId="0" borderId="0" xfId="0" applyFont="1"/>
    <xf numFmtId="0" fontId="40" fillId="3" borderId="17" xfId="0" applyFont="1" applyFill="1" applyBorder="1"/>
    <xf numFmtId="0" fontId="20" fillId="0" borderId="0" xfId="0" applyFont="1"/>
    <xf numFmtId="0" fontId="41" fillId="3" borderId="17" xfId="0" applyFont="1" applyFill="1" applyBorder="1" applyAlignment="1">
      <alignment wrapText="1"/>
    </xf>
    <xf numFmtId="0" fontId="41" fillId="3" borderId="17" xfId="0" applyFont="1" applyFill="1" applyBorder="1"/>
    <xf numFmtId="0" fontId="20" fillId="3" borderId="17" xfId="0" applyFont="1" applyFill="1" applyBorder="1"/>
    <xf numFmtId="0" fontId="44" fillId="3" borderId="17" xfId="0" applyFont="1" applyFill="1" applyBorder="1" applyAlignment="1">
      <alignment vertical="center"/>
    </xf>
    <xf numFmtId="0" fontId="45" fillId="6" borderId="17" xfId="0" applyFont="1" applyFill="1" applyBorder="1" applyAlignment="1">
      <alignment horizontal="center" vertical="center" wrapText="1"/>
    </xf>
    <xf numFmtId="0" fontId="15" fillId="6" borderId="17" xfId="0" applyFont="1" applyFill="1" applyBorder="1" applyAlignment="1">
      <alignment horizontal="right" vertical="center"/>
    </xf>
    <xf numFmtId="167" fontId="46" fillId="5" borderId="104" xfId="0" applyNumberFormat="1" applyFont="1" applyFill="1" applyBorder="1" applyAlignment="1">
      <alignment horizontal="center" vertical="center"/>
    </xf>
    <xf numFmtId="0" fontId="47" fillId="0" borderId="0" xfId="0" applyFont="1" applyAlignment="1">
      <alignment wrapText="1"/>
    </xf>
    <xf numFmtId="0" fontId="47" fillId="0" borderId="0" xfId="0" applyFont="1"/>
    <xf numFmtId="0" fontId="12" fillId="3" borderId="15" xfId="0" applyFont="1" applyFill="1" applyBorder="1" applyAlignment="1">
      <alignment wrapText="1"/>
    </xf>
    <xf numFmtId="0" fontId="51" fillId="2" borderId="102" xfId="0" applyFont="1" applyFill="1" applyBorder="1" applyAlignment="1">
      <alignment horizontal="center" vertical="center" wrapText="1"/>
    </xf>
    <xf numFmtId="0" fontId="51" fillId="2" borderId="121" xfId="0" applyFont="1" applyFill="1" applyBorder="1" applyAlignment="1">
      <alignment horizontal="center" vertical="center" wrapText="1"/>
    </xf>
    <xf numFmtId="0" fontId="51" fillId="2" borderId="122" xfId="0" applyFont="1" applyFill="1" applyBorder="1" applyAlignment="1">
      <alignment horizontal="center" vertical="center" wrapText="1"/>
    </xf>
    <xf numFmtId="0" fontId="47" fillId="0" borderId="0" xfId="0" applyFont="1" applyAlignment="1">
      <alignment vertical="center"/>
    </xf>
    <xf numFmtId="0" fontId="9" fillId="2" borderId="129" xfId="0" applyFont="1" applyFill="1" applyBorder="1" applyAlignment="1">
      <alignment vertical="center" wrapText="1"/>
    </xf>
    <xf numFmtId="3" fontId="9" fillId="0" borderId="23" xfId="0" applyNumberFormat="1" applyFont="1" applyBorder="1" applyAlignment="1">
      <alignment vertical="center" wrapText="1"/>
    </xf>
    <xf numFmtId="0" fontId="10" fillId="2" borderId="130" xfId="0" applyFont="1" applyFill="1" applyBorder="1" applyAlignment="1">
      <alignment vertical="center" wrapText="1"/>
    </xf>
    <xf numFmtId="0" fontId="17" fillId="2" borderId="130" xfId="0" applyFont="1" applyFill="1" applyBorder="1" applyAlignment="1">
      <alignment horizontal="left" vertical="center" wrapText="1"/>
    </xf>
    <xf numFmtId="0" fontId="6" fillId="2" borderId="130" xfId="0" applyFont="1" applyFill="1" applyBorder="1" applyAlignment="1">
      <alignment horizontal="left" vertical="center" wrapText="1"/>
    </xf>
    <xf numFmtId="0" fontId="20" fillId="2" borderId="130" xfId="0" applyFont="1" applyFill="1" applyBorder="1" applyAlignment="1">
      <alignment horizontal="left" vertical="center" wrapText="1"/>
    </xf>
    <xf numFmtId="0" fontId="17" fillId="2" borderId="153" xfId="0" applyFont="1" applyFill="1" applyBorder="1" applyAlignment="1">
      <alignment horizontal="left" vertical="center" wrapText="1"/>
    </xf>
    <xf numFmtId="0" fontId="52" fillId="2" borderId="9" xfId="0" applyFont="1" applyFill="1" applyBorder="1" applyAlignment="1">
      <alignment vertical="center" wrapText="1"/>
    </xf>
    <xf numFmtId="0" fontId="29" fillId="2" borderId="17" xfId="0" applyFont="1" applyFill="1" applyBorder="1" applyAlignment="1">
      <alignment vertical="center" wrapText="1"/>
    </xf>
    <xf numFmtId="0" fontId="29" fillId="2" borderId="73" xfId="0" applyFont="1" applyFill="1" applyBorder="1" applyAlignment="1">
      <alignment vertical="center" wrapText="1"/>
    </xf>
    <xf numFmtId="0" fontId="29" fillId="2" borderId="123" xfId="0" applyFont="1" applyFill="1" applyBorder="1" applyAlignment="1">
      <alignment vertical="center" wrapText="1"/>
    </xf>
    <xf numFmtId="0" fontId="23" fillId="2" borderId="105" xfId="0" applyFont="1" applyFill="1" applyBorder="1" applyAlignment="1">
      <alignment horizontal="left" vertical="center" wrapText="1"/>
    </xf>
    <xf numFmtId="0" fontId="6" fillId="2" borderId="105" xfId="0" applyFont="1" applyFill="1" applyBorder="1" applyAlignment="1">
      <alignment horizontal="left" vertical="center" wrapText="1"/>
    </xf>
    <xf numFmtId="0" fontId="29" fillId="2" borderId="105" xfId="0" applyFont="1" applyFill="1" applyBorder="1" applyAlignment="1">
      <alignment vertical="center" wrapText="1"/>
    </xf>
    <xf numFmtId="0" fontId="29" fillId="2" borderId="118" xfId="0" applyFont="1" applyFill="1" applyBorder="1" applyAlignment="1">
      <alignment vertical="center" wrapText="1"/>
    </xf>
    <xf numFmtId="0" fontId="53" fillId="2" borderId="90" xfId="0" applyFont="1" applyFill="1" applyBorder="1" applyAlignment="1">
      <alignment vertical="center" wrapText="1"/>
    </xf>
    <xf numFmtId="0" fontId="16" fillId="2" borderId="90" xfId="0" applyFont="1" applyFill="1" applyBorder="1" applyAlignment="1">
      <alignment vertical="center" wrapText="1"/>
    </xf>
    <xf numFmtId="0" fontId="11" fillId="0" borderId="0" xfId="0" applyFont="1" applyAlignment="1">
      <alignment horizontal="center"/>
    </xf>
    <xf numFmtId="0" fontId="11" fillId="0" borderId="0" xfId="0" applyFont="1" applyAlignment="1">
      <alignment vertical="center" wrapText="1"/>
    </xf>
    <xf numFmtId="0" fontId="36" fillId="0" borderId="0" xfId="0" applyFont="1"/>
    <xf numFmtId="3" fontId="54" fillId="0" borderId="0" xfId="0" applyNumberFormat="1" applyFont="1" applyAlignment="1">
      <alignment horizontal="center" vertical="center"/>
    </xf>
    <xf numFmtId="0" fontId="11" fillId="0" borderId="0" xfId="0" applyFont="1" applyAlignment="1">
      <alignment horizontal="center" vertical="center"/>
    </xf>
    <xf numFmtId="3" fontId="11" fillId="0" borderId="0" xfId="0" applyNumberFormat="1" applyFont="1" applyAlignment="1">
      <alignment vertical="center" wrapText="1"/>
    </xf>
    <xf numFmtId="0" fontId="11" fillId="0" borderId="0" xfId="0" applyFont="1" applyAlignment="1">
      <alignment horizontal="center" vertical="center" wrapText="1"/>
    </xf>
    <xf numFmtId="3" fontId="23" fillId="7" borderId="104" xfId="0" applyNumberFormat="1" applyFont="1" applyFill="1" applyBorder="1" applyAlignment="1">
      <alignment horizontal="center" vertical="center" wrapText="1"/>
    </xf>
    <xf numFmtId="168" fontId="23" fillId="7" borderId="104" xfId="0" applyNumberFormat="1" applyFont="1" applyFill="1" applyBorder="1" applyAlignment="1">
      <alignment horizontal="center" vertical="center" wrapText="1"/>
    </xf>
    <xf numFmtId="3" fontId="11" fillId="7" borderId="104" xfId="0" applyNumberFormat="1" applyFont="1" applyFill="1" applyBorder="1" applyAlignment="1">
      <alignment horizontal="center" vertical="center" wrapText="1"/>
    </xf>
    <xf numFmtId="0" fontId="11" fillId="7" borderId="104" xfId="0" applyFont="1" applyFill="1" applyBorder="1" applyAlignment="1">
      <alignment horizontal="center" vertical="center" wrapText="1"/>
    </xf>
    <xf numFmtId="0" fontId="11" fillId="7" borderId="104" xfId="0" applyFont="1" applyFill="1" applyBorder="1" applyAlignment="1">
      <alignment horizontal="center"/>
    </xf>
    <xf numFmtId="3" fontId="11" fillId="0" borderId="104" xfId="0" applyNumberFormat="1" applyFont="1" applyBorder="1" applyAlignment="1">
      <alignment horizontal="center" vertical="center" wrapText="1"/>
    </xf>
    <xf numFmtId="9" fontId="11" fillId="0" borderId="104" xfId="0" applyNumberFormat="1" applyFont="1" applyBorder="1" applyAlignment="1">
      <alignment horizontal="center" vertical="center" wrapText="1"/>
    </xf>
    <xf numFmtId="2" fontId="11" fillId="0" borderId="104" xfId="0" applyNumberFormat="1" applyFont="1" applyBorder="1" applyAlignment="1">
      <alignment horizontal="center" vertical="center" wrapText="1"/>
    </xf>
    <xf numFmtId="168" fontId="23" fillId="0" borderId="104" xfId="0" applyNumberFormat="1" applyFont="1" applyBorder="1" applyAlignment="1">
      <alignment horizontal="center" vertical="center" wrapText="1"/>
    </xf>
    <xf numFmtId="10" fontId="23" fillId="4" borderId="104" xfId="0" applyNumberFormat="1" applyFont="1" applyFill="1" applyBorder="1" applyAlignment="1">
      <alignment horizontal="center" vertical="center" wrapText="1"/>
    </xf>
    <xf numFmtId="10" fontId="11" fillId="4" borderId="104" xfId="0" applyNumberFormat="1" applyFont="1" applyFill="1" applyBorder="1" applyAlignment="1">
      <alignment horizontal="center" vertical="center" wrapText="1"/>
    </xf>
    <xf numFmtId="3" fontId="6" fillId="9" borderId="104" xfId="0" applyNumberFormat="1" applyFont="1" applyFill="1" applyBorder="1" applyAlignment="1">
      <alignment vertical="center"/>
    </xf>
    <xf numFmtId="3" fontId="18" fillId="8" borderId="107" xfId="0" applyNumberFormat="1" applyFont="1" applyFill="1" applyBorder="1" applyAlignment="1">
      <alignment horizontal="left" vertical="center" wrapText="1"/>
    </xf>
    <xf numFmtId="0" fontId="57" fillId="0" borderId="161" xfId="1" applyFont="1" applyBorder="1" applyAlignment="1">
      <alignment horizontal="left" vertical="center"/>
    </xf>
    <xf numFmtId="0" fontId="57" fillId="10" borderId="161" xfId="1" applyFont="1" applyFill="1" applyBorder="1" applyAlignment="1">
      <alignment horizontal="left" vertical="center"/>
    </xf>
    <xf numFmtId="0" fontId="57" fillId="11" borderId="161" xfId="1" applyFont="1" applyFill="1" applyBorder="1" applyAlignment="1">
      <alignment horizontal="left" vertical="center"/>
    </xf>
    <xf numFmtId="0" fontId="57" fillId="11" borderId="162" xfId="1" applyFont="1" applyFill="1" applyBorder="1" applyAlignment="1">
      <alignment horizontal="left" vertical="center"/>
    </xf>
    <xf numFmtId="0" fontId="4" fillId="11" borderId="162" xfId="1" applyFont="1" applyFill="1" applyBorder="1" applyAlignment="1">
      <alignment horizontal="left" vertical="center"/>
    </xf>
    <xf numFmtId="0" fontId="58" fillId="10" borderId="163" xfId="2" applyFont="1" applyFill="1" applyBorder="1" applyAlignment="1">
      <alignment vertical="center"/>
    </xf>
    <xf numFmtId="0" fontId="58" fillId="12" borderId="163" xfId="2" applyFont="1" applyFill="1" applyBorder="1" applyAlignment="1">
      <alignment vertical="center"/>
    </xf>
    <xf numFmtId="169" fontId="58" fillId="12" borderId="163" xfId="3" applyNumberFormat="1" applyFont="1" applyFill="1" applyBorder="1" applyAlignment="1">
      <alignment horizontal="left" vertical="center" wrapText="1"/>
    </xf>
    <xf numFmtId="0" fontId="60" fillId="13" borderId="163" xfId="4" applyFont="1" applyFill="1" applyBorder="1"/>
    <xf numFmtId="0" fontId="60" fillId="14" borderId="163" xfId="4" applyFont="1" applyFill="1" applyBorder="1"/>
    <xf numFmtId="0" fontId="60" fillId="12" borderId="163" xfId="4" applyFont="1" applyFill="1" applyBorder="1"/>
    <xf numFmtId="0" fontId="58" fillId="10" borderId="163" xfId="4" applyFont="1" applyFill="1" applyBorder="1"/>
    <xf numFmtId="0" fontId="58" fillId="10" borderId="163" xfId="4" applyFont="1" applyFill="1" applyBorder="1" applyAlignment="1">
      <alignment horizontal="left" wrapText="1"/>
    </xf>
    <xf numFmtId="0" fontId="58" fillId="12" borderId="163" xfId="4" applyFont="1" applyFill="1" applyBorder="1"/>
    <xf numFmtId="0" fontId="61" fillId="15" borderId="161" xfId="1" applyFont="1" applyFill="1" applyBorder="1" applyAlignment="1">
      <alignment horizontal="left" vertical="center"/>
    </xf>
    <xf numFmtId="0" fontId="57" fillId="12" borderId="163" xfId="4" applyFont="1" applyFill="1" applyBorder="1"/>
    <xf numFmtId="0" fontId="58" fillId="0" borderId="150" xfId="1" applyFont="1"/>
    <xf numFmtId="0" fontId="57" fillId="10" borderId="163" xfId="2" applyFont="1" applyFill="1" applyBorder="1" applyAlignment="1">
      <alignment vertical="center"/>
    </xf>
    <xf numFmtId="3" fontId="18" fillId="16" borderId="17" xfId="0" applyNumberFormat="1" applyFont="1" applyFill="1" applyBorder="1" applyAlignment="1">
      <alignment vertical="center"/>
    </xf>
    <xf numFmtId="3" fontId="11" fillId="16" borderId="17" xfId="0" applyNumberFormat="1" applyFont="1" applyFill="1" applyBorder="1" applyAlignment="1">
      <alignment vertical="center"/>
    </xf>
    <xf numFmtId="3" fontId="6" fillId="16" borderId="104" xfId="0" applyNumberFormat="1" applyFont="1" applyFill="1" applyBorder="1" applyAlignment="1">
      <alignment horizontal="right" vertical="center"/>
    </xf>
    <xf numFmtId="3" fontId="6" fillId="16" borderId="107" xfId="0" applyNumberFormat="1" applyFont="1" applyFill="1" applyBorder="1" applyAlignment="1">
      <alignment horizontal="right" vertical="center"/>
    </xf>
    <xf numFmtId="3" fontId="6" fillId="16" borderId="106" xfId="0" applyNumberFormat="1" applyFont="1" applyFill="1" applyBorder="1" applyAlignment="1">
      <alignment horizontal="right" vertical="center"/>
    </xf>
    <xf numFmtId="3" fontId="6" fillId="16" borderId="116" xfId="0" applyNumberFormat="1" applyFont="1" applyFill="1" applyBorder="1" applyAlignment="1">
      <alignment horizontal="right" vertical="center"/>
    </xf>
    <xf numFmtId="3" fontId="31" fillId="9" borderId="106" xfId="0" applyNumberFormat="1" applyFont="1" applyFill="1" applyBorder="1" applyAlignment="1">
      <alignment vertical="center"/>
    </xf>
    <xf numFmtId="3" fontId="31" fillId="9" borderId="107" xfId="0" applyNumberFormat="1" applyFont="1" applyFill="1" applyBorder="1" applyAlignment="1">
      <alignment vertical="center"/>
    </xf>
    <xf numFmtId="0" fontId="0" fillId="10" borderId="0" xfId="0" applyFill="1"/>
    <xf numFmtId="0" fontId="58" fillId="11" borderId="162" xfId="1" applyFont="1" applyFill="1" applyBorder="1" applyAlignment="1">
      <alignment horizontal="left" vertical="center"/>
    </xf>
    <xf numFmtId="0" fontId="57" fillId="11" borderId="161" xfId="1" applyFont="1" applyFill="1" applyBorder="1" applyAlignment="1">
      <alignment horizontal="center" vertical="center"/>
    </xf>
    <xf numFmtId="3" fontId="31" fillId="3" borderId="139" xfId="0" applyNumberFormat="1" applyFont="1" applyFill="1" applyBorder="1" applyAlignment="1">
      <alignment vertical="center"/>
    </xf>
    <xf numFmtId="3" fontId="28" fillId="16" borderId="107" xfId="0" applyNumberFormat="1" applyFont="1" applyFill="1" applyBorder="1" applyAlignment="1">
      <alignment horizontal="right" vertical="center"/>
    </xf>
    <xf numFmtId="3" fontId="28" fillId="16" borderId="119" xfId="0" applyNumberFormat="1" applyFont="1" applyFill="1" applyBorder="1" applyAlignment="1">
      <alignment vertical="center"/>
    </xf>
    <xf numFmtId="3" fontId="21" fillId="16" borderId="21" xfId="0" applyNumberFormat="1" applyFont="1" applyFill="1" applyBorder="1" applyAlignment="1">
      <alignment vertical="center"/>
    </xf>
    <xf numFmtId="3" fontId="28" fillId="16" borderId="82" xfId="0" applyNumberFormat="1" applyFont="1" applyFill="1" applyBorder="1" applyAlignment="1">
      <alignment horizontal="center" vertical="center"/>
    </xf>
    <xf numFmtId="3" fontId="28" fillId="16" borderId="80" xfId="0" applyNumberFormat="1" applyFont="1" applyFill="1" applyBorder="1" applyAlignment="1">
      <alignment horizontal="center" vertical="center"/>
    </xf>
    <xf numFmtId="3" fontId="28" fillId="16" borderId="91" xfId="0" applyNumberFormat="1" applyFont="1" applyFill="1" applyBorder="1" applyAlignment="1">
      <alignment horizontal="center" vertical="center"/>
    </xf>
    <xf numFmtId="3" fontId="28" fillId="16" borderId="99" xfId="0" applyNumberFormat="1" applyFont="1" applyFill="1" applyBorder="1" applyAlignment="1">
      <alignment horizontal="right" vertical="center"/>
    </xf>
    <xf numFmtId="3" fontId="28" fillId="16" borderId="17" xfId="0" applyNumberFormat="1" applyFont="1" applyFill="1" applyBorder="1" applyAlignment="1">
      <alignment horizontal="right" vertical="center"/>
    </xf>
    <xf numFmtId="3" fontId="28" fillId="16" borderId="109" xfId="0" applyNumberFormat="1" applyFont="1" applyFill="1" applyBorder="1" applyAlignment="1">
      <alignment horizontal="right" vertical="center"/>
    </xf>
    <xf numFmtId="3" fontId="28" fillId="16" borderId="33" xfId="0" applyNumberFormat="1" applyFont="1" applyFill="1" applyBorder="1" applyAlignment="1">
      <alignment horizontal="right" vertical="center"/>
    </xf>
    <xf numFmtId="3" fontId="18" fillId="16" borderId="107" xfId="0" applyNumberFormat="1" applyFont="1" applyFill="1" applyBorder="1" applyAlignment="1">
      <alignment vertical="center"/>
    </xf>
    <xf numFmtId="3" fontId="18" fillId="16" borderId="106" xfId="0" applyNumberFormat="1" applyFont="1" applyFill="1" applyBorder="1" applyAlignment="1">
      <alignment vertical="center"/>
    </xf>
    <xf numFmtId="3" fontId="18" fillId="16" borderId="54" xfId="0" applyNumberFormat="1" applyFont="1" applyFill="1" applyBorder="1" applyAlignment="1">
      <alignment vertical="center"/>
    </xf>
    <xf numFmtId="3" fontId="18" fillId="16" borderId="53" xfId="0" applyNumberFormat="1" applyFont="1" applyFill="1" applyBorder="1" applyAlignment="1">
      <alignment vertical="center"/>
    </xf>
    <xf numFmtId="3" fontId="18" fillId="16" borderId="21" xfId="0" applyNumberFormat="1" applyFont="1" applyFill="1" applyBorder="1" applyAlignment="1">
      <alignment vertical="center"/>
    </xf>
    <xf numFmtId="3" fontId="28" fillId="16" borderId="94" xfId="0" applyNumberFormat="1" applyFont="1" applyFill="1" applyBorder="1" applyAlignment="1">
      <alignment horizontal="right" vertical="center"/>
    </xf>
    <xf numFmtId="3" fontId="28" fillId="16" borderId="93" xfId="0" applyNumberFormat="1" applyFont="1" applyFill="1" applyBorder="1" applyAlignment="1">
      <alignment horizontal="right" vertical="center"/>
    </xf>
    <xf numFmtId="3" fontId="28" fillId="16" borderId="98" xfId="0" applyNumberFormat="1" applyFont="1" applyFill="1" applyBorder="1" applyAlignment="1">
      <alignment horizontal="right" vertical="center"/>
    </xf>
    <xf numFmtId="3" fontId="28" fillId="16" borderId="104" xfId="0" applyNumberFormat="1" applyFont="1" applyFill="1" applyBorder="1" applyAlignment="1">
      <alignment horizontal="right" vertical="center"/>
    </xf>
    <xf numFmtId="3" fontId="18" fillId="16" borderId="104" xfId="0" applyNumberFormat="1" applyFont="1" applyFill="1" applyBorder="1" applyAlignment="1">
      <alignment vertical="center"/>
    </xf>
    <xf numFmtId="3" fontId="31" fillId="16" borderId="104" xfId="0" applyNumberFormat="1" applyFont="1" applyFill="1" applyBorder="1" applyAlignment="1">
      <alignment vertical="center"/>
    </xf>
    <xf numFmtId="3" fontId="18" fillId="16" borderId="85" xfId="0" applyNumberFormat="1" applyFont="1" applyFill="1" applyBorder="1" applyAlignment="1">
      <alignment vertical="center"/>
    </xf>
    <xf numFmtId="3" fontId="28" fillId="16" borderId="98" xfId="0" applyNumberFormat="1" applyFont="1" applyFill="1" applyBorder="1" applyAlignment="1">
      <alignment vertical="center"/>
    </xf>
    <xf numFmtId="3" fontId="28" fillId="16" borderId="91" xfId="0" applyNumberFormat="1" applyFont="1" applyFill="1" applyBorder="1" applyAlignment="1">
      <alignment vertical="center"/>
    </xf>
    <xf numFmtId="3" fontId="28" fillId="10" borderId="128" xfId="0" applyNumberFormat="1" applyFont="1" applyFill="1" applyBorder="1" applyAlignment="1">
      <alignment horizontal="right" vertical="center"/>
    </xf>
    <xf numFmtId="3" fontId="18" fillId="10" borderId="67" xfId="0" applyNumberFormat="1" applyFont="1" applyFill="1" applyBorder="1" applyAlignment="1">
      <alignment vertical="center"/>
    </xf>
    <xf numFmtId="3" fontId="18" fillId="10" borderId="106" xfId="0" applyNumberFormat="1" applyFont="1" applyFill="1" applyBorder="1" applyAlignment="1">
      <alignment vertical="center"/>
    </xf>
    <xf numFmtId="3" fontId="18" fillId="16" borderId="116" xfId="0" applyNumberFormat="1" applyFont="1" applyFill="1" applyBorder="1" applyAlignment="1">
      <alignment vertical="center"/>
    </xf>
    <xf numFmtId="3" fontId="18" fillId="16" borderId="135" xfId="0" applyNumberFormat="1" applyFont="1" applyFill="1" applyBorder="1" applyAlignment="1">
      <alignment vertical="center"/>
    </xf>
    <xf numFmtId="3" fontId="28" fillId="16" borderId="102" xfId="0" applyNumberFormat="1" applyFont="1" applyFill="1" applyBorder="1" applyAlignment="1">
      <alignment vertical="center"/>
    </xf>
    <xf numFmtId="3" fontId="28" fillId="16" borderId="137" xfId="0" applyNumberFormat="1" applyFont="1" applyFill="1" applyBorder="1" applyAlignment="1">
      <alignment vertical="center"/>
    </xf>
    <xf numFmtId="3" fontId="28" fillId="16" borderId="87" xfId="0" applyNumberFormat="1" applyFont="1" applyFill="1" applyBorder="1" applyAlignment="1">
      <alignment vertical="center"/>
    </xf>
    <xf numFmtId="3" fontId="28" fillId="16" borderId="25" xfId="0" applyNumberFormat="1" applyFont="1" applyFill="1" applyBorder="1" applyAlignment="1">
      <alignment horizontal="right" vertical="center"/>
    </xf>
    <xf numFmtId="3" fontId="18" fillId="10" borderId="107" xfId="0" applyNumberFormat="1" applyFont="1" applyFill="1" applyBorder="1" applyAlignment="1">
      <alignment vertical="center"/>
    </xf>
    <xf numFmtId="3" fontId="24" fillId="3" borderId="130" xfId="0" applyNumberFormat="1" applyFont="1" applyFill="1" applyBorder="1" applyAlignment="1">
      <alignment vertical="center" wrapText="1"/>
    </xf>
    <xf numFmtId="3" fontId="18" fillId="3" borderId="133" xfId="0" applyNumberFormat="1" applyFont="1" applyFill="1" applyBorder="1" applyAlignment="1">
      <alignment vertical="center"/>
    </xf>
    <xf numFmtId="3" fontId="18" fillId="3" borderId="0" xfId="0" applyNumberFormat="1" applyFont="1" applyFill="1" applyAlignment="1">
      <alignment vertical="center"/>
    </xf>
    <xf numFmtId="3" fontId="31" fillId="5" borderId="92" xfId="0" applyNumberFormat="1" applyFont="1" applyFill="1" applyBorder="1" applyAlignment="1">
      <alignment vertical="center"/>
    </xf>
    <xf numFmtId="1" fontId="17" fillId="3" borderId="106" xfId="0" applyNumberFormat="1" applyFont="1" applyFill="1" applyBorder="1" applyAlignment="1">
      <alignment horizontal="center" vertical="center" wrapText="1"/>
    </xf>
    <xf numFmtId="3" fontId="17" fillId="3" borderId="107" xfId="0" applyNumberFormat="1" applyFont="1" applyFill="1" applyBorder="1" applyAlignment="1">
      <alignment horizontal="center" vertical="center" wrapText="1"/>
    </xf>
    <xf numFmtId="3" fontId="28" fillId="3" borderId="104" xfId="0" applyNumberFormat="1" applyFont="1" applyFill="1" applyBorder="1" applyAlignment="1">
      <alignment horizontal="center" vertical="center"/>
    </xf>
    <xf numFmtId="3" fontId="28" fillId="3" borderId="116" xfId="0" applyNumberFormat="1" applyFont="1" applyFill="1" applyBorder="1" applyAlignment="1">
      <alignment horizontal="center" vertical="center"/>
    </xf>
    <xf numFmtId="3" fontId="28" fillId="3" borderId="106" xfId="0" applyNumberFormat="1" applyFont="1" applyFill="1" applyBorder="1" applyAlignment="1">
      <alignment horizontal="center" vertical="center"/>
    </xf>
    <xf numFmtId="3" fontId="28" fillId="3" borderId="107" xfId="0" applyNumberFormat="1" applyFont="1" applyFill="1" applyBorder="1" applyAlignment="1">
      <alignment horizontal="center" vertical="center"/>
    </xf>
    <xf numFmtId="0" fontId="57" fillId="10" borderId="163" xfId="11" applyFont="1" applyFill="1" applyBorder="1"/>
    <xf numFmtId="0" fontId="57" fillId="11" borderId="161" xfId="15" applyFont="1" applyFill="1" applyBorder="1" applyAlignment="1">
      <alignment horizontal="left" vertical="center" wrapText="1"/>
    </xf>
    <xf numFmtId="0" fontId="57" fillId="11" borderId="162" xfId="15" applyFont="1" applyFill="1" applyBorder="1" applyAlignment="1">
      <alignment horizontal="left" vertical="center" wrapText="1"/>
    </xf>
    <xf numFmtId="0" fontId="4" fillId="11" borderId="162" xfId="15" applyFont="1" applyFill="1" applyBorder="1" applyAlignment="1">
      <alignment horizontal="left" vertical="center" wrapText="1"/>
    </xf>
    <xf numFmtId="0" fontId="4" fillId="11" borderId="161" xfId="15" applyFont="1" applyFill="1" applyBorder="1" applyAlignment="1">
      <alignment horizontal="left" vertical="center" wrapText="1"/>
    </xf>
    <xf numFmtId="0" fontId="4" fillId="10" borderId="162" xfId="1" applyFont="1" applyFill="1" applyBorder="1" applyAlignment="1">
      <alignment horizontal="left" vertical="center"/>
    </xf>
    <xf numFmtId="0" fontId="4" fillId="11" borderId="161" xfId="1" applyFont="1" applyFill="1" applyBorder="1" applyAlignment="1">
      <alignment horizontal="left" vertical="center"/>
    </xf>
    <xf numFmtId="165" fontId="4" fillId="16" borderId="106" xfId="0" applyNumberFormat="1" applyFont="1" applyFill="1" applyBorder="1" applyAlignment="1">
      <alignment horizontal="center" vertical="center"/>
    </xf>
    <xf numFmtId="0" fontId="4" fillId="10" borderId="161" xfId="15" applyFont="1" applyFill="1" applyBorder="1" applyAlignment="1">
      <alignment horizontal="left" vertical="center" wrapText="1"/>
    </xf>
    <xf numFmtId="0" fontId="4" fillId="10" borderId="162" xfId="15" applyFont="1" applyFill="1" applyBorder="1" applyAlignment="1">
      <alignment horizontal="left" vertical="center" wrapText="1"/>
    </xf>
    <xf numFmtId="0" fontId="4" fillId="10" borderId="161" xfId="1" applyFont="1" applyFill="1" applyBorder="1" applyAlignment="1">
      <alignment horizontal="left" vertical="center"/>
    </xf>
    <xf numFmtId="0" fontId="11" fillId="10" borderId="163" xfId="4" applyFont="1" applyFill="1" applyBorder="1" applyAlignment="1">
      <alignment vertical="center"/>
    </xf>
    <xf numFmtId="3" fontId="11" fillId="16" borderId="107" xfId="0" applyNumberFormat="1" applyFont="1" applyFill="1" applyBorder="1" applyAlignment="1">
      <alignment horizontal="left" vertical="center" wrapText="1"/>
    </xf>
    <xf numFmtId="1" fontId="35" fillId="16" borderId="132" xfId="0" applyNumberFormat="1" applyFont="1" applyFill="1" applyBorder="1" applyAlignment="1">
      <alignment horizontal="center" vertical="center"/>
    </xf>
    <xf numFmtId="0" fontId="4" fillId="11" borderId="165" xfId="15" applyFont="1" applyFill="1" applyBorder="1" applyAlignment="1">
      <alignment horizontal="left" vertical="center" wrapText="1"/>
    </xf>
    <xf numFmtId="0" fontId="4" fillId="11" borderId="164" xfId="15" applyFont="1" applyFill="1" applyBorder="1" applyAlignment="1">
      <alignment horizontal="left" vertical="center" wrapText="1"/>
    </xf>
    <xf numFmtId="0" fontId="4" fillId="10" borderId="163" xfId="11" applyFont="1" applyFill="1" applyBorder="1" applyAlignment="1">
      <alignment vertical="center" wrapText="1"/>
    </xf>
    <xf numFmtId="3" fontId="6" fillId="5" borderId="115" xfId="0" applyNumberFormat="1" applyFont="1" applyFill="1" applyBorder="1" applyAlignment="1">
      <alignment vertical="center"/>
    </xf>
    <xf numFmtId="3" fontId="62" fillId="5" borderId="115" xfId="0" applyNumberFormat="1" applyFont="1" applyFill="1" applyBorder="1" applyAlignment="1">
      <alignment vertical="center"/>
    </xf>
    <xf numFmtId="3" fontId="6" fillId="5" borderId="84" xfId="0" applyNumberFormat="1" applyFont="1" applyFill="1" applyBorder="1" applyAlignment="1">
      <alignment vertical="center"/>
    </xf>
    <xf numFmtId="3" fontId="62" fillId="5" borderId="115" xfId="0" applyNumberFormat="1" applyFont="1" applyFill="1" applyBorder="1" applyAlignment="1">
      <alignment horizontal="right" vertical="center"/>
    </xf>
    <xf numFmtId="0" fontId="57" fillId="18" borderId="0" xfId="0" applyFont="1" applyFill="1" applyAlignment="1">
      <alignment horizontal="center" vertical="center"/>
    </xf>
    <xf numFmtId="3" fontId="31" fillId="16" borderId="94" xfId="0" applyNumberFormat="1" applyFont="1" applyFill="1" applyBorder="1" applyAlignment="1">
      <alignment vertical="center"/>
    </xf>
    <xf numFmtId="1" fontId="35" fillId="3" borderId="166" xfId="0" applyNumberFormat="1" applyFont="1" applyFill="1" applyBorder="1" applyAlignment="1">
      <alignment horizontal="center" vertical="center"/>
    </xf>
    <xf numFmtId="0" fontId="57" fillId="18" borderId="163" xfId="0" applyFont="1" applyFill="1" applyBorder="1" applyAlignment="1">
      <alignment horizontal="left" vertical="center"/>
    </xf>
    <xf numFmtId="3" fontId="11" fillId="16" borderId="85" xfId="0" applyNumberFormat="1" applyFont="1" applyFill="1" applyBorder="1" applyAlignment="1">
      <alignment vertical="center"/>
    </xf>
    <xf numFmtId="3" fontId="17" fillId="16" borderId="18" xfId="0" applyNumberFormat="1" applyFont="1" applyFill="1" applyBorder="1" applyAlignment="1">
      <alignment horizontal="center" vertical="center" wrapText="1"/>
    </xf>
    <xf numFmtId="0" fontId="20" fillId="3" borderId="170" xfId="0" applyFont="1" applyFill="1" applyBorder="1" applyAlignment="1">
      <alignment horizontal="center" vertical="center"/>
    </xf>
    <xf numFmtId="3" fontId="17" fillId="3" borderId="171" xfId="0" applyNumberFormat="1" applyFont="1" applyFill="1" applyBorder="1" applyAlignment="1">
      <alignment horizontal="center" vertical="center"/>
    </xf>
    <xf numFmtId="3" fontId="17" fillId="3" borderId="173" xfId="0" applyNumberFormat="1" applyFont="1" applyFill="1" applyBorder="1" applyAlignment="1">
      <alignment horizontal="center" vertical="center"/>
    </xf>
    <xf numFmtId="3" fontId="27" fillId="3" borderId="174" xfId="0" applyNumberFormat="1" applyFont="1" applyFill="1" applyBorder="1" applyAlignment="1">
      <alignment horizontal="left" vertical="center"/>
    </xf>
    <xf numFmtId="3" fontId="18" fillId="3" borderId="150" xfId="0" applyNumberFormat="1" applyFont="1" applyFill="1" applyBorder="1" applyAlignment="1">
      <alignment vertical="center"/>
    </xf>
    <xf numFmtId="3" fontId="17" fillId="3" borderId="150" xfId="0" applyNumberFormat="1" applyFont="1" applyFill="1" applyBorder="1" applyAlignment="1">
      <alignment vertical="center"/>
    </xf>
    <xf numFmtId="3" fontId="11" fillId="3" borderId="175" xfId="0" applyNumberFormat="1" applyFont="1" applyFill="1" applyBorder="1" applyAlignment="1">
      <alignment vertical="center"/>
    </xf>
    <xf numFmtId="0" fontId="29" fillId="3" borderId="117" xfId="0" applyFont="1" applyFill="1" applyBorder="1" applyAlignment="1">
      <alignment horizontal="center" vertical="center" wrapText="1"/>
    </xf>
    <xf numFmtId="0" fontId="29" fillId="3" borderId="179" xfId="0" applyFont="1" applyFill="1" applyBorder="1" applyAlignment="1">
      <alignment horizontal="center" vertical="center" wrapText="1"/>
    </xf>
    <xf numFmtId="0" fontId="29" fillId="3" borderId="180" xfId="0" applyFont="1" applyFill="1" applyBorder="1" applyAlignment="1">
      <alignment wrapText="1"/>
    </xf>
    <xf numFmtId="3" fontId="29" fillId="0" borderId="181" xfId="0" applyNumberFormat="1" applyFont="1" applyBorder="1" applyAlignment="1">
      <alignment horizontal="right"/>
    </xf>
    <xf numFmtId="0" fontId="11" fillId="3" borderId="182" xfId="0" applyFont="1" applyFill="1" applyBorder="1" applyAlignment="1">
      <alignment wrapText="1"/>
    </xf>
    <xf numFmtId="3" fontId="19" fillId="0" borderId="183" xfId="0" applyNumberFormat="1" applyFont="1" applyBorder="1" applyAlignment="1">
      <alignment horizontal="right" wrapText="1"/>
    </xf>
    <xf numFmtId="0" fontId="11" fillId="3" borderId="182" xfId="0" applyFont="1" applyFill="1" applyBorder="1" applyAlignment="1">
      <alignment horizontal="left" wrapText="1"/>
    </xf>
    <xf numFmtId="3" fontId="19" fillId="0" borderId="183" xfId="0" applyNumberFormat="1" applyFont="1" applyBorder="1" applyAlignment="1">
      <alignment horizontal="right" vertical="center" wrapText="1"/>
    </xf>
    <xf numFmtId="166" fontId="6" fillId="3" borderId="182" xfId="0" applyNumberFormat="1" applyFont="1" applyFill="1" applyBorder="1" applyAlignment="1">
      <alignment horizontal="left" vertical="center"/>
    </xf>
    <xf numFmtId="3" fontId="19" fillId="0" borderId="183" xfId="0" applyNumberFormat="1" applyFont="1" applyBorder="1" applyAlignment="1">
      <alignment horizontal="right"/>
    </xf>
    <xf numFmtId="49" fontId="6" fillId="3" borderId="182" xfId="0" applyNumberFormat="1" applyFont="1" applyFill="1" applyBorder="1" applyAlignment="1">
      <alignment horizontal="left" vertical="center"/>
    </xf>
    <xf numFmtId="3" fontId="19" fillId="0" borderId="183" xfId="0" applyNumberFormat="1" applyFont="1" applyBorder="1" applyAlignment="1">
      <alignment horizontal="right" vertical="center"/>
    </xf>
    <xf numFmtId="166" fontId="6" fillId="3" borderId="182" xfId="0" applyNumberFormat="1" applyFont="1" applyFill="1" applyBorder="1" applyAlignment="1">
      <alignment horizontal="left" wrapText="1"/>
    </xf>
    <xf numFmtId="0" fontId="11" fillId="3" borderId="182" xfId="0" applyFont="1" applyFill="1" applyBorder="1" applyAlignment="1">
      <alignment horizontal="left" vertical="center" wrapText="1"/>
    </xf>
    <xf numFmtId="3" fontId="19" fillId="3" borderId="183" xfId="0" applyNumberFormat="1" applyFont="1" applyFill="1" applyBorder="1" applyAlignment="1">
      <alignment horizontal="right" vertical="center"/>
    </xf>
    <xf numFmtId="3" fontId="19" fillId="3" borderId="183" xfId="0" applyNumberFormat="1" applyFont="1" applyFill="1" applyBorder="1" applyAlignment="1">
      <alignment horizontal="right"/>
    </xf>
    <xf numFmtId="3" fontId="19" fillId="3" borderId="184" xfId="0" applyNumberFormat="1" applyFont="1" applyFill="1" applyBorder="1" applyAlignment="1">
      <alignment horizontal="right"/>
    </xf>
    <xf numFmtId="0" fontId="23" fillId="3" borderId="182" xfId="0" applyFont="1" applyFill="1" applyBorder="1" applyAlignment="1">
      <alignment wrapText="1"/>
    </xf>
    <xf numFmtId="3" fontId="29" fillId="0" borderId="183" xfId="0" applyNumberFormat="1" applyFont="1" applyBorder="1" applyAlignment="1">
      <alignment horizontal="right"/>
    </xf>
    <xf numFmtId="0" fontId="11" fillId="3" borderId="182" xfId="0" applyFont="1" applyFill="1" applyBorder="1" applyAlignment="1">
      <alignment vertical="center" wrapText="1"/>
    </xf>
    <xf numFmtId="0" fontId="29" fillId="3" borderId="182" xfId="0" applyFont="1" applyFill="1" applyBorder="1" applyAlignment="1">
      <alignment wrapText="1"/>
    </xf>
    <xf numFmtId="3" fontId="29" fillId="3" borderId="183" xfId="0" applyNumberFormat="1" applyFont="1" applyFill="1" applyBorder="1" applyAlignment="1">
      <alignment horizontal="right"/>
    </xf>
    <xf numFmtId="0" fontId="29" fillId="3" borderId="185" xfId="0" applyFont="1" applyFill="1" applyBorder="1" applyAlignment="1">
      <alignment wrapText="1"/>
    </xf>
    <xf numFmtId="3" fontId="29" fillId="3" borderId="186" xfId="0" applyNumberFormat="1" applyFont="1" applyFill="1" applyBorder="1" applyAlignment="1">
      <alignment horizontal="right"/>
    </xf>
    <xf numFmtId="3" fontId="29" fillId="3" borderId="187" xfId="0" applyNumberFormat="1" applyFont="1" applyFill="1" applyBorder="1" applyAlignment="1">
      <alignment horizontal="right"/>
    </xf>
    <xf numFmtId="3" fontId="29" fillId="3" borderId="188" xfId="0" applyNumberFormat="1" applyFont="1" applyFill="1" applyBorder="1" applyAlignment="1">
      <alignment horizontal="right"/>
    </xf>
    <xf numFmtId="3" fontId="63" fillId="5" borderId="104" xfId="0" applyNumberFormat="1" applyFont="1" applyFill="1" applyBorder="1" applyAlignment="1">
      <alignment vertical="center"/>
    </xf>
    <xf numFmtId="3" fontId="18" fillId="3" borderId="0" xfId="0" applyNumberFormat="1" applyFont="1" applyFill="1"/>
    <xf numFmtId="3" fontId="11" fillId="3" borderId="0" xfId="0" applyNumberFormat="1" applyFont="1" applyFill="1"/>
    <xf numFmtId="1" fontId="11" fillId="3" borderId="0" xfId="0" applyNumberFormat="1" applyFont="1" applyFill="1" applyAlignment="1">
      <alignment horizontal="center"/>
    </xf>
    <xf numFmtId="3" fontId="18" fillId="3" borderId="0" xfId="0" applyNumberFormat="1" applyFont="1" applyFill="1" applyAlignment="1">
      <alignment wrapText="1"/>
    </xf>
    <xf numFmtId="3" fontId="17" fillId="3" borderId="0" xfId="0" applyNumberFormat="1" applyFont="1" applyFill="1"/>
    <xf numFmtId="0" fontId="11" fillId="3" borderId="0" xfId="0" applyFont="1" applyFill="1"/>
    <xf numFmtId="1" fontId="6" fillId="3" borderId="70" xfId="0" applyNumberFormat="1" applyFont="1" applyFill="1" applyBorder="1" applyAlignment="1">
      <alignment horizontal="center"/>
    </xf>
    <xf numFmtId="3" fontId="20" fillId="3" borderId="151" xfId="0" applyNumberFormat="1" applyFont="1" applyFill="1" applyBorder="1" applyAlignment="1">
      <alignment horizontal="center" wrapText="1"/>
    </xf>
    <xf numFmtId="3" fontId="18" fillId="3" borderId="70" xfId="0" applyNumberFormat="1" applyFont="1" applyFill="1" applyBorder="1"/>
    <xf numFmtId="3" fontId="21" fillId="3" borderId="151" xfId="0" applyNumberFormat="1" applyFont="1" applyFill="1" applyBorder="1" applyAlignment="1">
      <alignment horizontal="left" vertical="center"/>
    </xf>
    <xf numFmtId="3" fontId="21" fillId="3" borderId="151" xfId="0" applyNumberFormat="1" applyFont="1" applyFill="1" applyBorder="1" applyAlignment="1">
      <alignment vertical="center"/>
    </xf>
    <xf numFmtId="3" fontId="17" fillId="3" borderId="27" xfId="0" applyNumberFormat="1" applyFont="1" applyFill="1" applyBorder="1"/>
    <xf numFmtId="1" fontId="11" fillId="3" borderId="70" xfId="0" applyNumberFormat="1" applyFont="1" applyFill="1" applyBorder="1" applyAlignment="1">
      <alignment horizontal="center"/>
    </xf>
    <xf numFmtId="3" fontId="22" fillId="3" borderId="71" xfId="0" applyNumberFormat="1" applyFont="1" applyFill="1" applyBorder="1"/>
    <xf numFmtId="1" fontId="6" fillId="3" borderId="78" xfId="0" applyNumberFormat="1" applyFont="1" applyFill="1" applyBorder="1" applyAlignment="1">
      <alignment horizontal="center"/>
    </xf>
    <xf numFmtId="3" fontId="24" fillId="3" borderId="78" xfId="0" applyNumberFormat="1" applyFont="1" applyFill="1" applyBorder="1"/>
    <xf numFmtId="1" fontId="11" fillId="3" borderId="78" xfId="0" applyNumberFormat="1" applyFont="1" applyFill="1" applyBorder="1" applyAlignment="1">
      <alignment horizontal="center"/>
    </xf>
    <xf numFmtId="3" fontId="18" fillId="3" borderId="78" xfId="0" applyNumberFormat="1" applyFont="1" applyFill="1" applyBorder="1"/>
    <xf numFmtId="3" fontId="11" fillId="3" borderId="136" xfId="0" applyNumberFormat="1" applyFont="1" applyFill="1" applyBorder="1" applyAlignment="1">
      <alignment horizontal="center"/>
    </xf>
    <xf numFmtId="0" fontId="17" fillId="3" borderId="0" xfId="0" applyFont="1" applyFill="1" applyAlignment="1">
      <alignment horizontal="center" vertical="center"/>
    </xf>
    <xf numFmtId="3" fontId="18" fillId="3" borderId="152" xfId="0" applyNumberFormat="1" applyFont="1" applyFill="1" applyBorder="1"/>
    <xf numFmtId="3" fontId="18" fillId="3" borderId="141" xfId="0" applyNumberFormat="1" applyFont="1" applyFill="1" applyBorder="1"/>
    <xf numFmtId="3" fontId="18" fillId="3" borderId="0" xfId="0" applyNumberFormat="1" applyFont="1" applyFill="1" applyAlignment="1">
      <alignment horizontal="center"/>
    </xf>
    <xf numFmtId="3" fontId="27" fillId="3" borderId="152" xfId="0" applyNumberFormat="1" applyFont="1" applyFill="1" applyBorder="1" applyAlignment="1">
      <alignment horizontal="left" vertical="center"/>
    </xf>
    <xf numFmtId="3" fontId="18" fillId="3" borderId="140" xfId="0" applyNumberFormat="1" applyFont="1" applyFill="1" applyBorder="1" applyAlignment="1">
      <alignment vertical="center"/>
    </xf>
    <xf numFmtId="3" fontId="17" fillId="3" borderId="0" xfId="0" applyNumberFormat="1" applyFont="1" applyFill="1" applyAlignment="1">
      <alignment vertical="center"/>
    </xf>
    <xf numFmtId="3" fontId="17" fillId="3" borderId="140" xfId="0" applyNumberFormat="1" applyFont="1" applyFill="1" applyBorder="1" applyAlignment="1">
      <alignment vertical="center"/>
    </xf>
    <xf numFmtId="3" fontId="28" fillId="3" borderId="0" xfId="0" applyNumberFormat="1" applyFont="1" applyFill="1"/>
    <xf numFmtId="3" fontId="18" fillId="3" borderId="136" xfId="0" applyNumberFormat="1" applyFont="1" applyFill="1" applyBorder="1" applyAlignment="1">
      <alignment horizontal="center"/>
    </xf>
    <xf numFmtId="3" fontId="18" fillId="3" borderId="141" xfId="0" applyNumberFormat="1" applyFont="1" applyFill="1" applyBorder="1" applyAlignment="1">
      <alignment horizontal="center"/>
    </xf>
    <xf numFmtId="0" fontId="9" fillId="3" borderId="71" xfId="0" applyFont="1" applyFill="1" applyBorder="1" applyAlignment="1">
      <alignment horizontal="center" vertical="center"/>
    </xf>
    <xf numFmtId="0" fontId="28" fillId="3" borderId="0" xfId="0" applyFont="1" applyFill="1" applyAlignment="1">
      <alignment horizontal="center"/>
    </xf>
    <xf numFmtId="3" fontId="28" fillId="3" borderId="117" xfId="0" applyNumberFormat="1" applyFont="1" applyFill="1" applyBorder="1" applyAlignment="1">
      <alignment horizontal="center" vertical="center"/>
    </xf>
    <xf numFmtId="3" fontId="28" fillId="3" borderId="141" xfId="0" applyNumberFormat="1" applyFont="1" applyFill="1" applyBorder="1" applyAlignment="1">
      <alignment horizontal="center" vertical="center"/>
    </xf>
    <xf numFmtId="3" fontId="28" fillId="3" borderId="142" xfId="0" applyNumberFormat="1" applyFont="1" applyFill="1" applyBorder="1" applyAlignment="1">
      <alignment horizontal="center" vertical="center"/>
    </xf>
    <xf numFmtId="3" fontId="18" fillId="3" borderId="158" xfId="0" applyNumberFormat="1" applyFont="1" applyFill="1" applyBorder="1"/>
    <xf numFmtId="0" fontId="28" fillId="3" borderId="0" xfId="0" applyFont="1" applyFill="1" applyAlignment="1">
      <alignment horizontal="center" vertical="center" wrapText="1"/>
    </xf>
    <xf numFmtId="3" fontId="17" fillId="3" borderId="157" xfId="0" applyNumberFormat="1" applyFont="1" applyFill="1" applyBorder="1" applyAlignment="1">
      <alignment horizontal="center" vertical="center" wrapText="1"/>
    </xf>
    <xf numFmtId="3" fontId="28" fillId="3" borderId="157" xfId="0" applyNumberFormat="1" applyFont="1" applyFill="1" applyBorder="1" applyAlignment="1">
      <alignment horizontal="center" vertical="center"/>
    </xf>
    <xf numFmtId="3" fontId="11" fillId="3" borderId="0" xfId="0" applyNumberFormat="1" applyFont="1" applyFill="1" applyAlignment="1">
      <alignment vertical="center"/>
    </xf>
    <xf numFmtId="3" fontId="11" fillId="3" borderId="136" xfId="0" applyNumberFormat="1" applyFont="1" applyFill="1" applyBorder="1" applyAlignment="1">
      <alignment horizontal="center" vertical="center"/>
    </xf>
    <xf numFmtId="3" fontId="11" fillId="3" borderId="160" xfId="0" applyNumberFormat="1" applyFont="1" applyFill="1" applyBorder="1" applyAlignment="1">
      <alignment vertical="center"/>
    </xf>
    <xf numFmtId="10" fontId="11" fillId="3" borderId="139" xfId="0" applyNumberFormat="1" applyFont="1" applyFill="1" applyBorder="1" applyAlignment="1">
      <alignment vertical="center"/>
    </xf>
    <xf numFmtId="3" fontId="11" fillId="3" borderId="142" xfId="0" applyNumberFormat="1" applyFont="1" applyFill="1" applyBorder="1" applyAlignment="1">
      <alignment vertical="center"/>
    </xf>
    <xf numFmtId="3" fontId="29" fillId="3" borderId="0" xfId="0" applyNumberFormat="1" applyFont="1" applyFill="1"/>
    <xf numFmtId="3" fontId="18" fillId="3" borderId="0" xfId="0" applyNumberFormat="1" applyFont="1" applyFill="1" applyAlignment="1">
      <alignment horizontal="right" vertical="center"/>
    </xf>
    <xf numFmtId="3" fontId="31" fillId="3" borderId="128" xfId="0" applyNumberFormat="1" applyFont="1" applyFill="1" applyBorder="1" applyAlignment="1">
      <alignment horizontal="right" vertical="center"/>
    </xf>
    <xf numFmtId="3" fontId="31" fillId="3" borderId="127" xfId="0" applyNumberFormat="1" applyFont="1" applyFill="1" applyBorder="1" applyAlignment="1">
      <alignment horizontal="right" vertical="center"/>
    </xf>
    <xf numFmtId="3" fontId="11" fillId="3" borderId="117" xfId="0" applyNumberFormat="1" applyFont="1" applyFill="1" applyBorder="1" applyAlignment="1">
      <alignment vertical="center"/>
    </xf>
    <xf numFmtId="1" fontId="29" fillId="3" borderId="78" xfId="0" applyNumberFormat="1" applyFont="1" applyFill="1" applyBorder="1" applyAlignment="1">
      <alignment horizontal="center" vertical="center"/>
    </xf>
    <xf numFmtId="3" fontId="10" fillId="3" borderId="78" xfId="0" applyNumberFormat="1" applyFont="1" applyFill="1" applyBorder="1" applyAlignment="1">
      <alignment vertical="center" wrapText="1"/>
    </xf>
    <xf numFmtId="3" fontId="28" fillId="3" borderId="0" xfId="0" applyNumberFormat="1" applyFont="1" applyFill="1" applyAlignment="1">
      <alignment horizontal="right" vertical="center"/>
    </xf>
    <xf numFmtId="3" fontId="28" fillId="3" borderId="78" xfId="0" applyNumberFormat="1" applyFont="1" applyFill="1" applyBorder="1" applyAlignment="1">
      <alignment horizontal="right" vertical="center"/>
    </xf>
    <xf numFmtId="3" fontId="18" fillId="3" borderId="136" xfId="0" applyNumberFormat="1" applyFont="1" applyFill="1" applyBorder="1" applyAlignment="1">
      <alignment vertical="center"/>
    </xf>
    <xf numFmtId="3" fontId="18" fillId="3" borderId="117" xfId="0" applyNumberFormat="1" applyFont="1" applyFill="1" applyBorder="1" applyAlignment="1">
      <alignment vertical="center"/>
    </xf>
    <xf numFmtId="3" fontId="19" fillId="3" borderId="0" xfId="0" applyNumberFormat="1" applyFont="1" applyFill="1" applyAlignment="1">
      <alignment vertical="center"/>
    </xf>
    <xf numFmtId="3" fontId="31" fillId="3" borderId="138" xfId="0" applyNumberFormat="1" applyFont="1" applyFill="1" applyBorder="1" applyAlignment="1">
      <alignment horizontal="right" vertical="center"/>
    </xf>
    <xf numFmtId="3" fontId="18" fillId="3" borderId="136" xfId="0" applyNumberFormat="1" applyFont="1" applyFill="1" applyBorder="1" applyAlignment="1">
      <alignment horizontal="center" vertical="center"/>
    </xf>
    <xf numFmtId="10" fontId="11" fillId="3" borderId="160" xfId="0" applyNumberFormat="1" applyFont="1" applyFill="1" applyBorder="1" applyAlignment="1">
      <alignment horizontal="center" vertical="center"/>
    </xf>
    <xf numFmtId="165" fontId="17" fillId="3" borderId="138" xfId="0" applyNumberFormat="1" applyFont="1" applyFill="1" applyBorder="1" applyAlignment="1">
      <alignment horizontal="center" vertical="center"/>
    </xf>
    <xf numFmtId="3" fontId="31" fillId="3" borderId="139" xfId="0" applyNumberFormat="1" applyFont="1" applyFill="1" applyBorder="1" applyAlignment="1">
      <alignment horizontal="right" vertical="center"/>
    </xf>
    <xf numFmtId="0" fontId="11" fillId="3" borderId="0" xfId="0" applyFont="1" applyFill="1" applyAlignment="1">
      <alignment vertical="center"/>
    </xf>
    <xf numFmtId="3" fontId="11" fillId="3" borderId="136" xfId="0" applyNumberFormat="1" applyFont="1" applyFill="1" applyBorder="1" applyAlignment="1">
      <alignment vertical="center"/>
    </xf>
    <xf numFmtId="3" fontId="29" fillId="3" borderId="0" xfId="0" applyNumberFormat="1" applyFont="1" applyFill="1" applyAlignment="1">
      <alignment vertical="center"/>
    </xf>
    <xf numFmtId="3" fontId="19" fillId="3" borderId="0" xfId="0" applyNumberFormat="1" applyFont="1" applyFill="1"/>
    <xf numFmtId="1" fontId="19" fillId="3" borderId="70" xfId="0" applyNumberFormat="1" applyFont="1" applyFill="1" applyBorder="1" applyAlignment="1">
      <alignment horizontal="center" vertical="center"/>
    </xf>
    <xf numFmtId="3" fontId="18" fillId="3" borderId="70" xfId="0" applyNumberFormat="1" applyFont="1" applyFill="1" applyBorder="1" applyAlignment="1">
      <alignment horizontal="left" vertical="center" wrapText="1"/>
    </xf>
    <xf numFmtId="3" fontId="18" fillId="3" borderId="151" xfId="0" applyNumberFormat="1" applyFont="1" applyFill="1" applyBorder="1" applyAlignment="1">
      <alignment vertical="center"/>
    </xf>
    <xf numFmtId="3" fontId="18" fillId="3" borderId="27" xfId="0" applyNumberFormat="1" applyFont="1" applyFill="1" applyBorder="1" applyAlignment="1">
      <alignment vertical="center"/>
    </xf>
    <xf numFmtId="3" fontId="18" fillId="3" borderId="157" xfId="0" applyNumberFormat="1" applyFont="1" applyFill="1" applyBorder="1" applyAlignment="1">
      <alignment vertical="center"/>
    </xf>
    <xf numFmtId="3" fontId="18" fillId="3" borderId="128" xfId="0" applyNumberFormat="1" applyFont="1" applyFill="1" applyBorder="1" applyAlignment="1">
      <alignment vertical="center"/>
    </xf>
    <xf numFmtId="3" fontId="18" fillId="3" borderId="127" xfId="0" applyNumberFormat="1" applyFont="1" applyFill="1" applyBorder="1" applyAlignment="1">
      <alignment vertical="center"/>
    </xf>
    <xf numFmtId="3" fontId="28" fillId="3" borderId="78" xfId="0" applyNumberFormat="1" applyFont="1" applyFill="1" applyBorder="1" applyAlignment="1">
      <alignment horizontal="left" vertical="center" wrapText="1"/>
    </xf>
    <xf numFmtId="3" fontId="18" fillId="3" borderId="160" xfId="0" applyNumberFormat="1" applyFont="1" applyFill="1" applyBorder="1" applyAlignment="1">
      <alignment horizontal="center" vertical="center"/>
    </xf>
    <xf numFmtId="3" fontId="18" fillId="3" borderId="117" xfId="0" applyNumberFormat="1" applyFont="1" applyFill="1" applyBorder="1" applyAlignment="1">
      <alignment horizontal="center" vertical="center"/>
    </xf>
    <xf numFmtId="3" fontId="32" fillId="3" borderId="0" xfId="0" applyNumberFormat="1" applyFont="1" applyFill="1" applyAlignment="1">
      <alignment vertical="center"/>
    </xf>
    <xf numFmtId="3" fontId="18" fillId="3" borderId="139" xfId="0" applyNumberFormat="1" applyFont="1" applyFill="1" applyBorder="1" applyAlignment="1">
      <alignment vertical="center"/>
    </xf>
    <xf numFmtId="3" fontId="18" fillId="3" borderId="160" xfId="0" applyNumberFormat="1" applyFont="1" applyFill="1" applyBorder="1" applyAlignment="1">
      <alignment vertical="center"/>
    </xf>
    <xf numFmtId="0" fontId="23" fillId="3" borderId="154" xfId="0" applyFont="1" applyFill="1" applyBorder="1" applyAlignment="1">
      <alignment wrapText="1"/>
    </xf>
    <xf numFmtId="3" fontId="11" fillId="3" borderId="133" xfId="0" applyNumberFormat="1" applyFont="1" applyFill="1" applyBorder="1" applyAlignment="1">
      <alignment horizontal="left" vertical="center"/>
    </xf>
    <xf numFmtId="3" fontId="27" fillId="3" borderId="0" xfId="0" applyNumberFormat="1" applyFont="1" applyFill="1" applyAlignment="1">
      <alignment horizontal="left" vertical="center"/>
    </xf>
    <xf numFmtId="3" fontId="29" fillId="0" borderId="116" xfId="0" applyNumberFormat="1" applyFont="1" applyBorder="1" applyAlignment="1">
      <alignment horizontal="right"/>
    </xf>
    <xf numFmtId="3" fontId="23" fillId="0" borderId="105" xfId="0" applyNumberFormat="1" applyFont="1" applyBorder="1" applyAlignment="1">
      <alignment vertical="center" wrapText="1"/>
    </xf>
    <xf numFmtId="3" fontId="11" fillId="3" borderId="70" xfId="0" applyNumberFormat="1" applyFont="1" applyFill="1" applyBorder="1" applyAlignment="1">
      <alignment horizontal="left" vertical="center"/>
    </xf>
    <xf numFmtId="3" fontId="11" fillId="3" borderId="151" xfId="0" applyNumberFormat="1" applyFont="1" applyFill="1" applyBorder="1" applyAlignment="1">
      <alignment vertical="center"/>
    </xf>
    <xf numFmtId="3" fontId="11" fillId="3" borderId="78" xfId="0" applyNumberFormat="1" applyFont="1" applyFill="1" applyBorder="1" applyAlignment="1">
      <alignment horizontal="left" vertical="center"/>
    </xf>
    <xf numFmtId="3" fontId="18" fillId="3" borderId="152" xfId="0" applyNumberFormat="1" applyFont="1" applyFill="1" applyBorder="1" applyAlignment="1">
      <alignment vertical="center"/>
    </xf>
    <xf numFmtId="3" fontId="18" fillId="3" borderId="140" xfId="0" applyNumberFormat="1" applyFont="1" applyFill="1" applyBorder="1" applyAlignment="1">
      <alignment horizontal="center" vertical="center"/>
    </xf>
    <xf numFmtId="0" fontId="11" fillId="3" borderId="140" xfId="0" applyFont="1" applyFill="1" applyBorder="1" applyAlignment="1">
      <alignment horizontal="left" vertical="center"/>
    </xf>
    <xf numFmtId="3" fontId="11" fillId="3" borderId="151" xfId="0" applyNumberFormat="1" applyFont="1" applyFill="1" applyBorder="1" applyAlignment="1">
      <alignment horizontal="left" vertical="center"/>
    </xf>
    <xf numFmtId="1" fontId="19" fillId="0" borderId="105" xfId="0" applyNumberFormat="1" applyFont="1" applyBorder="1" applyAlignment="1">
      <alignment horizontal="center" vertical="center"/>
    </xf>
    <xf numFmtId="3" fontId="11" fillId="0" borderId="105" xfId="0" applyNumberFormat="1" applyFont="1" applyBorder="1" applyAlignment="1">
      <alignment vertical="center" wrapText="1"/>
    </xf>
    <xf numFmtId="3" fontId="18" fillId="3" borderId="0" xfId="0" applyNumberFormat="1" applyFont="1" applyFill="1" applyAlignment="1">
      <alignment horizontal="left" vertical="center"/>
    </xf>
    <xf numFmtId="3" fontId="18" fillId="3" borderId="0" xfId="0" applyNumberFormat="1" applyFont="1" applyFill="1" applyAlignment="1">
      <alignment horizontal="center" vertical="center"/>
    </xf>
    <xf numFmtId="3" fontId="11" fillId="3" borderId="154" xfId="0" applyNumberFormat="1" applyFont="1" applyFill="1" applyBorder="1" applyAlignment="1">
      <alignment horizontal="left" vertical="center" wrapText="1"/>
    </xf>
    <xf numFmtId="165" fontId="6" fillId="3" borderId="78" xfId="0" applyNumberFormat="1" applyFont="1" applyFill="1" applyBorder="1" applyAlignment="1">
      <alignment horizontal="center" vertical="center"/>
    </xf>
    <xf numFmtId="3" fontId="18" fillId="3" borderId="78" xfId="0" applyNumberFormat="1" applyFont="1" applyFill="1" applyBorder="1" applyAlignment="1">
      <alignment horizontal="left" vertical="center" wrapText="1"/>
    </xf>
    <xf numFmtId="3" fontId="18" fillId="3" borderId="70" xfId="0" applyNumberFormat="1" applyFont="1" applyFill="1" applyBorder="1" applyAlignment="1">
      <alignment vertical="center"/>
    </xf>
    <xf numFmtId="3" fontId="31" fillId="5" borderId="133" xfId="0" applyNumberFormat="1" applyFont="1" applyFill="1" applyBorder="1" applyAlignment="1">
      <alignment vertical="center"/>
    </xf>
    <xf numFmtId="3" fontId="28" fillId="3" borderId="157" xfId="0" applyNumberFormat="1" applyFont="1" applyFill="1" applyBorder="1" applyAlignment="1">
      <alignment vertical="center"/>
    </xf>
    <xf numFmtId="3" fontId="28" fillId="0" borderId="92" xfId="0" applyNumberFormat="1" applyFont="1" applyBorder="1" applyAlignment="1">
      <alignment horizontal="right" vertical="center"/>
    </xf>
    <xf numFmtId="165" fontId="19" fillId="0" borderId="105" xfId="0" applyNumberFormat="1" applyFont="1" applyBorder="1" applyAlignment="1">
      <alignment horizontal="center" vertical="center"/>
    </xf>
    <xf numFmtId="3" fontId="18" fillId="0" borderId="116" xfId="0" applyNumberFormat="1" applyFont="1" applyBorder="1" applyAlignment="1">
      <alignment vertical="center"/>
    </xf>
    <xf numFmtId="165" fontId="19" fillId="3" borderId="154" xfId="0" applyNumberFormat="1" applyFont="1" applyFill="1" applyBorder="1" applyAlignment="1">
      <alignment horizontal="center" vertical="center"/>
    </xf>
    <xf numFmtId="3" fontId="18" fillId="0" borderId="135" xfId="0" applyNumberFormat="1" applyFont="1" applyBorder="1" applyAlignment="1">
      <alignment vertical="center"/>
    </xf>
    <xf numFmtId="165" fontId="29" fillId="3" borderId="70" xfId="0" quotePrefix="1" applyNumberFormat="1" applyFont="1" applyFill="1" applyBorder="1" applyAlignment="1">
      <alignment horizontal="left" vertical="center"/>
    </xf>
    <xf numFmtId="3" fontId="28" fillId="3" borderId="70" xfId="0" applyNumberFormat="1" applyFont="1" applyFill="1" applyBorder="1" applyAlignment="1">
      <alignment horizontal="left" vertical="center" wrapText="1"/>
    </xf>
    <xf numFmtId="3" fontId="28" fillId="3" borderId="71" xfId="0" applyNumberFormat="1" applyFont="1" applyFill="1" applyBorder="1" applyAlignment="1">
      <alignment vertical="center"/>
    </xf>
    <xf numFmtId="165" fontId="29" fillId="0" borderId="78" xfId="0" quotePrefix="1" applyNumberFormat="1" applyFont="1" applyBorder="1" applyAlignment="1">
      <alignment horizontal="left" vertical="center"/>
    </xf>
    <xf numFmtId="3" fontId="28" fillId="0" borderId="78" xfId="0" applyNumberFormat="1" applyFont="1" applyBorder="1" applyAlignment="1">
      <alignment horizontal="left" vertical="center" wrapText="1"/>
    </xf>
    <xf numFmtId="3" fontId="28" fillId="0" borderId="141" xfId="0" applyNumberFormat="1" applyFont="1" applyBorder="1" applyAlignment="1">
      <alignment vertical="center"/>
    </xf>
    <xf numFmtId="3" fontId="28" fillId="0" borderId="142" xfId="0" applyNumberFormat="1" applyFont="1" applyBorder="1" applyAlignment="1">
      <alignment vertical="center"/>
    </xf>
    <xf numFmtId="165" fontId="29" fillId="3" borderId="152" xfId="0" quotePrefix="1" applyNumberFormat="1" applyFont="1" applyFill="1" applyBorder="1" applyAlignment="1">
      <alignment horizontal="left" vertical="center"/>
    </xf>
    <xf numFmtId="3" fontId="28" fillId="3" borderId="152" xfId="0" applyNumberFormat="1" applyFont="1" applyFill="1" applyBorder="1" applyAlignment="1">
      <alignment horizontal="left" vertical="center" wrapText="1"/>
    </xf>
    <xf numFmtId="1" fontId="6" fillId="3" borderId="0" xfId="0" applyNumberFormat="1" applyFont="1" applyFill="1" applyAlignment="1">
      <alignment horizontal="center" vertical="center"/>
    </xf>
    <xf numFmtId="3" fontId="18" fillId="3" borderId="0" xfId="0" applyNumberFormat="1" applyFont="1" applyFill="1" applyAlignment="1">
      <alignment vertical="center" wrapText="1"/>
    </xf>
    <xf numFmtId="3" fontId="31" fillId="3" borderId="133" xfId="0" applyNumberFormat="1" applyFont="1" applyFill="1" applyBorder="1" applyAlignment="1">
      <alignment horizontal="right" vertical="center"/>
    </xf>
    <xf numFmtId="3" fontId="31" fillId="3" borderId="133" xfId="0" applyNumberFormat="1" applyFont="1" applyFill="1" applyBorder="1" applyAlignment="1">
      <alignment vertical="center"/>
    </xf>
    <xf numFmtId="3" fontId="6" fillId="3" borderId="133" xfId="0" applyNumberFormat="1" applyFont="1" applyFill="1" applyBorder="1" applyAlignment="1">
      <alignment vertical="center"/>
    </xf>
    <xf numFmtId="1" fontId="17" fillId="3" borderId="78" xfId="0" applyNumberFormat="1" applyFont="1" applyFill="1" applyBorder="1" applyAlignment="1">
      <alignment horizontal="center" vertical="center" wrapText="1"/>
    </xf>
    <xf numFmtId="3" fontId="17" fillId="3" borderId="0" xfId="0" applyNumberFormat="1" applyFont="1" applyFill="1" applyAlignment="1">
      <alignment horizontal="center" vertical="center" wrapText="1"/>
    </xf>
    <xf numFmtId="3" fontId="28" fillId="3" borderId="0" xfId="0" applyNumberFormat="1" applyFont="1" applyFill="1" applyAlignment="1">
      <alignment horizontal="center" vertical="center"/>
    </xf>
    <xf numFmtId="3" fontId="20" fillId="3" borderId="0" xfId="0" applyNumberFormat="1" applyFont="1" applyFill="1" applyAlignment="1">
      <alignment vertical="center"/>
    </xf>
    <xf numFmtId="3" fontId="6" fillId="3" borderId="152" xfId="0" applyNumberFormat="1" applyFont="1" applyFill="1" applyBorder="1" applyAlignment="1">
      <alignment horizontal="right" vertical="center"/>
    </xf>
    <xf numFmtId="3" fontId="31" fillId="3" borderId="71" xfId="0" applyNumberFormat="1" applyFont="1" applyFill="1" applyBorder="1" applyAlignment="1">
      <alignment horizontal="right" vertical="center"/>
    </xf>
    <xf numFmtId="3" fontId="31" fillId="3" borderId="151" xfId="0" applyNumberFormat="1" applyFont="1" applyFill="1" applyBorder="1" applyAlignment="1">
      <alignment vertical="center"/>
    </xf>
    <xf numFmtId="3" fontId="31" fillId="3" borderId="27" xfId="0" applyNumberFormat="1" applyFont="1" applyFill="1" applyBorder="1" applyAlignment="1">
      <alignment vertical="center"/>
    </xf>
    <xf numFmtId="3" fontId="18" fillId="3" borderId="150" xfId="0" applyNumberFormat="1" applyFont="1" applyFill="1" applyBorder="1"/>
    <xf numFmtId="3" fontId="11" fillId="3" borderId="150" xfId="0" applyNumberFormat="1" applyFont="1" applyFill="1" applyBorder="1"/>
    <xf numFmtId="1" fontId="11" fillId="3" borderId="150" xfId="0" applyNumberFormat="1" applyFont="1" applyFill="1" applyBorder="1" applyAlignment="1">
      <alignment horizontal="center"/>
    </xf>
    <xf numFmtId="3" fontId="18" fillId="3" borderId="150" xfId="0" applyNumberFormat="1" applyFont="1" applyFill="1" applyBorder="1" applyAlignment="1">
      <alignment wrapText="1"/>
    </xf>
    <xf numFmtId="3" fontId="17" fillId="3" borderId="150" xfId="0" applyNumberFormat="1" applyFont="1" applyFill="1" applyBorder="1"/>
    <xf numFmtId="0" fontId="11" fillId="3" borderId="150" xfId="0" applyFont="1" applyFill="1" applyBorder="1"/>
    <xf numFmtId="0" fontId="17" fillId="3" borderId="150" xfId="0" applyFont="1" applyFill="1" applyBorder="1" applyAlignment="1">
      <alignment horizontal="center" vertical="center"/>
    </xf>
    <xf numFmtId="3" fontId="18" fillId="3" borderId="150" xfId="0" applyNumberFormat="1" applyFont="1" applyFill="1" applyBorder="1" applyAlignment="1">
      <alignment horizontal="center"/>
    </xf>
    <xf numFmtId="3" fontId="28" fillId="3" borderId="150" xfId="0" applyNumberFormat="1" applyFont="1" applyFill="1" applyBorder="1"/>
    <xf numFmtId="0" fontId="29" fillId="3" borderId="138" xfId="0" applyFont="1" applyFill="1" applyBorder="1" applyAlignment="1">
      <alignment horizontal="center" vertical="center"/>
    </xf>
    <xf numFmtId="3" fontId="11" fillId="3" borderId="150" xfId="0" applyNumberFormat="1" applyFont="1" applyFill="1" applyBorder="1" applyAlignment="1">
      <alignment vertical="center"/>
    </xf>
    <xf numFmtId="3" fontId="29" fillId="4" borderId="139" xfId="0" applyNumberFormat="1" applyFont="1" applyFill="1" applyBorder="1" applyAlignment="1">
      <alignment horizontal="right"/>
    </xf>
    <xf numFmtId="3" fontId="18" fillId="3" borderId="150" xfId="0" applyNumberFormat="1" applyFont="1" applyFill="1" applyBorder="1" applyAlignment="1">
      <alignment horizontal="right" vertical="center"/>
    </xf>
    <xf numFmtId="3" fontId="28" fillId="3" borderId="150" xfId="0" applyNumberFormat="1" applyFont="1" applyFill="1" applyBorder="1" applyAlignment="1">
      <alignment horizontal="right" vertical="center"/>
    </xf>
    <xf numFmtId="0" fontId="11" fillId="3" borderId="150" xfId="0" applyFont="1" applyFill="1" applyBorder="1" applyAlignment="1">
      <alignment vertical="center"/>
    </xf>
    <xf numFmtId="3" fontId="32" fillId="3" borderId="150" xfId="0" applyNumberFormat="1" applyFont="1" applyFill="1" applyBorder="1" applyAlignment="1">
      <alignment vertical="center"/>
    </xf>
    <xf numFmtId="3" fontId="27" fillId="3" borderId="150" xfId="0" applyNumberFormat="1" applyFont="1" applyFill="1" applyBorder="1" applyAlignment="1">
      <alignment horizontal="left" vertical="center"/>
    </xf>
    <xf numFmtId="3" fontId="18" fillId="3" borderId="150" xfId="0" applyNumberFormat="1" applyFont="1" applyFill="1" applyBorder="1" applyAlignment="1">
      <alignment horizontal="left" vertical="center"/>
    </xf>
    <xf numFmtId="3" fontId="18" fillId="3" borderId="150" xfId="0" applyNumberFormat="1" applyFont="1" applyFill="1" applyBorder="1" applyAlignment="1">
      <alignment horizontal="center" vertical="center"/>
    </xf>
    <xf numFmtId="1" fontId="6" fillId="3" borderId="150" xfId="0" applyNumberFormat="1" applyFont="1" applyFill="1" applyBorder="1" applyAlignment="1">
      <alignment horizontal="center" vertical="center"/>
    </xf>
    <xf numFmtId="3" fontId="18" fillId="3" borderId="150" xfId="0" applyNumberFormat="1" applyFont="1" applyFill="1" applyBorder="1" applyAlignment="1">
      <alignment vertical="center" wrapText="1"/>
    </xf>
    <xf numFmtId="3" fontId="17" fillId="3" borderId="150" xfId="0" applyNumberFormat="1" applyFont="1" applyFill="1" applyBorder="1" applyAlignment="1">
      <alignment horizontal="center" vertical="center" wrapText="1"/>
    </xf>
    <xf numFmtId="3" fontId="28" fillId="3" borderId="150" xfId="0" applyNumberFormat="1" applyFont="1" applyFill="1" applyBorder="1" applyAlignment="1">
      <alignment horizontal="center" vertical="center"/>
    </xf>
    <xf numFmtId="3" fontId="20" fillId="3" borderId="150" xfId="0" applyNumberFormat="1" applyFont="1" applyFill="1" applyBorder="1" applyAlignment="1">
      <alignment vertical="center"/>
    </xf>
    <xf numFmtId="3" fontId="9" fillId="0" borderId="33" xfId="0" applyNumberFormat="1" applyFont="1" applyBorder="1" applyAlignment="1">
      <alignment vertical="center"/>
    </xf>
    <xf numFmtId="3" fontId="9" fillId="0" borderId="98" xfId="0" applyNumberFormat="1" applyFont="1" applyBorder="1" applyAlignment="1">
      <alignment vertical="center"/>
    </xf>
    <xf numFmtId="3" fontId="9" fillId="0" borderId="25" xfId="0" applyNumberFormat="1" applyFont="1" applyBorder="1" applyAlignment="1">
      <alignment vertical="center"/>
    </xf>
    <xf numFmtId="3" fontId="9" fillId="0" borderId="32" xfId="0" applyNumberFormat="1" applyFont="1" applyBorder="1" applyAlignment="1">
      <alignment vertical="center"/>
    </xf>
    <xf numFmtId="3" fontId="9" fillId="0" borderId="48" xfId="0" applyNumberFormat="1" applyFont="1" applyBorder="1" applyAlignment="1">
      <alignment vertical="center"/>
    </xf>
    <xf numFmtId="3" fontId="9" fillId="0" borderId="106" xfId="0" applyNumberFormat="1" applyFont="1" applyBorder="1" applyAlignment="1">
      <alignment vertical="center"/>
    </xf>
    <xf numFmtId="3" fontId="9" fillId="0" borderId="104" xfId="0" applyNumberFormat="1" applyFont="1" applyBorder="1" applyAlignment="1">
      <alignment vertical="center"/>
    </xf>
    <xf numFmtId="3" fontId="9" fillId="0" borderId="107" xfId="0" applyNumberFormat="1" applyFont="1" applyBorder="1" applyAlignment="1">
      <alignment vertical="center"/>
    </xf>
    <xf numFmtId="3" fontId="9" fillId="0" borderId="133" xfId="0" applyNumberFormat="1" applyFont="1" applyBorder="1" applyAlignment="1">
      <alignment vertical="center"/>
    </xf>
    <xf numFmtId="3" fontId="9" fillId="0" borderId="50" xfId="0" applyNumberFormat="1" applyFont="1" applyBorder="1" applyAlignment="1">
      <alignment vertical="center"/>
    </xf>
    <xf numFmtId="3" fontId="8" fillId="0" borderId="48" xfId="0" applyNumberFormat="1" applyFont="1" applyBorder="1" applyAlignment="1">
      <alignment vertical="center"/>
    </xf>
    <xf numFmtId="3" fontId="8" fillId="0" borderId="106" xfId="0" applyNumberFormat="1" applyFont="1" applyBorder="1" applyAlignment="1">
      <alignment vertical="center"/>
    </xf>
    <xf numFmtId="3" fontId="8" fillId="0" borderId="104" xfId="0" applyNumberFormat="1" applyFont="1" applyBorder="1" applyAlignment="1">
      <alignment vertical="center"/>
    </xf>
    <xf numFmtId="3" fontId="8" fillId="0" borderId="107" xfId="0" applyNumberFormat="1" applyFont="1" applyBorder="1" applyAlignment="1">
      <alignment vertical="center"/>
    </xf>
    <xf numFmtId="3" fontId="8" fillId="0" borderId="50" xfId="0" applyNumberFormat="1" applyFont="1" applyBorder="1" applyAlignment="1">
      <alignment vertical="center"/>
    </xf>
    <xf numFmtId="3" fontId="9" fillId="0" borderId="53" xfId="0" applyNumberFormat="1" applyFont="1" applyBorder="1" applyAlignment="1">
      <alignment vertical="center"/>
    </xf>
    <xf numFmtId="3" fontId="9" fillId="0" borderId="85" xfId="0" applyNumberFormat="1" applyFont="1" applyBorder="1" applyAlignment="1">
      <alignment vertical="center"/>
    </xf>
    <xf numFmtId="3" fontId="9" fillId="0" borderId="54" xfId="0" applyNumberFormat="1" applyFont="1" applyBorder="1" applyAlignment="1">
      <alignment vertical="center"/>
    </xf>
    <xf numFmtId="3" fontId="9" fillId="0" borderId="156" xfId="0" applyNumberFormat="1" applyFont="1" applyBorder="1" applyAlignment="1">
      <alignment vertical="center"/>
    </xf>
    <xf numFmtId="3" fontId="8" fillId="2" borderId="90" xfId="0" applyNumberFormat="1" applyFont="1" applyFill="1" applyBorder="1" applyAlignment="1">
      <alignment vertical="center"/>
    </xf>
    <xf numFmtId="3" fontId="8" fillId="2" borderId="88" xfId="0" applyNumberFormat="1" applyFont="1" applyFill="1" applyBorder="1" applyAlignment="1">
      <alignment vertical="center"/>
    </xf>
    <xf numFmtId="3" fontId="8" fillId="2" borderId="119" xfId="0" applyNumberFormat="1" applyFont="1" applyFill="1" applyBorder="1" applyAlignment="1">
      <alignment vertical="center"/>
    </xf>
    <xf numFmtId="3" fontId="8" fillId="2" borderId="125" xfId="0" applyNumberFormat="1" applyFont="1" applyFill="1" applyBorder="1" applyAlignment="1">
      <alignment vertical="center"/>
    </xf>
    <xf numFmtId="3" fontId="8" fillId="2" borderId="9" xfId="0" applyNumberFormat="1" applyFont="1" applyFill="1" applyBorder="1" applyAlignment="1">
      <alignment vertical="center"/>
    </xf>
    <xf numFmtId="0" fontId="9" fillId="2" borderId="17" xfId="0" applyFont="1" applyFill="1" applyBorder="1" applyAlignment="1">
      <alignment vertical="center" wrapText="1"/>
    </xf>
    <xf numFmtId="3" fontId="9" fillId="2" borderId="17" xfId="0" applyNumberFormat="1" applyFont="1" applyFill="1" applyBorder="1" applyAlignment="1">
      <alignment vertical="center"/>
    </xf>
    <xf numFmtId="3" fontId="9" fillId="2" borderId="47" xfId="0" applyNumberFormat="1" applyFont="1" applyFill="1" applyBorder="1" applyAlignment="1">
      <alignment vertical="center"/>
    </xf>
    <xf numFmtId="0" fontId="65" fillId="2" borderId="93" xfId="0" applyFont="1" applyFill="1" applyBorder="1" applyAlignment="1">
      <alignment horizontal="center" vertical="center" wrapText="1"/>
    </xf>
    <xf numFmtId="0" fontId="65" fillId="2" borderId="99" xfId="0" applyFont="1" applyFill="1" applyBorder="1" applyAlignment="1">
      <alignment horizontal="center" vertical="center" wrapText="1"/>
    </xf>
    <xf numFmtId="0" fontId="65" fillId="2" borderId="101" xfId="0" applyFont="1" applyFill="1" applyBorder="1" applyAlignment="1">
      <alignment horizontal="center" vertical="center" wrapText="1"/>
    </xf>
    <xf numFmtId="3" fontId="9" fillId="0" borderId="129" xfId="0" applyNumberFormat="1" applyFont="1" applyBorder="1" applyAlignment="1">
      <alignment horizontal="right" vertical="center"/>
    </xf>
    <xf numFmtId="3" fontId="9" fillId="0" borderId="158" xfId="0" applyNumberFormat="1" applyFont="1" applyBorder="1" applyAlignment="1">
      <alignment horizontal="right" vertical="center"/>
    </xf>
    <xf numFmtId="3" fontId="9" fillId="0" borderId="33" xfId="0" applyNumberFormat="1" applyFont="1" applyBorder="1" applyAlignment="1">
      <alignment horizontal="right" vertical="center"/>
    </xf>
    <xf numFmtId="3" fontId="9" fillId="0" borderId="98" xfId="0" applyNumberFormat="1" applyFont="1" applyBorder="1" applyAlignment="1">
      <alignment horizontal="right" vertical="center"/>
    </xf>
    <xf numFmtId="3" fontId="9" fillId="0" borderId="25" xfId="0" applyNumberFormat="1" applyFont="1" applyBorder="1" applyAlignment="1">
      <alignment horizontal="right" vertical="center"/>
    </xf>
    <xf numFmtId="3" fontId="9" fillId="0" borderId="130" xfId="0" applyNumberFormat="1" applyFont="1" applyBorder="1" applyAlignment="1">
      <alignment horizontal="right" vertical="center"/>
    </xf>
    <xf numFmtId="3" fontId="9" fillId="0" borderId="106" xfId="0" applyNumberFormat="1" applyFont="1" applyBorder="1" applyAlignment="1">
      <alignment horizontal="right" vertical="center"/>
    </xf>
    <xf numFmtId="3" fontId="9" fillId="0" borderId="104" xfId="0" applyNumberFormat="1" applyFont="1" applyBorder="1" applyAlignment="1">
      <alignment horizontal="right" vertical="center"/>
    </xf>
    <xf numFmtId="3" fontId="9" fillId="0" borderId="107" xfId="0" applyNumberFormat="1" applyFont="1" applyBorder="1" applyAlignment="1">
      <alignment horizontal="right" vertical="center"/>
    </xf>
    <xf numFmtId="3" fontId="9" fillId="0" borderId="130" xfId="0" applyNumberFormat="1" applyFont="1" applyBorder="1" applyAlignment="1">
      <alignment horizontal="right" vertical="center" wrapText="1"/>
    </xf>
    <xf numFmtId="3" fontId="9" fillId="0" borderId="106" xfId="0" applyNumberFormat="1" applyFont="1" applyBorder="1" applyAlignment="1">
      <alignment horizontal="right" vertical="center" wrapText="1"/>
    </xf>
    <xf numFmtId="3" fontId="9" fillId="0" borderId="104" xfId="0" applyNumberFormat="1" applyFont="1" applyBorder="1" applyAlignment="1">
      <alignment horizontal="right" vertical="center" wrapText="1"/>
    </xf>
    <xf numFmtId="3" fontId="9" fillId="0" borderId="107" xfId="0" applyNumberFormat="1" applyFont="1" applyBorder="1" applyAlignment="1">
      <alignment horizontal="right" vertical="center" wrapText="1"/>
    </xf>
    <xf numFmtId="3" fontId="8" fillId="0" borderId="130" xfId="0" applyNumberFormat="1" applyFont="1" applyBorder="1" applyAlignment="1">
      <alignment horizontal="right" vertical="center" wrapText="1"/>
    </xf>
    <xf numFmtId="3" fontId="8" fillId="0" borderId="106" xfId="0" applyNumberFormat="1" applyFont="1" applyBorder="1" applyAlignment="1">
      <alignment horizontal="right" vertical="center" wrapText="1"/>
    </xf>
    <xf numFmtId="3" fontId="8" fillId="0" borderId="104" xfId="0" applyNumberFormat="1" applyFont="1" applyBorder="1" applyAlignment="1">
      <alignment horizontal="right" vertical="center" wrapText="1"/>
    </xf>
    <xf numFmtId="3" fontId="8" fillId="0" borderId="107" xfId="0" applyNumberFormat="1" applyFont="1" applyBorder="1" applyAlignment="1">
      <alignment horizontal="right" vertical="center" wrapText="1"/>
    </xf>
    <xf numFmtId="3" fontId="8" fillId="0" borderId="130" xfId="0" applyNumberFormat="1" applyFont="1" applyBorder="1" applyAlignment="1">
      <alignment horizontal="right" vertical="center"/>
    </xf>
    <xf numFmtId="3" fontId="9" fillId="0" borderId="159" xfId="0" applyNumberFormat="1" applyFont="1" applyBorder="1" applyAlignment="1">
      <alignment horizontal="right" vertical="center" wrapText="1"/>
    </xf>
    <xf numFmtId="3" fontId="8" fillId="0" borderId="53" xfId="0" applyNumberFormat="1" applyFont="1" applyBorder="1" applyAlignment="1">
      <alignment horizontal="right" vertical="center" wrapText="1"/>
    </xf>
    <xf numFmtId="3" fontId="8" fillId="0" borderId="85" xfId="0" applyNumberFormat="1" applyFont="1" applyBorder="1" applyAlignment="1">
      <alignment horizontal="right" vertical="center" wrapText="1"/>
    </xf>
    <xf numFmtId="3" fontId="8" fillId="0" borderId="54" xfId="0" applyNumberFormat="1" applyFont="1" applyBorder="1" applyAlignment="1">
      <alignment horizontal="right" vertical="center" wrapText="1"/>
    </xf>
    <xf numFmtId="3" fontId="8" fillId="0" borderId="131" xfId="0" applyNumberFormat="1" applyFont="1" applyBorder="1" applyAlignment="1">
      <alignment horizontal="right" vertical="center"/>
    </xf>
    <xf numFmtId="3" fontId="9" fillId="2" borderId="9" xfId="0" applyNumberFormat="1" applyFont="1" applyFill="1" applyBorder="1" applyAlignment="1">
      <alignment horizontal="right" vertical="center"/>
    </xf>
    <xf numFmtId="3" fontId="9" fillId="2" borderId="100" xfId="0" applyNumberFormat="1" applyFont="1" applyFill="1" applyBorder="1" applyAlignment="1">
      <alignment horizontal="right" vertical="center"/>
    </xf>
    <xf numFmtId="3" fontId="9" fillId="2" borderId="99" xfId="0" applyNumberFormat="1" applyFont="1" applyFill="1" applyBorder="1" applyAlignment="1">
      <alignment horizontal="right" vertical="center"/>
    </xf>
    <xf numFmtId="3" fontId="9" fillId="2" borderId="94" xfId="0" applyNumberFormat="1" applyFont="1" applyFill="1" applyBorder="1" applyAlignment="1">
      <alignment horizontal="right" vertical="center"/>
    </xf>
    <xf numFmtId="3" fontId="9" fillId="2" borderId="89" xfId="0" applyNumberFormat="1" applyFont="1" applyFill="1" applyBorder="1" applyAlignment="1">
      <alignment horizontal="right" vertical="center"/>
    </xf>
    <xf numFmtId="3" fontId="9" fillId="2" borderId="119" xfId="0" applyNumberFormat="1" applyFont="1" applyFill="1" applyBorder="1" applyAlignment="1">
      <alignment horizontal="right" vertical="center"/>
    </xf>
    <xf numFmtId="3" fontId="9" fillId="2" borderId="137" xfId="0" applyNumberFormat="1" applyFont="1" applyFill="1" applyBorder="1" applyAlignment="1">
      <alignment horizontal="right" vertical="center"/>
    </xf>
    <xf numFmtId="3" fontId="31" fillId="20" borderId="85" xfId="0" applyNumberFormat="1" applyFont="1" applyFill="1" applyBorder="1" applyAlignment="1">
      <alignment vertical="center"/>
    </xf>
    <xf numFmtId="3" fontId="6" fillId="16" borderId="135" xfId="0" applyNumberFormat="1" applyFont="1" applyFill="1" applyBorder="1" applyAlignment="1">
      <alignment horizontal="right" vertical="center"/>
    </xf>
    <xf numFmtId="3" fontId="18" fillId="19" borderId="107" xfId="0" applyNumberFormat="1" applyFont="1" applyFill="1" applyBorder="1" applyAlignment="1">
      <alignment vertical="center"/>
    </xf>
    <xf numFmtId="3" fontId="18" fillId="19" borderId="54" xfId="0" applyNumberFormat="1" applyFont="1" applyFill="1" applyBorder="1" applyAlignment="1">
      <alignment vertical="center"/>
    </xf>
    <xf numFmtId="3" fontId="11" fillId="3" borderId="100" xfId="0" applyNumberFormat="1" applyFont="1" applyFill="1" applyBorder="1" applyAlignment="1">
      <alignment vertical="center"/>
    </xf>
    <xf numFmtId="3" fontId="6" fillId="3" borderId="99" xfId="0" applyNumberFormat="1" applyFont="1" applyFill="1" applyBorder="1" applyAlignment="1">
      <alignment vertical="center"/>
    </xf>
    <xf numFmtId="3" fontId="6" fillId="3" borderId="101" xfId="0" applyNumberFormat="1" applyFont="1" applyFill="1" applyBorder="1" applyAlignment="1">
      <alignment vertical="center"/>
    </xf>
    <xf numFmtId="165" fontId="24" fillId="3" borderId="26" xfId="0" applyNumberFormat="1" applyFont="1" applyFill="1" applyBorder="1" applyAlignment="1">
      <alignment horizontal="center" vertical="center"/>
    </xf>
    <xf numFmtId="0" fontId="4" fillId="0" borderId="20" xfId="0" applyFont="1" applyBorder="1"/>
    <xf numFmtId="165" fontId="29" fillId="3" borderId="150" xfId="0" applyNumberFormat="1" applyFont="1" applyFill="1" applyBorder="1" applyAlignment="1">
      <alignment horizontal="center" vertical="center"/>
    </xf>
    <xf numFmtId="3" fontId="28" fillId="3" borderId="150" xfId="0" applyNumberFormat="1" applyFont="1" applyFill="1" applyBorder="1" applyAlignment="1">
      <alignment horizontal="left" vertical="center" wrapText="1"/>
    </xf>
    <xf numFmtId="3" fontId="28" fillId="3" borderId="150" xfId="0" applyNumberFormat="1" applyFont="1" applyFill="1" applyBorder="1" applyAlignment="1">
      <alignment vertical="center"/>
    </xf>
    <xf numFmtId="165" fontId="19" fillId="10" borderId="150" xfId="0" applyNumberFormat="1" applyFont="1" applyFill="1" applyBorder="1" applyAlignment="1">
      <alignment horizontal="center" vertical="center"/>
    </xf>
    <xf numFmtId="3" fontId="11" fillId="10" borderId="150" xfId="0" applyNumberFormat="1" applyFont="1" applyFill="1" applyBorder="1" applyAlignment="1">
      <alignment horizontal="left" vertical="center" wrapText="1"/>
    </xf>
    <xf numFmtId="3" fontId="31" fillId="9" borderId="150" xfId="0" applyNumberFormat="1" applyFont="1" applyFill="1" applyBorder="1" applyAlignment="1">
      <alignment vertical="center"/>
    </xf>
    <xf numFmtId="3" fontId="18" fillId="10" borderId="150" xfId="0" applyNumberFormat="1" applyFont="1" applyFill="1" applyBorder="1" applyAlignment="1">
      <alignment vertical="center"/>
    </xf>
    <xf numFmtId="3" fontId="11" fillId="16" borderId="150" xfId="0" applyNumberFormat="1" applyFont="1" applyFill="1" applyBorder="1" applyAlignment="1">
      <alignment horizontal="left" vertical="center" wrapText="1"/>
    </xf>
    <xf numFmtId="3" fontId="18" fillId="16" borderId="150" xfId="0" applyNumberFormat="1" applyFont="1" applyFill="1" applyBorder="1" applyAlignment="1">
      <alignment vertical="center"/>
    </xf>
    <xf numFmtId="165" fontId="19" fillId="16" borderId="150" xfId="0" applyNumberFormat="1" applyFont="1" applyFill="1" applyBorder="1" applyAlignment="1">
      <alignment horizontal="center" vertical="center"/>
    </xf>
    <xf numFmtId="165" fontId="29" fillId="16" borderId="150" xfId="0" applyNumberFormat="1" applyFont="1" applyFill="1" applyBorder="1" applyAlignment="1">
      <alignment horizontal="center" vertical="center"/>
    </xf>
    <xf numFmtId="3" fontId="28" fillId="16" borderId="150" xfId="0" applyNumberFormat="1" applyFont="1" applyFill="1" applyBorder="1" applyAlignment="1">
      <alignment horizontal="left" vertical="center" wrapText="1"/>
    </xf>
    <xf numFmtId="3" fontId="28" fillId="16" borderId="150" xfId="0" applyNumberFormat="1" applyFont="1" applyFill="1" applyBorder="1" applyAlignment="1">
      <alignment vertical="center"/>
    </xf>
    <xf numFmtId="3" fontId="28" fillId="3" borderId="80" xfId="0" applyNumberFormat="1" applyFont="1" applyFill="1" applyBorder="1" applyAlignment="1">
      <alignment horizontal="right" vertical="center"/>
    </xf>
    <xf numFmtId="3" fontId="0" fillId="3" borderId="163" xfId="0" applyNumberFormat="1" applyFill="1" applyBorder="1" applyAlignment="1">
      <alignment horizontal="left" vertical="center" wrapText="1"/>
    </xf>
    <xf numFmtId="3" fontId="31" fillId="5" borderId="163" xfId="0" applyNumberFormat="1" applyFont="1" applyFill="1" applyBorder="1" applyAlignment="1">
      <alignment vertical="center"/>
    </xf>
    <xf numFmtId="3" fontId="18" fillId="3" borderId="163" xfId="0" applyNumberFormat="1" applyFont="1" applyFill="1" applyBorder="1" applyAlignment="1">
      <alignment vertical="center"/>
    </xf>
    <xf numFmtId="3" fontId="0" fillId="0" borderId="163" xfId="0" applyNumberFormat="1" applyBorder="1" applyAlignment="1">
      <alignment horizontal="left" vertical="center" wrapText="1"/>
    </xf>
    <xf numFmtId="3" fontId="19" fillId="3" borderId="163" xfId="0" applyNumberFormat="1" applyFont="1" applyFill="1" applyBorder="1" applyAlignment="1">
      <alignment horizontal="left" vertical="center" wrapText="1"/>
    </xf>
    <xf numFmtId="1" fontId="35" fillId="3" borderId="163" xfId="0" applyNumberFormat="1" applyFont="1" applyFill="1" applyBorder="1" applyAlignment="1">
      <alignment horizontal="center" vertical="center"/>
    </xf>
    <xf numFmtId="3" fontId="17" fillId="3" borderId="111" xfId="0" applyNumberFormat="1" applyFont="1" applyFill="1" applyBorder="1" applyAlignment="1">
      <alignment horizontal="center" vertical="center" wrapText="1"/>
    </xf>
    <xf numFmtId="3" fontId="6" fillId="3" borderId="95" xfId="0" applyNumberFormat="1" applyFont="1" applyFill="1" applyBorder="1" applyAlignment="1">
      <alignment vertical="center"/>
    </xf>
    <xf numFmtId="3" fontId="6" fillId="3" borderId="139" xfId="0" applyNumberFormat="1" applyFont="1" applyFill="1" applyBorder="1" applyAlignment="1">
      <alignment horizontal="right" vertical="center"/>
    </xf>
    <xf numFmtId="3" fontId="6" fillId="3" borderId="114" xfId="0" applyNumberFormat="1" applyFont="1" applyFill="1" applyBorder="1" applyAlignment="1">
      <alignment horizontal="right" vertical="center"/>
    </xf>
    <xf numFmtId="3" fontId="28" fillId="3" borderId="138" xfId="0" applyNumberFormat="1" applyFont="1" applyFill="1" applyBorder="1" applyAlignment="1">
      <alignment horizontal="center" vertical="center"/>
    </xf>
    <xf numFmtId="3" fontId="28" fillId="3" borderId="139" xfId="0" applyNumberFormat="1" applyFont="1" applyFill="1" applyBorder="1" applyAlignment="1">
      <alignment horizontal="center" vertical="center"/>
    </xf>
    <xf numFmtId="3" fontId="28" fillId="3" borderId="114" xfId="0" applyNumberFormat="1" applyFont="1" applyFill="1" applyBorder="1" applyAlignment="1">
      <alignment horizontal="center" vertical="center"/>
    </xf>
    <xf numFmtId="3" fontId="11" fillId="3" borderId="163" xfId="0" applyNumberFormat="1" applyFont="1" applyFill="1" applyBorder="1" applyAlignment="1">
      <alignment horizontal="left" vertical="center" wrapText="1"/>
    </xf>
    <xf numFmtId="165" fontId="29" fillId="3" borderId="189" xfId="0" applyNumberFormat="1" applyFont="1" applyFill="1" applyBorder="1" applyAlignment="1">
      <alignment horizontal="center" vertical="center"/>
    </xf>
    <xf numFmtId="3" fontId="29" fillId="3" borderId="190" xfId="0" applyNumberFormat="1" applyFont="1" applyFill="1" applyBorder="1" applyAlignment="1">
      <alignment horizontal="left" vertical="center" wrapText="1"/>
    </xf>
    <xf numFmtId="165" fontId="11" fillId="3" borderId="191" xfId="0" applyNumberFormat="1" applyFont="1" applyFill="1" applyBorder="1" applyAlignment="1">
      <alignment horizontal="center" vertical="center"/>
    </xf>
    <xf numFmtId="1" fontId="17" fillId="3" borderId="192" xfId="0" applyNumberFormat="1" applyFont="1" applyFill="1" applyBorder="1" applyAlignment="1">
      <alignment horizontal="center" vertical="center" wrapText="1"/>
    </xf>
    <xf numFmtId="3" fontId="28" fillId="3" borderId="193" xfId="0" applyNumberFormat="1" applyFont="1" applyFill="1" applyBorder="1" applyAlignment="1">
      <alignment horizontal="center" vertical="center"/>
    </xf>
    <xf numFmtId="165" fontId="29" fillId="3" borderId="194" xfId="0" applyNumberFormat="1" applyFont="1" applyFill="1" applyBorder="1" applyAlignment="1">
      <alignment horizontal="center" vertical="center"/>
    </xf>
    <xf numFmtId="3" fontId="31" fillId="3" borderId="183" xfId="0" applyNumberFormat="1" applyFont="1" applyFill="1" applyBorder="1" applyAlignment="1">
      <alignment vertical="center"/>
    </xf>
    <xf numFmtId="165" fontId="11" fillId="3" borderId="194" xfId="0" applyNumberFormat="1" applyFont="1" applyFill="1" applyBorder="1" applyAlignment="1">
      <alignment horizontal="center" vertical="center"/>
    </xf>
    <xf numFmtId="3" fontId="6" fillId="3" borderId="183" xfId="0" applyNumberFormat="1" applyFont="1" applyFill="1" applyBorder="1" applyAlignment="1">
      <alignment horizontal="right" vertical="center"/>
    </xf>
    <xf numFmtId="1" fontId="17" fillId="3" borderId="182" xfId="0" applyNumberFormat="1" applyFont="1" applyFill="1" applyBorder="1" applyAlignment="1">
      <alignment horizontal="center" vertical="center" wrapText="1"/>
    </xf>
    <xf numFmtId="3" fontId="28" fillId="3" borderId="195" xfId="0" applyNumberFormat="1" applyFont="1" applyFill="1" applyBorder="1" applyAlignment="1">
      <alignment horizontal="center" vertical="center"/>
    </xf>
    <xf numFmtId="165" fontId="17" fillId="3" borderId="194" xfId="0" applyNumberFormat="1" applyFont="1" applyFill="1" applyBorder="1" applyAlignment="1">
      <alignment horizontal="center" vertical="center"/>
    </xf>
    <xf numFmtId="165" fontId="6" fillId="3" borderId="194" xfId="0" applyNumberFormat="1" applyFont="1" applyFill="1" applyBorder="1" applyAlignment="1">
      <alignment horizontal="center" vertical="center"/>
    </xf>
    <xf numFmtId="3" fontId="6" fillId="3" borderId="133" xfId="0" applyNumberFormat="1" applyFont="1" applyFill="1" applyBorder="1" applyAlignment="1">
      <alignment horizontal="right" vertical="center"/>
    </xf>
    <xf numFmtId="3" fontId="31" fillId="3" borderId="183" xfId="0" applyNumberFormat="1" applyFont="1" applyFill="1" applyBorder="1" applyAlignment="1">
      <alignment horizontal="right" vertical="center"/>
    </xf>
    <xf numFmtId="165" fontId="11" fillId="3" borderId="182" xfId="0" applyNumberFormat="1" applyFont="1" applyFill="1" applyBorder="1" applyAlignment="1">
      <alignment horizontal="center" vertical="center"/>
    </xf>
    <xf numFmtId="3" fontId="6" fillId="3" borderId="195" xfId="0" applyNumberFormat="1" applyFont="1" applyFill="1" applyBorder="1" applyAlignment="1">
      <alignment horizontal="right" vertical="center"/>
    </xf>
    <xf numFmtId="165" fontId="10" fillId="3" borderId="194" xfId="0" applyNumberFormat="1" applyFont="1" applyFill="1" applyBorder="1" applyAlignment="1">
      <alignment horizontal="center" vertical="center"/>
    </xf>
    <xf numFmtId="165" fontId="11" fillId="3" borderId="196" xfId="0" applyNumberFormat="1" applyFont="1" applyFill="1" applyBorder="1" applyAlignment="1">
      <alignment horizontal="center" vertical="center"/>
    </xf>
    <xf numFmtId="3" fontId="6" fillId="3" borderId="173" xfId="0" applyNumberFormat="1" applyFont="1" applyFill="1" applyBorder="1" applyAlignment="1">
      <alignment horizontal="right" vertical="center"/>
    </xf>
    <xf numFmtId="1" fontId="17" fillId="3" borderId="180" xfId="0" applyNumberFormat="1" applyFont="1" applyFill="1" applyBorder="1" applyAlignment="1">
      <alignment horizontal="center" vertical="center" wrapText="1"/>
    </xf>
    <xf numFmtId="3" fontId="28" fillId="3" borderId="177" xfId="0" applyNumberFormat="1" applyFont="1" applyFill="1" applyBorder="1" applyAlignment="1">
      <alignment horizontal="center" vertical="center"/>
    </xf>
    <xf numFmtId="165" fontId="19" fillId="3" borderId="196" xfId="0" applyNumberFormat="1" applyFont="1" applyFill="1" applyBorder="1" applyAlignment="1">
      <alignment horizontal="center" vertical="center"/>
    </xf>
    <xf numFmtId="1" fontId="17" fillId="3" borderId="172" xfId="0" applyNumberFormat="1" applyFont="1" applyFill="1" applyBorder="1" applyAlignment="1">
      <alignment horizontal="center" vertical="center" wrapText="1"/>
    </xf>
    <xf numFmtId="3" fontId="28" fillId="3" borderId="175" xfId="0" applyNumberFormat="1" applyFont="1" applyFill="1" applyBorder="1" applyAlignment="1">
      <alignment horizontal="center" vertical="center"/>
    </xf>
    <xf numFmtId="165" fontId="10" fillId="3" borderId="197" xfId="0" applyNumberFormat="1" applyFont="1" applyFill="1" applyBorder="1" applyAlignment="1">
      <alignment horizontal="center" vertical="center"/>
    </xf>
    <xf numFmtId="3" fontId="31" fillId="3" borderId="181" xfId="0" applyNumberFormat="1" applyFont="1" applyFill="1" applyBorder="1" applyAlignment="1">
      <alignment horizontal="right" vertical="center"/>
    </xf>
    <xf numFmtId="165" fontId="19" fillId="3" borderId="194" xfId="0" applyNumberFormat="1" applyFont="1" applyFill="1" applyBorder="1" applyAlignment="1">
      <alignment horizontal="center" vertical="center"/>
    </xf>
    <xf numFmtId="165" fontId="19" fillId="3" borderId="198" xfId="0" applyNumberFormat="1" applyFont="1" applyFill="1" applyBorder="1" applyAlignment="1">
      <alignment horizontal="center" vertical="center"/>
    </xf>
    <xf numFmtId="3" fontId="18" fillId="3" borderId="199" xfId="0" applyNumberFormat="1" applyFont="1" applyFill="1" applyBorder="1" applyAlignment="1">
      <alignment horizontal="left" vertical="center" wrapText="1"/>
    </xf>
    <xf numFmtId="3" fontId="6" fillId="3" borderId="200" xfId="0" applyNumberFormat="1" applyFont="1" applyFill="1" applyBorder="1" applyAlignment="1">
      <alignment vertical="center"/>
    </xf>
    <xf numFmtId="3" fontId="6" fillId="3" borderId="187" xfId="0" applyNumberFormat="1" applyFont="1" applyFill="1" applyBorder="1" applyAlignment="1">
      <alignment horizontal="right" vertical="center"/>
    </xf>
    <xf numFmtId="3" fontId="6" fillId="3" borderId="201" xfId="0" applyNumberFormat="1" applyFont="1" applyFill="1" applyBorder="1" applyAlignment="1">
      <alignment horizontal="right" vertical="center"/>
    </xf>
    <xf numFmtId="3" fontId="6" fillId="3" borderId="186" xfId="0" applyNumberFormat="1" applyFont="1" applyFill="1" applyBorder="1" applyAlignment="1">
      <alignment horizontal="right" vertical="center"/>
    </xf>
    <xf numFmtId="3" fontId="31" fillId="5" borderId="187" xfId="0" applyNumberFormat="1" applyFont="1" applyFill="1" applyBorder="1" applyAlignment="1">
      <alignment vertical="center"/>
    </xf>
    <xf numFmtId="3" fontId="6" fillId="3" borderId="188" xfId="0" applyNumberFormat="1" applyFont="1" applyFill="1" applyBorder="1" applyAlignment="1">
      <alignment horizontal="right" vertical="center"/>
    </xf>
    <xf numFmtId="0" fontId="0" fillId="0" borderId="150" xfId="0" applyBorder="1"/>
    <xf numFmtId="1" fontId="17" fillId="3" borderId="123" xfId="0" applyNumberFormat="1" applyFont="1" applyFill="1" applyBorder="1" applyAlignment="1">
      <alignment horizontal="center" vertical="center" wrapText="1"/>
    </xf>
    <xf numFmtId="3" fontId="17" fillId="3" borderId="202" xfId="0" applyNumberFormat="1" applyFont="1" applyFill="1" applyBorder="1" applyAlignment="1">
      <alignment horizontal="center" vertical="center" wrapText="1"/>
    </xf>
    <xf numFmtId="165" fontId="6" fillId="3" borderId="163" xfId="0" applyNumberFormat="1" applyFont="1" applyFill="1" applyBorder="1" applyAlignment="1">
      <alignment horizontal="center" vertical="center"/>
    </xf>
    <xf numFmtId="3" fontId="18" fillId="3" borderId="163" xfId="0" applyNumberFormat="1" applyFont="1" applyFill="1" applyBorder="1" applyAlignment="1">
      <alignment horizontal="left" vertical="center" wrapText="1"/>
    </xf>
    <xf numFmtId="165" fontId="11" fillId="3" borderId="163" xfId="0" applyNumberFormat="1" applyFont="1" applyFill="1" applyBorder="1" applyAlignment="1">
      <alignment horizontal="center" vertical="center"/>
    </xf>
    <xf numFmtId="3" fontId="19" fillId="3" borderId="107" xfId="0" applyNumberFormat="1" applyFont="1" applyFill="1" applyBorder="1" applyAlignment="1">
      <alignment horizontal="left" vertical="center" wrapText="1"/>
    </xf>
    <xf numFmtId="3" fontId="18" fillId="8" borderId="163" xfId="0" applyNumberFormat="1" applyFont="1" applyFill="1" applyBorder="1" applyAlignment="1">
      <alignment vertical="center"/>
    </xf>
    <xf numFmtId="3" fontId="31" fillId="3" borderId="113" xfId="0" applyNumberFormat="1" applyFont="1" applyFill="1" applyBorder="1" applyAlignment="1">
      <alignment vertical="center"/>
    </xf>
    <xf numFmtId="3" fontId="6" fillId="3" borderId="160" xfId="0" applyNumberFormat="1" applyFont="1" applyFill="1" applyBorder="1" applyAlignment="1">
      <alignment horizontal="right" vertical="center"/>
    </xf>
    <xf numFmtId="3" fontId="28" fillId="3" borderId="202" xfId="0" applyNumberFormat="1" applyFont="1" applyFill="1" applyBorder="1" applyAlignment="1">
      <alignment horizontal="center" vertical="center"/>
    </xf>
    <xf numFmtId="3" fontId="31" fillId="3" borderId="163" xfId="0" applyNumberFormat="1" applyFont="1" applyFill="1" applyBorder="1" applyAlignment="1">
      <alignment vertical="center"/>
    </xf>
    <xf numFmtId="3" fontId="6" fillId="3" borderId="163" xfId="0" applyNumberFormat="1" applyFont="1" applyFill="1" applyBorder="1" applyAlignment="1">
      <alignment horizontal="right" vertical="center"/>
    </xf>
    <xf numFmtId="3" fontId="6" fillId="3" borderId="118" xfId="0" applyNumberFormat="1" applyFont="1" applyFill="1" applyBorder="1" applyAlignment="1">
      <alignment horizontal="right" vertical="center"/>
    </xf>
    <xf numFmtId="3" fontId="6" fillId="3" borderId="203" xfId="0" applyNumberFormat="1" applyFont="1" applyFill="1" applyBorder="1" applyAlignment="1">
      <alignment horizontal="right" vertical="center"/>
    </xf>
    <xf numFmtId="3" fontId="31" fillId="3" borderId="163" xfId="0" applyNumberFormat="1" applyFont="1" applyFill="1" applyBorder="1" applyAlignment="1">
      <alignment horizontal="right" vertical="center"/>
    </xf>
    <xf numFmtId="3" fontId="31" fillId="5" borderId="138" xfId="0" applyNumberFormat="1" applyFont="1" applyFill="1" applyBorder="1" applyAlignment="1">
      <alignment vertical="center"/>
    </xf>
    <xf numFmtId="3" fontId="31" fillId="5" borderId="111" xfId="0" applyNumberFormat="1" applyFont="1" applyFill="1" applyBorder="1" applyAlignment="1">
      <alignment vertical="center"/>
    </xf>
    <xf numFmtId="3" fontId="28" fillId="3" borderId="103" xfId="0" applyNumberFormat="1" applyFont="1" applyFill="1" applyBorder="1" applyAlignment="1">
      <alignment vertical="center"/>
    </xf>
    <xf numFmtId="3" fontId="31" fillId="5" borderId="204" xfId="0" applyNumberFormat="1" applyFont="1" applyFill="1" applyBorder="1" applyAlignment="1">
      <alignment vertical="center"/>
    </xf>
    <xf numFmtId="3" fontId="28" fillId="3" borderId="46" xfId="0" applyNumberFormat="1" applyFont="1" applyFill="1" applyBorder="1" applyAlignment="1">
      <alignment horizontal="center" vertical="center"/>
    </xf>
    <xf numFmtId="3" fontId="6" fillId="3" borderId="202" xfId="0" applyNumberFormat="1" applyFont="1" applyFill="1" applyBorder="1" applyAlignment="1">
      <alignment vertical="center"/>
    </xf>
    <xf numFmtId="3" fontId="6" fillId="3" borderId="202" xfId="0" applyNumberFormat="1" applyFont="1" applyFill="1" applyBorder="1" applyAlignment="1">
      <alignment horizontal="right" vertical="center"/>
    </xf>
    <xf numFmtId="3" fontId="6" fillId="3" borderId="163" xfId="0" applyNumberFormat="1" applyFont="1" applyFill="1" applyBorder="1" applyAlignment="1">
      <alignment vertical="center"/>
    </xf>
    <xf numFmtId="3" fontId="31" fillId="3" borderId="117" xfId="0" applyNumberFormat="1" applyFont="1" applyFill="1" applyBorder="1" applyAlignment="1">
      <alignment vertical="center"/>
    </xf>
    <xf numFmtId="3" fontId="6" fillId="3" borderId="155" xfId="0" applyNumberFormat="1" applyFont="1" applyFill="1" applyBorder="1" applyAlignment="1">
      <alignment vertical="center"/>
    </xf>
    <xf numFmtId="3" fontId="6" fillId="3" borderId="206" xfId="0" applyNumberFormat="1" applyFont="1" applyFill="1" applyBorder="1" applyAlignment="1">
      <alignment vertical="center"/>
    </xf>
    <xf numFmtId="3" fontId="6" fillId="3" borderId="207" xfId="0" applyNumberFormat="1" applyFont="1" applyFill="1" applyBorder="1" applyAlignment="1">
      <alignment horizontal="right" vertical="center"/>
    </xf>
    <xf numFmtId="3" fontId="6" fillId="3" borderId="117" xfId="0" applyNumberFormat="1" applyFont="1" applyFill="1" applyBorder="1" applyAlignment="1">
      <alignment horizontal="right" vertical="center"/>
    </xf>
    <xf numFmtId="3" fontId="6" fillId="3" borderId="41" xfId="0" applyNumberFormat="1" applyFont="1" applyFill="1" applyBorder="1" applyAlignment="1">
      <alignment horizontal="right" vertical="center"/>
    </xf>
    <xf numFmtId="3" fontId="6" fillId="3" borderId="205" xfId="0" applyNumberFormat="1" applyFont="1" applyFill="1" applyBorder="1" applyAlignment="1">
      <alignment horizontal="right" vertical="center"/>
    </xf>
    <xf numFmtId="3" fontId="6" fillId="3" borderId="66" xfId="0" applyNumberFormat="1" applyFont="1" applyFill="1" applyBorder="1" applyAlignment="1">
      <alignment vertical="center"/>
    </xf>
    <xf numFmtId="3" fontId="28" fillId="3" borderId="160" xfId="0" applyNumberFormat="1" applyFont="1" applyFill="1" applyBorder="1" applyAlignment="1">
      <alignment horizontal="center" vertical="center"/>
    </xf>
    <xf numFmtId="3" fontId="28" fillId="3" borderId="124" xfId="0" applyNumberFormat="1" applyFont="1" applyFill="1" applyBorder="1" applyAlignment="1">
      <alignment horizontal="center" vertical="center"/>
    </xf>
    <xf numFmtId="3" fontId="31" fillId="9" borderId="113" xfId="0" applyNumberFormat="1" applyFont="1" applyFill="1" applyBorder="1" applyAlignment="1">
      <alignment vertical="center"/>
    </xf>
    <xf numFmtId="165" fontId="11" fillId="3" borderId="106" xfId="0" applyNumberFormat="1" applyFont="1" applyFill="1" applyBorder="1" applyAlignment="1">
      <alignment horizontal="left" vertical="center"/>
    </xf>
    <xf numFmtId="165" fontId="6" fillId="3" borderId="106" xfId="0" applyNumberFormat="1" applyFont="1" applyFill="1" applyBorder="1" applyAlignment="1">
      <alignment horizontal="left" vertical="center"/>
    </xf>
    <xf numFmtId="3" fontId="6" fillId="3" borderId="179" xfId="0" applyNumberFormat="1" applyFont="1" applyFill="1" applyBorder="1" applyAlignment="1">
      <alignment horizontal="right" vertical="center"/>
    </xf>
    <xf numFmtId="3" fontId="31" fillId="3" borderId="138" xfId="0" applyNumberFormat="1" applyFont="1" applyFill="1" applyBorder="1" applyAlignment="1">
      <alignment vertical="center"/>
    </xf>
    <xf numFmtId="3" fontId="31" fillId="3" borderId="111" xfId="0" applyNumberFormat="1" applyFont="1" applyFill="1" applyBorder="1" applyAlignment="1">
      <alignment vertical="center"/>
    </xf>
    <xf numFmtId="3" fontId="31" fillId="16" borderId="107" xfId="0" applyNumberFormat="1" applyFont="1" applyFill="1" applyBorder="1" applyAlignment="1">
      <alignment vertical="center"/>
    </xf>
    <xf numFmtId="3" fontId="18" fillId="16" borderId="69" xfId="0" applyNumberFormat="1" applyFont="1" applyFill="1" applyBorder="1" applyAlignment="1">
      <alignment vertical="center"/>
    </xf>
    <xf numFmtId="3" fontId="28" fillId="16" borderId="25" xfId="0" applyNumberFormat="1" applyFont="1" applyFill="1" applyBorder="1" applyAlignment="1">
      <alignment vertical="center"/>
    </xf>
    <xf numFmtId="3" fontId="17" fillId="16" borderId="25" xfId="0" applyNumberFormat="1" applyFont="1" applyFill="1" applyBorder="1" applyAlignment="1">
      <alignment horizontal="center" vertical="center"/>
    </xf>
    <xf numFmtId="3" fontId="28" fillId="16" borderId="92" xfId="0" applyNumberFormat="1" applyFont="1" applyFill="1" applyBorder="1" applyAlignment="1">
      <alignment horizontal="center" vertical="center"/>
    </xf>
    <xf numFmtId="3" fontId="28" fillId="16" borderId="69" xfId="0" applyNumberFormat="1" applyFont="1" applyFill="1" applyBorder="1" applyAlignment="1">
      <alignment horizontal="right" vertical="center"/>
    </xf>
    <xf numFmtId="3" fontId="18" fillId="16" borderId="22" xfId="0" applyNumberFormat="1" applyFont="1" applyFill="1" applyBorder="1" applyAlignment="1">
      <alignment vertical="center"/>
    </xf>
    <xf numFmtId="3" fontId="18" fillId="16" borderId="163" xfId="0" applyNumberFormat="1" applyFont="1" applyFill="1" applyBorder="1" applyAlignment="1">
      <alignment vertical="center"/>
    </xf>
    <xf numFmtId="3" fontId="28" fillId="10" borderId="8" xfId="0" applyNumberFormat="1" applyFont="1" applyFill="1" applyBorder="1" applyAlignment="1">
      <alignment horizontal="right" vertical="center"/>
    </xf>
    <xf numFmtId="3" fontId="36" fillId="10" borderId="0" xfId="0" applyNumberFormat="1" applyFont="1" applyFill="1"/>
    <xf numFmtId="3" fontId="28" fillId="16" borderId="30" xfId="0" applyNumberFormat="1" applyFont="1" applyFill="1" applyBorder="1" applyAlignment="1">
      <alignment vertical="center"/>
    </xf>
    <xf numFmtId="3" fontId="28" fillId="16" borderId="92" xfId="0" applyNumberFormat="1" applyFont="1" applyFill="1" applyBorder="1" applyAlignment="1">
      <alignment vertical="center"/>
    </xf>
    <xf numFmtId="0" fontId="0" fillId="10" borderId="150" xfId="0" applyFill="1" applyBorder="1"/>
    <xf numFmtId="0" fontId="57" fillId="11" borderId="208" xfId="15" applyFont="1" applyFill="1" applyBorder="1" applyAlignment="1">
      <alignment horizontal="left" vertical="center" wrapText="1"/>
    </xf>
    <xf numFmtId="0" fontId="57" fillId="11" borderId="165" xfId="15" applyFont="1" applyFill="1" applyBorder="1" applyAlignment="1">
      <alignment horizontal="left" vertical="center" wrapText="1"/>
    </xf>
    <xf numFmtId="0" fontId="57" fillId="11" borderId="164" xfId="15" applyFont="1" applyFill="1" applyBorder="1" applyAlignment="1">
      <alignment horizontal="left" vertical="center" wrapText="1"/>
    </xf>
    <xf numFmtId="0" fontId="1" fillId="0" borderId="163" xfId="8" applyBorder="1" applyAlignment="1">
      <alignment vertical="center"/>
    </xf>
    <xf numFmtId="3" fontId="29" fillId="0" borderId="116" xfId="0" quotePrefix="1" applyNumberFormat="1" applyFont="1" applyBorder="1" applyAlignment="1">
      <alignment horizontal="left" vertical="center" wrapText="1"/>
    </xf>
    <xf numFmtId="0" fontId="4" fillId="10" borderId="210" xfId="11" applyFont="1" applyFill="1" applyBorder="1" applyAlignment="1">
      <alignment horizontal="left" vertical="center" wrapText="1"/>
    </xf>
    <xf numFmtId="3" fontId="4" fillId="3" borderId="116" xfId="0" applyNumberFormat="1" applyFont="1" applyFill="1" applyBorder="1" applyAlignment="1">
      <alignment horizontal="left" vertical="center" wrapText="1"/>
    </xf>
    <xf numFmtId="3" fontId="31" fillId="0" borderId="211" xfId="0" applyNumberFormat="1" applyFont="1" applyBorder="1" applyAlignment="1">
      <alignment vertical="center"/>
    </xf>
    <xf numFmtId="3" fontId="62" fillId="5" borderId="212" xfId="0" applyNumberFormat="1" applyFont="1" applyFill="1" applyBorder="1" applyAlignment="1">
      <alignment vertical="center"/>
    </xf>
    <xf numFmtId="3" fontId="31" fillId="5" borderId="212" xfId="0" applyNumberFormat="1" applyFont="1" applyFill="1" applyBorder="1" applyAlignment="1">
      <alignment vertical="center"/>
    </xf>
    <xf numFmtId="3" fontId="6" fillId="5" borderId="212" xfId="0" applyNumberFormat="1" applyFont="1" applyFill="1" applyBorder="1" applyAlignment="1">
      <alignment vertical="center"/>
    </xf>
    <xf numFmtId="3" fontId="63" fillId="5" borderId="213" xfId="0" applyNumberFormat="1" applyFont="1" applyFill="1" applyBorder="1" applyAlignment="1">
      <alignment vertical="center"/>
    </xf>
    <xf numFmtId="3" fontId="29" fillId="3" borderId="116" xfId="0" quotePrefix="1" applyNumberFormat="1" applyFont="1" applyFill="1" applyBorder="1" applyAlignment="1">
      <alignment horizontal="left" vertical="center" wrapText="1"/>
    </xf>
    <xf numFmtId="0" fontId="1" fillId="0" borderId="210" xfId="8" applyBorder="1" applyAlignment="1">
      <alignment vertical="center"/>
    </xf>
    <xf numFmtId="3" fontId="11" fillId="3" borderId="114" xfId="0" applyNumberFormat="1" applyFont="1" applyFill="1" applyBorder="1" applyAlignment="1">
      <alignment horizontal="left" vertical="center" wrapText="1"/>
    </xf>
    <xf numFmtId="3" fontId="31" fillId="3" borderId="211" xfId="0" applyNumberFormat="1" applyFont="1" applyFill="1" applyBorder="1" applyAlignment="1">
      <alignment vertical="center"/>
    </xf>
    <xf numFmtId="3" fontId="6" fillId="5" borderId="214" xfId="0" applyNumberFormat="1" applyFont="1" applyFill="1" applyBorder="1" applyAlignment="1">
      <alignment vertical="center"/>
    </xf>
    <xf numFmtId="3" fontId="62" fillId="5" borderId="215" xfId="0" applyNumberFormat="1" applyFont="1" applyFill="1" applyBorder="1" applyAlignment="1">
      <alignment vertical="center"/>
    </xf>
    <xf numFmtId="3" fontId="6" fillId="5" borderId="216" xfId="0" applyNumberFormat="1" applyFont="1" applyFill="1" applyBorder="1" applyAlignment="1">
      <alignment vertical="center"/>
    </xf>
    <xf numFmtId="3" fontId="62" fillId="5" borderId="209" xfId="0" applyNumberFormat="1" applyFont="1" applyFill="1" applyBorder="1" applyAlignment="1">
      <alignment vertical="center"/>
    </xf>
    <xf numFmtId="3" fontId="4" fillId="16" borderId="116" xfId="0" applyNumberFormat="1" applyFont="1" applyFill="1" applyBorder="1" applyAlignment="1">
      <alignment horizontal="left" vertical="center" wrapText="1"/>
    </xf>
    <xf numFmtId="3" fontId="6" fillId="16" borderId="133" xfId="0" applyNumberFormat="1" applyFont="1" applyFill="1" applyBorder="1" applyAlignment="1">
      <alignment horizontal="right" vertical="center"/>
    </xf>
    <xf numFmtId="3" fontId="62" fillId="5" borderId="213" xfId="0" applyNumberFormat="1" applyFont="1" applyFill="1" applyBorder="1" applyAlignment="1">
      <alignment vertical="center"/>
    </xf>
    <xf numFmtId="3" fontId="63" fillId="5" borderId="212" xfId="0" applyNumberFormat="1" applyFont="1" applyFill="1" applyBorder="1" applyAlignment="1">
      <alignment vertical="center"/>
    </xf>
    <xf numFmtId="3" fontId="6" fillId="3" borderId="212" xfId="0" applyNumberFormat="1" applyFont="1" applyFill="1" applyBorder="1" applyAlignment="1">
      <alignment vertical="center"/>
    </xf>
    <xf numFmtId="3" fontId="28" fillId="3" borderId="151" xfId="0" applyNumberFormat="1" applyFont="1" applyFill="1" applyBorder="1" applyAlignment="1">
      <alignment horizontal="center" vertical="center"/>
    </xf>
    <xf numFmtId="3" fontId="31" fillId="3" borderId="211" xfId="0" applyNumberFormat="1" applyFont="1" applyFill="1" applyBorder="1" applyAlignment="1">
      <alignment horizontal="right" vertical="center"/>
    </xf>
    <xf numFmtId="3" fontId="31" fillId="3" borderId="212" xfId="0" applyNumberFormat="1" applyFont="1" applyFill="1" applyBorder="1" applyAlignment="1">
      <alignment vertical="center"/>
    </xf>
    <xf numFmtId="3" fontId="31" fillId="3" borderId="212" xfId="0" applyNumberFormat="1" applyFont="1" applyFill="1" applyBorder="1" applyAlignment="1">
      <alignment horizontal="right" vertical="center"/>
    </xf>
    <xf numFmtId="3" fontId="6" fillId="5" borderId="213" xfId="0" applyNumberFormat="1" applyFont="1" applyFill="1" applyBorder="1" applyAlignment="1">
      <alignment vertical="center"/>
    </xf>
    <xf numFmtId="3" fontId="18" fillId="3" borderId="46" xfId="0" applyNumberFormat="1" applyFont="1" applyFill="1" applyBorder="1" applyAlignment="1">
      <alignment horizontal="center" vertical="center"/>
    </xf>
    <xf numFmtId="3" fontId="29" fillId="3" borderId="112" xfId="0" quotePrefix="1" applyNumberFormat="1" applyFont="1" applyFill="1" applyBorder="1" applyAlignment="1">
      <alignment horizontal="left" vertical="center" wrapText="1"/>
    </xf>
    <xf numFmtId="3" fontId="11" fillId="3" borderId="112" xfId="0" applyNumberFormat="1" applyFont="1" applyFill="1" applyBorder="1" applyAlignment="1">
      <alignment horizontal="left" vertical="center" wrapText="1"/>
    </xf>
    <xf numFmtId="1" fontId="17" fillId="3" borderId="118" xfId="0" applyNumberFormat="1" applyFont="1" applyFill="1" applyBorder="1" applyAlignment="1">
      <alignment horizontal="center" vertical="center" wrapText="1"/>
    </xf>
    <xf numFmtId="165" fontId="29" fillId="3" borderId="163" xfId="0" applyNumberFormat="1" applyFont="1" applyFill="1" applyBorder="1" applyAlignment="1">
      <alignment horizontal="center" vertical="center"/>
    </xf>
    <xf numFmtId="0" fontId="57" fillId="11" borderId="163" xfId="1" applyFont="1" applyFill="1" applyBorder="1" applyAlignment="1">
      <alignment horizontal="left" vertical="center"/>
    </xf>
    <xf numFmtId="3" fontId="63" fillId="3" borderId="217" xfId="0" applyNumberFormat="1" applyFont="1" applyFill="1" applyBorder="1" applyAlignment="1">
      <alignment vertical="center"/>
    </xf>
    <xf numFmtId="3" fontId="31" fillId="3" borderId="216" xfId="0" applyNumberFormat="1" applyFont="1" applyFill="1" applyBorder="1" applyAlignment="1">
      <alignment horizontal="right" vertical="center"/>
    </xf>
    <xf numFmtId="1" fontId="23" fillId="3" borderId="105" xfId="0" applyNumberFormat="1" applyFont="1" applyFill="1" applyBorder="1" applyAlignment="1">
      <alignment horizontal="center" vertical="center"/>
    </xf>
    <xf numFmtId="3" fontId="34" fillId="3" borderId="73" xfId="0" applyNumberFormat="1" applyFont="1" applyFill="1" applyBorder="1" applyAlignment="1">
      <alignment horizontal="left" vertical="center" wrapText="1"/>
    </xf>
    <xf numFmtId="169" fontId="58" fillId="10" borderId="210" xfId="2" applyNumberFormat="1" applyFont="1" applyFill="1" applyBorder="1" applyAlignment="1">
      <alignment horizontal="left" vertical="center" wrapText="1"/>
    </xf>
    <xf numFmtId="3" fontId="0" fillId="3" borderId="105" xfId="0" applyNumberFormat="1" applyFill="1" applyBorder="1" applyAlignment="1">
      <alignment horizontal="left" vertical="center" wrapText="1"/>
    </xf>
    <xf numFmtId="3" fontId="0" fillId="17" borderId="105" xfId="0" applyNumberFormat="1" applyFill="1" applyBorder="1" applyAlignment="1">
      <alignment horizontal="left" vertical="center" wrapText="1"/>
    </xf>
    <xf numFmtId="3" fontId="28" fillId="3" borderId="140" xfId="0" applyNumberFormat="1" applyFont="1" applyFill="1" applyBorder="1" applyAlignment="1">
      <alignment vertical="center"/>
    </xf>
    <xf numFmtId="3" fontId="28" fillId="3" borderId="211" xfId="0" applyNumberFormat="1" applyFont="1" applyFill="1" applyBorder="1" applyAlignment="1">
      <alignment vertical="center"/>
    </xf>
    <xf numFmtId="3" fontId="31" fillId="5" borderId="213" xfId="0" applyNumberFormat="1" applyFont="1" applyFill="1" applyBorder="1" applyAlignment="1">
      <alignment vertical="center"/>
    </xf>
    <xf numFmtId="3" fontId="17" fillId="3" borderId="73" xfId="0" applyNumberFormat="1" applyFont="1" applyFill="1" applyBorder="1" applyAlignment="1">
      <alignment horizontal="left" vertical="center" wrapText="1"/>
    </xf>
    <xf numFmtId="3" fontId="11" fillId="0" borderId="105" xfId="0" applyNumberFormat="1" applyFont="1" applyBorder="1" applyAlignment="1">
      <alignment horizontal="left" vertical="center" wrapText="1"/>
    </xf>
    <xf numFmtId="0" fontId="66" fillId="0" borderId="161" xfId="1" applyFont="1" applyBorder="1" applyAlignment="1">
      <alignment horizontal="left" vertical="center"/>
    </xf>
    <xf numFmtId="3" fontId="56" fillId="3" borderId="130" xfId="0" applyNumberFormat="1" applyFont="1" applyFill="1" applyBorder="1" applyAlignment="1">
      <alignment horizontal="left" vertical="center" wrapText="1"/>
    </xf>
    <xf numFmtId="3" fontId="56" fillId="16" borderId="130" xfId="0" applyNumberFormat="1" applyFont="1" applyFill="1" applyBorder="1" applyAlignment="1">
      <alignment horizontal="left" vertical="center" wrapText="1"/>
    </xf>
    <xf numFmtId="3" fontId="4" fillId="0" borderId="130" xfId="0" applyNumberFormat="1" applyFont="1" applyBorder="1" applyAlignment="1">
      <alignment horizontal="left" vertical="center" wrapText="1"/>
    </xf>
    <xf numFmtId="3" fontId="31" fillId="16" borderId="103" xfId="0" applyNumberFormat="1" applyFont="1" applyFill="1" applyBorder="1" applyAlignment="1">
      <alignment horizontal="right" vertical="center"/>
    </xf>
    <xf numFmtId="3" fontId="18" fillId="19" borderId="104" xfId="0" applyNumberFormat="1" applyFont="1" applyFill="1" applyBorder="1" applyAlignment="1">
      <alignment vertical="center"/>
    </xf>
    <xf numFmtId="3" fontId="18" fillId="19" borderId="85" xfId="0" applyNumberFormat="1" applyFont="1" applyFill="1" applyBorder="1" applyAlignment="1">
      <alignment vertical="center"/>
    </xf>
    <xf numFmtId="3" fontId="18" fillId="8" borderId="104" xfId="0" applyNumberFormat="1" applyFont="1" applyFill="1" applyBorder="1" applyAlignment="1">
      <alignment vertical="center"/>
    </xf>
    <xf numFmtId="3" fontId="18" fillId="8" borderId="107" xfId="0" applyNumberFormat="1" applyFont="1" applyFill="1" applyBorder="1" applyAlignment="1">
      <alignment vertical="center"/>
    </xf>
    <xf numFmtId="3" fontId="11" fillId="19" borderId="150" xfId="0" applyNumberFormat="1" applyFont="1" applyFill="1" applyBorder="1" applyAlignment="1">
      <alignment vertical="center"/>
    </xf>
    <xf numFmtId="3" fontId="18" fillId="8" borderId="85" xfId="0" applyNumberFormat="1" applyFont="1" applyFill="1" applyBorder="1" applyAlignment="1">
      <alignment vertical="center"/>
    </xf>
    <xf numFmtId="3" fontId="18" fillId="8" borderId="54" xfId="0" applyNumberFormat="1" applyFont="1" applyFill="1" applyBorder="1" applyAlignment="1">
      <alignment vertical="center"/>
    </xf>
    <xf numFmtId="165" fontId="11" fillId="21" borderId="106" xfId="0" applyNumberFormat="1" applyFont="1" applyFill="1" applyBorder="1" applyAlignment="1">
      <alignment horizontal="center" vertical="center"/>
    </xf>
    <xf numFmtId="3" fontId="11" fillId="21" borderId="107" xfId="0" applyNumberFormat="1" applyFont="1" applyFill="1" applyBorder="1" applyAlignment="1">
      <alignment horizontal="left" vertical="center" wrapText="1"/>
    </xf>
    <xf numFmtId="165" fontId="6" fillId="21" borderId="106" xfId="0" applyNumberFormat="1" applyFont="1" applyFill="1" applyBorder="1" applyAlignment="1">
      <alignment horizontal="center" vertical="center"/>
    </xf>
    <xf numFmtId="3" fontId="18" fillId="21" borderId="107" xfId="0" applyNumberFormat="1" applyFont="1" applyFill="1" applyBorder="1" applyAlignment="1">
      <alignment horizontal="left" vertical="center" wrapText="1"/>
    </xf>
    <xf numFmtId="3" fontId="6" fillId="21" borderId="116" xfId="0" applyNumberFormat="1" applyFont="1" applyFill="1" applyBorder="1" applyAlignment="1">
      <alignment horizontal="right" vertical="center"/>
    </xf>
    <xf numFmtId="3" fontId="6" fillId="21" borderId="115" xfId="0" applyNumberFormat="1" applyFont="1" applyFill="1" applyBorder="1" applyAlignment="1">
      <alignment vertical="center"/>
    </xf>
    <xf numFmtId="3" fontId="18" fillId="21" borderId="104" xfId="0" applyNumberFormat="1" applyFont="1" applyFill="1" applyBorder="1" applyAlignment="1">
      <alignment vertical="center"/>
    </xf>
    <xf numFmtId="3" fontId="28" fillId="21" borderId="99" xfId="0" applyNumberFormat="1" applyFont="1" applyFill="1" applyBorder="1" applyAlignment="1">
      <alignment horizontal="right" vertical="center"/>
    </xf>
    <xf numFmtId="3" fontId="62" fillId="5" borderId="133" xfId="0" applyNumberFormat="1" applyFont="1" applyFill="1" applyBorder="1" applyAlignment="1">
      <alignment vertical="center"/>
    </xf>
    <xf numFmtId="3" fontId="28" fillId="8" borderId="104" xfId="0" applyNumberFormat="1" applyFont="1" applyFill="1" applyBorder="1" applyAlignment="1">
      <alignment horizontal="right" vertical="center"/>
    </xf>
    <xf numFmtId="3" fontId="28" fillId="19" borderId="104" xfId="0" applyNumberFormat="1" applyFont="1" applyFill="1" applyBorder="1" applyAlignment="1">
      <alignment horizontal="right" vertical="center"/>
    </xf>
    <xf numFmtId="3" fontId="63" fillId="0" borderId="104" xfId="0" applyNumberFormat="1" applyFont="1" applyBorder="1" applyAlignment="1">
      <alignment vertical="center"/>
    </xf>
    <xf numFmtId="3" fontId="63" fillId="0" borderId="85" xfId="0" applyNumberFormat="1" applyFont="1" applyBorder="1" applyAlignment="1">
      <alignment vertical="center"/>
    </xf>
    <xf numFmtId="3" fontId="67" fillId="3" borderId="21" xfId="0" applyNumberFormat="1" applyFont="1" applyFill="1" applyBorder="1" applyAlignment="1">
      <alignment vertical="center"/>
    </xf>
    <xf numFmtId="3" fontId="68" fillId="3" borderId="99" xfId="0" applyNumberFormat="1" applyFont="1" applyFill="1" applyBorder="1" applyAlignment="1">
      <alignment horizontal="right" vertical="center"/>
    </xf>
    <xf numFmtId="3" fontId="67" fillId="3" borderId="17" xfId="0" applyNumberFormat="1" applyFont="1" applyFill="1" applyBorder="1" applyAlignment="1">
      <alignment vertical="center"/>
    </xf>
    <xf numFmtId="3" fontId="68" fillId="3" borderId="98" xfId="0" applyNumberFormat="1" applyFont="1" applyFill="1" applyBorder="1" applyAlignment="1">
      <alignment horizontal="right" vertical="center"/>
    </xf>
    <xf numFmtId="3" fontId="68" fillId="3" borderId="104" xfId="0" applyNumberFormat="1" applyFont="1" applyFill="1" applyBorder="1" applyAlignment="1">
      <alignment horizontal="right" vertical="center"/>
    </xf>
    <xf numFmtId="3" fontId="62" fillId="3" borderId="104" xfId="0" applyNumberFormat="1" applyFont="1" applyFill="1" applyBorder="1" applyAlignment="1">
      <alignment horizontal="right" vertical="center"/>
    </xf>
    <xf numFmtId="3" fontId="63" fillId="5" borderId="85" xfId="0" applyNumberFormat="1" applyFont="1" applyFill="1" applyBorder="1" applyAlignment="1">
      <alignment vertical="center"/>
    </xf>
    <xf numFmtId="0" fontId="69" fillId="0" borderId="0" xfId="0" applyFont="1"/>
    <xf numFmtId="3" fontId="31" fillId="16" borderId="98" xfId="0" applyNumberFormat="1" applyFont="1" applyFill="1" applyBorder="1" applyAlignment="1">
      <alignment horizontal="right" vertical="center"/>
    </xf>
    <xf numFmtId="165" fontId="70" fillId="3" borderId="106" xfId="0" applyNumberFormat="1" applyFont="1" applyFill="1" applyBorder="1" applyAlignment="1">
      <alignment horizontal="center" vertical="center"/>
    </xf>
    <xf numFmtId="170" fontId="31" fillId="5" borderId="104" xfId="30" applyNumberFormat="1" applyFont="1" applyFill="1" applyBorder="1" applyAlignment="1">
      <alignment vertical="center"/>
    </xf>
    <xf numFmtId="171" fontId="0" fillId="0" borderId="0" xfId="30" applyNumberFormat="1" applyFont="1"/>
    <xf numFmtId="171" fontId="31" fillId="3" borderId="150" xfId="30" applyNumberFormat="1" applyFont="1" applyFill="1" applyBorder="1" applyAlignment="1">
      <alignment vertical="center"/>
    </xf>
    <xf numFmtId="171" fontId="0" fillId="0" borderId="0" xfId="0" applyNumberFormat="1"/>
    <xf numFmtId="3" fontId="0" fillId="0" borderId="0" xfId="0" applyNumberFormat="1"/>
    <xf numFmtId="1" fontId="19" fillId="19" borderId="105" xfId="0" applyNumberFormat="1" applyFont="1" applyFill="1" applyBorder="1" applyAlignment="1">
      <alignment horizontal="center" vertical="center"/>
    </xf>
    <xf numFmtId="3" fontId="11" fillId="19" borderId="105" xfId="0" applyNumberFormat="1" applyFont="1" applyFill="1" applyBorder="1" applyAlignment="1">
      <alignment horizontal="left" vertical="center" wrapText="1"/>
    </xf>
    <xf numFmtId="3" fontId="31" fillId="22" borderId="106" xfId="0" applyNumberFormat="1" applyFont="1" applyFill="1" applyBorder="1" applyAlignment="1">
      <alignment vertical="center"/>
    </xf>
    <xf numFmtId="3" fontId="31" fillId="22" borderId="104" xfId="0" applyNumberFormat="1" applyFont="1" applyFill="1" applyBorder="1" applyAlignment="1">
      <alignment vertical="center"/>
    </xf>
    <xf numFmtId="3" fontId="11" fillId="19" borderId="17" xfId="0" applyNumberFormat="1" applyFont="1" applyFill="1" applyBorder="1" applyAlignment="1">
      <alignment vertical="center"/>
    </xf>
    <xf numFmtId="3" fontId="31" fillId="22" borderId="107" xfId="0" applyNumberFormat="1" applyFont="1" applyFill="1" applyBorder="1" applyAlignment="1">
      <alignment vertical="center"/>
    </xf>
    <xf numFmtId="165" fontId="11" fillId="19" borderId="106" xfId="0" applyNumberFormat="1" applyFont="1" applyFill="1" applyBorder="1" applyAlignment="1">
      <alignment horizontal="center" vertical="center"/>
    </xf>
    <xf numFmtId="3" fontId="11" fillId="19" borderId="107" xfId="0" applyNumberFormat="1" applyFont="1" applyFill="1" applyBorder="1" applyAlignment="1">
      <alignment horizontal="left" vertical="center" wrapText="1"/>
    </xf>
    <xf numFmtId="3" fontId="6" fillId="19" borderId="115" xfId="0" applyNumberFormat="1" applyFont="1" applyFill="1" applyBorder="1" applyAlignment="1">
      <alignment vertical="center"/>
    </xf>
    <xf numFmtId="3" fontId="6" fillId="19" borderId="104" xfId="0" applyNumberFormat="1" applyFont="1" applyFill="1" applyBorder="1" applyAlignment="1">
      <alignment horizontal="right" vertical="center"/>
    </xf>
    <xf numFmtId="3" fontId="6" fillId="19" borderId="116" xfId="0" applyNumberFormat="1" applyFont="1" applyFill="1" applyBorder="1" applyAlignment="1">
      <alignment horizontal="right" vertical="center"/>
    </xf>
    <xf numFmtId="3" fontId="6" fillId="19" borderId="106" xfId="0" applyNumberFormat="1" applyFont="1" applyFill="1" applyBorder="1" applyAlignment="1">
      <alignment horizontal="right" vertical="center"/>
    </xf>
    <xf numFmtId="170" fontId="31" fillId="22" borderId="104" xfId="30" applyNumberFormat="1" applyFont="1" applyFill="1" applyBorder="1" applyAlignment="1">
      <alignment vertical="center"/>
    </xf>
    <xf numFmtId="3" fontId="6" fillId="19" borderId="107" xfId="0" applyNumberFormat="1" applyFont="1" applyFill="1" applyBorder="1" applyAlignment="1">
      <alignment horizontal="right" vertical="center"/>
    </xf>
    <xf numFmtId="3" fontId="18" fillId="19" borderId="89" xfId="0" applyNumberFormat="1" applyFont="1" applyFill="1" applyBorder="1" applyAlignment="1">
      <alignment vertical="center"/>
    </xf>
    <xf numFmtId="0" fontId="11" fillId="19" borderId="15" xfId="0" applyFont="1" applyFill="1" applyBorder="1" applyAlignment="1">
      <alignment horizontal="left" vertical="center"/>
    </xf>
    <xf numFmtId="0" fontId="11" fillId="19" borderId="68" xfId="0" applyFont="1" applyFill="1" applyBorder="1" applyAlignment="1">
      <alignment horizontal="left" vertical="center"/>
    </xf>
    <xf numFmtId="3" fontId="18" fillId="19" borderId="17" xfId="0" applyNumberFormat="1" applyFont="1" applyFill="1" applyBorder="1" applyAlignment="1">
      <alignment vertical="center"/>
    </xf>
    <xf numFmtId="3" fontId="32" fillId="19" borderId="17" xfId="0" applyNumberFormat="1" applyFont="1" applyFill="1" applyBorder="1" applyAlignment="1">
      <alignment vertical="center"/>
    </xf>
    <xf numFmtId="0" fontId="0" fillId="23" borderId="0" xfId="0" applyFill="1"/>
    <xf numFmtId="3" fontId="18" fillId="19" borderId="106" xfId="0" applyNumberFormat="1" applyFont="1" applyFill="1" applyBorder="1" applyAlignment="1">
      <alignment horizontal="right" vertical="center"/>
    </xf>
    <xf numFmtId="3" fontId="18" fillId="19" borderId="107" xfId="0" applyNumberFormat="1" applyFont="1" applyFill="1" applyBorder="1" applyAlignment="1">
      <alignment horizontal="right" vertical="center"/>
    </xf>
    <xf numFmtId="165" fontId="29" fillId="19" borderId="106" xfId="0" applyNumberFormat="1" applyFont="1" applyFill="1" applyBorder="1" applyAlignment="1">
      <alignment horizontal="center" vertical="center"/>
    </xf>
    <xf numFmtId="3" fontId="29" fillId="19" borderId="107" xfId="0" applyNumberFormat="1" applyFont="1" applyFill="1" applyBorder="1" applyAlignment="1">
      <alignment horizontal="left" vertical="center" wrapText="1"/>
    </xf>
    <xf numFmtId="3" fontId="31" fillId="19" borderId="115" xfId="0" applyNumberFormat="1" applyFont="1" applyFill="1" applyBorder="1" applyAlignment="1">
      <alignment vertical="center"/>
    </xf>
    <xf numFmtId="3" fontId="31" fillId="19" borderId="104" xfId="0" applyNumberFormat="1" applyFont="1" applyFill="1" applyBorder="1" applyAlignment="1">
      <alignment vertical="center"/>
    </xf>
    <xf numFmtId="3" fontId="31" fillId="19" borderId="116" xfId="0" applyNumberFormat="1" applyFont="1" applyFill="1" applyBorder="1" applyAlignment="1">
      <alignment vertical="center"/>
    </xf>
    <xf numFmtId="3" fontId="31" fillId="19" borderId="106" xfId="0" applyNumberFormat="1" applyFont="1" applyFill="1" applyBorder="1" applyAlignment="1">
      <alignment vertical="center"/>
    </xf>
    <xf numFmtId="3" fontId="31" fillId="19" borderId="107" xfId="0" applyNumberFormat="1" applyFont="1" applyFill="1" applyBorder="1" applyAlignment="1">
      <alignment vertical="center"/>
    </xf>
    <xf numFmtId="3" fontId="18" fillId="19" borderId="47" xfId="0" applyNumberFormat="1" applyFont="1" applyFill="1" applyBorder="1" applyAlignment="1">
      <alignment vertical="center"/>
    </xf>
    <xf numFmtId="3" fontId="18" fillId="19" borderId="57" xfId="0" applyNumberFormat="1" applyFont="1" applyFill="1" applyBorder="1" applyAlignment="1">
      <alignment vertical="center"/>
    </xf>
    <xf numFmtId="3" fontId="18" fillId="19" borderId="15" xfId="0" applyNumberFormat="1" applyFont="1" applyFill="1" applyBorder="1" applyAlignment="1">
      <alignment vertical="center"/>
    </xf>
    <xf numFmtId="3" fontId="18" fillId="19" borderId="15" xfId="0" applyNumberFormat="1" applyFont="1" applyFill="1" applyBorder="1" applyAlignment="1">
      <alignment horizontal="center" vertical="center"/>
    </xf>
    <xf numFmtId="3" fontId="18" fillId="19" borderId="93" xfId="0" applyNumberFormat="1" applyFont="1" applyFill="1" applyBorder="1" applyAlignment="1">
      <alignment horizontal="center" vertical="center"/>
    </xf>
    <xf numFmtId="3" fontId="18" fillId="19" borderId="99" xfId="0" applyNumberFormat="1" applyFont="1" applyFill="1" applyBorder="1" applyAlignment="1">
      <alignment horizontal="center" vertical="center"/>
    </xf>
    <xf numFmtId="3" fontId="18" fillId="19" borderId="94" xfId="0" applyNumberFormat="1" applyFont="1" applyFill="1" applyBorder="1" applyAlignment="1">
      <alignment horizontal="center" vertical="center"/>
    </xf>
    <xf numFmtId="3" fontId="11" fillId="19" borderId="126" xfId="0" applyNumberFormat="1" applyFont="1" applyFill="1" applyBorder="1" applyAlignment="1">
      <alignment horizontal="left" vertical="center" wrapText="1"/>
    </xf>
    <xf numFmtId="3" fontId="31" fillId="22" borderId="53" xfId="0" applyNumberFormat="1" applyFont="1" applyFill="1" applyBorder="1" applyAlignment="1">
      <alignment vertical="center"/>
    </xf>
    <xf numFmtId="3" fontId="31" fillId="22" borderId="85" xfId="0" applyNumberFormat="1" applyFont="1" applyFill="1" applyBorder="1" applyAlignment="1">
      <alignment vertical="center"/>
    </xf>
    <xf numFmtId="165" fontId="6" fillId="19" borderId="34" xfId="0" applyNumberFormat="1" applyFont="1" applyFill="1" applyBorder="1" applyAlignment="1">
      <alignment horizontal="center" vertical="center"/>
    </xf>
    <xf numFmtId="3" fontId="18" fillId="19" borderId="34" xfId="0" applyNumberFormat="1" applyFont="1" applyFill="1" applyBorder="1" applyAlignment="1">
      <alignment horizontal="left" vertical="center" wrapText="1"/>
    </xf>
    <xf numFmtId="3" fontId="18" fillId="19" borderId="69" xfId="0" applyNumberFormat="1" applyFont="1" applyFill="1" applyBorder="1" applyAlignment="1">
      <alignment vertical="center"/>
    </xf>
    <xf numFmtId="3" fontId="18" fillId="23" borderId="0" xfId="0" applyNumberFormat="1" applyFont="1" applyFill="1" applyAlignment="1">
      <alignment vertical="center"/>
    </xf>
    <xf numFmtId="3" fontId="18" fillId="19" borderId="18" xfId="0" applyNumberFormat="1" applyFont="1" applyFill="1" applyBorder="1" applyAlignment="1">
      <alignment vertical="center"/>
    </xf>
    <xf numFmtId="3" fontId="18" fillId="19" borderId="22" xfId="0" applyNumberFormat="1" applyFont="1" applyFill="1" applyBorder="1" applyAlignment="1">
      <alignment vertical="center"/>
    </xf>
    <xf numFmtId="165" fontId="29" fillId="19" borderId="116" xfId="0" applyNumberFormat="1" applyFont="1" applyFill="1" applyBorder="1" applyAlignment="1">
      <alignment horizontal="center" vertical="center"/>
    </xf>
    <xf numFmtId="3" fontId="17" fillId="19" borderId="129" xfId="0" applyNumberFormat="1" applyFont="1" applyFill="1" applyBorder="1" applyAlignment="1">
      <alignment horizontal="left" vertical="center" wrapText="1"/>
    </xf>
    <xf numFmtId="3" fontId="28" fillId="19" borderId="108" xfId="0" applyNumberFormat="1" applyFont="1" applyFill="1" applyBorder="1" applyAlignment="1">
      <alignment vertical="center"/>
    </xf>
    <xf numFmtId="3" fontId="28" fillId="19" borderId="98" xfId="0" applyNumberFormat="1" applyFont="1" applyFill="1" applyBorder="1" applyAlignment="1">
      <alignment vertical="center"/>
    </xf>
    <xf numFmtId="3" fontId="28" fillId="19" borderId="25" xfId="0" applyNumberFormat="1" applyFont="1" applyFill="1" applyBorder="1" applyAlignment="1">
      <alignment vertical="center"/>
    </xf>
    <xf numFmtId="3" fontId="28" fillId="19" borderId="106" xfId="0" applyNumberFormat="1" applyFont="1" applyFill="1" applyBorder="1" applyAlignment="1">
      <alignment horizontal="right" vertical="center"/>
    </xf>
    <xf numFmtId="3" fontId="28" fillId="19" borderId="107" xfId="0" applyNumberFormat="1" applyFont="1" applyFill="1" applyBorder="1" applyAlignment="1">
      <alignment horizontal="right" vertical="center"/>
    </xf>
    <xf numFmtId="1" fontId="19" fillId="19" borderId="116" xfId="0" applyNumberFormat="1" applyFont="1" applyFill="1" applyBorder="1" applyAlignment="1">
      <alignment horizontal="center" vertical="center"/>
    </xf>
    <xf numFmtId="3" fontId="11" fillId="23" borderId="130" xfId="0" applyNumberFormat="1" applyFont="1" applyFill="1" applyBorder="1" applyAlignment="1">
      <alignment horizontal="left" vertical="center" wrapText="1"/>
    </xf>
    <xf numFmtId="3" fontId="31" fillId="22" borderId="115" xfId="0" applyNumberFormat="1" applyFont="1" applyFill="1" applyBorder="1" applyAlignment="1">
      <alignment vertical="center"/>
    </xf>
    <xf numFmtId="0" fontId="0" fillId="19" borderId="0" xfId="0" applyFill="1"/>
    <xf numFmtId="3" fontId="11" fillId="19" borderId="21" xfId="0" applyNumberFormat="1" applyFont="1" applyFill="1" applyBorder="1" applyAlignment="1">
      <alignment horizontal="left" vertical="center"/>
    </xf>
    <xf numFmtId="1" fontId="19" fillId="19" borderId="48" xfId="0" applyNumberFormat="1" applyFont="1" applyFill="1" applyBorder="1" applyAlignment="1">
      <alignment horizontal="center" vertical="center"/>
    </xf>
    <xf numFmtId="3" fontId="11" fillId="19" borderId="48" xfId="0" applyNumberFormat="1" applyFont="1" applyFill="1" applyBorder="1" applyAlignment="1">
      <alignment vertical="center" wrapText="1"/>
    </xf>
    <xf numFmtId="3" fontId="18" fillId="19" borderId="0" xfId="0" applyNumberFormat="1" applyFont="1" applyFill="1" applyAlignment="1">
      <alignment vertical="center"/>
    </xf>
    <xf numFmtId="0" fontId="72" fillId="0" borderId="0" xfId="0" applyFont="1" applyAlignment="1">
      <alignment horizontal="center" vertical="center" wrapText="1"/>
    </xf>
    <xf numFmtId="0" fontId="72" fillId="0" borderId="0" xfId="0" applyFont="1"/>
    <xf numFmtId="171" fontId="72" fillId="0" borderId="0" xfId="30" applyNumberFormat="1" applyFont="1"/>
    <xf numFmtId="0" fontId="59" fillId="0" borderId="163" xfId="0" applyFont="1" applyBorder="1"/>
    <xf numFmtId="0" fontId="12" fillId="0" borderId="0" xfId="0" applyFont="1"/>
    <xf numFmtId="0" fontId="73" fillId="24" borderId="163" xfId="0" applyFont="1" applyFill="1" applyBorder="1" applyAlignment="1">
      <alignment horizontal="center" vertical="center" wrapText="1"/>
    </xf>
    <xf numFmtId="171" fontId="73" fillId="24" borderId="163" xfId="30" applyNumberFormat="1" applyFont="1" applyFill="1" applyBorder="1" applyAlignment="1">
      <alignment horizontal="center" vertical="center" wrapText="1"/>
    </xf>
    <xf numFmtId="1" fontId="29" fillId="25" borderId="105" xfId="0" applyNumberFormat="1" applyFont="1" applyFill="1" applyBorder="1" applyAlignment="1">
      <alignment horizontal="center" vertical="center"/>
    </xf>
    <xf numFmtId="3" fontId="28" fillId="25" borderId="106" xfId="0" applyNumberFormat="1" applyFont="1" applyFill="1" applyBorder="1" applyAlignment="1">
      <alignment horizontal="right" vertical="center"/>
    </xf>
    <xf numFmtId="3" fontId="28" fillId="25" borderId="107" xfId="0" applyNumberFormat="1" applyFont="1" applyFill="1" applyBorder="1" applyAlignment="1">
      <alignment horizontal="right" vertical="center"/>
    </xf>
    <xf numFmtId="3" fontId="18" fillId="25" borderId="17" xfId="0" applyNumberFormat="1" applyFont="1" applyFill="1" applyBorder="1" applyAlignment="1">
      <alignment vertical="center"/>
    </xf>
    <xf numFmtId="3" fontId="11" fillId="25" borderId="17" xfId="0" applyNumberFormat="1" applyFont="1" applyFill="1" applyBorder="1" applyAlignment="1">
      <alignment vertical="center"/>
    </xf>
    <xf numFmtId="165" fontId="6" fillId="25" borderId="106" xfId="0" applyNumberFormat="1" applyFont="1" applyFill="1" applyBorder="1" applyAlignment="1">
      <alignment horizontal="center" vertical="center"/>
    </xf>
    <xf numFmtId="3" fontId="18" fillId="25" borderId="107" xfId="0" applyNumberFormat="1" applyFont="1" applyFill="1" applyBorder="1" applyAlignment="1">
      <alignment horizontal="left" vertical="center" wrapText="1"/>
    </xf>
    <xf numFmtId="3" fontId="6" fillId="25" borderId="115" xfId="0" applyNumberFormat="1" applyFont="1" applyFill="1" applyBorder="1" applyAlignment="1">
      <alignment vertical="center"/>
    </xf>
    <xf numFmtId="3" fontId="6" fillId="25" borderId="104" xfId="0" applyNumberFormat="1" applyFont="1" applyFill="1" applyBorder="1" applyAlignment="1">
      <alignment horizontal="right" vertical="center"/>
    </xf>
    <xf numFmtId="3" fontId="6" fillId="25" borderId="116" xfId="0" applyNumberFormat="1" applyFont="1" applyFill="1" applyBorder="1" applyAlignment="1">
      <alignment horizontal="right" vertical="center"/>
    </xf>
    <xf numFmtId="3" fontId="6" fillId="25" borderId="106" xfId="0" applyNumberFormat="1" applyFont="1" applyFill="1" applyBorder="1" applyAlignment="1">
      <alignment horizontal="right" vertical="center"/>
    </xf>
    <xf numFmtId="3" fontId="31" fillId="26" borderId="104" xfId="0" applyNumberFormat="1" applyFont="1" applyFill="1" applyBorder="1" applyAlignment="1">
      <alignment vertical="center"/>
    </xf>
    <xf numFmtId="3" fontId="6" fillId="25" borderId="107" xfId="0" applyNumberFormat="1" applyFont="1" applyFill="1" applyBorder="1" applyAlignment="1">
      <alignment horizontal="right" vertical="center"/>
    </xf>
    <xf numFmtId="3" fontId="31" fillId="26" borderId="106" xfId="0" applyNumberFormat="1" applyFont="1" applyFill="1" applyBorder="1" applyAlignment="1">
      <alignment vertical="center"/>
    </xf>
    <xf numFmtId="3" fontId="31" fillId="26" borderId="107" xfId="0" applyNumberFormat="1" applyFont="1" applyFill="1" applyBorder="1" applyAlignment="1">
      <alignment vertical="center"/>
    </xf>
    <xf numFmtId="0" fontId="0" fillId="27" borderId="0" xfId="0" applyFill="1"/>
    <xf numFmtId="1" fontId="19" fillId="25" borderId="105" xfId="0" applyNumberFormat="1" applyFont="1" applyFill="1" applyBorder="1" applyAlignment="1">
      <alignment horizontal="center" vertical="center"/>
    </xf>
    <xf numFmtId="3" fontId="11" fillId="25" borderId="105" xfId="0" applyNumberFormat="1" applyFont="1" applyFill="1" applyBorder="1" applyAlignment="1">
      <alignment horizontal="left" vertical="center" wrapText="1"/>
    </xf>
    <xf numFmtId="3" fontId="18" fillId="25" borderId="104" xfId="0" applyNumberFormat="1" applyFont="1" applyFill="1" applyBorder="1" applyAlignment="1">
      <alignment vertical="center"/>
    </xf>
    <xf numFmtId="3" fontId="18" fillId="25" borderId="107" xfId="0" applyNumberFormat="1" applyFont="1" applyFill="1" applyBorder="1" applyAlignment="1">
      <alignment vertical="center"/>
    </xf>
    <xf numFmtId="3" fontId="18" fillId="25" borderId="17" xfId="0" applyNumberFormat="1" applyFont="1" applyFill="1" applyBorder="1" applyAlignment="1">
      <alignment horizontal="center" vertical="center"/>
    </xf>
    <xf numFmtId="3" fontId="18" fillId="25" borderId="17" xfId="0" applyNumberFormat="1" applyFont="1" applyFill="1" applyBorder="1" applyAlignment="1">
      <alignment horizontal="left" vertical="center"/>
    </xf>
    <xf numFmtId="3" fontId="32" fillId="25" borderId="17" xfId="0" applyNumberFormat="1" applyFont="1" applyFill="1" applyBorder="1" applyAlignment="1">
      <alignment vertical="center"/>
    </xf>
    <xf numFmtId="165" fontId="11" fillId="25" borderId="106" xfId="0" applyNumberFormat="1" applyFont="1" applyFill="1" applyBorder="1" applyAlignment="1">
      <alignment horizontal="center" vertical="center"/>
    </xf>
    <xf numFmtId="3" fontId="11" fillId="25" borderId="107" xfId="0" applyNumberFormat="1" applyFont="1" applyFill="1" applyBorder="1" applyAlignment="1">
      <alignment horizontal="left" vertical="center" wrapText="1"/>
    </xf>
    <xf numFmtId="3" fontId="6" fillId="27" borderId="104" xfId="0" applyNumberFormat="1" applyFont="1" applyFill="1" applyBorder="1" applyAlignment="1">
      <alignment vertical="center"/>
    </xf>
    <xf numFmtId="3" fontId="6" fillId="25" borderId="106" xfId="0" applyNumberFormat="1" applyFont="1" applyFill="1" applyBorder="1" applyAlignment="1">
      <alignment vertical="center"/>
    </xf>
    <xf numFmtId="3" fontId="6" fillId="25" borderId="107" xfId="0" applyNumberFormat="1" applyFont="1" applyFill="1" applyBorder="1" applyAlignment="1">
      <alignment vertical="center"/>
    </xf>
    <xf numFmtId="0" fontId="3" fillId="0" borderId="1" xfId="0" applyFont="1" applyBorder="1" applyAlignment="1">
      <alignment horizontal="left" vertical="center" wrapText="1"/>
    </xf>
    <xf numFmtId="0" fontId="4" fillId="0" borderId="2" xfId="0" applyFont="1" applyBorder="1"/>
    <xf numFmtId="0" fontId="4" fillId="0" borderId="3" xfId="0" applyFont="1" applyBorder="1"/>
    <xf numFmtId="0" fontId="7" fillId="0" borderId="5" xfId="0" applyFont="1" applyBorder="1" applyAlignment="1">
      <alignment horizontal="left" vertical="center" wrapText="1"/>
    </xf>
    <xf numFmtId="0" fontId="4" fillId="0" borderId="5" xfId="0" applyFont="1" applyBorder="1"/>
    <xf numFmtId="0" fontId="9" fillId="2" borderId="6" xfId="0" applyFont="1" applyFill="1" applyBorder="1" applyAlignment="1">
      <alignment horizontal="center" vertical="center"/>
    </xf>
    <xf numFmtId="0" fontId="4" fillId="0" borderId="7" xfId="0" applyFont="1" applyBorder="1"/>
    <xf numFmtId="0" fontId="4" fillId="0" borderId="8" xfId="0" applyFont="1" applyBorder="1"/>
    <xf numFmtId="0" fontId="11" fillId="0" borderId="10" xfId="0" applyFont="1" applyBorder="1" applyAlignment="1">
      <alignment horizontal="center" vertical="center"/>
    </xf>
    <xf numFmtId="0" fontId="4" fillId="0" borderId="11" xfId="0" applyFont="1" applyBorder="1"/>
    <xf numFmtId="0" fontId="4" fillId="0" borderId="12" xfId="0" applyFont="1" applyBorder="1"/>
    <xf numFmtId="0" fontId="12" fillId="0" borderId="1" xfId="0" applyFont="1" applyBorder="1" applyAlignment="1">
      <alignment horizontal="center" vertical="center"/>
    </xf>
    <xf numFmtId="0" fontId="4" fillId="0" borderId="4" xfId="0" applyFont="1" applyBorder="1"/>
    <xf numFmtId="0" fontId="0" fillId="0" borderId="0" xfId="0"/>
    <xf numFmtId="0" fontId="4" fillId="0" borderId="10" xfId="0" applyFont="1" applyBorder="1"/>
    <xf numFmtId="0" fontId="12" fillId="0" borderId="1" xfId="0" applyFont="1" applyBorder="1" applyAlignment="1">
      <alignment horizontal="center" vertical="center" wrapText="1"/>
    </xf>
    <xf numFmtId="0" fontId="15" fillId="0" borderId="0" xfId="0" applyFont="1" applyAlignment="1">
      <alignment horizontal="center"/>
    </xf>
    <xf numFmtId="0" fontId="11" fillId="0" borderId="4" xfId="0" applyFont="1" applyBorder="1" applyAlignment="1">
      <alignment horizontal="left" vertical="top"/>
    </xf>
    <xf numFmtId="0" fontId="6" fillId="0" borderId="1" xfId="0" quotePrefix="1" applyFont="1" applyBorder="1" applyAlignment="1">
      <alignment horizontal="left"/>
    </xf>
    <xf numFmtId="0" fontId="6" fillId="0" borderId="4" xfId="0" quotePrefix="1" applyFont="1" applyBorder="1" applyAlignment="1">
      <alignment horizontal="left" vertical="top" wrapText="1"/>
    </xf>
    <xf numFmtId="0" fontId="6" fillId="0" borderId="4" xfId="0" applyFont="1" applyBorder="1" applyAlignment="1">
      <alignment horizontal="left" vertical="top"/>
    </xf>
    <xf numFmtId="0" fontId="13" fillId="0" borderId="4" xfId="0" applyFont="1" applyBorder="1" applyAlignment="1">
      <alignment horizontal="left" vertical="top"/>
    </xf>
    <xf numFmtId="3" fontId="21" fillId="3" borderId="36" xfId="0" applyNumberFormat="1" applyFont="1" applyFill="1" applyBorder="1" applyAlignment="1">
      <alignment horizontal="left" vertical="center"/>
    </xf>
    <xf numFmtId="0" fontId="4" fillId="0" borderId="38" xfId="0" applyFont="1" applyBorder="1"/>
    <xf numFmtId="0" fontId="4" fillId="0" borderId="39" xfId="0" applyFont="1" applyBorder="1"/>
    <xf numFmtId="0" fontId="4" fillId="0" borderId="58" xfId="0" applyFont="1" applyBorder="1"/>
    <xf numFmtId="3" fontId="25" fillId="3" borderId="40" xfId="0" applyNumberFormat="1" applyFont="1" applyFill="1" applyBorder="1" applyAlignment="1">
      <alignment horizontal="center" vertical="center"/>
    </xf>
    <xf numFmtId="0" fontId="4" fillId="0" borderId="41" xfId="0" applyFont="1" applyBorder="1"/>
    <xf numFmtId="0" fontId="4" fillId="0" borderId="60" xfId="0" applyFont="1" applyBorder="1"/>
    <xf numFmtId="0" fontId="26" fillId="0" borderId="43" xfId="0" applyFont="1" applyBorder="1" applyAlignment="1">
      <alignment horizontal="center" vertical="center" wrapText="1"/>
    </xf>
    <xf numFmtId="0" fontId="4" fillId="0" borderId="62" xfId="0" applyFont="1" applyBorder="1"/>
    <xf numFmtId="0" fontId="4" fillId="0" borderId="72" xfId="0" applyFont="1" applyBorder="1"/>
    <xf numFmtId="0" fontId="26" fillId="0" borderId="44" xfId="0" applyFont="1" applyBorder="1" applyAlignment="1">
      <alignment horizontal="center" vertical="center" wrapText="1"/>
    </xf>
    <xf numFmtId="0" fontId="4" fillId="0" borderId="63" xfId="0" applyFont="1" applyBorder="1"/>
    <xf numFmtId="0" fontId="4" fillId="0" borderId="61" xfId="0" applyFont="1" applyBorder="1"/>
    <xf numFmtId="3" fontId="28" fillId="3" borderId="23" xfId="0" applyNumberFormat="1" applyFont="1" applyFill="1" applyBorder="1" applyAlignment="1">
      <alignment horizontal="center" vertical="center" wrapText="1"/>
    </xf>
    <xf numFmtId="0" fontId="4" fillId="0" borderId="31" xfId="0" applyFont="1" applyBorder="1"/>
    <xf numFmtId="0" fontId="4" fillId="0" borderId="32" xfId="0" applyFont="1" applyBorder="1"/>
    <xf numFmtId="3" fontId="24" fillId="3" borderId="23" xfId="0" applyNumberFormat="1" applyFont="1" applyFill="1" applyBorder="1" applyAlignment="1">
      <alignment horizontal="center" vertical="center"/>
    </xf>
    <xf numFmtId="3" fontId="17" fillId="3" borderId="23" xfId="0" applyNumberFormat="1" applyFont="1" applyFill="1" applyBorder="1" applyAlignment="1">
      <alignment horizontal="center" vertical="center" wrapText="1"/>
    </xf>
    <xf numFmtId="165" fontId="24" fillId="3" borderId="26" xfId="0" applyNumberFormat="1" applyFont="1" applyFill="1" applyBorder="1" applyAlignment="1">
      <alignment horizontal="center" vertical="center"/>
    </xf>
    <xf numFmtId="0" fontId="4" fillId="0" borderId="20" xfId="0" applyFont="1" applyBorder="1"/>
    <xf numFmtId="3" fontId="11" fillId="3" borderId="77" xfId="0" applyNumberFormat="1" applyFont="1" applyFill="1" applyBorder="1" applyAlignment="1">
      <alignment horizontal="center" vertical="center"/>
    </xf>
    <xf numFmtId="3" fontId="18" fillId="3" borderId="127" xfId="0" applyNumberFormat="1" applyFont="1" applyFill="1" applyBorder="1" applyAlignment="1">
      <alignment horizontal="center" vertical="center"/>
    </xf>
    <xf numFmtId="0" fontId="4" fillId="0" borderId="128" xfId="0" applyFont="1" applyBorder="1"/>
    <xf numFmtId="3" fontId="25" fillId="3" borderId="42" xfId="0" applyNumberFormat="1" applyFont="1" applyFill="1" applyBorder="1" applyAlignment="1">
      <alignment horizontal="center" vertical="center"/>
    </xf>
    <xf numFmtId="3" fontId="24" fillId="3" borderId="45" xfId="0" applyNumberFormat="1" applyFont="1" applyFill="1" applyBorder="1" applyAlignment="1">
      <alignment horizontal="center" vertical="center" wrapText="1"/>
    </xf>
    <xf numFmtId="0" fontId="4" fillId="0" borderId="64" xfId="0" applyFont="1" applyBorder="1"/>
    <xf numFmtId="3" fontId="25" fillId="3" borderId="46" xfId="0" applyNumberFormat="1" applyFont="1" applyFill="1" applyBorder="1" applyAlignment="1">
      <alignment horizontal="center" vertical="center"/>
    </xf>
    <xf numFmtId="3" fontId="9" fillId="3" borderId="23" xfId="0" applyNumberFormat="1" applyFont="1" applyFill="1" applyBorder="1" applyAlignment="1">
      <alignment horizontal="center" vertical="center" wrapText="1"/>
    </xf>
    <xf numFmtId="3" fontId="21" fillId="3" borderId="19" xfId="0" applyNumberFormat="1" applyFont="1" applyFill="1" applyBorder="1" applyAlignment="1">
      <alignment horizontal="left" vertical="center"/>
    </xf>
    <xf numFmtId="0" fontId="4" fillId="0" borderId="28" xfId="0" applyFont="1" applyBorder="1"/>
    <xf numFmtId="0" fontId="4" fillId="0" borderId="27" xfId="0" applyFont="1" applyBorder="1"/>
    <xf numFmtId="3" fontId="17" fillId="3" borderId="29" xfId="0" applyNumberFormat="1" applyFont="1" applyFill="1" applyBorder="1" applyAlignment="1">
      <alignment horizontal="center" vertical="center"/>
    </xf>
    <xf numFmtId="0" fontId="4" fillId="0" borderId="24" xfId="0" applyFont="1" applyBorder="1"/>
    <xf numFmtId="3" fontId="17" fillId="3" borderId="26" xfId="0" applyNumberFormat="1" applyFont="1" applyFill="1" applyBorder="1" applyAlignment="1">
      <alignment horizontal="center" vertical="center"/>
    </xf>
    <xf numFmtId="3" fontId="20" fillId="3" borderId="23" xfId="0" applyNumberFormat="1" applyFont="1" applyFill="1" applyBorder="1" applyAlignment="1">
      <alignment horizontal="center"/>
    </xf>
    <xf numFmtId="3" fontId="17" fillId="3" borderId="167" xfId="0" applyNumberFormat="1" applyFont="1" applyFill="1" applyBorder="1" applyAlignment="1">
      <alignment horizontal="center" vertical="center"/>
    </xf>
    <xf numFmtId="3" fontId="17" fillId="3" borderId="168" xfId="0" applyNumberFormat="1" applyFont="1" applyFill="1" applyBorder="1" applyAlignment="1">
      <alignment horizontal="center" vertical="center"/>
    </xf>
    <xf numFmtId="3" fontId="17" fillId="3" borderId="169" xfId="0" applyNumberFormat="1" applyFont="1" applyFill="1" applyBorder="1" applyAlignment="1">
      <alignment horizontal="center" vertical="center"/>
    </xf>
    <xf numFmtId="3" fontId="10" fillId="3" borderId="19" xfId="0" applyNumberFormat="1" applyFont="1" applyFill="1" applyBorder="1" applyAlignment="1">
      <alignment horizontal="right" vertical="center"/>
    </xf>
    <xf numFmtId="3" fontId="10" fillId="3" borderId="36" xfId="0" applyNumberFormat="1" applyFont="1" applyFill="1" applyBorder="1" applyAlignment="1">
      <alignment horizontal="right" vertical="center"/>
    </xf>
    <xf numFmtId="0" fontId="4" fillId="0" borderId="37" xfId="0" applyFont="1" applyBorder="1"/>
    <xf numFmtId="0" fontId="4" fillId="0" borderId="59" xfId="0" applyFont="1" applyBorder="1"/>
    <xf numFmtId="1" fontId="29" fillId="3" borderId="70" xfId="0" applyNumberFormat="1" applyFont="1" applyFill="1" applyBorder="1" applyAlignment="1">
      <alignment horizontal="center" vertical="center"/>
    </xf>
    <xf numFmtId="0" fontId="4" fillId="0" borderId="78" xfId="0" applyFont="1" applyBorder="1"/>
    <xf numFmtId="3" fontId="17" fillId="16" borderId="71" xfId="0" applyNumberFormat="1" applyFont="1" applyFill="1" applyBorder="1" applyAlignment="1">
      <alignment horizontal="center" vertical="center" wrapText="1"/>
    </xf>
    <xf numFmtId="0" fontId="4" fillId="10" borderId="79" xfId="0" applyFont="1" applyFill="1" applyBorder="1"/>
    <xf numFmtId="3" fontId="9" fillId="3" borderId="23" xfId="0" applyNumberFormat="1" applyFont="1" applyFill="1" applyBorder="1" applyAlignment="1">
      <alignment horizontal="center" vertical="center"/>
    </xf>
    <xf numFmtId="3" fontId="23" fillId="3" borderId="35" xfId="0" applyNumberFormat="1" applyFont="1" applyFill="1" applyBorder="1" applyAlignment="1">
      <alignment horizontal="center" vertical="center" wrapText="1"/>
    </xf>
    <xf numFmtId="0" fontId="4" fillId="0" borderId="56" xfId="0" applyFont="1" applyBorder="1"/>
    <xf numFmtId="3" fontId="10" fillId="3" borderId="36" xfId="0" applyNumberFormat="1" applyFont="1" applyFill="1" applyBorder="1" applyAlignment="1">
      <alignment horizontal="left" vertical="center"/>
    </xf>
    <xf numFmtId="1" fontId="17" fillId="3" borderId="43" xfId="0" applyNumberFormat="1" applyFont="1" applyFill="1" applyBorder="1" applyAlignment="1">
      <alignment horizontal="center" vertical="center" wrapText="1"/>
    </xf>
    <xf numFmtId="3" fontId="17" fillId="3" borderId="44" xfId="0" applyNumberFormat="1" applyFont="1" applyFill="1" applyBorder="1" applyAlignment="1">
      <alignment horizontal="center" vertical="center" wrapText="1"/>
    </xf>
    <xf numFmtId="3" fontId="9" fillId="3" borderId="29" xfId="0" applyNumberFormat="1" applyFont="1" applyFill="1" applyBorder="1" applyAlignment="1">
      <alignment horizontal="center" vertical="center"/>
    </xf>
    <xf numFmtId="0" fontId="29" fillId="3" borderId="77" xfId="0" applyFont="1" applyFill="1" applyBorder="1" applyAlignment="1">
      <alignment horizontal="center" vertical="center"/>
    </xf>
    <xf numFmtId="1" fontId="16" fillId="3" borderId="140" xfId="0" applyNumberFormat="1" applyFont="1" applyFill="1" applyBorder="1" applyAlignment="1">
      <alignment horizontal="left" vertical="center"/>
    </xf>
    <xf numFmtId="0" fontId="4" fillId="0" borderId="140" xfId="0" applyFont="1" applyBorder="1"/>
    <xf numFmtId="3" fontId="17" fillId="3" borderId="13" xfId="0" applyNumberFormat="1" applyFont="1" applyFill="1" applyBorder="1" applyAlignment="1">
      <alignment horizontal="left" vertical="top" wrapText="1"/>
    </xf>
    <xf numFmtId="0" fontId="4" fillId="0" borderId="16" xfId="0" applyFont="1" applyBorder="1"/>
    <xf numFmtId="0" fontId="4" fillId="0" borderId="14" xfId="0" applyFont="1" applyBorder="1"/>
    <xf numFmtId="3" fontId="17" fillId="3" borderId="13" xfId="0" applyNumberFormat="1" applyFont="1" applyFill="1" applyBorder="1" applyAlignment="1">
      <alignment horizontal="center"/>
    </xf>
    <xf numFmtId="3" fontId="17" fillId="3" borderId="23" xfId="0" applyNumberFormat="1" applyFont="1" applyFill="1" applyBorder="1" applyAlignment="1">
      <alignment horizontal="center" vertical="center"/>
    </xf>
    <xf numFmtId="3" fontId="10" fillId="3" borderId="19" xfId="0" applyNumberFormat="1" applyFont="1" applyFill="1" applyBorder="1" applyAlignment="1">
      <alignment horizontal="left" vertical="center"/>
    </xf>
    <xf numFmtId="0" fontId="29" fillId="3" borderId="73" xfId="0" applyFont="1" applyFill="1" applyBorder="1" applyAlignment="1">
      <alignment horizontal="center" vertical="center"/>
    </xf>
    <xf numFmtId="0" fontId="29" fillId="3" borderId="74" xfId="0" applyFont="1" applyFill="1" applyBorder="1" applyAlignment="1">
      <alignment horizontal="center" vertical="center"/>
    </xf>
    <xf numFmtId="0" fontId="29" fillId="3" borderId="177" xfId="0" applyFont="1" applyFill="1" applyBorder="1" applyAlignment="1">
      <alignment horizontal="center" vertical="center"/>
    </xf>
    <xf numFmtId="3" fontId="20" fillId="3" borderId="48" xfId="0" applyNumberFormat="1" applyFont="1" applyFill="1" applyBorder="1" applyAlignment="1">
      <alignment horizontal="center"/>
    </xf>
    <xf numFmtId="0" fontId="4" fillId="0" borderId="49" xfId="0" applyFont="1" applyBorder="1"/>
    <xf numFmtId="0" fontId="4" fillId="0" borderId="50" xfId="0" applyFont="1" applyBorder="1"/>
    <xf numFmtId="3" fontId="17" fillId="3" borderId="51" xfId="0" applyNumberFormat="1" applyFont="1" applyFill="1" applyBorder="1" applyAlignment="1">
      <alignment horizontal="center" vertical="center"/>
    </xf>
    <xf numFmtId="0" fontId="4" fillId="0" borderId="52" xfId="0" applyFont="1" applyBorder="1"/>
    <xf numFmtId="0" fontId="4" fillId="0" borderId="55" xfId="0" applyFont="1" applyBorder="1"/>
    <xf numFmtId="3" fontId="17" fillId="3" borderId="172" xfId="0" applyNumberFormat="1" applyFont="1" applyFill="1" applyBorder="1" applyAlignment="1">
      <alignment horizontal="center" vertical="center"/>
    </xf>
    <xf numFmtId="3" fontId="17" fillId="3" borderId="150" xfId="0" applyNumberFormat="1" applyFont="1" applyFill="1" applyBorder="1" applyAlignment="1">
      <alignment horizontal="center" vertical="center"/>
    </xf>
    <xf numFmtId="3" fontId="17" fillId="3" borderId="69" xfId="0" applyNumberFormat="1" applyFont="1" applyFill="1" applyBorder="1" applyAlignment="1">
      <alignment horizontal="center" vertical="center"/>
    </xf>
    <xf numFmtId="3" fontId="6" fillId="3" borderId="67" xfId="0" applyNumberFormat="1" applyFont="1" applyFill="1" applyBorder="1" applyAlignment="1">
      <alignment horizontal="center"/>
    </xf>
    <xf numFmtId="0" fontId="29" fillId="3" borderId="76" xfId="0" applyFont="1" applyFill="1" applyBorder="1" applyAlignment="1">
      <alignment horizontal="center" vertical="center"/>
    </xf>
    <xf numFmtId="0" fontId="29" fillId="3" borderId="176" xfId="0" applyFont="1" applyFill="1" applyBorder="1" applyAlignment="1">
      <alignment horizontal="center" vertical="center"/>
    </xf>
    <xf numFmtId="0" fontId="29" fillId="3" borderId="178" xfId="0" applyFont="1" applyFill="1" applyBorder="1" applyAlignment="1">
      <alignment horizontal="center" vertical="center"/>
    </xf>
    <xf numFmtId="3" fontId="11" fillId="3" borderId="109" xfId="0" applyNumberFormat="1" applyFont="1" applyFill="1" applyBorder="1" applyAlignment="1">
      <alignment horizontal="center" vertical="center"/>
    </xf>
    <xf numFmtId="0" fontId="4" fillId="0" borderId="74" xfId="0" applyFont="1" applyBorder="1"/>
    <xf numFmtId="0" fontId="4" fillId="0" borderId="75" xfId="0" applyFont="1" applyBorder="1"/>
    <xf numFmtId="3" fontId="10" fillId="3" borderId="0" xfId="0" applyNumberFormat="1" applyFont="1" applyFill="1" applyAlignment="1">
      <alignment horizontal="left" vertical="center"/>
    </xf>
    <xf numFmtId="0" fontId="4" fillId="0" borderId="0" xfId="0" applyFont="1"/>
    <xf numFmtId="3" fontId="21" fillId="3" borderId="0" xfId="0" applyNumberFormat="1" applyFont="1" applyFill="1" applyAlignment="1">
      <alignment horizontal="left" vertical="center"/>
    </xf>
    <xf numFmtId="0" fontId="4" fillId="0" borderId="69" xfId="0" applyFont="1" applyBorder="1"/>
    <xf numFmtId="0" fontId="4" fillId="0" borderId="68" xfId="0" applyFont="1" applyBorder="1"/>
    <xf numFmtId="0" fontId="4" fillId="0" borderId="88" xfId="0" applyFont="1" applyBorder="1"/>
    <xf numFmtId="3" fontId="25" fillId="3" borderId="82" xfId="0" applyNumberFormat="1" applyFont="1" applyFill="1" applyBorder="1" applyAlignment="1">
      <alignment horizontal="center" vertical="center"/>
    </xf>
    <xf numFmtId="0" fontId="4" fillId="0" borderId="137" xfId="0" applyFont="1" applyBorder="1"/>
    <xf numFmtId="0" fontId="26" fillId="0" borderId="102" xfId="0" applyFont="1" applyBorder="1" applyAlignment="1">
      <alignment horizontal="center" vertical="center" wrapText="1"/>
    </xf>
    <xf numFmtId="0" fontId="4" fillId="0" borderId="141" xfId="0" applyFont="1" applyBorder="1"/>
    <xf numFmtId="0" fontId="4" fillId="0" borderId="87" xfId="0" applyFont="1" applyBorder="1"/>
    <xf numFmtId="0" fontId="26" fillId="0" borderId="103" xfId="0" applyFont="1" applyBorder="1" applyAlignment="1">
      <alignment horizontal="center" vertical="center" wrapText="1"/>
    </xf>
    <xf numFmtId="0" fontId="4" fillId="0" borderId="142" xfId="0" applyFont="1" applyBorder="1"/>
    <xf numFmtId="3" fontId="9" fillId="3" borderId="74" xfId="0" applyNumberFormat="1" applyFont="1" applyFill="1" applyBorder="1" applyAlignment="1">
      <alignment horizontal="center" vertical="center"/>
    </xf>
    <xf numFmtId="3" fontId="9" fillId="3" borderId="73" xfId="0" applyNumberFormat="1" applyFont="1" applyFill="1" applyBorder="1" applyAlignment="1">
      <alignment horizontal="center" vertical="center" wrapText="1"/>
    </xf>
    <xf numFmtId="0" fontId="4" fillId="0" borderId="108" xfId="0" applyFont="1" applyBorder="1"/>
    <xf numFmtId="165" fontId="24" fillId="3" borderId="70" xfId="0" applyNumberFormat="1" applyFont="1" applyFill="1" applyBorder="1" applyAlignment="1">
      <alignment horizontal="center" vertical="center"/>
    </xf>
    <xf numFmtId="0" fontId="4" fillId="0" borderId="151" xfId="0" applyFont="1" applyBorder="1"/>
    <xf numFmtId="3" fontId="10" fillId="3" borderId="151" xfId="0" applyNumberFormat="1" applyFont="1" applyFill="1" applyBorder="1" applyAlignment="1">
      <alignment horizontal="right" vertical="center"/>
    </xf>
    <xf numFmtId="3" fontId="10" fillId="3" borderId="0" xfId="0" applyNumberFormat="1" applyFont="1" applyFill="1" applyAlignment="1">
      <alignment horizontal="right" vertical="center"/>
    </xf>
    <xf numFmtId="1" fontId="17" fillId="3" borderId="102" xfId="0" applyNumberFormat="1" applyFont="1" applyFill="1" applyBorder="1" applyAlignment="1">
      <alignment horizontal="center" vertical="center"/>
    </xf>
    <xf numFmtId="3" fontId="17" fillId="3" borderId="103" xfId="0" applyNumberFormat="1" applyFont="1" applyFill="1" applyBorder="1" applyAlignment="1">
      <alignment horizontal="center" vertical="center" wrapText="1"/>
    </xf>
    <xf numFmtId="3" fontId="9" fillId="3" borderId="73" xfId="0" applyNumberFormat="1" applyFont="1" applyFill="1" applyBorder="1" applyAlignment="1">
      <alignment horizontal="center" vertical="center"/>
    </xf>
    <xf numFmtId="3" fontId="25" fillId="3" borderId="118" xfId="0" applyNumberFormat="1" applyFont="1" applyFill="1" applyBorder="1" applyAlignment="1">
      <alignment horizontal="center" vertical="center"/>
    </xf>
    <xf numFmtId="0" fontId="4" fillId="0" borderId="152" xfId="0" applyFont="1" applyBorder="1"/>
    <xf numFmtId="3" fontId="28" fillId="3" borderId="73" xfId="0" applyNumberFormat="1" applyFont="1" applyFill="1" applyBorder="1" applyAlignment="1">
      <alignment horizontal="center" vertical="center" wrapText="1"/>
    </xf>
    <xf numFmtId="3" fontId="24" fillId="3" borderId="73" xfId="0" applyNumberFormat="1" applyFont="1" applyFill="1" applyBorder="1" applyAlignment="1">
      <alignment horizontal="center" vertical="center"/>
    </xf>
    <xf numFmtId="3" fontId="17" fillId="3" borderId="73" xfId="0" applyNumberFormat="1" applyFont="1" applyFill="1" applyBorder="1" applyAlignment="1">
      <alignment horizontal="center" vertical="center" wrapText="1"/>
    </xf>
    <xf numFmtId="3" fontId="24" fillId="3" borderId="0" xfId="0" applyNumberFormat="1" applyFont="1" applyFill="1" applyAlignment="1">
      <alignment horizontal="center" vertical="center" wrapText="1"/>
    </xf>
    <xf numFmtId="1" fontId="17" fillId="3" borderId="102" xfId="0" applyNumberFormat="1" applyFont="1" applyFill="1" applyBorder="1" applyAlignment="1">
      <alignment horizontal="center" vertical="center" wrapText="1"/>
    </xf>
    <xf numFmtId="0" fontId="9" fillId="3" borderId="73" xfId="0" applyFont="1" applyFill="1" applyBorder="1" applyAlignment="1">
      <alignment horizontal="center" vertical="center"/>
    </xf>
    <xf numFmtId="3" fontId="17" fillId="3" borderId="140" xfId="0" applyNumberFormat="1" applyFont="1" applyFill="1" applyBorder="1" applyAlignment="1">
      <alignment horizontal="left" vertical="center" wrapText="1"/>
    </xf>
    <xf numFmtId="3" fontId="17" fillId="3" borderId="140" xfId="0" applyNumberFormat="1" applyFont="1" applyFill="1" applyBorder="1" applyAlignment="1">
      <alignment horizontal="left" vertical="top" wrapText="1"/>
    </xf>
    <xf numFmtId="3" fontId="17" fillId="3" borderId="73" xfId="0" applyNumberFormat="1" applyFont="1" applyFill="1" applyBorder="1" applyAlignment="1">
      <alignment horizontal="center" vertical="center"/>
    </xf>
    <xf numFmtId="3" fontId="17" fillId="3" borderId="70" xfId="0" applyNumberFormat="1" applyFont="1" applyFill="1" applyBorder="1" applyAlignment="1">
      <alignment horizontal="center" vertical="center"/>
    </xf>
    <xf numFmtId="3" fontId="6" fillId="3" borderId="116" xfId="0" applyNumberFormat="1" applyFont="1" applyFill="1" applyBorder="1" applyAlignment="1">
      <alignment horizontal="center"/>
    </xf>
    <xf numFmtId="0" fontId="4" fillId="0" borderId="113" xfId="0" applyFont="1" applyBorder="1"/>
    <xf numFmtId="0" fontId="4" fillId="0" borderId="112" xfId="0" applyFont="1" applyBorder="1"/>
    <xf numFmtId="3" fontId="17" fillId="3" borderId="74" xfId="0" applyNumberFormat="1" applyFont="1" applyFill="1" applyBorder="1" applyAlignment="1">
      <alignment horizontal="center" vertical="center"/>
    </xf>
    <xf numFmtId="3" fontId="20" fillId="3" borderId="73" xfId="0" applyNumberFormat="1" applyFont="1" applyFill="1" applyBorder="1" applyAlignment="1">
      <alignment horizontal="center"/>
    </xf>
    <xf numFmtId="0" fontId="29" fillId="3" borderId="141" xfId="0" applyFont="1" applyFill="1" applyBorder="1" applyAlignment="1">
      <alignment horizontal="center" vertical="center"/>
    </xf>
    <xf numFmtId="0" fontId="29" fillId="3" borderId="109" xfId="0" applyFont="1" applyFill="1" applyBorder="1" applyAlignment="1">
      <alignment horizontal="center" vertical="center"/>
    </xf>
    <xf numFmtId="3" fontId="20" fillId="3" borderId="105" xfId="0" applyNumberFormat="1" applyFont="1" applyFill="1" applyBorder="1" applyAlignment="1">
      <alignment horizontal="center"/>
    </xf>
    <xf numFmtId="3" fontId="17" fillId="3" borderId="78" xfId="0" applyNumberFormat="1" applyFont="1" applyFill="1" applyBorder="1" applyAlignment="1">
      <alignment horizontal="center" vertical="center"/>
    </xf>
    <xf numFmtId="3" fontId="10" fillId="3" borderId="151" xfId="0" applyNumberFormat="1" applyFont="1" applyFill="1" applyBorder="1" applyAlignment="1">
      <alignment horizontal="left" vertical="center"/>
    </xf>
    <xf numFmtId="3" fontId="21" fillId="3" borderId="151" xfId="0" applyNumberFormat="1" applyFont="1" applyFill="1" applyBorder="1" applyAlignment="1">
      <alignment horizontal="left" vertical="center"/>
    </xf>
    <xf numFmtId="3" fontId="21" fillId="3" borderId="150" xfId="0" applyNumberFormat="1" applyFont="1" applyFill="1" applyBorder="1" applyAlignment="1">
      <alignment horizontal="left" vertical="center"/>
    </xf>
    <xf numFmtId="0" fontId="4" fillId="0" borderId="150" xfId="0" applyFont="1" applyBorder="1"/>
    <xf numFmtId="3" fontId="24" fillId="3" borderId="150" xfId="0" applyNumberFormat="1" applyFont="1" applyFill="1" applyBorder="1" applyAlignment="1">
      <alignment horizontal="center" vertical="center" wrapText="1"/>
    </xf>
    <xf numFmtId="3" fontId="10" fillId="3" borderId="150" xfId="0" applyNumberFormat="1" applyFont="1" applyFill="1" applyBorder="1" applyAlignment="1">
      <alignment horizontal="right" vertical="center"/>
    </xf>
    <xf numFmtId="3" fontId="10" fillId="3" borderId="150" xfId="0" applyNumberFormat="1" applyFont="1" applyFill="1" applyBorder="1" applyAlignment="1">
      <alignment horizontal="left" vertical="center"/>
    </xf>
    <xf numFmtId="0" fontId="28" fillId="3" borderId="143" xfId="0" applyFont="1" applyFill="1" applyBorder="1" applyAlignment="1">
      <alignment horizontal="center" vertical="center" wrapText="1"/>
    </xf>
    <xf numFmtId="0" fontId="4" fillId="0" borderId="146" xfId="0" applyFont="1" applyBorder="1"/>
    <xf numFmtId="0" fontId="4" fillId="0" borderId="144" xfId="0" applyFont="1" applyBorder="1"/>
    <xf numFmtId="0" fontId="28" fillId="3" borderId="145" xfId="0" applyFont="1" applyFill="1" applyBorder="1" applyAlignment="1">
      <alignment horizontal="center" vertical="center" wrapText="1"/>
    </xf>
    <xf numFmtId="0" fontId="4" fillId="0" borderId="147" xfId="0" applyFont="1" applyBorder="1"/>
    <xf numFmtId="0" fontId="9" fillId="3" borderId="23" xfId="0" applyFont="1" applyFill="1" applyBorder="1" applyAlignment="1">
      <alignment horizontal="center" vertical="center"/>
    </xf>
    <xf numFmtId="1" fontId="17" fillId="3" borderId="43" xfId="0" applyNumberFormat="1" applyFont="1" applyFill="1" applyBorder="1" applyAlignment="1">
      <alignment horizontal="center" vertical="center"/>
    </xf>
    <xf numFmtId="1" fontId="16" fillId="3" borderId="13" xfId="0" applyNumberFormat="1" applyFont="1" applyFill="1" applyBorder="1" applyAlignment="1">
      <alignment horizontal="left" vertical="center"/>
    </xf>
    <xf numFmtId="3" fontId="17" fillId="3" borderId="13" xfId="0" applyNumberFormat="1" applyFont="1" applyFill="1" applyBorder="1" applyAlignment="1">
      <alignment horizontal="left" vertical="center" wrapText="1"/>
    </xf>
    <xf numFmtId="165" fontId="24" fillId="3" borderId="90" xfId="0" applyNumberFormat="1" applyFont="1" applyFill="1" applyBorder="1" applyAlignment="1">
      <alignment horizontal="center" vertical="center"/>
    </xf>
    <xf numFmtId="165" fontId="24" fillId="3" borderId="157" xfId="0" applyNumberFormat="1" applyFont="1" applyFill="1" applyBorder="1" applyAlignment="1">
      <alignment horizontal="center" vertical="center"/>
    </xf>
    <xf numFmtId="1" fontId="17" fillId="3" borderId="87" xfId="0" applyNumberFormat="1" applyFont="1" applyFill="1" applyBorder="1" applyAlignment="1">
      <alignment horizontal="center" vertical="center" wrapText="1"/>
    </xf>
    <xf numFmtId="1" fontId="29" fillId="3" borderId="43" xfId="0" applyNumberFormat="1" applyFont="1" applyFill="1" applyBorder="1" applyAlignment="1">
      <alignment horizontal="center" vertical="center" wrapText="1"/>
    </xf>
    <xf numFmtId="3" fontId="21" fillId="3" borderId="69" xfId="0" applyNumberFormat="1" applyFont="1" applyFill="1" applyBorder="1" applyAlignment="1">
      <alignment horizontal="left" vertical="center"/>
    </xf>
    <xf numFmtId="3" fontId="21" fillId="3" borderId="140" xfId="0" applyNumberFormat="1" applyFont="1" applyFill="1" applyBorder="1" applyAlignment="1">
      <alignment horizontal="left" vertical="center"/>
    </xf>
    <xf numFmtId="3" fontId="21" fillId="3" borderId="68" xfId="0" applyNumberFormat="1" applyFont="1" applyFill="1" applyBorder="1" applyAlignment="1">
      <alignment horizontal="left" vertical="center"/>
    </xf>
    <xf numFmtId="3" fontId="25" fillId="3" borderId="41" xfId="0" applyNumberFormat="1" applyFont="1" applyFill="1" applyBorder="1" applyAlignment="1">
      <alignment horizontal="center" vertical="center"/>
    </xf>
    <xf numFmtId="3" fontId="25" fillId="3" borderId="152" xfId="0" applyNumberFormat="1" applyFont="1" applyFill="1" applyBorder="1" applyAlignment="1">
      <alignment horizontal="center" vertical="center"/>
    </xf>
    <xf numFmtId="3" fontId="25" fillId="3" borderId="88" xfId="0" applyNumberFormat="1" applyFont="1" applyFill="1" applyBorder="1" applyAlignment="1">
      <alignment horizontal="center" vertical="center"/>
    </xf>
    <xf numFmtId="0" fontId="26" fillId="0" borderId="141" xfId="0" applyFont="1" applyBorder="1" applyAlignment="1">
      <alignment horizontal="center" vertical="center" wrapText="1"/>
    </xf>
    <xf numFmtId="0" fontId="26" fillId="0" borderId="87" xfId="0" applyFont="1" applyBorder="1" applyAlignment="1">
      <alignment horizontal="center" vertical="center" wrapText="1"/>
    </xf>
    <xf numFmtId="0" fontId="26" fillId="0" borderId="142" xfId="0" applyFont="1" applyBorder="1" applyAlignment="1">
      <alignment horizontal="center" vertical="center" wrapText="1"/>
    </xf>
    <xf numFmtId="0" fontId="26" fillId="0" borderId="137" xfId="0" applyFont="1" applyBorder="1" applyAlignment="1">
      <alignment horizontal="center" vertical="center" wrapText="1"/>
    </xf>
    <xf numFmtId="3" fontId="28" fillId="3" borderId="74" xfId="0" applyNumberFormat="1" applyFont="1" applyFill="1" applyBorder="1" applyAlignment="1">
      <alignment horizontal="center" vertical="center" wrapText="1"/>
    </xf>
    <xf numFmtId="3" fontId="28" fillId="3" borderId="75" xfId="0" applyNumberFormat="1" applyFont="1" applyFill="1" applyBorder="1" applyAlignment="1">
      <alignment horizontal="center" vertical="center" wrapText="1"/>
    </xf>
    <xf numFmtId="3" fontId="24" fillId="3" borderId="74" xfId="0" applyNumberFormat="1" applyFont="1" applyFill="1" applyBorder="1" applyAlignment="1">
      <alignment horizontal="center" vertical="center"/>
    </xf>
    <xf numFmtId="3" fontId="24" fillId="3" borderId="75" xfId="0" applyNumberFormat="1" applyFont="1" applyFill="1" applyBorder="1" applyAlignment="1">
      <alignment horizontal="center" vertical="center"/>
    </xf>
    <xf numFmtId="3" fontId="17" fillId="3" borderId="75" xfId="0" applyNumberFormat="1" applyFont="1" applyFill="1" applyBorder="1" applyAlignment="1">
      <alignment horizontal="center" vertical="center" wrapText="1"/>
    </xf>
    <xf numFmtId="3" fontId="25" fillId="3" borderId="137" xfId="0" applyNumberFormat="1" applyFont="1" applyFill="1" applyBorder="1" applyAlignment="1">
      <alignment horizontal="center" vertical="center"/>
    </xf>
    <xf numFmtId="3" fontId="24" fillId="3" borderId="69" xfId="0" applyNumberFormat="1" applyFont="1" applyFill="1" applyBorder="1" applyAlignment="1">
      <alignment horizontal="center" vertical="center" wrapText="1"/>
    </xf>
    <xf numFmtId="3" fontId="24" fillId="3" borderId="68" xfId="0" applyNumberFormat="1" applyFont="1" applyFill="1" applyBorder="1" applyAlignment="1">
      <alignment horizontal="center" vertical="center" wrapText="1"/>
    </xf>
    <xf numFmtId="3" fontId="9" fillId="3" borderId="74" xfId="0" applyNumberFormat="1" applyFont="1" applyFill="1" applyBorder="1" applyAlignment="1">
      <alignment horizontal="center" vertical="center" wrapText="1"/>
    </xf>
    <xf numFmtId="3" fontId="9" fillId="3" borderId="75" xfId="0" applyNumberFormat="1" applyFont="1" applyFill="1" applyBorder="1" applyAlignment="1">
      <alignment horizontal="center" vertical="center" wrapText="1"/>
    </xf>
    <xf numFmtId="3" fontId="17" fillId="3" borderId="137" xfId="0" applyNumberFormat="1" applyFont="1" applyFill="1" applyBorder="1" applyAlignment="1">
      <alignment horizontal="center" vertical="center" wrapText="1"/>
    </xf>
    <xf numFmtId="3" fontId="9" fillId="3" borderId="75" xfId="0" applyNumberFormat="1" applyFont="1" applyFill="1" applyBorder="1" applyAlignment="1">
      <alignment horizontal="center" vertical="center"/>
    </xf>
    <xf numFmtId="3" fontId="21" fillId="3" borderId="27" xfId="0" applyNumberFormat="1" applyFont="1" applyFill="1" applyBorder="1" applyAlignment="1">
      <alignment horizontal="left" vertical="center"/>
    </xf>
    <xf numFmtId="3" fontId="17" fillId="3" borderId="108" xfId="0" applyNumberFormat="1" applyFont="1" applyFill="1" applyBorder="1" applyAlignment="1">
      <alignment horizontal="center" vertical="center"/>
    </xf>
    <xf numFmtId="3" fontId="10" fillId="3" borderId="140" xfId="0" applyNumberFormat="1" applyFont="1" applyFill="1" applyBorder="1" applyAlignment="1">
      <alignment horizontal="right" vertical="center"/>
    </xf>
    <xf numFmtId="1" fontId="17" fillId="3" borderId="87" xfId="0" applyNumberFormat="1" applyFont="1" applyFill="1" applyBorder="1" applyAlignment="1">
      <alignment horizontal="center" vertical="center"/>
    </xf>
    <xf numFmtId="3" fontId="10" fillId="3" borderId="140" xfId="0" applyNumberFormat="1" applyFont="1" applyFill="1" applyBorder="1" applyAlignment="1">
      <alignment horizontal="left" vertical="center"/>
    </xf>
    <xf numFmtId="3" fontId="17" fillId="3" borderId="90" xfId="0" applyNumberFormat="1" applyFont="1" applyFill="1" applyBorder="1" applyAlignment="1">
      <alignment horizontal="center" vertical="center"/>
    </xf>
    <xf numFmtId="3" fontId="17" fillId="3" borderId="92" xfId="0" applyNumberFormat="1" applyFont="1" applyFill="1" applyBorder="1" applyAlignment="1">
      <alignment horizontal="center" vertical="center"/>
    </xf>
    <xf numFmtId="3" fontId="25" fillId="16" borderId="42" xfId="0" applyNumberFormat="1" applyFont="1" applyFill="1" applyBorder="1" applyAlignment="1">
      <alignment horizontal="center" vertical="center"/>
    </xf>
    <xf numFmtId="0" fontId="4" fillId="10" borderId="61" xfId="0" applyFont="1" applyFill="1" applyBorder="1"/>
    <xf numFmtId="0" fontId="38" fillId="0" borderId="43" xfId="0" applyFont="1" applyBorder="1" applyAlignment="1">
      <alignment horizontal="center" vertical="center" wrapText="1"/>
    </xf>
    <xf numFmtId="0" fontId="38" fillId="0" borderId="44" xfId="0" applyFont="1" applyBorder="1" applyAlignment="1">
      <alignment horizontal="center" vertical="center" wrapText="1"/>
    </xf>
    <xf numFmtId="3" fontId="18" fillId="19" borderId="127" xfId="0" applyNumberFormat="1" applyFont="1" applyFill="1" applyBorder="1" applyAlignment="1">
      <alignment horizontal="center" vertical="center"/>
    </xf>
    <xf numFmtId="0" fontId="4" fillId="23" borderId="128" xfId="0" applyFont="1" applyFill="1" applyBorder="1"/>
    <xf numFmtId="0" fontId="48" fillId="2" borderId="26" xfId="0" applyFont="1" applyFill="1" applyBorder="1" applyAlignment="1">
      <alignment horizontal="center" vertical="center" wrapText="1"/>
    </xf>
    <xf numFmtId="0" fontId="50" fillId="2" borderId="71" xfId="0" applyFont="1" applyFill="1" applyBorder="1" applyAlignment="1">
      <alignment horizontal="center" vertical="center" wrapText="1"/>
    </xf>
    <xf numFmtId="0" fontId="39" fillId="3" borderId="150" xfId="0" applyFont="1" applyFill="1" applyBorder="1" applyAlignment="1">
      <alignment horizontal="center"/>
    </xf>
    <xf numFmtId="0" fontId="42" fillId="3" borderId="150" xfId="0" applyFont="1" applyFill="1" applyBorder="1" applyAlignment="1">
      <alignment horizontal="left"/>
    </xf>
    <xf numFmtId="3" fontId="43" fillId="0" borderId="0" xfId="0" applyNumberFormat="1" applyFont="1" applyAlignment="1">
      <alignment horizontal="center" vertical="top"/>
    </xf>
    <xf numFmtId="0" fontId="45" fillId="6" borderId="150" xfId="0" applyFont="1" applyFill="1" applyBorder="1" applyAlignment="1">
      <alignment horizontal="center" vertical="center" wrapText="1"/>
    </xf>
    <xf numFmtId="0" fontId="48" fillId="2" borderId="71" xfId="0" applyFont="1" applyFill="1" applyBorder="1" applyAlignment="1">
      <alignment horizontal="center" vertical="center" wrapText="1"/>
    </xf>
    <xf numFmtId="0" fontId="49" fillId="2" borderId="70" xfId="0" applyFont="1" applyFill="1" applyBorder="1" applyAlignment="1">
      <alignment horizontal="center" vertical="center" wrapText="1"/>
    </xf>
    <xf numFmtId="0" fontId="49" fillId="2" borderId="1" xfId="0" applyFont="1" applyFill="1" applyBorder="1" applyAlignment="1">
      <alignment horizontal="center" vertical="center" wrapText="1"/>
    </xf>
    <xf numFmtId="3" fontId="9" fillId="0" borderId="23" xfId="0" applyNumberFormat="1" applyFont="1" applyBorder="1" applyAlignment="1">
      <alignment horizontal="center" vertical="center"/>
    </xf>
    <xf numFmtId="0" fontId="64" fillId="0" borderId="31" xfId="0" applyFont="1" applyBorder="1"/>
    <xf numFmtId="3" fontId="9" fillId="0" borderId="48" xfId="0" applyNumberFormat="1" applyFont="1" applyBorder="1" applyAlignment="1">
      <alignment horizontal="center" vertical="center"/>
    </xf>
    <xf numFmtId="0" fontId="64" fillId="0" borderId="49" xfId="0" applyFont="1" applyBorder="1"/>
    <xf numFmtId="3" fontId="8" fillId="0" borderId="48" xfId="0" applyNumberFormat="1" applyFont="1" applyBorder="1" applyAlignment="1">
      <alignment horizontal="center" vertical="center"/>
    </xf>
    <xf numFmtId="3" fontId="9" fillId="0" borderId="154" xfId="0" applyNumberFormat="1" applyFont="1" applyBorder="1" applyAlignment="1">
      <alignment horizontal="center" vertical="center"/>
    </xf>
    <xf numFmtId="0" fontId="64" fillId="0" borderId="155" xfId="0" applyFont="1" applyBorder="1"/>
    <xf numFmtId="3" fontId="8" fillId="2" borderId="6" xfId="0" applyNumberFormat="1" applyFont="1" applyFill="1" applyBorder="1" applyAlignment="1">
      <alignment horizontal="center" vertical="center"/>
    </xf>
    <xf numFmtId="0" fontId="64" fillId="0" borderId="157" xfId="0" applyFont="1" applyBorder="1"/>
    <xf numFmtId="0" fontId="4" fillId="0" borderId="79" xfId="0" applyFont="1" applyBorder="1"/>
    <xf numFmtId="0" fontId="65" fillId="2" borderId="70" xfId="0" applyFont="1" applyFill="1" applyBorder="1" applyAlignment="1">
      <alignment horizontal="center" vertical="center" wrapText="1"/>
    </xf>
    <xf numFmtId="0" fontId="64" fillId="0" borderId="78" xfId="0" applyFont="1" applyBorder="1"/>
    <xf numFmtId="0" fontId="65" fillId="2" borderId="71" xfId="0" applyFont="1" applyFill="1" applyBorder="1" applyAlignment="1">
      <alignment horizontal="center" vertical="center" wrapText="1"/>
    </xf>
    <xf numFmtId="0" fontId="64" fillId="0" borderId="79" xfId="0" applyFont="1" applyBorder="1"/>
    <xf numFmtId="0" fontId="65" fillId="2" borderId="19" xfId="0" applyFont="1" applyFill="1" applyBorder="1" applyAlignment="1">
      <alignment horizontal="center" vertical="center" wrapText="1"/>
    </xf>
    <xf numFmtId="0" fontId="64" fillId="0" borderId="28" xfId="0" applyFont="1" applyBorder="1"/>
    <xf numFmtId="0" fontId="64" fillId="0" borderId="20" xfId="0" applyFont="1" applyBorder="1"/>
    <xf numFmtId="0" fontId="64" fillId="0" borderId="56" xfId="0" applyFont="1" applyBorder="1"/>
    <xf numFmtId="168" fontId="23" fillId="7" borderId="67" xfId="0" applyNumberFormat="1" applyFont="1" applyFill="1" applyBorder="1" applyAlignment="1">
      <alignment horizontal="center" vertical="center" wrapText="1"/>
    </xf>
    <xf numFmtId="0" fontId="4" fillId="0" borderId="133" xfId="0" applyFont="1" applyBorder="1"/>
    <xf numFmtId="168" fontId="23" fillId="7" borderId="117" xfId="0" applyNumberFormat="1" applyFont="1" applyFill="1" applyBorder="1" applyAlignment="1">
      <alignment horizontal="center" vertical="center" wrapText="1"/>
    </xf>
    <xf numFmtId="0" fontId="4" fillId="0" borderId="160" xfId="0" applyFont="1" applyBorder="1"/>
    <xf numFmtId="0" fontId="4" fillId="0" borderId="139" xfId="0" applyFont="1" applyBorder="1"/>
    <xf numFmtId="3" fontId="23" fillId="7" borderId="67" xfId="0" applyNumberFormat="1" applyFont="1" applyFill="1" applyBorder="1" applyAlignment="1">
      <alignment horizontal="center" vertical="center" wrapText="1"/>
    </xf>
    <xf numFmtId="0" fontId="43" fillId="0" borderId="0" xfId="0" applyFont="1" applyAlignment="1">
      <alignment horizontal="center" vertical="center"/>
    </xf>
    <xf numFmtId="3" fontId="43" fillId="0" borderId="0" xfId="0" applyNumberFormat="1" applyFont="1" applyAlignment="1">
      <alignment horizontal="center" vertical="center"/>
    </xf>
    <xf numFmtId="168" fontId="23" fillId="0" borderId="117" xfId="0" applyNumberFormat="1" applyFont="1" applyBorder="1" applyAlignment="1">
      <alignment horizontal="center" vertical="center" wrapText="1"/>
    </xf>
    <xf numFmtId="168" fontId="23" fillId="0" borderId="67" xfId="0" applyNumberFormat="1" applyFont="1" applyBorder="1" applyAlignment="1">
      <alignment horizontal="center" vertical="center" wrapText="1"/>
    </xf>
    <xf numFmtId="0" fontId="43" fillId="0" borderId="4" xfId="0" applyFont="1" applyBorder="1" applyAlignment="1">
      <alignment horizontal="center" vertical="center"/>
    </xf>
    <xf numFmtId="3" fontId="43" fillId="0" borderId="4" xfId="0" applyNumberFormat="1" applyFont="1" applyBorder="1" applyAlignment="1">
      <alignment horizontal="center" vertical="center"/>
    </xf>
  </cellXfs>
  <cellStyles count="31">
    <cellStyle name="Millares [0] 2" xfId="21" xr:uid="{00000000-0005-0000-0000-000000000000}"/>
    <cellStyle name="Millares [0] 3" xfId="6" xr:uid="{00000000-0005-0000-0000-000001000000}"/>
    <cellStyle name="Millares 2" xfId="20" xr:uid="{00000000-0005-0000-0000-000002000000}"/>
    <cellStyle name="Millares 2 2" xfId="23" xr:uid="{00000000-0005-0000-0000-000003000000}"/>
    <cellStyle name="Millares 3" xfId="18" xr:uid="{00000000-0005-0000-0000-000004000000}"/>
    <cellStyle name="Moneda" xfId="30" builtinId="4"/>
    <cellStyle name="Moneda 4" xfId="28" xr:uid="{00000000-0005-0000-0000-000005000000}"/>
    <cellStyle name="Nivel 1,2.3,5,6,9" xfId="13" xr:uid="{00000000-0005-0000-0000-000006000000}"/>
    <cellStyle name="Nivel 7" xfId="10" xr:uid="{00000000-0005-0000-0000-000007000000}"/>
    <cellStyle name="Normal" xfId="0" builtinId="0"/>
    <cellStyle name="Normal 10" xfId="26" xr:uid="{00000000-0005-0000-0000-000009000000}"/>
    <cellStyle name="Normal 2" xfId="8" xr:uid="{00000000-0005-0000-0000-00000A000000}"/>
    <cellStyle name="Normal 2 2" xfId="9" xr:uid="{00000000-0005-0000-0000-00000B000000}"/>
    <cellStyle name="Normal 2 2 2" xfId="2" xr:uid="{00000000-0005-0000-0000-00000C000000}"/>
    <cellStyle name="Normal 2 2 2 2" xfId="12" xr:uid="{00000000-0005-0000-0000-00000D000000}"/>
    <cellStyle name="Normal 2 2 3" xfId="17" xr:uid="{00000000-0005-0000-0000-00000E000000}"/>
    <cellStyle name="Normal 2 3" xfId="3" xr:uid="{00000000-0005-0000-0000-00000F000000}"/>
    <cellStyle name="Normal 2 4" xfId="22" xr:uid="{00000000-0005-0000-0000-000010000000}"/>
    <cellStyle name="Normal 3" xfId="4" xr:uid="{00000000-0005-0000-0000-000011000000}"/>
    <cellStyle name="Normal 3 2" xfId="24" xr:uid="{00000000-0005-0000-0000-000012000000}"/>
    <cellStyle name="Normal 3 3" xfId="11" xr:uid="{00000000-0005-0000-0000-000013000000}"/>
    <cellStyle name="Normal 4" xfId="14" xr:uid="{00000000-0005-0000-0000-000014000000}"/>
    <cellStyle name="Normal 5" xfId="1" xr:uid="{00000000-0005-0000-0000-000015000000}"/>
    <cellStyle name="Normal 5 2" xfId="15" xr:uid="{00000000-0005-0000-0000-000016000000}"/>
    <cellStyle name="Normal 6" xfId="16" xr:uid="{00000000-0005-0000-0000-000017000000}"/>
    <cellStyle name="Normal 7" xfId="19" xr:uid="{00000000-0005-0000-0000-000018000000}"/>
    <cellStyle name="Normal 8" xfId="29" xr:uid="{00000000-0005-0000-0000-000019000000}"/>
    <cellStyle name="Normal 9" xfId="5" xr:uid="{00000000-0005-0000-0000-00001A000000}"/>
    <cellStyle name="Porcentaje 2" xfId="25" xr:uid="{00000000-0005-0000-0000-00001B000000}"/>
    <cellStyle name="Porcentaje 3" xfId="27" xr:uid="{00000000-0005-0000-0000-00001C000000}"/>
    <cellStyle name="Porcentaje 4" xfId="7" xr:uid="{00000000-0005-0000-0000-00001D000000}"/>
  </cellStyles>
  <dxfs count="889">
    <dxf>
      <font>
        <color rgb="FFFF0000"/>
      </font>
      <fill>
        <patternFill patternType="solid">
          <fgColor rgb="FFFFFF00"/>
          <bgColor rgb="FFFFFF00"/>
        </patternFill>
      </fill>
    </dxf>
    <dxf>
      <font>
        <color rgb="FFFF0000"/>
      </font>
      <fill>
        <patternFill patternType="solid">
          <fgColor rgb="FFFFFF00"/>
          <bgColor rgb="FFFFFF00"/>
        </patternFill>
      </fill>
    </dxf>
    <dxf>
      <font>
        <color rgb="FFFF0000"/>
      </font>
      <fill>
        <patternFill patternType="solid">
          <fgColor rgb="FFFFFF00"/>
          <bgColor rgb="FFFFFF00"/>
        </patternFill>
      </fill>
    </dxf>
    <dxf>
      <font>
        <color rgb="FFFF0000"/>
      </font>
      <fill>
        <patternFill patternType="solid">
          <fgColor rgb="FFFFFF00"/>
          <bgColor rgb="FFFFFF00"/>
        </patternFill>
      </fill>
    </dxf>
    <dxf>
      <font>
        <color rgb="FFFF0000"/>
      </font>
      <fill>
        <patternFill patternType="solid">
          <fgColor rgb="FFFFFF00"/>
          <bgColor rgb="FFFFFF00"/>
        </patternFill>
      </fill>
    </dxf>
    <dxf>
      <font>
        <color rgb="FFFF0000"/>
      </font>
      <fill>
        <patternFill patternType="solid">
          <fgColor rgb="FFFFFF00"/>
          <bgColor rgb="FFFFFF00"/>
        </patternFill>
      </fill>
    </dxf>
    <dxf>
      <font>
        <color rgb="FFFF0000"/>
      </font>
      <fill>
        <patternFill patternType="solid">
          <fgColor rgb="FFFFFF00"/>
          <bgColor rgb="FFFFFF00"/>
        </patternFill>
      </fill>
    </dxf>
    <dxf>
      <font>
        <color rgb="FFFF0000"/>
      </font>
      <fill>
        <patternFill patternType="solid">
          <fgColor rgb="FFFFFF00"/>
          <bgColor rgb="FFFFFF00"/>
        </patternFill>
      </fill>
    </dxf>
    <dxf>
      <font>
        <color rgb="FFFF0000"/>
      </font>
      <fill>
        <patternFill patternType="solid">
          <fgColor rgb="FFFFFF00"/>
          <bgColor rgb="FFFFFF00"/>
        </patternFill>
      </fill>
    </dxf>
    <dxf>
      <font>
        <b val="0"/>
        <i val="0"/>
        <color auto="1"/>
      </font>
      <fill>
        <patternFill>
          <bgColor rgb="FFEAEFF2"/>
        </patternFill>
      </fill>
    </dxf>
    <dxf>
      <font>
        <b val="0"/>
        <i val="0"/>
      </font>
      <fill>
        <patternFill>
          <bgColor rgb="FFC0CFD7"/>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ont>
        <b/>
        <i val="0"/>
        <color theme="0"/>
      </font>
      <fill>
        <patternFill>
          <bgColor rgb="FF82A1B1"/>
        </patternFill>
      </fill>
    </dxf>
    <dxf>
      <font>
        <b/>
        <i val="0"/>
        <color theme="0"/>
      </font>
      <fill>
        <patternFill>
          <bgColor rgb="FF7897A7"/>
        </patternFill>
      </fill>
    </dxf>
    <dxf>
      <fill>
        <patternFill>
          <bgColor rgb="FFD5DFE4"/>
        </patternFill>
      </fill>
    </dxf>
    <dxf>
      <font>
        <b val="0"/>
        <i val="0"/>
        <color auto="1"/>
      </font>
      <fill>
        <patternFill>
          <bgColor rgb="FFEAEFF2"/>
        </patternFill>
      </fill>
    </dxf>
    <dxf>
      <font>
        <b/>
        <i val="0"/>
        <color theme="0"/>
      </font>
      <fill>
        <patternFill>
          <bgColor rgb="FF96B5C6"/>
        </patternFill>
      </fill>
    </dxf>
    <dxf>
      <font>
        <b/>
        <i val="0"/>
        <color theme="0"/>
      </font>
      <fill>
        <patternFill>
          <bgColor rgb="FF6F8D9D"/>
        </patternFill>
      </fill>
    </dxf>
    <dxf>
      <font>
        <b/>
        <i val="0"/>
        <color theme="0"/>
      </font>
      <fill>
        <patternFill>
          <bgColor rgb="FF658393"/>
        </patternFill>
      </fill>
    </dxf>
    <dxf>
      <font>
        <b/>
        <i val="0"/>
        <color theme="0"/>
      </font>
      <fill>
        <patternFill>
          <bgColor rgb="FF8CABBB"/>
        </patternFill>
      </fill>
    </dxf>
    <dxf>
      <font>
        <b val="0"/>
        <i val="0"/>
      </font>
      <fill>
        <patternFill>
          <bgColor rgb="FFC0CFD7"/>
        </patternFill>
      </fill>
    </dxf>
    <dxf>
      <font>
        <b/>
        <i val="0"/>
        <color theme="0"/>
      </font>
      <fill>
        <patternFill>
          <bgColor rgb="FF7897A7"/>
        </patternFill>
      </fill>
    </dxf>
    <dxf>
      <font>
        <b/>
        <i val="0"/>
        <color theme="0"/>
      </font>
      <fill>
        <patternFill>
          <bgColor rgb="FF82A1B1"/>
        </patternFill>
      </fill>
    </dxf>
    <dxf>
      <font>
        <b/>
        <i val="0"/>
        <color theme="0"/>
      </font>
      <fill>
        <patternFill>
          <bgColor rgb="FF658393"/>
        </patternFill>
      </fill>
    </dxf>
    <dxf>
      <font>
        <b/>
        <i val="0"/>
        <color theme="0"/>
      </font>
      <fill>
        <patternFill>
          <bgColor rgb="FF8CABBB"/>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ont>
        <b/>
        <i val="0"/>
        <color theme="0"/>
      </font>
      <fill>
        <patternFill>
          <bgColor rgb="FF8CABBB"/>
        </patternFill>
      </fill>
    </dxf>
    <dxf>
      <font>
        <b val="0"/>
        <i val="0"/>
      </font>
      <fill>
        <patternFill>
          <bgColor rgb="FFC0CFD7"/>
        </patternFill>
      </fill>
    </dxf>
    <dxf>
      <font>
        <b/>
        <i val="0"/>
        <color theme="0"/>
      </font>
      <fill>
        <patternFill>
          <bgColor rgb="FF96B5C6"/>
        </patternFill>
      </fill>
    </dxf>
    <dxf>
      <font>
        <b val="0"/>
        <i val="0"/>
        <color auto="1"/>
      </font>
      <fill>
        <patternFill>
          <bgColor rgb="FFEAEFF2"/>
        </patternFill>
      </fill>
    </dxf>
    <dxf>
      <font>
        <b/>
        <i val="0"/>
        <color theme="0"/>
      </font>
      <fill>
        <patternFill>
          <bgColor rgb="FF82A1B1"/>
        </patternFill>
      </fill>
    </dxf>
    <dxf>
      <fill>
        <patternFill>
          <bgColor rgb="FFD5DFE4"/>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val="0"/>
        <i val="0"/>
      </font>
      <fill>
        <patternFill>
          <bgColor rgb="FFC0CFD7"/>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ill>
        <patternFill>
          <bgColor rgb="FFD5DFE4"/>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6F8D9D"/>
        </patternFill>
      </fill>
    </dxf>
    <dxf>
      <font>
        <b/>
        <i val="0"/>
        <color theme="0"/>
      </font>
      <fill>
        <patternFill>
          <bgColor rgb="FF658393"/>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F8D9D"/>
        </patternFill>
      </fill>
    </dxf>
    <dxf>
      <font>
        <b/>
        <i val="0"/>
        <color theme="0"/>
      </font>
      <fill>
        <patternFill>
          <bgColor rgb="FF8CABBB"/>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ont>
        <b/>
        <i val="0"/>
        <color theme="0"/>
      </font>
      <fill>
        <patternFill>
          <bgColor rgb="FF82A1B1"/>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ill>
        <patternFill>
          <bgColor rgb="FFD5DFE4"/>
        </patternFill>
      </fill>
    </dxf>
    <dxf>
      <font>
        <b val="0"/>
        <i val="0"/>
        <color auto="1"/>
      </font>
      <fill>
        <patternFill>
          <bgColor rgb="FFEAEFF2"/>
        </patternFill>
      </fill>
    </dxf>
    <dxf>
      <font>
        <b val="0"/>
        <i val="0"/>
      </font>
      <fill>
        <patternFill>
          <bgColor rgb="FFC0CFD7"/>
        </patternFill>
      </fill>
    </dxf>
    <dxf>
      <font>
        <b/>
        <i val="0"/>
        <color theme="0"/>
      </font>
      <fill>
        <patternFill>
          <bgColor rgb="FF658393"/>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7897A7"/>
        </patternFill>
      </fill>
    </dxf>
    <dxf>
      <font>
        <b/>
        <i val="0"/>
        <color theme="0"/>
      </font>
      <fill>
        <patternFill>
          <bgColor rgb="FF6F8D9D"/>
        </patternFill>
      </fill>
    </dxf>
    <dxf>
      <font>
        <b val="0"/>
        <i val="0"/>
        <color auto="1"/>
      </font>
      <fill>
        <patternFill>
          <bgColor rgb="FFEAEFF2"/>
        </patternFill>
      </fill>
    </dxf>
    <dxf>
      <font>
        <b/>
        <i val="0"/>
        <color theme="0"/>
      </font>
      <fill>
        <patternFill>
          <bgColor rgb="FF96B5C6"/>
        </patternFill>
      </fill>
    </dxf>
    <dxf>
      <font>
        <b/>
        <i val="0"/>
        <color theme="0"/>
      </font>
      <fill>
        <patternFill>
          <bgColor rgb="FF82A1B1"/>
        </patternFill>
      </fill>
    </dxf>
    <dxf>
      <font>
        <b val="0"/>
        <i val="0"/>
      </font>
      <fill>
        <patternFill>
          <bgColor rgb="FFC0CFD7"/>
        </patternFill>
      </fill>
    </dxf>
    <dxf>
      <fill>
        <patternFill>
          <bgColor rgb="FFD5DFE4"/>
        </patternFill>
      </fill>
    </dxf>
    <dxf>
      <font>
        <b/>
        <i val="0"/>
        <color theme="0"/>
      </font>
      <fill>
        <patternFill>
          <bgColor rgb="FF658393"/>
        </patternFill>
      </fill>
    </dxf>
    <dxf>
      <font>
        <b/>
        <i val="0"/>
        <color theme="0"/>
      </font>
      <fill>
        <patternFill>
          <bgColor rgb="FF8CABBB"/>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color rgb="FFFF0000"/>
      </font>
      <fill>
        <patternFill patternType="solid">
          <fgColor rgb="FFFFFF00"/>
          <bgColor rgb="FFFFFF00"/>
        </patternFill>
      </fill>
    </dxf>
    <dxf>
      <font>
        <color rgb="FFFF0000"/>
      </font>
      <fill>
        <patternFill patternType="solid">
          <fgColor rgb="FFFFFF00"/>
          <bgColor rgb="FFFFFF00"/>
        </patternFill>
      </fill>
    </dxf>
    <dxf>
      <font>
        <b val="0"/>
        <i val="0"/>
        <color auto="1"/>
      </font>
      <fill>
        <patternFill>
          <bgColor rgb="FFEAEFF2"/>
        </patternFill>
      </fill>
    </dxf>
    <dxf>
      <font>
        <b/>
        <i val="0"/>
        <color theme="0"/>
      </font>
      <fill>
        <patternFill>
          <bgColor rgb="FF7897A7"/>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6F8D9D"/>
        </patternFill>
      </fill>
    </dxf>
    <dxf>
      <font>
        <b/>
        <i val="0"/>
        <color theme="0"/>
      </font>
      <fill>
        <patternFill>
          <bgColor rgb="FF658393"/>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82A1B1"/>
        </patternFill>
      </fill>
    </dxf>
    <dxf>
      <font>
        <b/>
        <i val="0"/>
        <color theme="0"/>
      </font>
      <fill>
        <patternFill>
          <bgColor rgb="FF658393"/>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val="0"/>
        <i val="0"/>
        <color auto="1"/>
      </font>
      <fill>
        <patternFill>
          <bgColor rgb="FFEAEFF2"/>
        </patternFill>
      </fill>
    </dxf>
    <dxf>
      <font>
        <b val="0"/>
        <i val="0"/>
      </font>
      <fill>
        <patternFill>
          <bgColor rgb="FFC0CFD7"/>
        </patternFill>
      </fill>
    </dxf>
    <dxf>
      <fill>
        <patternFill>
          <bgColor rgb="FFD5DFE4"/>
        </patternFill>
      </fill>
    </dxf>
    <dxf>
      <font>
        <b/>
        <i val="0"/>
        <color theme="0"/>
      </font>
      <fill>
        <patternFill>
          <bgColor rgb="FF96B5C6"/>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i val="0"/>
        <color theme="0"/>
      </font>
      <fill>
        <patternFill>
          <bgColor rgb="FF6F8D9D"/>
        </patternFill>
      </fill>
    </dxf>
    <dxf>
      <font>
        <b/>
        <i val="0"/>
        <color theme="0"/>
      </font>
      <fill>
        <patternFill>
          <bgColor rgb="FF658393"/>
        </patternFill>
      </fill>
    </dxf>
    <dxf>
      <font>
        <b val="0"/>
        <i val="0"/>
        <color auto="1"/>
      </font>
      <fill>
        <patternFill>
          <bgColor rgb="FFEAEFF2"/>
        </patternFill>
      </fill>
    </dxf>
    <dxf>
      <font>
        <b/>
        <i val="0"/>
        <color theme="0"/>
      </font>
      <fill>
        <patternFill>
          <bgColor rgb="FF6F8D9D"/>
        </patternFill>
      </fill>
    </dxf>
    <dxf>
      <fill>
        <patternFill>
          <bgColor rgb="FFD5DFE4"/>
        </patternFill>
      </fill>
    </dxf>
    <dxf>
      <font>
        <b val="0"/>
        <i val="0"/>
        <color auto="1"/>
      </font>
      <fill>
        <patternFill>
          <bgColor rgb="FFEAEFF2"/>
        </patternFill>
      </fill>
    </dxf>
    <dxf>
      <font>
        <b val="0"/>
        <i val="0"/>
      </font>
      <fill>
        <patternFill>
          <bgColor rgb="FFC0CFD7"/>
        </patternFill>
      </fill>
    </dxf>
    <dxf>
      <font>
        <b/>
        <i val="0"/>
        <color theme="0"/>
      </font>
      <fill>
        <patternFill>
          <bgColor rgb="FF96B5C6"/>
        </patternFill>
      </fill>
    </dxf>
    <dxf>
      <font>
        <b/>
        <i val="0"/>
        <color theme="0"/>
      </font>
      <fill>
        <patternFill>
          <bgColor rgb="FF658393"/>
        </patternFill>
      </fill>
    </dxf>
    <dxf>
      <font>
        <b/>
        <i val="0"/>
        <color theme="0"/>
      </font>
      <fill>
        <patternFill>
          <bgColor rgb="FF7897A7"/>
        </patternFill>
      </fill>
    </dxf>
    <dxf>
      <font>
        <b/>
        <i val="0"/>
        <color theme="0"/>
      </font>
      <fill>
        <patternFill>
          <bgColor rgb="FF8CABBB"/>
        </patternFill>
      </fill>
    </dxf>
    <dxf>
      <font>
        <b/>
        <i val="0"/>
        <color theme="0"/>
      </font>
      <fill>
        <patternFill>
          <bgColor rgb="FF82A1B1"/>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ont>
        <b/>
        <i val="0"/>
        <color theme="0"/>
      </font>
      <fill>
        <patternFill>
          <bgColor rgb="FF82A1B1"/>
        </patternFill>
      </fill>
    </dxf>
    <dxf>
      <font>
        <b/>
        <i val="0"/>
        <color theme="0"/>
      </font>
      <fill>
        <patternFill>
          <bgColor rgb="FF7897A7"/>
        </patternFill>
      </fill>
    </dxf>
    <dxf>
      <font>
        <b val="0"/>
        <i val="0"/>
        <color auto="1"/>
      </font>
      <fill>
        <patternFill>
          <bgColor rgb="FFEAEFF2"/>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ill>
        <patternFill>
          <bgColor rgb="FFD5DFE4"/>
        </patternFill>
      </fill>
    </dxf>
    <dxf>
      <font>
        <b/>
        <i val="0"/>
        <color theme="0"/>
      </font>
      <fill>
        <patternFill>
          <bgColor rgb="FF6F8D9D"/>
        </patternFill>
      </fill>
    </dxf>
    <dxf>
      <font>
        <b/>
        <i val="0"/>
        <color theme="0"/>
      </font>
      <fill>
        <patternFill>
          <bgColor rgb="FF658393"/>
        </patternFill>
      </fill>
    </dxf>
    <dxf>
      <font>
        <b/>
        <i val="0"/>
        <color theme="0"/>
      </font>
      <fill>
        <patternFill>
          <bgColor rgb="FF7897A7"/>
        </patternFill>
      </fill>
    </dxf>
    <dxf>
      <font>
        <b/>
        <i val="0"/>
        <color theme="0"/>
      </font>
      <fill>
        <patternFill>
          <bgColor rgb="FF82A1B1"/>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val="0"/>
        <i val="0"/>
        <color auto="1"/>
      </font>
      <fill>
        <patternFill>
          <bgColor rgb="FFEAEFF2"/>
        </patternFill>
      </fill>
    </dxf>
    <dxf>
      <font>
        <b/>
        <i val="0"/>
        <color theme="0"/>
      </font>
      <fill>
        <patternFill>
          <bgColor rgb="FF6F8D9D"/>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7897A7"/>
        </patternFill>
      </fill>
    </dxf>
    <dxf>
      <font>
        <b/>
        <i val="0"/>
        <color theme="0"/>
      </font>
      <fill>
        <patternFill>
          <bgColor rgb="FF658393"/>
        </patternFill>
      </fill>
    </dxf>
    <dxf>
      <font>
        <b/>
        <i val="0"/>
        <color theme="0"/>
      </font>
      <fill>
        <patternFill>
          <bgColor rgb="FF7897A7"/>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658393"/>
        </patternFill>
      </fill>
    </dxf>
    <dxf>
      <font>
        <b/>
        <i val="0"/>
        <color theme="0"/>
      </font>
      <fill>
        <patternFill>
          <bgColor rgb="FF6F8D9D"/>
        </patternFill>
      </fill>
    </dxf>
    <dxf>
      <font>
        <b/>
        <i val="0"/>
        <color theme="0"/>
      </font>
      <fill>
        <patternFill>
          <bgColor rgb="FF82A1B1"/>
        </patternFill>
      </fill>
    </dxf>
    <dxf>
      <font>
        <b/>
        <i val="0"/>
        <color theme="0"/>
      </font>
      <fill>
        <patternFill>
          <bgColor rgb="FF6F8D9D"/>
        </patternFill>
      </fill>
    </dxf>
    <dxf>
      <font>
        <b/>
        <i val="0"/>
        <color theme="0"/>
      </font>
      <fill>
        <patternFill>
          <bgColor rgb="FF658393"/>
        </patternFill>
      </fill>
    </dxf>
    <dxf>
      <font>
        <b/>
        <i val="0"/>
        <color theme="0"/>
      </font>
      <fill>
        <patternFill>
          <bgColor rgb="FF96B5C6"/>
        </patternFill>
      </fill>
    </dxf>
    <dxf>
      <fill>
        <patternFill>
          <bgColor rgb="FFD5DFE4"/>
        </patternFill>
      </fill>
    </dxf>
    <dxf>
      <font>
        <b val="0"/>
        <i val="0"/>
      </font>
      <fill>
        <patternFill>
          <bgColor rgb="FFC0CFD7"/>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val="0"/>
        <i val="0"/>
        <color auto="1"/>
      </font>
      <fill>
        <patternFill>
          <bgColor rgb="FFEAEFF2"/>
        </patternFill>
      </fill>
    </dxf>
    <dxf>
      <font>
        <b/>
        <i val="0"/>
        <color theme="0"/>
      </font>
      <fill>
        <patternFill>
          <bgColor rgb="FF7897A7"/>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658393"/>
        </patternFill>
      </fill>
    </dxf>
    <dxf>
      <font>
        <b/>
        <i val="0"/>
        <color theme="0"/>
      </font>
      <fill>
        <patternFill>
          <bgColor rgb="FF6F8D9D"/>
        </patternFill>
      </fill>
    </dxf>
    <dxf>
      <font>
        <b/>
        <i val="0"/>
        <color theme="0"/>
      </font>
      <fill>
        <patternFill>
          <bgColor rgb="FF82A1B1"/>
        </patternFill>
      </fill>
    </dxf>
    <dxf>
      <font>
        <b/>
        <i val="0"/>
        <color theme="0"/>
      </font>
      <fill>
        <patternFill>
          <bgColor rgb="FF8CABBB"/>
        </patternFill>
      </fill>
    </dxf>
    <dxf>
      <font>
        <b val="0"/>
        <i val="0"/>
      </font>
      <fill>
        <patternFill>
          <bgColor rgb="FFC0CFD7"/>
        </patternFill>
      </fill>
    </dxf>
    <dxf>
      <font>
        <b/>
        <i val="0"/>
        <color theme="0"/>
      </font>
      <fill>
        <patternFill>
          <bgColor rgb="FF8CABBB"/>
        </patternFill>
      </fill>
    </dxf>
    <dxf>
      <font>
        <b/>
        <i val="0"/>
        <color theme="0"/>
      </font>
      <fill>
        <patternFill>
          <bgColor rgb="FF6F8D9D"/>
        </patternFill>
      </fill>
    </dxf>
    <dxf>
      <font>
        <b/>
        <i val="0"/>
        <color theme="0"/>
      </font>
      <fill>
        <patternFill>
          <bgColor rgb="FF82A1B1"/>
        </patternFill>
      </fill>
    </dxf>
    <dxf>
      <font>
        <b/>
        <i val="0"/>
        <color theme="0"/>
      </font>
      <fill>
        <patternFill>
          <bgColor rgb="FF7897A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96B5C6"/>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8CABBB"/>
        </patternFill>
      </fill>
    </dxf>
    <dxf>
      <font>
        <b/>
        <i val="0"/>
        <color theme="0"/>
      </font>
      <fill>
        <patternFill>
          <bgColor rgb="FF658393"/>
        </patternFill>
      </fill>
    </dxf>
    <dxf>
      <font>
        <b/>
        <i val="0"/>
        <color theme="0"/>
      </font>
      <fill>
        <patternFill>
          <bgColor rgb="FF7897A7"/>
        </patternFill>
      </fill>
    </dxf>
    <dxf>
      <font>
        <b/>
        <i val="0"/>
        <color theme="0"/>
      </font>
      <fill>
        <patternFill>
          <bgColor rgb="FF82A1B1"/>
        </patternFill>
      </fill>
    </dxf>
    <dxf>
      <font>
        <b val="0"/>
        <i val="0"/>
      </font>
      <fill>
        <patternFill>
          <bgColor rgb="FFC0CFD7"/>
        </patternFill>
      </fill>
    </dxf>
    <dxf>
      <font>
        <b/>
        <i val="0"/>
        <color theme="0"/>
      </font>
      <fill>
        <patternFill>
          <bgColor rgb="FF8CABBB"/>
        </patternFill>
      </fill>
    </dxf>
    <dxf>
      <font>
        <b/>
        <i val="0"/>
        <color theme="0"/>
      </font>
      <fill>
        <patternFill>
          <bgColor rgb="FF96B5C6"/>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6F8D9D"/>
        </patternFill>
      </fill>
    </dxf>
    <dxf>
      <font>
        <b/>
        <i val="0"/>
        <color theme="0"/>
      </font>
      <fill>
        <patternFill>
          <bgColor rgb="FF8CABBB"/>
        </patternFill>
      </fill>
    </dxf>
    <dxf>
      <font>
        <b/>
        <i val="0"/>
        <color theme="0"/>
      </font>
      <fill>
        <patternFill>
          <bgColor rgb="FF658393"/>
        </patternFill>
      </fill>
    </dxf>
    <dxf>
      <font>
        <b/>
        <i val="0"/>
        <color theme="0"/>
      </font>
      <fill>
        <patternFill>
          <bgColor rgb="FF82A1B1"/>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96B5C6"/>
        </patternFill>
      </fill>
    </dxf>
    <dxf>
      <font>
        <b/>
        <i val="0"/>
        <color theme="0"/>
      </font>
      <fill>
        <patternFill>
          <bgColor rgb="FF7897A7"/>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val="0"/>
        <i val="0"/>
        <color auto="1"/>
      </font>
      <fill>
        <patternFill>
          <bgColor rgb="FFEAEFF2"/>
        </patternFill>
      </fill>
    </dxf>
    <dxf>
      <font>
        <b/>
        <i val="0"/>
        <color theme="0"/>
      </font>
      <fill>
        <patternFill>
          <bgColor rgb="FF82A1B1"/>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i val="0"/>
        <color theme="0"/>
      </font>
      <fill>
        <patternFill>
          <bgColor rgb="FF96B5C6"/>
        </patternFill>
      </fill>
    </dxf>
    <dxf>
      <font>
        <b val="0"/>
        <i val="0"/>
      </font>
      <fill>
        <patternFill>
          <bgColor rgb="FFC0CFD7"/>
        </patternFill>
      </fill>
    </dxf>
    <dxf>
      <font>
        <b val="0"/>
        <i val="0"/>
        <color auto="1"/>
      </font>
      <fill>
        <patternFill>
          <bgColor rgb="FFEAEFF2"/>
        </patternFill>
      </fill>
    </dxf>
    <dxf>
      <fill>
        <patternFill>
          <bgColor rgb="FFD5DFE4"/>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ill>
        <patternFill>
          <bgColor rgb="FFD5DFE4"/>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ont>
        <b/>
        <i val="0"/>
        <color theme="0"/>
      </font>
      <fill>
        <patternFill>
          <bgColor rgb="FF658393"/>
        </patternFill>
      </fill>
    </dxf>
    <dxf>
      <font>
        <b/>
        <i val="0"/>
        <color theme="0"/>
      </font>
      <fill>
        <patternFill>
          <bgColor rgb="FF6F8D9D"/>
        </patternFill>
      </fill>
    </dxf>
    <dxf>
      <font>
        <b/>
        <i val="0"/>
        <color theme="0"/>
      </font>
      <fill>
        <patternFill>
          <bgColor rgb="FF82A1B1"/>
        </patternFill>
      </fill>
    </dxf>
    <dxf>
      <font>
        <b val="0"/>
        <i val="0"/>
        <color auto="1"/>
      </font>
      <fill>
        <patternFill>
          <bgColor rgb="FFEAEFF2"/>
        </patternFill>
      </fill>
    </dxf>
    <dxf>
      <font>
        <b/>
        <i val="0"/>
        <color theme="0"/>
      </font>
      <fill>
        <patternFill>
          <bgColor rgb="FF7897A7"/>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658393"/>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658393"/>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6F8D9D"/>
        </patternFill>
      </fill>
    </dxf>
    <dxf>
      <font>
        <b/>
        <i val="0"/>
        <color theme="0"/>
      </font>
      <fill>
        <patternFill>
          <bgColor rgb="FF7897A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ill>
        <patternFill>
          <bgColor rgb="FFD5DFE4"/>
        </patternFill>
      </fill>
    </dxf>
    <dxf>
      <font>
        <b/>
        <i val="0"/>
        <color theme="0"/>
      </font>
      <fill>
        <patternFill>
          <bgColor rgb="FF658393"/>
        </patternFill>
      </fill>
    </dxf>
    <dxf>
      <font>
        <b val="0"/>
        <i val="0"/>
        <color auto="1"/>
      </font>
      <fill>
        <patternFill>
          <bgColor rgb="FFEAEFF2"/>
        </patternFill>
      </fill>
    </dxf>
    <dxf>
      <font>
        <b val="0"/>
        <i val="0"/>
      </font>
      <fill>
        <patternFill>
          <bgColor rgb="FFC0CFD7"/>
        </patternFill>
      </fill>
    </dxf>
    <dxf>
      <font>
        <b/>
        <i val="0"/>
        <color theme="0"/>
      </font>
      <fill>
        <patternFill>
          <bgColor rgb="FF6F8D9D"/>
        </patternFill>
      </fill>
    </dxf>
    <dxf>
      <fill>
        <patternFill>
          <bgColor rgb="FFD5DFE4"/>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658393"/>
        </patternFill>
      </fill>
    </dxf>
    <dxf>
      <font>
        <b val="0"/>
        <i val="0"/>
      </font>
      <fill>
        <patternFill>
          <bgColor rgb="FFC0CFD7"/>
        </patternFill>
      </fill>
    </dxf>
    <dxf>
      <font>
        <b/>
        <i val="0"/>
        <color theme="0"/>
      </font>
      <fill>
        <patternFill>
          <bgColor rgb="FF6F8D9D"/>
        </patternFill>
      </fill>
    </dxf>
    <dxf>
      <font>
        <b/>
        <i val="0"/>
        <color theme="0"/>
      </font>
      <fill>
        <patternFill>
          <bgColor rgb="FF7897A7"/>
        </patternFill>
      </fill>
    </dxf>
    <dxf>
      <font>
        <b val="0"/>
        <i val="0"/>
        <color auto="1"/>
      </font>
      <fill>
        <patternFill>
          <bgColor rgb="FFEAEFF2"/>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i val="0"/>
        <color theme="0"/>
      </font>
      <fill>
        <patternFill>
          <bgColor rgb="FF658393"/>
        </patternFill>
      </fill>
    </dxf>
    <dxf>
      <font>
        <b/>
        <i val="0"/>
        <color theme="0"/>
      </font>
      <fill>
        <patternFill>
          <bgColor rgb="FF6F8D9D"/>
        </patternFill>
      </fill>
    </dxf>
    <dxf>
      <font>
        <b/>
        <i val="0"/>
        <color theme="0"/>
      </font>
      <fill>
        <patternFill>
          <bgColor rgb="FF8CABBB"/>
        </patternFill>
      </fill>
    </dxf>
    <dxf>
      <font>
        <b val="0"/>
        <i val="0"/>
        <color auto="1"/>
      </font>
      <fill>
        <patternFill>
          <bgColor rgb="FFEAEFF2"/>
        </patternFill>
      </fill>
    </dxf>
    <dxf>
      <font>
        <b val="0"/>
        <i val="0"/>
      </font>
      <fill>
        <patternFill>
          <bgColor rgb="FFC0CFD7"/>
        </patternFill>
      </fill>
    </dxf>
    <dxf>
      <fill>
        <patternFill>
          <bgColor rgb="FFD5DFE4"/>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ont>
        <b/>
        <i val="0"/>
        <color theme="0"/>
      </font>
      <fill>
        <patternFill>
          <bgColor rgb="FF96B5C6"/>
        </patternFill>
      </fill>
    </dxf>
    <dxf>
      <font>
        <b val="0"/>
        <i val="0"/>
      </font>
      <fill>
        <patternFill>
          <bgColor rgb="FFC0CFD7"/>
        </patternFill>
      </fill>
    </dxf>
    <dxf>
      <fill>
        <patternFill>
          <bgColor rgb="FFD5DFE4"/>
        </patternFill>
      </fill>
    </dxf>
    <dxf>
      <font>
        <b/>
        <i val="0"/>
        <color theme="0"/>
      </font>
      <fill>
        <patternFill>
          <bgColor rgb="FF8CABBB"/>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val="0"/>
        <i val="0"/>
        <color auto="1"/>
      </font>
      <fill>
        <patternFill>
          <bgColor rgb="FFEAEFF2"/>
        </patternFill>
      </fill>
    </dxf>
    <dxf>
      <font>
        <b/>
        <i val="0"/>
        <color theme="0"/>
      </font>
      <fill>
        <patternFill>
          <bgColor rgb="FF96B5C6"/>
        </patternFill>
      </fill>
    </dxf>
    <dxf>
      <font>
        <b/>
        <i val="0"/>
        <color theme="0"/>
      </font>
      <fill>
        <patternFill>
          <bgColor rgb="FF658393"/>
        </patternFill>
      </fill>
    </dxf>
    <dxf>
      <font>
        <b/>
        <i val="0"/>
        <color theme="0"/>
      </font>
      <fill>
        <patternFill>
          <bgColor rgb="FF8CABBB"/>
        </patternFill>
      </fill>
    </dxf>
    <dxf>
      <font>
        <b/>
        <i val="0"/>
        <color theme="0"/>
      </font>
      <fill>
        <patternFill>
          <bgColor rgb="FF7897A7"/>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6F8D9D"/>
        </patternFill>
      </fill>
    </dxf>
    <dxf>
      <font>
        <b/>
        <i val="0"/>
        <color theme="0"/>
      </font>
      <fill>
        <patternFill>
          <bgColor rgb="FF82A1B1"/>
        </patternFill>
      </fill>
    </dxf>
    <dxf>
      <font>
        <b/>
        <i val="0"/>
        <color theme="0"/>
      </font>
      <fill>
        <patternFill>
          <bgColor rgb="FF96B5C6"/>
        </patternFill>
      </fill>
    </dxf>
    <dxf>
      <font>
        <b/>
        <i val="0"/>
        <color theme="0"/>
      </font>
      <fill>
        <patternFill>
          <bgColor rgb="FF8CABBB"/>
        </patternFill>
      </fill>
    </dxf>
    <dxf>
      <font>
        <b/>
        <i val="0"/>
        <color theme="0"/>
      </font>
      <fill>
        <patternFill>
          <bgColor rgb="FF658393"/>
        </patternFill>
      </fill>
    </dxf>
    <dxf>
      <font>
        <b val="0"/>
        <i val="0"/>
      </font>
      <fill>
        <patternFill>
          <bgColor rgb="FFC0CFD7"/>
        </patternFill>
      </fill>
    </dxf>
    <dxf>
      <font>
        <b val="0"/>
        <i val="0"/>
        <color auto="1"/>
      </font>
      <fill>
        <patternFill>
          <bgColor rgb="FFEAEFF2"/>
        </patternFill>
      </fill>
    </dxf>
    <dxf>
      <fill>
        <patternFill>
          <bgColor rgb="FFD5DFE4"/>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ill>
        <patternFill>
          <bgColor rgb="FFD5DFE4"/>
        </patternFill>
      </fill>
    </dxf>
    <dxf>
      <font>
        <b/>
        <i val="0"/>
        <color theme="0"/>
      </font>
      <fill>
        <patternFill>
          <bgColor rgb="FF82A1B1"/>
        </patternFill>
      </fill>
    </dxf>
    <dxf>
      <font>
        <b/>
        <i val="0"/>
        <color theme="0"/>
      </font>
      <fill>
        <patternFill>
          <bgColor rgb="FF7897A7"/>
        </patternFill>
      </fill>
    </dxf>
    <dxf>
      <font>
        <b/>
        <i val="0"/>
        <color theme="0"/>
      </font>
      <fill>
        <patternFill>
          <bgColor rgb="FF658393"/>
        </patternFill>
      </fill>
    </dxf>
    <dxf>
      <font>
        <b/>
        <i val="0"/>
        <color theme="0"/>
      </font>
      <fill>
        <patternFill>
          <bgColor rgb="FF6F8D9D"/>
        </patternFill>
      </fill>
    </dxf>
    <dxf>
      <font>
        <b/>
        <i val="0"/>
        <color theme="0"/>
      </font>
      <fill>
        <patternFill>
          <bgColor rgb="FF82A1B1"/>
        </patternFill>
      </fill>
    </dxf>
    <dxf>
      <font>
        <b/>
        <i val="0"/>
        <color theme="0"/>
      </font>
      <fill>
        <patternFill>
          <bgColor rgb="FF8CABBB"/>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2A1B1"/>
        </patternFill>
      </fill>
    </dxf>
    <dxf>
      <font>
        <b val="0"/>
        <i val="0"/>
      </font>
      <fill>
        <patternFill>
          <bgColor rgb="FFC0CFD7"/>
        </patternFill>
      </fill>
    </dxf>
    <dxf>
      <font>
        <b/>
        <i val="0"/>
        <color theme="0"/>
      </font>
      <fill>
        <patternFill>
          <bgColor rgb="FF96B5C6"/>
        </patternFill>
      </fill>
    </dxf>
    <dxf>
      <fill>
        <patternFill>
          <bgColor rgb="FFD5DFE4"/>
        </patternFill>
      </fill>
    </dxf>
    <dxf>
      <font>
        <b/>
        <i val="0"/>
        <color theme="0"/>
      </font>
      <fill>
        <patternFill>
          <bgColor rgb="FF658393"/>
        </patternFill>
      </fill>
    </dxf>
    <dxf>
      <font>
        <b/>
        <i val="0"/>
        <color theme="0"/>
      </font>
      <fill>
        <patternFill>
          <bgColor rgb="FF6F8D9D"/>
        </patternFill>
      </fill>
    </dxf>
    <dxf>
      <font>
        <b/>
        <i val="0"/>
        <color theme="0"/>
      </font>
      <fill>
        <patternFill>
          <bgColor rgb="FF8CABBB"/>
        </patternFill>
      </fill>
    </dxf>
    <dxf>
      <font>
        <b/>
        <i val="0"/>
        <color theme="0"/>
      </font>
      <fill>
        <patternFill>
          <bgColor rgb="FF7897A7"/>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ill>
        <patternFill>
          <bgColor rgb="FFD5DFE4"/>
        </patternFill>
      </fill>
    </dxf>
    <dxf>
      <font>
        <b val="0"/>
        <i val="0"/>
        <color auto="1"/>
      </font>
      <fill>
        <patternFill>
          <bgColor rgb="FFEAEFF2"/>
        </patternFill>
      </fill>
    </dxf>
    <dxf>
      <font>
        <b val="0"/>
        <i val="0"/>
      </font>
      <fill>
        <patternFill>
          <bgColor rgb="FFC0CFD7"/>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96B5C6"/>
        </patternFill>
      </fill>
    </dxf>
    <dxf>
      <font>
        <b/>
        <i val="0"/>
        <color theme="0"/>
      </font>
      <fill>
        <patternFill>
          <bgColor rgb="FF6F8D9D"/>
        </patternFill>
      </fill>
    </dxf>
    <dxf>
      <font>
        <b/>
        <i val="0"/>
        <color theme="0"/>
      </font>
      <fill>
        <patternFill>
          <bgColor rgb="FF82A1B1"/>
        </patternFill>
      </fill>
    </dxf>
    <dxf>
      <font>
        <b val="0"/>
        <i val="0"/>
        <color auto="1"/>
      </font>
      <fill>
        <patternFill>
          <bgColor rgb="FFEAEFF2"/>
        </patternFill>
      </fill>
    </dxf>
    <dxf>
      <fill>
        <patternFill>
          <bgColor rgb="FFD5DFE4"/>
        </patternFill>
      </fill>
    </dxf>
    <dxf>
      <font>
        <b/>
        <i val="0"/>
        <color theme="0"/>
      </font>
      <fill>
        <patternFill>
          <bgColor rgb="FF96B5C6"/>
        </patternFill>
      </fill>
    </dxf>
    <dxf>
      <font>
        <b/>
        <i val="0"/>
        <color theme="0"/>
      </font>
      <fill>
        <patternFill>
          <bgColor rgb="FF8CABBB"/>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val="0"/>
        <i val="0"/>
      </font>
      <fill>
        <patternFill>
          <bgColor rgb="FFC0CFD7"/>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ont>
        <b val="0"/>
        <i val="0"/>
        <color auto="1"/>
      </font>
      <fill>
        <patternFill>
          <bgColor rgb="FFEAEFF2"/>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ill>
        <patternFill>
          <bgColor rgb="FFD5DFE4"/>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6F8D9D"/>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val="0"/>
        <i val="0"/>
        <color auto="1"/>
      </font>
      <fill>
        <patternFill>
          <bgColor rgb="FFEAEFF2"/>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ill>
        <patternFill>
          <bgColor rgb="FFD5DFE4"/>
        </patternFill>
      </fill>
    </dxf>
    <dxf>
      <font>
        <b/>
        <i val="0"/>
        <color theme="0"/>
      </font>
      <fill>
        <patternFill>
          <bgColor rgb="FF7897A7"/>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6F8D9D"/>
        </patternFill>
      </fill>
    </dxf>
    <dxf>
      <font>
        <b/>
        <i val="0"/>
        <color theme="0"/>
      </font>
      <fill>
        <patternFill>
          <bgColor rgb="FF658393"/>
        </patternFill>
      </fill>
    </dxf>
    <dxf>
      <font>
        <b val="0"/>
        <i val="0"/>
        <color auto="1"/>
      </font>
      <fill>
        <patternFill>
          <bgColor rgb="FFEAEFF2"/>
        </patternFill>
      </fill>
    </dxf>
    <dxf>
      <fill>
        <patternFill>
          <bgColor rgb="FFD5DFE4"/>
        </patternFill>
      </fill>
    </dxf>
    <dxf>
      <font>
        <b/>
        <i val="0"/>
        <color theme="0"/>
      </font>
      <fill>
        <patternFill>
          <bgColor rgb="FF8CABBB"/>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6F8D9D"/>
        </patternFill>
      </fill>
    </dxf>
    <dxf>
      <font>
        <b/>
        <i val="0"/>
        <color theme="0"/>
      </font>
      <fill>
        <patternFill>
          <bgColor rgb="FF82A1B1"/>
        </patternFill>
      </fill>
    </dxf>
    <dxf>
      <font>
        <b/>
        <i val="0"/>
        <color theme="0"/>
      </font>
      <fill>
        <patternFill>
          <bgColor rgb="FF7897A7"/>
        </patternFill>
      </fill>
    </dxf>
    <dxf>
      <font>
        <b/>
        <i val="0"/>
        <color theme="0"/>
      </font>
      <fill>
        <patternFill>
          <bgColor rgb="FF658393"/>
        </patternFill>
      </fill>
    </dxf>
    <dxf>
      <font>
        <b/>
        <i val="0"/>
        <color theme="0"/>
      </font>
      <fill>
        <patternFill>
          <bgColor rgb="FF96B5C6"/>
        </patternFill>
      </fill>
    </dxf>
    <dxf>
      <font>
        <b/>
        <i val="0"/>
        <color theme="0"/>
      </font>
      <fill>
        <patternFill>
          <bgColor rgb="FF82A1B1"/>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CABBB"/>
        </patternFill>
      </fill>
    </dxf>
    <dxf>
      <font>
        <b/>
        <i val="0"/>
        <color theme="0"/>
      </font>
      <fill>
        <patternFill>
          <bgColor rgb="FF96B5C6"/>
        </patternFill>
      </fill>
    </dxf>
    <dxf>
      <fill>
        <patternFill>
          <bgColor rgb="FFD5DFE4"/>
        </patternFill>
      </fill>
    </dxf>
    <dxf>
      <font>
        <b val="0"/>
        <i val="0"/>
      </font>
      <fill>
        <patternFill>
          <bgColor rgb="FFC0CFD7"/>
        </patternFill>
      </fill>
    </dxf>
    <dxf>
      <font>
        <b val="0"/>
        <i val="0"/>
        <color auto="1"/>
      </font>
      <fill>
        <patternFill>
          <bgColor rgb="FFEAEFF2"/>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ont>
        <b/>
        <i val="0"/>
        <color theme="0"/>
      </font>
      <fill>
        <patternFill>
          <bgColor rgb="FF8CABBB"/>
        </patternFill>
      </fill>
    </dxf>
    <dxf>
      <font>
        <b val="0"/>
        <i val="0"/>
        <color auto="1"/>
      </font>
      <fill>
        <patternFill>
          <bgColor rgb="FFEAEFF2"/>
        </patternFill>
      </fill>
    </dxf>
    <dxf>
      <font>
        <b/>
        <i val="0"/>
        <color theme="0"/>
      </font>
      <fill>
        <patternFill>
          <bgColor rgb="FF96B5C6"/>
        </patternFill>
      </fill>
    </dxf>
    <dxf>
      <fill>
        <patternFill>
          <bgColor rgb="FFD5DFE4"/>
        </patternFill>
      </fill>
    </dxf>
    <dxf>
      <font>
        <b val="0"/>
        <i val="0"/>
      </font>
      <fill>
        <patternFill>
          <bgColor rgb="FFC0CFD7"/>
        </patternFill>
      </fill>
    </dxf>
    <dxf>
      <fill>
        <patternFill>
          <bgColor rgb="FFD5DFE4"/>
        </patternFill>
      </fill>
    </dxf>
    <dxf>
      <font>
        <b val="0"/>
        <i val="0"/>
      </font>
      <fill>
        <patternFill>
          <bgColor rgb="FFC0CFD7"/>
        </patternFill>
      </fill>
    </dxf>
    <dxf>
      <font>
        <b/>
        <i val="0"/>
        <color theme="0"/>
      </font>
      <fill>
        <patternFill>
          <bgColor rgb="FF8CABBB"/>
        </patternFill>
      </fill>
    </dxf>
    <dxf>
      <font>
        <b/>
        <i val="0"/>
        <color theme="0"/>
      </font>
      <fill>
        <patternFill>
          <bgColor rgb="FF82A1B1"/>
        </patternFill>
      </fill>
    </dxf>
    <dxf>
      <font>
        <b/>
        <i val="0"/>
        <color theme="0"/>
      </font>
      <fill>
        <patternFill>
          <bgColor rgb="FF96B5C6"/>
        </patternFill>
      </fill>
    </dxf>
    <dxf>
      <font>
        <b val="0"/>
        <i val="0"/>
        <color auto="1"/>
      </font>
      <fill>
        <patternFill>
          <bgColor rgb="FFEAEFF2"/>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ont>
        <b/>
        <i val="0"/>
        <color theme="0"/>
      </font>
      <fill>
        <patternFill>
          <bgColor rgb="FF658393"/>
        </patternFill>
      </fill>
    </dxf>
    <dxf>
      <font>
        <b/>
        <i val="0"/>
        <color theme="0"/>
      </font>
      <fill>
        <patternFill>
          <bgColor rgb="FF6F8D9D"/>
        </patternFill>
      </fill>
    </dxf>
    <dxf>
      <fill>
        <patternFill>
          <bgColor rgb="FFD5DFE4"/>
        </patternFill>
      </fill>
    </dxf>
    <dxf>
      <font>
        <b/>
        <i val="0"/>
        <color theme="0"/>
      </font>
      <fill>
        <patternFill>
          <bgColor rgb="FF82A1B1"/>
        </patternFill>
      </fill>
    </dxf>
    <dxf>
      <font>
        <b/>
        <i val="0"/>
        <color theme="0"/>
      </font>
      <fill>
        <patternFill>
          <bgColor rgb="FF8CABBB"/>
        </patternFill>
      </fill>
    </dxf>
    <dxf>
      <font>
        <b val="0"/>
        <i val="0"/>
        <color auto="1"/>
      </font>
      <fill>
        <patternFill>
          <bgColor rgb="FFEAEFF2"/>
        </patternFill>
      </fill>
    </dxf>
    <dxf>
      <font>
        <b val="0"/>
        <i val="0"/>
      </font>
      <fill>
        <patternFill>
          <bgColor rgb="FFC0CFD7"/>
        </patternFill>
      </fill>
    </dxf>
    <dxf>
      <font>
        <b/>
        <i val="0"/>
        <color theme="0"/>
      </font>
      <fill>
        <patternFill>
          <bgColor rgb="FF7897A7"/>
        </patternFill>
      </fill>
    </dxf>
    <dxf>
      <font>
        <b/>
        <i val="0"/>
        <color theme="0"/>
      </font>
      <fill>
        <patternFill>
          <bgColor rgb="FF96B5C6"/>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val="0"/>
        <i val="0"/>
      </font>
      <fill>
        <patternFill>
          <bgColor rgb="FFC0CFD7"/>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ont>
        <b/>
        <i val="0"/>
        <color theme="0"/>
      </font>
      <fill>
        <patternFill>
          <bgColor rgb="FF96B5C6"/>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96B5C6"/>
        </patternFill>
      </fill>
    </dxf>
    <dxf>
      <font>
        <b/>
        <i val="0"/>
        <color theme="0"/>
      </font>
      <fill>
        <patternFill>
          <bgColor rgb="FF6F8D9D"/>
        </patternFill>
      </fill>
    </dxf>
    <dxf>
      <font>
        <b/>
        <i val="0"/>
        <color theme="0"/>
      </font>
      <fill>
        <patternFill>
          <bgColor rgb="FF658393"/>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ill>
        <patternFill>
          <bgColor rgb="FFD5DFE4"/>
        </patternFill>
      </fill>
    </dxf>
    <dxf>
      <font>
        <b val="0"/>
        <i val="0"/>
        <color auto="1"/>
      </font>
      <fill>
        <patternFill>
          <bgColor rgb="FFEAEFF2"/>
        </patternFill>
      </fill>
    </dxf>
    <dxf>
      <font>
        <b/>
        <i val="0"/>
        <color theme="0"/>
      </font>
      <fill>
        <patternFill>
          <bgColor rgb="FF6F8D9D"/>
        </patternFill>
      </fill>
    </dxf>
    <dxf>
      <font>
        <b/>
        <i val="0"/>
        <color theme="0"/>
      </font>
      <fill>
        <patternFill>
          <bgColor rgb="FF658393"/>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val="0"/>
        <i val="0"/>
        <color auto="1"/>
      </font>
      <fill>
        <patternFill>
          <bgColor rgb="FFEAEFF2"/>
        </patternFill>
      </fill>
    </dxf>
    <dxf>
      <font>
        <b val="0"/>
        <i val="0"/>
      </font>
      <fill>
        <patternFill>
          <bgColor rgb="FFC0CFD7"/>
        </patternFill>
      </fill>
    </dxf>
    <dxf>
      <fill>
        <patternFill>
          <bgColor rgb="FFD5DFE4"/>
        </patternFill>
      </fill>
    </dxf>
    <dxf>
      <font>
        <b/>
        <i val="0"/>
        <color theme="0"/>
      </font>
      <fill>
        <patternFill>
          <bgColor rgb="FF8CABBB"/>
        </patternFill>
      </fill>
    </dxf>
    <dxf>
      <font>
        <b/>
        <i val="0"/>
        <color theme="0"/>
      </font>
      <fill>
        <patternFill>
          <bgColor rgb="FF96B5C6"/>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658393"/>
        </patternFill>
      </fill>
    </dxf>
    <dxf>
      <font>
        <b/>
        <i val="0"/>
        <color theme="0"/>
      </font>
      <fill>
        <patternFill>
          <bgColor rgb="FF6F8D9D"/>
        </patternFill>
      </fill>
    </dxf>
    <dxf>
      <font>
        <b/>
        <i val="0"/>
        <color theme="0"/>
      </font>
      <fill>
        <patternFill>
          <bgColor rgb="FF82A1B1"/>
        </patternFill>
      </fill>
    </dxf>
    <dxf>
      <font>
        <b/>
        <i val="0"/>
        <color theme="0"/>
      </font>
      <fill>
        <patternFill>
          <bgColor rgb="FF7897A7"/>
        </patternFill>
      </fill>
    </dxf>
    <dxf>
      <font>
        <b/>
        <i val="0"/>
        <color theme="0"/>
      </font>
      <fill>
        <patternFill>
          <bgColor rgb="FF658393"/>
        </patternFill>
      </fill>
    </dxf>
    <dxf>
      <font>
        <b/>
        <i val="0"/>
        <color theme="0"/>
      </font>
      <fill>
        <patternFill>
          <bgColor rgb="FF8CABBB"/>
        </patternFill>
      </fill>
    </dxf>
    <dxf>
      <font>
        <b/>
        <i val="0"/>
        <color theme="0"/>
      </font>
      <fill>
        <patternFill>
          <bgColor rgb="FF6F8D9D"/>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96B5C6"/>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ill>
        <patternFill>
          <bgColor rgb="FFD5DFE4"/>
        </patternFill>
      </fill>
    </dxf>
    <dxf>
      <font>
        <b/>
        <i val="0"/>
        <color theme="0"/>
      </font>
      <fill>
        <patternFill>
          <bgColor rgb="FF96B5C6"/>
        </patternFill>
      </fill>
    </dxf>
    <dxf>
      <font>
        <b val="0"/>
        <i val="0"/>
        <color auto="1"/>
      </font>
      <fill>
        <patternFill>
          <bgColor rgb="FFEAEFF2"/>
        </patternFill>
      </fill>
    </dxf>
    <dxf>
      <font>
        <b val="0"/>
        <i val="0"/>
      </font>
      <fill>
        <patternFill>
          <bgColor rgb="FFC0CFD7"/>
        </patternFill>
      </fill>
    </dxf>
    <dxf>
      <font>
        <b/>
        <i val="0"/>
        <color theme="0"/>
      </font>
      <fill>
        <patternFill>
          <bgColor rgb="FF658393"/>
        </patternFill>
      </fill>
    </dxf>
    <dxf>
      <font>
        <b val="0"/>
        <i val="0"/>
        <color auto="1"/>
      </font>
      <fill>
        <patternFill>
          <bgColor rgb="FFEAEFF2"/>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ill>
        <patternFill>
          <bgColor rgb="FFD5DFE4"/>
        </patternFill>
      </fill>
    </dxf>
    <dxf>
      <font>
        <b val="0"/>
        <i val="0"/>
      </font>
      <fill>
        <patternFill>
          <bgColor rgb="FFC0CFD7"/>
        </patternFill>
      </fill>
    </dxf>
    <dxf>
      <font>
        <b/>
        <i val="0"/>
        <color theme="0"/>
      </font>
      <fill>
        <patternFill>
          <bgColor rgb="FF96B5C6"/>
        </patternFill>
      </fill>
    </dxf>
    <dxf>
      <fill>
        <patternFill>
          <bgColor rgb="FFD5DFE4"/>
        </patternFill>
      </fill>
    </dxf>
    <dxf>
      <font>
        <b val="0"/>
        <i val="0"/>
        <color auto="1"/>
      </font>
      <fill>
        <patternFill>
          <bgColor rgb="FFEAEFF2"/>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658393"/>
        </patternFill>
      </fill>
    </dxf>
    <dxf>
      <font>
        <b/>
        <i val="0"/>
        <color theme="0"/>
      </font>
      <fill>
        <patternFill>
          <bgColor rgb="FF8CABBB"/>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ill>
        <patternFill>
          <bgColor rgb="FFD5DFE4"/>
        </patternFill>
      </fill>
    </dxf>
    <dxf>
      <font>
        <b val="0"/>
        <i val="0"/>
      </font>
      <fill>
        <patternFill>
          <bgColor rgb="FFC0CFD7"/>
        </patternFill>
      </fill>
    </dxf>
    <dxf>
      <font>
        <b/>
        <i val="0"/>
        <color theme="0"/>
      </font>
      <fill>
        <patternFill>
          <bgColor rgb="FF6F8D9D"/>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96B5C6"/>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7897A7"/>
        </patternFill>
      </fill>
    </dxf>
    <dxf>
      <font>
        <b/>
        <i val="0"/>
        <color theme="0"/>
      </font>
      <fill>
        <patternFill>
          <bgColor rgb="FF658393"/>
        </patternFill>
      </fill>
    </dxf>
    <dxf>
      <font>
        <b/>
        <i val="0"/>
        <color theme="0"/>
      </font>
      <fill>
        <patternFill>
          <bgColor rgb="FF6F8D9D"/>
        </patternFill>
      </fill>
    </dxf>
    <dxf>
      <font>
        <b/>
        <i val="0"/>
        <color theme="0"/>
      </font>
      <fill>
        <patternFill>
          <bgColor rgb="FF82A1B1"/>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8CABBB"/>
        </patternFill>
      </fill>
    </dxf>
    <dxf>
      <font>
        <b/>
        <i val="0"/>
        <color theme="0"/>
      </font>
      <fill>
        <patternFill>
          <bgColor rgb="FF7897A7"/>
        </patternFill>
      </fill>
    </dxf>
    <dxf>
      <font>
        <b/>
        <i val="0"/>
        <color theme="0"/>
      </font>
      <fill>
        <patternFill>
          <bgColor rgb="FF96B5C6"/>
        </patternFill>
      </fill>
    </dxf>
    <dxf>
      <font>
        <b val="0"/>
        <i val="0"/>
      </font>
      <fill>
        <patternFill>
          <bgColor rgb="FFC0CFD7"/>
        </patternFill>
      </fill>
    </dxf>
    <dxf>
      <fill>
        <patternFill>
          <bgColor rgb="FFD5DFE4"/>
        </patternFill>
      </fill>
    </dxf>
    <dxf>
      <font>
        <b/>
        <i val="0"/>
        <color theme="0"/>
      </font>
      <fill>
        <patternFill>
          <bgColor rgb="FF6F8D9D"/>
        </patternFill>
      </fill>
    </dxf>
    <dxf>
      <font>
        <b/>
        <i val="0"/>
        <color theme="0"/>
      </font>
      <fill>
        <patternFill>
          <bgColor rgb="FF6F8D9D"/>
        </patternFill>
      </fill>
    </dxf>
    <dxf>
      <font>
        <b/>
        <i val="0"/>
        <color theme="0"/>
      </font>
      <fill>
        <patternFill>
          <bgColor rgb="FF658393"/>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ill>
        <patternFill>
          <bgColor rgb="FFD5DFE4"/>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ont>
        <b val="0"/>
        <i val="0"/>
        <color auto="1"/>
      </font>
      <fill>
        <patternFill>
          <bgColor rgb="FFEAEFF2"/>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ont>
        <b/>
        <i val="0"/>
        <color theme="0"/>
      </font>
      <fill>
        <patternFill>
          <bgColor rgb="FF82A1B1"/>
        </patternFill>
      </fill>
    </dxf>
    <dxf>
      <font>
        <b/>
        <i val="0"/>
        <color theme="0"/>
      </font>
      <fill>
        <patternFill>
          <bgColor rgb="FF96B5C6"/>
        </patternFill>
      </fill>
    </dxf>
    <dxf>
      <font>
        <b/>
        <i val="0"/>
        <color theme="0"/>
      </font>
      <fill>
        <patternFill>
          <bgColor rgb="FF8CABBB"/>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ont>
        <color rgb="FFFF0000"/>
      </font>
      <fill>
        <patternFill patternType="solid">
          <fgColor rgb="FFFFFF00"/>
          <bgColor rgb="FFFFFF00"/>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val="0"/>
        <i val="0"/>
        <color auto="1"/>
      </font>
      <fill>
        <patternFill>
          <bgColor rgb="FFEAEFF2"/>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8CABBB"/>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96B5C6"/>
        </patternFill>
      </fill>
    </dxf>
    <dxf>
      <font>
        <b val="0"/>
        <i val="0"/>
      </font>
      <fill>
        <patternFill>
          <bgColor rgb="FFC0CFD7"/>
        </patternFill>
      </fill>
    </dxf>
    <dxf>
      <font>
        <b/>
        <i val="0"/>
        <color theme="0"/>
      </font>
      <fill>
        <patternFill>
          <bgColor rgb="FF6F8D9D"/>
        </patternFill>
      </fill>
    </dxf>
    <dxf>
      <font>
        <b/>
        <i val="0"/>
        <color theme="0"/>
      </font>
      <fill>
        <patternFill>
          <bgColor rgb="FF658393"/>
        </patternFill>
      </fill>
    </dxf>
    <dxf>
      <font>
        <b val="0"/>
        <i val="0"/>
        <color auto="1"/>
      </font>
      <fill>
        <patternFill>
          <bgColor rgb="FFEAEFF2"/>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2A1B1"/>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ont>
        <b/>
        <i val="0"/>
        <color theme="0"/>
      </font>
      <fill>
        <patternFill>
          <bgColor rgb="FF8CABBB"/>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7897A7"/>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658393"/>
        </patternFill>
      </fill>
    </dxf>
    <dxf>
      <font>
        <b/>
        <i val="0"/>
        <color theme="0"/>
      </font>
      <fill>
        <patternFill>
          <bgColor rgb="FF82A1B1"/>
        </patternFill>
      </fill>
    </dxf>
    <dxf>
      <font>
        <b/>
        <i val="0"/>
        <color theme="0"/>
      </font>
      <fill>
        <patternFill>
          <bgColor rgb="FF7897A7"/>
        </patternFill>
      </fill>
    </dxf>
    <dxf>
      <font>
        <b/>
        <i val="0"/>
        <color theme="0"/>
      </font>
      <fill>
        <patternFill>
          <bgColor rgb="FF658393"/>
        </patternFill>
      </fill>
    </dxf>
    <dxf>
      <font>
        <b/>
        <i val="0"/>
        <color theme="0"/>
      </font>
      <fill>
        <patternFill>
          <bgColor rgb="FF6F8D9D"/>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ont>
        <b/>
        <i val="0"/>
        <color theme="0"/>
      </font>
      <fill>
        <patternFill>
          <bgColor rgb="FF8CABBB"/>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2A1B1"/>
        </patternFill>
      </fill>
    </dxf>
    <dxf>
      <font>
        <b val="0"/>
        <i val="0"/>
      </font>
      <fill>
        <patternFill>
          <bgColor rgb="FFC0CFD7"/>
        </patternFill>
      </fill>
    </dxf>
    <dxf>
      <font>
        <b val="0"/>
        <i val="0"/>
        <color auto="1"/>
      </font>
      <fill>
        <patternFill>
          <bgColor rgb="FFEAEFF2"/>
        </patternFill>
      </fill>
    </dxf>
    <dxf>
      <font>
        <b/>
        <i val="0"/>
        <color theme="0"/>
      </font>
      <fill>
        <patternFill>
          <bgColor rgb="FF658393"/>
        </patternFill>
      </fill>
    </dxf>
    <dxf>
      <fill>
        <patternFill>
          <bgColor rgb="FFD5DFE4"/>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ont>
        <b/>
        <i val="0"/>
        <color theme="0"/>
      </font>
      <fill>
        <patternFill>
          <bgColor rgb="FF7897A7"/>
        </patternFill>
      </fill>
    </dxf>
    <dxf>
      <font>
        <b/>
        <i val="0"/>
        <color theme="0"/>
      </font>
      <fill>
        <patternFill>
          <bgColor rgb="FF6F8D9D"/>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658393"/>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ont>
        <b/>
        <i val="0"/>
        <color theme="0"/>
      </font>
      <fill>
        <patternFill>
          <bgColor rgb="FF7897A7"/>
        </patternFill>
      </fill>
    </dxf>
    <dxf>
      <font>
        <b/>
        <i val="0"/>
        <color theme="0"/>
      </font>
      <fill>
        <patternFill>
          <bgColor rgb="FF6F8D9D"/>
        </patternFill>
      </fill>
    </dxf>
    <dxf>
      <font>
        <b/>
        <i val="0"/>
        <color theme="0"/>
      </font>
      <fill>
        <patternFill>
          <bgColor rgb="FF658393"/>
        </patternFill>
      </fill>
    </dxf>
    <dxf>
      <font>
        <b/>
        <i val="0"/>
        <color theme="0"/>
      </font>
      <fill>
        <patternFill>
          <bgColor rgb="FF96B5C6"/>
        </patternFill>
      </fill>
    </dxf>
    <dxf>
      <font>
        <b val="0"/>
        <i val="0"/>
        <color auto="1"/>
      </font>
      <fill>
        <patternFill>
          <bgColor rgb="FFEAEFF2"/>
        </patternFill>
      </fill>
    </dxf>
    <dxf>
      <fill>
        <patternFill>
          <bgColor rgb="FFD5DFE4"/>
        </patternFill>
      </fill>
    </dxf>
    <dxf>
      <font>
        <b val="0"/>
        <i val="0"/>
      </font>
      <fill>
        <patternFill>
          <bgColor rgb="FFC0CFD7"/>
        </patternFill>
      </fill>
    </dxf>
    <dxf>
      <font>
        <b/>
        <i val="0"/>
        <color theme="0"/>
      </font>
      <fill>
        <patternFill>
          <bgColor rgb="FF8CABBB"/>
        </patternFill>
      </fill>
    </dxf>
    <dxf>
      <font>
        <b/>
        <i val="0"/>
        <color theme="0"/>
      </font>
      <fill>
        <patternFill>
          <bgColor rgb="FF82A1B1"/>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7897A7"/>
        </patternFill>
      </fill>
    </dxf>
    <dxf>
      <font>
        <b/>
        <i val="0"/>
        <color theme="0"/>
      </font>
      <fill>
        <patternFill>
          <bgColor rgb="FF658393"/>
        </patternFill>
      </fill>
    </dxf>
    <dxf>
      <font>
        <b/>
        <i val="0"/>
        <color theme="0"/>
      </font>
      <fill>
        <patternFill>
          <bgColor rgb="FF6F8D9D"/>
        </patternFill>
      </fill>
    </dxf>
    <dxf>
      <font>
        <b/>
        <i val="0"/>
        <color theme="0"/>
      </font>
      <fill>
        <patternFill>
          <bgColor rgb="FF82A1B1"/>
        </patternFill>
      </fill>
    </dxf>
    <dxf>
      <font>
        <b/>
        <i val="0"/>
        <color theme="0"/>
      </font>
      <fill>
        <patternFill>
          <bgColor rgb="FF8CABBB"/>
        </patternFill>
      </fill>
    </dxf>
    <dxf>
      <font>
        <b/>
        <i val="0"/>
        <color theme="0"/>
      </font>
      <fill>
        <patternFill>
          <bgColor rgb="FF658393"/>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i val="0"/>
        <color theme="0"/>
      </font>
      <fill>
        <patternFill>
          <bgColor rgb="FF6F8D9D"/>
        </patternFill>
      </fill>
    </dxf>
    <dxf>
      <fill>
        <patternFill>
          <bgColor rgb="FFD5DFE4"/>
        </patternFill>
      </fill>
    </dxf>
    <dxf>
      <font>
        <b val="0"/>
        <i val="0"/>
        <color auto="1"/>
      </font>
      <fill>
        <patternFill>
          <bgColor rgb="FFEAEFF2"/>
        </patternFill>
      </fill>
    </dxf>
    <dxf>
      <font>
        <b/>
        <i val="0"/>
        <color theme="0"/>
      </font>
      <fill>
        <patternFill>
          <bgColor rgb="FF82A1B1"/>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val="0"/>
        <i val="0"/>
      </font>
      <fill>
        <patternFill>
          <bgColor rgb="FFC0CFD7"/>
        </patternFill>
      </fill>
    </dxf>
    <dxf>
      <font>
        <b/>
        <i val="0"/>
        <color theme="0"/>
      </font>
      <fill>
        <patternFill>
          <bgColor rgb="FF96B5C6"/>
        </patternFill>
      </fill>
    </dxf>
    <dxf>
      <font>
        <b val="0"/>
        <i val="0"/>
        <color auto="1"/>
      </font>
      <fill>
        <patternFill>
          <bgColor rgb="FFEAEFF2"/>
        </patternFill>
      </fill>
    </dxf>
    <dxf>
      <fill>
        <patternFill>
          <bgColor rgb="FFD5DFE4"/>
        </patternFill>
      </fill>
    </dxf>
    <dxf>
      <font>
        <b/>
        <i val="0"/>
        <color theme="0"/>
      </font>
      <fill>
        <patternFill>
          <bgColor rgb="FF8CABBB"/>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val="0"/>
        <i val="0"/>
        <color auto="1"/>
      </font>
      <fill>
        <patternFill>
          <bgColor rgb="FFEAEFF2"/>
        </patternFill>
      </fill>
    </dxf>
    <dxf>
      <font>
        <b/>
        <i val="0"/>
        <color theme="0"/>
      </font>
      <fill>
        <patternFill>
          <bgColor rgb="FF658393"/>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8CABBB"/>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ill>
        <patternFill>
          <bgColor rgb="FFD5DFE4"/>
        </patternFill>
      </fill>
    </dxf>
    <dxf>
      <font>
        <b/>
        <i val="0"/>
        <color theme="0"/>
      </font>
      <fill>
        <patternFill>
          <bgColor rgb="FF82A1B1"/>
        </patternFill>
      </fill>
    </dxf>
    <dxf>
      <font>
        <b val="0"/>
        <i val="0"/>
        <color auto="1"/>
      </font>
      <fill>
        <patternFill>
          <bgColor rgb="FFEAEFF2"/>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font>
      <fill>
        <patternFill>
          <bgColor rgb="FFC0CFD7"/>
        </patternFill>
      </fill>
    </dxf>
    <dxf>
      <font>
        <b/>
        <i val="0"/>
        <color theme="0"/>
      </font>
      <fill>
        <patternFill>
          <bgColor rgb="FF96B5C6"/>
        </patternFill>
      </fill>
    </dxf>
    <dxf>
      <font>
        <b/>
        <i val="0"/>
        <color theme="0"/>
      </font>
      <fill>
        <patternFill>
          <bgColor rgb="FF8CABBB"/>
        </patternFill>
      </fill>
    </dxf>
    <dxf>
      <font>
        <b/>
        <i val="0"/>
        <color theme="0"/>
      </font>
      <fill>
        <patternFill>
          <bgColor rgb="FF82A1B1"/>
        </patternFill>
      </fill>
    </dxf>
    <dxf>
      <font>
        <b/>
        <i val="0"/>
        <color theme="0"/>
      </font>
      <fill>
        <patternFill>
          <bgColor rgb="FF7897A7"/>
        </patternFill>
      </fill>
    </dxf>
  </dxfs>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lsuarez_hmfs_gov_co/Documents/Escritorio/PRESUPUESTO/EJECUCION%20FEBRERO%20%202025%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vasquez.ESEHMFS\Desktop\PRESUPUESTO\VALORES%20PARA%20ADICIONAR%20PRESUPUESTO.xlsx" TargetMode="External"/><Relationship Id="rId1" Type="http://schemas.openxmlformats.org/officeDocument/2006/relationships/externalLinkPath" Target="/Users/mvasquez.ESEHMFS/Desktop/PRESUPUESTO/VALORES%20PARA%20ADICIONAR%20PRESUPUESTO.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sgomez\Downloads\CONTRATACION%20FINAL%20SIHO%202025.xlsx" TargetMode="External"/><Relationship Id="rId1" Type="http://schemas.openxmlformats.org/officeDocument/2006/relationships/externalLinkPath" Target="file:///C:\Users\sgomez\Downloads\CONTRATACION%20FINAL%20SIHO%202025.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hmfso365-my.sharepoint.com/personal/contadora_hmfs_gov_co/Documents/Documentos/A&#241;o%202025%20HMFS/SIHO/Diciembre/Contratacion/Informe%20Rubros%204%20tte%202025%202.xlsx" TargetMode="External"/><Relationship Id="rId1" Type="http://schemas.openxmlformats.org/officeDocument/2006/relationships/externalLinkPath" Target="/personal/contadora_hmfs_gov_co/Documents/Documentos/A&#241;o%202025%20HMFS/SIHO/Diciembre/Contratacion/Informe%20Rubros%204%20tte%20202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ENERO"/>
      <sheetName val="FEBRERO"/>
      <sheetName val="MARZO"/>
      <sheetName val="ABRIL"/>
      <sheetName val="MAYO"/>
      <sheetName val="JUNIO"/>
      <sheetName val="JULIO"/>
      <sheetName val="AGOSTO"/>
      <sheetName val="SEPTIEMBRE"/>
      <sheetName val="OCTUBRE"/>
      <sheetName val="NOVIEMBRE"/>
      <sheetName val="DICIEMBRE"/>
      <sheetName val="Datos para el 2193"/>
      <sheetName val="SEGUIMIENTO EQUILIBRIOS"/>
      <sheetName val="VERIFICACION MANTENIMIENTO"/>
    </sheetNames>
    <sheetDataSet>
      <sheetData sheetId="0" refreshError="1">
        <row r="3">
          <cell r="B3" t="str">
            <v>BELLO</v>
          </cell>
          <cell r="F3">
            <v>2025</v>
          </cell>
        </row>
        <row r="5">
          <cell r="B5" t="str">
            <v>ESE HOSPITAL MARCO FIDEL SUAREZ</v>
          </cell>
        </row>
      </sheetData>
      <sheetData sheetId="1" refreshError="1">
        <row r="2">
          <cell r="B2" t="str">
            <v>SECRETARIA SECCIONAL DE SALUD Y PROTECCION SOCIAL DE ANTIOQUIA DE ANTIOQUIA</v>
          </cell>
        </row>
        <row r="3">
          <cell r="N3">
            <v>2025</v>
          </cell>
        </row>
        <row r="8">
          <cell r="A8">
            <v>1</v>
          </cell>
          <cell r="B8" t="str">
            <v>INGRESOS</v>
          </cell>
          <cell r="S8" t="str">
            <v>2</v>
          </cell>
        </row>
        <row r="10">
          <cell r="A10" t="str">
            <v>1.0</v>
          </cell>
          <cell r="B10" t="str">
            <v>DISPONIBILIDAD INICIAL</v>
          </cell>
          <cell r="S10" t="str">
            <v>2.1</v>
          </cell>
        </row>
        <row r="12">
          <cell r="A12" t="str">
            <v>1.0.01</v>
          </cell>
          <cell r="B12" t="str">
            <v>Caja</v>
          </cell>
          <cell r="D12">
            <v>0</v>
          </cell>
          <cell r="E12">
            <v>0</v>
          </cell>
          <cell r="I12">
            <v>0</v>
          </cell>
          <cell r="L12">
            <v>0</v>
          </cell>
          <cell r="S12" t="str">
            <v>2.1.1</v>
          </cell>
        </row>
        <row r="13">
          <cell r="A13" t="str">
            <v>1.0.02</v>
          </cell>
          <cell r="B13" t="str">
            <v>Bancos</v>
          </cell>
          <cell r="C13">
            <v>0</v>
          </cell>
          <cell r="D13">
            <v>0</v>
          </cell>
          <cell r="E13">
            <v>0</v>
          </cell>
          <cell r="I13">
            <v>0</v>
          </cell>
          <cell r="L13">
            <v>0</v>
          </cell>
        </row>
        <row r="14">
          <cell r="A14" t="str">
            <v>1.0.03</v>
          </cell>
          <cell r="B14" t="str">
            <v>Inversiones Temporales</v>
          </cell>
          <cell r="C14">
            <v>0</v>
          </cell>
          <cell r="D14">
            <v>0</v>
          </cell>
          <cell r="E14">
            <v>0</v>
          </cell>
          <cell r="I14">
            <v>0</v>
          </cell>
          <cell r="L14">
            <v>0</v>
          </cell>
          <cell r="S14" t="str">
            <v>2.1.1.01</v>
          </cell>
        </row>
        <row r="15">
          <cell r="A15">
            <v>1004</v>
          </cell>
          <cell r="B15" t="str">
            <v>Cesantias Ley 50/1990 a Dic-31-2024</v>
          </cell>
          <cell r="C15">
            <v>0</v>
          </cell>
          <cell r="D15">
            <v>0</v>
          </cell>
          <cell r="E15">
            <v>0</v>
          </cell>
          <cell r="I15">
            <v>0</v>
          </cell>
          <cell r="L15">
            <v>0</v>
          </cell>
          <cell r="S15">
            <v>0</v>
          </cell>
        </row>
        <row r="16">
          <cell r="A16">
            <v>0</v>
          </cell>
          <cell r="B16">
            <v>0</v>
          </cell>
          <cell r="S16" t="str">
            <v>2.1.1.01.01</v>
          </cell>
        </row>
        <row r="17">
          <cell r="A17" t="str">
            <v>1.1</v>
          </cell>
          <cell r="B17" t="str">
            <v>INGRESOS  CORRIENTES</v>
          </cell>
          <cell r="S17" t="str">
            <v>2.1.1.01.01.001.01</v>
          </cell>
          <cell r="T17" t="str">
            <v>Sueldos del Personal de nómina</v>
          </cell>
          <cell r="V17">
            <v>-219873359</v>
          </cell>
          <cell r="W17">
            <v>0</v>
          </cell>
          <cell r="AA17">
            <v>399373359</v>
          </cell>
          <cell r="AD17">
            <v>399373359</v>
          </cell>
          <cell r="AG17">
            <v>399373359</v>
          </cell>
        </row>
        <row r="18">
          <cell r="A18">
            <v>399373312</v>
          </cell>
          <cell r="B18">
            <v>399373312</v>
          </cell>
          <cell r="S18" t="str">
            <v>2.1.1.01.01.001.02</v>
          </cell>
          <cell r="T18" t="str">
            <v>Horas Extras,Dominic.,Festivos y Rec. Nocturnos</v>
          </cell>
          <cell r="V18">
            <v>0</v>
          </cell>
          <cell r="W18">
            <v>0</v>
          </cell>
          <cell r="AA18">
            <v>912727</v>
          </cell>
          <cell r="AD18">
            <v>912727</v>
          </cell>
          <cell r="AG18">
            <v>912727</v>
          </cell>
        </row>
        <row r="19">
          <cell r="A19">
            <v>113</v>
          </cell>
          <cell r="B19" t="str">
            <v>VENTA DE SERVICIOS</v>
          </cell>
          <cell r="S19">
            <v>1010103</v>
          </cell>
          <cell r="T19" t="str">
            <v>Prima Técnica</v>
          </cell>
          <cell r="V19">
            <v>0</v>
          </cell>
          <cell r="W19">
            <v>0</v>
          </cell>
          <cell r="AA19">
            <v>0</v>
          </cell>
          <cell r="AD19">
            <v>0</v>
          </cell>
          <cell r="AG19">
            <v>0</v>
          </cell>
        </row>
        <row r="20">
          <cell r="A20">
            <v>0</v>
          </cell>
          <cell r="B20">
            <v>0</v>
          </cell>
          <cell r="S20">
            <v>1010104</v>
          </cell>
          <cell r="T20" t="str">
            <v>Otros</v>
          </cell>
        </row>
        <row r="21">
          <cell r="A21" t="str">
            <v>1.1.02.05.001.09.02</v>
          </cell>
          <cell r="B21" t="str">
            <v>Venta de Servicios de Salud</v>
          </cell>
          <cell r="S21" t="str">
            <v>2.1.1.01.01.001.08.01</v>
          </cell>
          <cell r="T21" t="str">
            <v xml:space="preserve">Prima de Navidad </v>
          </cell>
          <cell r="V21">
            <v>0</v>
          </cell>
          <cell r="W21">
            <v>0</v>
          </cell>
          <cell r="AA21">
            <v>0</v>
          </cell>
          <cell r="AD21">
            <v>0</v>
          </cell>
          <cell r="AG21">
            <v>0</v>
          </cell>
        </row>
        <row r="22">
          <cell r="A22" t="str">
            <v>1.1.02.05.001.09.02.02</v>
          </cell>
          <cell r="B22" t="str">
            <v>EPS - REGIMEN CONTRIBUTIVO</v>
          </cell>
          <cell r="S22" t="str">
            <v>2.1.1.01.01.001.08.02</v>
          </cell>
          <cell r="T22" t="str">
            <v>Prima de Vacaciones</v>
          </cell>
          <cell r="V22">
            <v>0</v>
          </cell>
          <cell r="W22">
            <v>0</v>
          </cell>
          <cell r="AA22">
            <v>6822128</v>
          </cell>
          <cell r="AD22">
            <v>6822128</v>
          </cell>
          <cell r="AG22">
            <v>5799124</v>
          </cell>
        </row>
        <row r="23">
          <cell r="A23" t="str">
            <v>1.1.02.05.001.09.02.02</v>
          </cell>
          <cell r="C23">
            <v>49300076925.586876</v>
          </cell>
          <cell r="D23">
            <v>0</v>
          </cell>
          <cell r="E23">
            <v>0</v>
          </cell>
          <cell r="I23">
            <v>5473586290</v>
          </cell>
          <cell r="L23">
            <v>53485734</v>
          </cell>
          <cell r="S23" t="str">
            <v>2.1.1.01.01.001.07</v>
          </cell>
          <cell r="T23" t="str">
            <v>Bonificación  por servicios prestados</v>
          </cell>
          <cell r="V23">
            <v>0</v>
          </cell>
          <cell r="W23">
            <v>0</v>
          </cell>
          <cell r="AA23">
            <v>15794572</v>
          </cell>
          <cell r="AD23">
            <v>15794572</v>
          </cell>
          <cell r="AG23">
            <v>15128603</v>
          </cell>
        </row>
        <row r="24">
          <cell r="A24" t="str">
            <v>1.1.02.05.001.09.02.02,99</v>
          </cell>
          <cell r="B24" t="str">
            <v>Vigencia Anterior</v>
          </cell>
          <cell r="C24">
            <v>6730672968</v>
          </cell>
          <cell r="D24">
            <v>0</v>
          </cell>
          <cell r="E24">
            <v>0</v>
          </cell>
          <cell r="I24">
            <v>3146023457</v>
          </cell>
          <cell r="L24">
            <v>3146023457</v>
          </cell>
          <cell r="S24" t="str">
            <v>2.1.1.01.01.001.06</v>
          </cell>
          <cell r="T24" t="str">
            <v>Prima de Servicios</v>
          </cell>
          <cell r="V24">
            <v>0</v>
          </cell>
          <cell r="W24">
            <v>0</v>
          </cell>
          <cell r="AA24">
            <v>657124</v>
          </cell>
          <cell r="AD24">
            <v>657124</v>
          </cell>
          <cell r="AG24">
            <v>0</v>
          </cell>
        </row>
        <row r="25">
          <cell r="A25" t="str">
            <v>1.1.02.05.001.09.02.01</v>
          </cell>
          <cell r="B25" t="str">
            <v>ARS - REGIMEN SUBSIDIADO</v>
          </cell>
          <cell r="S25" t="str">
            <v>1010104-5</v>
          </cell>
          <cell r="T25" t="str">
            <v>Bonificación Convencional</v>
          </cell>
          <cell r="V25">
            <v>0</v>
          </cell>
          <cell r="W25">
            <v>0</v>
          </cell>
          <cell r="AA25">
            <v>0</v>
          </cell>
          <cell r="AD25">
            <v>0</v>
          </cell>
          <cell r="AG25">
            <v>0</v>
          </cell>
        </row>
        <row r="26">
          <cell r="A26" t="str">
            <v>1.1.02.05.001.09.02.01</v>
          </cell>
          <cell r="C26">
            <v>81866799864</v>
          </cell>
          <cell r="D26">
            <v>0</v>
          </cell>
          <cell r="E26">
            <v>0</v>
          </cell>
          <cell r="I26">
            <v>6576263972</v>
          </cell>
          <cell r="L26">
            <v>35957520</v>
          </cell>
          <cell r="S26" t="str">
            <v>2.1.1.01.01.001.05</v>
          </cell>
          <cell r="T26" t="str">
            <v>Auxilio de Transporte</v>
          </cell>
          <cell r="V26">
            <v>21000000</v>
          </cell>
          <cell r="W26">
            <v>0</v>
          </cell>
          <cell r="AA26">
            <v>2280000</v>
          </cell>
          <cell r="AD26">
            <v>2280000</v>
          </cell>
          <cell r="AG26">
            <v>2280000</v>
          </cell>
        </row>
        <row r="27">
          <cell r="A27" t="str">
            <v>1.1.02.05.001.09.02.01.99</v>
          </cell>
          <cell r="B27" t="str">
            <v>Vigencia Anterior</v>
          </cell>
          <cell r="C27">
            <v>9721866732</v>
          </cell>
          <cell r="D27">
            <v>0</v>
          </cell>
          <cell r="E27">
            <v>0</v>
          </cell>
          <cell r="I27">
            <v>6619497102</v>
          </cell>
          <cell r="L27">
            <v>6619497102</v>
          </cell>
          <cell r="S27" t="str">
            <v>2.1.1.01.01.001.04</v>
          </cell>
          <cell r="T27" t="str">
            <v>Auxilio de Alimentación</v>
          </cell>
          <cell r="V27">
            <v>0</v>
          </cell>
          <cell r="W27">
            <v>0</v>
          </cell>
          <cell r="AA27">
            <v>0</v>
          </cell>
          <cell r="AD27">
            <v>0</v>
          </cell>
          <cell r="AG27">
            <v>0</v>
          </cell>
        </row>
        <row r="28">
          <cell r="A28">
            <v>1130103</v>
          </cell>
          <cell r="B28" t="str">
            <v>SUBSIDIO A LA OFERTA- ATENCION PERSONAS POBRES NO CUBIERTOS CON SUBSIDIO A LA DEMANDA</v>
          </cell>
          <cell r="S28" t="str">
            <v>1010104-8</v>
          </cell>
          <cell r="T28" t="str">
            <v>Indemnizaciones por Vacaciones o Supresión de Cargos por Reestructuración</v>
          </cell>
          <cell r="V28">
            <v>0</v>
          </cell>
          <cell r="W28">
            <v>0</v>
          </cell>
          <cell r="AA28">
            <v>0</v>
          </cell>
          <cell r="AD28">
            <v>0</v>
          </cell>
          <cell r="AG28">
            <v>0</v>
          </cell>
        </row>
        <row r="29">
          <cell r="A29" t="str">
            <v>1130103-1</v>
          </cell>
          <cell r="B29" t="str">
            <v>Prestación de Servicios de salud  1er Nivel</v>
          </cell>
          <cell r="S29" t="str">
            <v>1010104-9</v>
          </cell>
          <cell r="T29" t="str">
            <v>Gastos de Representacion</v>
          </cell>
          <cell r="V29">
            <v>0</v>
          </cell>
          <cell r="W29">
            <v>0</v>
          </cell>
          <cell r="AA29">
            <v>0</v>
          </cell>
          <cell r="AD29">
            <v>0</v>
          </cell>
          <cell r="AG29">
            <v>0</v>
          </cell>
        </row>
        <row r="30">
          <cell r="A30" t="str">
            <v>1130103-1-1</v>
          </cell>
          <cell r="C30">
            <v>0</v>
          </cell>
          <cell r="D30">
            <v>0</v>
          </cell>
          <cell r="E30">
            <v>0</v>
          </cell>
          <cell r="I30">
            <v>0</v>
          </cell>
          <cell r="L30">
            <v>0</v>
          </cell>
          <cell r="S30" t="str">
            <v>2.1.1.01.03.001.03</v>
          </cell>
          <cell r="T30" t="str">
            <v>Bonificación Especial por Recreación</v>
          </cell>
          <cell r="V30">
            <v>0</v>
          </cell>
          <cell r="W30">
            <v>0</v>
          </cell>
          <cell r="AA30">
            <v>871267</v>
          </cell>
          <cell r="AD30">
            <v>871267</v>
          </cell>
          <cell r="AG30">
            <v>744416</v>
          </cell>
        </row>
        <row r="31">
          <cell r="A31" t="str">
            <v>1130103-1-2</v>
          </cell>
          <cell r="B31" t="str">
            <v>Vigencia Anterior</v>
          </cell>
          <cell r="C31">
            <v>0</v>
          </cell>
          <cell r="D31">
            <v>0</v>
          </cell>
          <cell r="E31">
            <v>0</v>
          </cell>
          <cell r="I31">
            <v>0</v>
          </cell>
          <cell r="L31">
            <v>0</v>
          </cell>
          <cell r="S31" t="str">
            <v>2.1.1.01.03.001.01</v>
          </cell>
          <cell r="T31" t="str">
            <v>Vacaciones</v>
          </cell>
          <cell r="V31">
            <v>0</v>
          </cell>
          <cell r="W31">
            <v>0</v>
          </cell>
          <cell r="AA31">
            <v>8357720</v>
          </cell>
          <cell r="AD31">
            <v>8357720</v>
          </cell>
          <cell r="AG31">
            <v>7334716</v>
          </cell>
        </row>
        <row r="32">
          <cell r="A32" t="str">
            <v>1.1.02.05.001.09.02.15</v>
          </cell>
          <cell r="B32" t="str">
            <v>Prestación de Servicios de salud  2o. Nivel</v>
          </cell>
          <cell r="S32" t="str">
            <v>1010104-12</v>
          </cell>
          <cell r="V32">
            <v>0</v>
          </cell>
          <cell r="W32">
            <v>0</v>
          </cell>
          <cell r="AA32">
            <v>0</v>
          </cell>
          <cell r="AD32">
            <v>0</v>
          </cell>
          <cell r="AG32">
            <v>0</v>
          </cell>
        </row>
        <row r="33">
          <cell r="A33" t="str">
            <v>1.1.02.05.001.09.02.15</v>
          </cell>
          <cell r="C33">
            <v>1140706891</v>
          </cell>
          <cell r="D33">
            <v>0</v>
          </cell>
          <cell r="E33">
            <v>0</v>
          </cell>
          <cell r="I33">
            <v>173431065</v>
          </cell>
          <cell r="L33">
            <v>0</v>
          </cell>
          <cell r="S33">
            <v>1010199</v>
          </cell>
          <cell r="T33" t="str">
            <v>Vigencias Anteriores</v>
          </cell>
          <cell r="V33">
            <v>0</v>
          </cell>
          <cell r="W33">
            <v>0</v>
          </cell>
          <cell r="AA33">
            <v>0</v>
          </cell>
          <cell r="AD33">
            <v>0</v>
          </cell>
          <cell r="AG33">
            <v>0</v>
          </cell>
        </row>
        <row r="34">
          <cell r="A34" t="str">
            <v>1.1.02.05.001.09.02.15.99</v>
          </cell>
          <cell r="B34" t="str">
            <v>Vigencia Anterior</v>
          </cell>
          <cell r="C34">
            <v>710250909</v>
          </cell>
          <cell r="D34">
            <v>0</v>
          </cell>
          <cell r="E34">
            <v>0</v>
          </cell>
          <cell r="I34">
            <v>0</v>
          </cell>
          <cell r="L34">
            <v>0</v>
          </cell>
          <cell r="S34">
            <v>0</v>
          </cell>
        </row>
        <row r="35">
          <cell r="A35" t="str">
            <v>1130103-3</v>
          </cell>
          <cell r="B35" t="str">
            <v>Prestación de Servicios de salud  3o. Nivel</v>
          </cell>
          <cell r="S35" t="str">
            <v>2.1.2.02.02.008</v>
          </cell>
        </row>
        <row r="36">
          <cell r="A36" t="str">
            <v>1130103-3-1</v>
          </cell>
          <cell r="C36">
            <v>0</v>
          </cell>
          <cell r="D36">
            <v>0</v>
          </cell>
          <cell r="E36">
            <v>0</v>
          </cell>
          <cell r="I36">
            <v>0</v>
          </cell>
          <cell r="L36">
            <v>0</v>
          </cell>
          <cell r="S36" t="str">
            <v>2.1.2.02.02.008.802</v>
          </cell>
          <cell r="T36" t="str">
            <v>Servicios Personales Administrativos (Contador, Abogado, otros)</v>
          </cell>
          <cell r="V36">
            <v>0</v>
          </cell>
          <cell r="W36">
            <v>0</v>
          </cell>
          <cell r="AA36">
            <v>101643060</v>
          </cell>
          <cell r="AD36">
            <v>29595009</v>
          </cell>
          <cell r="AG36">
            <v>0</v>
          </cell>
        </row>
        <row r="37">
          <cell r="A37" t="str">
            <v>1130103-3-2</v>
          </cell>
          <cell r="B37" t="str">
            <v>Vigencia Anterior</v>
          </cell>
          <cell r="C37">
            <v>0</v>
          </cell>
          <cell r="D37">
            <v>0</v>
          </cell>
          <cell r="E37">
            <v>0</v>
          </cell>
          <cell r="I37">
            <v>0</v>
          </cell>
          <cell r="L37">
            <v>0</v>
          </cell>
          <cell r="S37" t="str">
            <v>1010200-2</v>
          </cell>
          <cell r="T37" t="str">
            <v>Personal Supernumerario</v>
          </cell>
          <cell r="V37">
            <v>0</v>
          </cell>
          <cell r="W37">
            <v>0</v>
          </cell>
          <cell r="AA37">
            <v>0</v>
          </cell>
          <cell r="AD37">
            <v>0</v>
          </cell>
          <cell r="AG37">
            <v>0</v>
          </cell>
        </row>
        <row r="38">
          <cell r="A38" t="str">
            <v>1130103-4</v>
          </cell>
          <cell r="B38" t="str">
            <v xml:space="preserve"> Aportes Patronales  1o. Nivel</v>
          </cell>
          <cell r="C38">
            <v>0</v>
          </cell>
          <cell r="D38">
            <v>0</v>
          </cell>
          <cell r="E38">
            <v>0</v>
          </cell>
          <cell r="I38">
            <v>0</v>
          </cell>
          <cell r="L38">
            <v>0</v>
          </cell>
          <cell r="S38" t="str">
            <v>2.1.2.02.02.008.810</v>
          </cell>
          <cell r="T38" t="str">
            <v>Honorarios de la Junta Directiva</v>
          </cell>
          <cell r="V38">
            <v>0</v>
          </cell>
          <cell r="W38">
            <v>0</v>
          </cell>
          <cell r="AA38">
            <v>0</v>
          </cell>
          <cell r="AD38">
            <v>0</v>
          </cell>
          <cell r="AG38">
            <v>0</v>
          </cell>
        </row>
        <row r="39">
          <cell r="A39" t="str">
            <v>1130103-5</v>
          </cell>
          <cell r="B39" t="str">
            <v xml:space="preserve"> Aportes Patronales  2o. Nivel</v>
          </cell>
          <cell r="C39">
            <v>0</v>
          </cell>
          <cell r="D39">
            <v>0</v>
          </cell>
          <cell r="E39">
            <v>0</v>
          </cell>
          <cell r="I39">
            <v>0</v>
          </cell>
          <cell r="L39">
            <v>0</v>
          </cell>
          <cell r="S39" t="str">
            <v>2.1.2.02.02.009.906</v>
          </cell>
          <cell r="T39" t="str">
            <v>Servicios de Agremiación (administrativo)</v>
          </cell>
          <cell r="V39">
            <v>0</v>
          </cell>
          <cell r="W39">
            <v>0</v>
          </cell>
          <cell r="AA39">
            <v>7524030401</v>
          </cell>
          <cell r="AD39">
            <v>329399223</v>
          </cell>
          <cell r="AG39">
            <v>0</v>
          </cell>
        </row>
        <row r="40">
          <cell r="A40" t="str">
            <v>1130103-6</v>
          </cell>
          <cell r="B40" t="str">
            <v xml:space="preserve"> Aportes Patronales  3er. Nivel</v>
          </cell>
          <cell r="C40">
            <v>0</v>
          </cell>
          <cell r="D40">
            <v>0</v>
          </cell>
          <cell r="E40">
            <v>0</v>
          </cell>
          <cell r="I40">
            <v>0</v>
          </cell>
          <cell r="L40">
            <v>0</v>
          </cell>
          <cell r="S40">
            <v>0</v>
          </cell>
          <cell r="T40" t="str">
            <v>Certificación, Habilitación y Acreditación</v>
          </cell>
          <cell r="V40">
            <v>0</v>
          </cell>
          <cell r="W40">
            <v>0</v>
          </cell>
          <cell r="AA40">
            <v>0</v>
          </cell>
          <cell r="AD40">
            <v>0</v>
          </cell>
          <cell r="AG40">
            <v>0</v>
          </cell>
        </row>
        <row r="41">
          <cell r="A41">
            <v>1130104</v>
          </cell>
          <cell r="B41" t="str">
            <v>SUBSIDIO A LA OFERTA- ACTIVIDADES NO POS-S</v>
          </cell>
          <cell r="C41">
            <v>0</v>
          </cell>
          <cell r="D41">
            <v>0</v>
          </cell>
          <cell r="E41">
            <v>0</v>
          </cell>
          <cell r="I41">
            <v>0</v>
          </cell>
          <cell r="L41">
            <v>0</v>
          </cell>
          <cell r="S41" t="str">
            <v>2.1.2.02.02.009.99.02</v>
          </cell>
          <cell r="T41" t="str">
            <v>Vigencias Anteriores servicios de agremiacion</v>
          </cell>
          <cell r="V41">
            <v>0</v>
          </cell>
          <cell r="W41">
            <v>0</v>
          </cell>
          <cell r="AA41">
            <v>772642367</v>
          </cell>
          <cell r="AD41">
            <v>772642367</v>
          </cell>
          <cell r="AG41">
            <v>772642367</v>
          </cell>
        </row>
        <row r="42">
          <cell r="B42" t="str">
            <v>SALUD PUBLICA - PLAN DE INTERVENCIONES COLECTIVAS</v>
          </cell>
          <cell r="S42">
            <v>1130106</v>
          </cell>
        </row>
        <row r="43">
          <cell r="C43">
            <v>0</v>
          </cell>
          <cell r="D43">
            <v>0</v>
          </cell>
          <cell r="E43">
            <v>0</v>
          </cell>
          <cell r="I43">
            <v>3942154</v>
          </cell>
          <cell r="L43">
            <v>0</v>
          </cell>
          <cell r="S43">
            <v>1010300</v>
          </cell>
        </row>
        <row r="44">
          <cell r="B44" t="str">
            <v>Vigencia Anterior</v>
          </cell>
          <cell r="C44">
            <v>287170800</v>
          </cell>
          <cell r="D44">
            <v>0</v>
          </cell>
          <cell r="E44">
            <v>0</v>
          </cell>
          <cell r="I44">
            <v>0</v>
          </cell>
          <cell r="L44">
            <v>0</v>
          </cell>
          <cell r="S44">
            <v>1010301</v>
          </cell>
          <cell r="T44" t="str">
            <v>Contribuciones - SGP - Aportes Patronales - Cuenta Maestra</v>
          </cell>
        </row>
        <row r="45">
          <cell r="A45" t="str">
            <v>1.1.02.05.001.09.02.04</v>
          </cell>
          <cell r="B45" t="str">
            <v>EVENTOS CATASTROFICOS Y ACCIDENTES DE TRANSITO</v>
          </cell>
          <cell r="S45" t="str">
            <v>1010301-1</v>
          </cell>
          <cell r="T45" t="str">
            <v>E.P.S. - Aportes cuenta maestra</v>
          </cell>
          <cell r="V45">
            <v>0</v>
          </cell>
          <cell r="W45">
            <v>0</v>
          </cell>
          <cell r="AA45">
            <v>0</v>
          </cell>
          <cell r="AD45">
            <v>0</v>
          </cell>
          <cell r="AG45">
            <v>0</v>
          </cell>
        </row>
        <row r="46">
          <cell r="A46" t="str">
            <v>1.1.02.05.001.09.02.04</v>
          </cell>
          <cell r="C46">
            <v>795758987</v>
          </cell>
          <cell r="D46">
            <v>0</v>
          </cell>
          <cell r="E46">
            <v>0</v>
          </cell>
          <cell r="I46">
            <v>33852528</v>
          </cell>
          <cell r="L46">
            <v>0</v>
          </cell>
          <cell r="S46" t="str">
            <v>1010301-2</v>
          </cell>
          <cell r="T46" t="str">
            <v>Fondos pensionales - Aportes cuenta maestra</v>
          </cell>
          <cell r="V46">
            <v>0</v>
          </cell>
          <cell r="W46">
            <v>0</v>
          </cell>
          <cell r="AA46">
            <v>0</v>
          </cell>
          <cell r="AD46">
            <v>0</v>
          </cell>
          <cell r="AG46">
            <v>0</v>
          </cell>
        </row>
        <row r="47">
          <cell r="A47" t="str">
            <v>1.1.02.05.001.09.02.04.99</v>
          </cell>
          <cell r="B47" t="str">
            <v>Vigencia Anterior</v>
          </cell>
          <cell r="C47">
            <v>505746730</v>
          </cell>
          <cell r="D47">
            <v>0</v>
          </cell>
          <cell r="E47">
            <v>0</v>
          </cell>
          <cell r="I47">
            <v>738423</v>
          </cell>
          <cell r="L47">
            <v>738423</v>
          </cell>
          <cell r="S47" t="str">
            <v>1010301-3</v>
          </cell>
          <cell r="T47" t="str">
            <v>Fondos de cesantías - Aportes cuenta maestra</v>
          </cell>
          <cell r="V47">
            <v>0</v>
          </cell>
          <cell r="W47">
            <v>0</v>
          </cell>
          <cell r="AA47">
            <v>0</v>
          </cell>
          <cell r="AD47">
            <v>0</v>
          </cell>
          <cell r="AG47">
            <v>0</v>
          </cell>
        </row>
        <row r="48">
          <cell r="A48" t="str">
            <v>1.1.02.05.001.09.02.11</v>
          </cell>
          <cell r="B48" t="str">
            <v>Poblacion Especial</v>
          </cell>
          <cell r="S48" t="str">
            <v>1010301-4</v>
          </cell>
          <cell r="T48" t="str">
            <v>Riesgos laborales - Aportes cuenta maestra</v>
          </cell>
          <cell r="V48">
            <v>0</v>
          </cell>
          <cell r="W48">
            <v>0</v>
          </cell>
          <cell r="AA48">
            <v>0</v>
          </cell>
          <cell r="AD48">
            <v>0</v>
          </cell>
          <cell r="AG48">
            <v>0</v>
          </cell>
        </row>
        <row r="49">
          <cell r="A49" t="str">
            <v>1.1.02.05.001.09.02.11</v>
          </cell>
          <cell r="C49">
            <v>180672391</v>
          </cell>
          <cell r="D49">
            <v>0</v>
          </cell>
          <cell r="E49">
            <v>0</v>
          </cell>
          <cell r="I49">
            <v>10518584</v>
          </cell>
          <cell r="L49">
            <v>0</v>
          </cell>
          <cell r="S49">
            <v>1010302</v>
          </cell>
          <cell r="T49" t="str">
            <v>Contribuciones - Otros</v>
          </cell>
        </row>
        <row r="50">
          <cell r="A50" t="str">
            <v>1.1.02.05.001.09.02.11.99</v>
          </cell>
          <cell r="B50" t="str">
            <v>Vigencia Anterior</v>
          </cell>
          <cell r="C50">
            <v>45000000</v>
          </cell>
          <cell r="D50">
            <v>0</v>
          </cell>
          <cell r="E50">
            <v>0</v>
          </cell>
          <cell r="I50">
            <v>15638226</v>
          </cell>
          <cell r="L50">
            <v>15638226</v>
          </cell>
          <cell r="S50" t="str">
            <v>2.1.1.01.02.002</v>
          </cell>
          <cell r="T50" t="str">
            <v>Aportes a E.P.S. - recursos propios</v>
          </cell>
          <cell r="V50">
            <v>0</v>
          </cell>
          <cell r="W50">
            <v>0</v>
          </cell>
          <cell r="AA50">
            <v>37587400</v>
          </cell>
          <cell r="AD50">
            <v>37587400</v>
          </cell>
          <cell r="AG50">
            <v>37587400</v>
          </cell>
        </row>
        <row r="51">
          <cell r="A51" t="str">
            <v>1.1.02.05.001.09.02.16</v>
          </cell>
          <cell r="B51" t="str">
            <v>Fondo Nacional de la Salud personas privadas de la Libertad</v>
          </cell>
          <cell r="S51" t="str">
            <v>2.1.1.01.02.001</v>
          </cell>
          <cell r="T51" t="str">
            <v>Aportes Fondos Pensionales - recursos propios</v>
          </cell>
          <cell r="V51">
            <v>0</v>
          </cell>
          <cell r="W51">
            <v>0</v>
          </cell>
          <cell r="AA51">
            <v>53472200</v>
          </cell>
          <cell r="AD51">
            <v>53472200</v>
          </cell>
          <cell r="AG51">
            <v>53472200</v>
          </cell>
        </row>
        <row r="52">
          <cell r="A52" t="str">
            <v>1.1.02.05.001.09.02.16</v>
          </cell>
          <cell r="C52">
            <v>168856</v>
          </cell>
          <cell r="D52">
            <v>0</v>
          </cell>
          <cell r="E52">
            <v>0</v>
          </cell>
          <cell r="I52">
            <v>7915391</v>
          </cell>
          <cell r="L52">
            <v>0</v>
          </cell>
          <cell r="S52" t="str">
            <v>2.1.1.01.02.003</v>
          </cell>
          <cell r="T52" t="str">
            <v>Aportes a Fondos de Cesantia - recursos propios</v>
          </cell>
          <cell r="V52">
            <v>0</v>
          </cell>
          <cell r="W52">
            <v>0</v>
          </cell>
          <cell r="AA52">
            <v>2558356</v>
          </cell>
          <cell r="AD52">
            <v>2558356</v>
          </cell>
          <cell r="AG52">
            <v>0</v>
          </cell>
        </row>
        <row r="53">
          <cell r="A53" t="str">
            <v>1.1.02.05.001.09.02.16.99</v>
          </cell>
          <cell r="B53" t="str">
            <v>Vigencia Anterior</v>
          </cell>
          <cell r="C53">
            <v>0</v>
          </cell>
          <cell r="D53">
            <v>0</v>
          </cell>
          <cell r="E53">
            <v>0</v>
          </cell>
          <cell r="I53">
            <v>0</v>
          </cell>
          <cell r="L53">
            <v>0</v>
          </cell>
          <cell r="S53" t="str">
            <v>2.1.1.01.02.005</v>
          </cell>
          <cell r="T53" t="str">
            <v>Aporte a ARL. - recursos propios</v>
          </cell>
          <cell r="V53">
            <v>0</v>
          </cell>
          <cell r="W53">
            <v>0</v>
          </cell>
          <cell r="AA53">
            <v>7304000</v>
          </cell>
          <cell r="AD53">
            <v>7304000</v>
          </cell>
          <cell r="AG53">
            <v>7304000</v>
          </cell>
        </row>
        <row r="54">
          <cell r="A54" t="str">
            <v>1.1.02.05.001.09.02.17</v>
          </cell>
          <cell r="B54" t="str">
            <v>EMPRESAS MEDICINA PREPAGADA</v>
          </cell>
          <cell r="S54" t="str">
            <v>2.1.1.01.02.004</v>
          </cell>
          <cell r="T54" t="str">
            <v>Aporte a Caja Compensación Familiar</v>
          </cell>
          <cell r="V54">
            <v>0</v>
          </cell>
          <cell r="W54">
            <v>0</v>
          </cell>
          <cell r="AA54">
            <v>17424500</v>
          </cell>
          <cell r="AD54">
            <v>17424500</v>
          </cell>
          <cell r="AG54">
            <v>17424500</v>
          </cell>
        </row>
        <row r="55">
          <cell r="A55" t="str">
            <v>1.1.02.05.001.09.02.17</v>
          </cell>
          <cell r="C55">
            <v>968592.84788797423</v>
          </cell>
          <cell r="D55">
            <v>0</v>
          </cell>
          <cell r="E55">
            <v>0</v>
          </cell>
          <cell r="I55">
            <v>0</v>
          </cell>
          <cell r="L55">
            <v>0</v>
          </cell>
          <cell r="S55" t="str">
            <v>2.1.1.01.02.003.99</v>
          </cell>
          <cell r="T55" t="str">
            <v>Vigencias Anteriores Aportes a cesantías</v>
          </cell>
          <cell r="V55">
            <v>0</v>
          </cell>
          <cell r="W55">
            <v>0</v>
          </cell>
          <cell r="AA55">
            <v>52129867</v>
          </cell>
          <cell r="AD55">
            <v>52129867</v>
          </cell>
          <cell r="AG55">
            <v>52129867</v>
          </cell>
        </row>
        <row r="56">
          <cell r="A56" t="str">
            <v>1.1.02.05.001.09.02.17.99</v>
          </cell>
          <cell r="B56" t="str">
            <v>Vigencia Anterior</v>
          </cell>
          <cell r="C56">
            <v>0</v>
          </cell>
          <cell r="D56">
            <v>0</v>
          </cell>
          <cell r="E56">
            <v>0</v>
          </cell>
          <cell r="I56">
            <v>10340909</v>
          </cell>
          <cell r="L56">
            <v>10340909</v>
          </cell>
          <cell r="S56">
            <v>10340904</v>
          </cell>
        </row>
        <row r="57">
          <cell r="A57" t="str">
            <v>1.1.02.05.001.09.02.09</v>
          </cell>
          <cell r="B57" t="str">
            <v>IPS PRIVADAS</v>
          </cell>
          <cell r="S57">
            <v>1010400</v>
          </cell>
        </row>
        <row r="58">
          <cell r="A58" t="str">
            <v>1.1.02.05.001.09.02.09</v>
          </cell>
          <cell r="C58">
            <v>8042608</v>
          </cell>
          <cell r="D58">
            <v>0</v>
          </cell>
          <cell r="E58">
            <v>0</v>
          </cell>
          <cell r="I58">
            <v>0</v>
          </cell>
          <cell r="L58">
            <v>0</v>
          </cell>
          <cell r="S58">
            <v>1010402</v>
          </cell>
          <cell r="T58" t="str">
            <v>Contribuciones - Otros</v>
          </cell>
        </row>
        <row r="59">
          <cell r="A59" t="str">
            <v>1.1.02.05.001.09.02.09.99</v>
          </cell>
          <cell r="B59" t="str">
            <v>Vigencia Anterior</v>
          </cell>
          <cell r="C59">
            <v>0</v>
          </cell>
          <cell r="D59">
            <v>0</v>
          </cell>
          <cell r="E59">
            <v>0</v>
          </cell>
          <cell r="I59">
            <v>0</v>
          </cell>
          <cell r="L59">
            <v>0</v>
          </cell>
          <cell r="S59" t="str">
            <v>2.1.1.01.02.006</v>
          </cell>
          <cell r="T59" t="str">
            <v>I.C.B.F.</v>
          </cell>
          <cell r="V59">
            <v>0</v>
          </cell>
          <cell r="W59">
            <v>0</v>
          </cell>
          <cell r="AA59">
            <v>13069500</v>
          </cell>
          <cell r="AD59">
            <v>13069500</v>
          </cell>
          <cell r="AG59">
            <v>13069500</v>
          </cell>
        </row>
        <row r="60">
          <cell r="A60" t="str">
            <v>1.1.02.05.001.09.02.10</v>
          </cell>
          <cell r="B60" t="str">
            <v>IPS PUBLICAS</v>
          </cell>
          <cell r="S60" t="str">
            <v>2.1.1.01.02.007</v>
          </cell>
          <cell r="T60" t="str">
            <v>SENA</v>
          </cell>
          <cell r="V60">
            <v>0</v>
          </cell>
          <cell r="W60">
            <v>0</v>
          </cell>
          <cell r="AA60">
            <v>8715600</v>
          </cell>
          <cell r="AD60">
            <v>8715600</v>
          </cell>
          <cell r="AG60">
            <v>8715600</v>
          </cell>
        </row>
        <row r="61">
          <cell r="A61" t="str">
            <v>1.1.02.05.001.09.02.10</v>
          </cell>
          <cell r="C61">
            <v>46623238</v>
          </cell>
          <cell r="D61">
            <v>0</v>
          </cell>
          <cell r="E61">
            <v>0</v>
          </cell>
          <cell r="I61">
            <v>111333</v>
          </cell>
          <cell r="L61">
            <v>0</v>
          </cell>
          <cell r="S61">
            <v>1010499</v>
          </cell>
          <cell r="T61" t="str">
            <v>Vigencias Anteriores</v>
          </cell>
          <cell r="V61">
            <v>0</v>
          </cell>
          <cell r="W61">
            <v>0</v>
          </cell>
          <cell r="AA61">
            <v>0</v>
          </cell>
          <cell r="AD61">
            <v>0</v>
          </cell>
          <cell r="AG61">
            <v>0</v>
          </cell>
        </row>
        <row r="62">
          <cell r="A62" t="str">
            <v>1.1.02.05.001.09.02.10.99</v>
          </cell>
          <cell r="B62" t="str">
            <v>Vigencia Anterior</v>
          </cell>
          <cell r="C62">
            <v>0</v>
          </cell>
          <cell r="D62">
            <v>0</v>
          </cell>
          <cell r="E62">
            <v>0</v>
          </cell>
          <cell r="I62">
            <v>1174808</v>
          </cell>
          <cell r="L62">
            <v>1174808</v>
          </cell>
          <cell r="S62">
            <v>1174808</v>
          </cell>
        </row>
        <row r="63">
          <cell r="A63" t="str">
            <v>1.1.02.05.001.09.02.90.01</v>
          </cell>
          <cell r="B63" t="str">
            <v>COMPAÑIAS DE SEGUROS  - ACCIDENTES DE TRANSITO (SOAT)</v>
          </cell>
          <cell r="S63">
            <v>1020010</v>
          </cell>
        </row>
        <row r="64">
          <cell r="A64" t="str">
            <v>1.1.02.05.001.09.02.90.01</v>
          </cell>
          <cell r="C64">
            <v>2137731076.9417498</v>
          </cell>
          <cell r="D64">
            <v>0</v>
          </cell>
          <cell r="E64">
            <v>0</v>
          </cell>
          <cell r="I64">
            <v>192150562</v>
          </cell>
          <cell r="L64">
            <v>2290827</v>
          </cell>
          <cell r="S64">
            <v>2290826</v>
          </cell>
        </row>
        <row r="65">
          <cell r="A65" t="str">
            <v>1.1.02.05.001.09.02.90.01.99</v>
          </cell>
          <cell r="B65" t="str">
            <v>Vigencia Anterior</v>
          </cell>
          <cell r="C65">
            <v>324064540.10000002</v>
          </cell>
          <cell r="D65">
            <v>0</v>
          </cell>
          <cell r="E65">
            <v>0</v>
          </cell>
          <cell r="I65">
            <v>201177151</v>
          </cell>
          <cell r="L65">
            <v>201177151</v>
          </cell>
          <cell r="S65" t="str">
            <v>2.1.1.01.01-1</v>
          </cell>
        </row>
        <row r="66">
          <cell r="A66" t="str">
            <v>1.1.02.05.001.09.02.18.01</v>
          </cell>
          <cell r="B66" t="str">
            <v xml:space="preserve">COMPAÑIAS DE SEGUROS  - PLANES DE SALUD </v>
          </cell>
          <cell r="S66" t="str">
            <v>2.1.1.01.01.001.01-1</v>
          </cell>
          <cell r="T66" t="str">
            <v>Sueldos del Personal de nómina</v>
          </cell>
          <cell r="V66">
            <v>0</v>
          </cell>
          <cell r="W66">
            <v>0</v>
          </cell>
          <cell r="AA66">
            <v>0</v>
          </cell>
          <cell r="AD66">
            <v>0</v>
          </cell>
          <cell r="AG66">
            <v>0</v>
          </cell>
        </row>
        <row r="67">
          <cell r="A67" t="str">
            <v>1.1.02.05.001.09.02.18.01</v>
          </cell>
          <cell r="C67">
            <v>111911928</v>
          </cell>
          <cell r="D67">
            <v>0</v>
          </cell>
          <cell r="E67">
            <v>0</v>
          </cell>
          <cell r="I67">
            <v>1054605</v>
          </cell>
          <cell r="L67">
            <v>0</v>
          </cell>
          <cell r="S67" t="str">
            <v>2.1.1.01.01.001.02-1</v>
          </cell>
          <cell r="T67" t="str">
            <v>Horas Extras,Dominic.,Festivos y Rec. Nocturnos</v>
          </cell>
          <cell r="V67">
            <v>0</v>
          </cell>
          <cell r="W67">
            <v>0</v>
          </cell>
          <cell r="AA67">
            <v>0</v>
          </cell>
          <cell r="AD67">
            <v>0</v>
          </cell>
          <cell r="AG67">
            <v>0</v>
          </cell>
        </row>
        <row r="68">
          <cell r="A68" t="str">
            <v>1.1.02.05.001.09.02.18.01.99</v>
          </cell>
          <cell r="B68" t="str">
            <v>Vigencia Anterior</v>
          </cell>
          <cell r="C68">
            <v>73720020</v>
          </cell>
          <cell r="D68">
            <v>0</v>
          </cell>
          <cell r="E68">
            <v>0</v>
          </cell>
          <cell r="I68">
            <v>0</v>
          </cell>
          <cell r="L68">
            <v>0</v>
          </cell>
          <cell r="S68">
            <v>1010103</v>
          </cell>
          <cell r="T68" t="str">
            <v>Prima Técnica</v>
          </cell>
          <cell r="V68">
            <v>0</v>
          </cell>
          <cell r="W68">
            <v>0</v>
          </cell>
          <cell r="AA68">
            <v>0</v>
          </cell>
          <cell r="AD68">
            <v>0</v>
          </cell>
          <cell r="AG68">
            <v>0</v>
          </cell>
        </row>
        <row r="69">
          <cell r="A69" t="str">
            <v>1.1.02.05.001.09.02.90.02</v>
          </cell>
          <cell r="B69" t="str">
            <v>ENTIDADES DE REGIMEN ESPECIAL (Magisterio, Fuerza Pca.)</v>
          </cell>
          <cell r="S69">
            <v>1010104</v>
          </cell>
          <cell r="T69" t="str">
            <v>Otros</v>
          </cell>
        </row>
        <row r="70">
          <cell r="A70" t="str">
            <v>1.1.02.05.001.09.02.90.02</v>
          </cell>
          <cell r="C70">
            <v>898696551</v>
          </cell>
          <cell r="D70">
            <v>0</v>
          </cell>
          <cell r="E70">
            <v>0</v>
          </cell>
          <cell r="I70">
            <v>261729671</v>
          </cell>
          <cell r="L70">
            <v>0</v>
          </cell>
          <cell r="S70" t="str">
            <v>2.1.1.01.01.001.08.01-1</v>
          </cell>
          <cell r="T70" t="str">
            <v xml:space="preserve">Prima de Navidad </v>
          </cell>
          <cell r="V70">
            <v>0</v>
          </cell>
          <cell r="W70">
            <v>0</v>
          </cell>
          <cell r="AA70">
            <v>0</v>
          </cell>
          <cell r="AD70">
            <v>0</v>
          </cell>
          <cell r="AG70">
            <v>0</v>
          </cell>
        </row>
        <row r="71">
          <cell r="A71" t="str">
            <v>1.1.02.05.001.09.02.90.02.99</v>
          </cell>
          <cell r="B71" t="str">
            <v>Vigencia Anterior</v>
          </cell>
          <cell r="C71">
            <v>480000000</v>
          </cell>
          <cell r="D71">
            <v>0</v>
          </cell>
          <cell r="E71">
            <v>0</v>
          </cell>
          <cell r="I71">
            <v>176555824</v>
          </cell>
          <cell r="L71">
            <v>176555824</v>
          </cell>
          <cell r="S71" t="str">
            <v>2.1.1.01.01.001.08.02-1</v>
          </cell>
          <cell r="T71" t="str">
            <v>Prima de Vacaciones</v>
          </cell>
          <cell r="V71">
            <v>0</v>
          </cell>
          <cell r="W71">
            <v>0</v>
          </cell>
          <cell r="AA71">
            <v>0</v>
          </cell>
          <cell r="AD71">
            <v>0</v>
          </cell>
          <cell r="AG71">
            <v>0</v>
          </cell>
        </row>
        <row r="72">
          <cell r="A72" t="str">
            <v>1.1.02.05.001.09.02.06</v>
          </cell>
          <cell r="B72" t="str">
            <v>ADMINISTRADORAS DE RIESGOS LABORALES</v>
          </cell>
          <cell r="S72" t="str">
            <v>2.1.1.01.01.001.07-1</v>
          </cell>
          <cell r="T72" t="str">
            <v>Bonificación  por servicios prestados</v>
          </cell>
          <cell r="V72">
            <v>0</v>
          </cell>
          <cell r="W72">
            <v>0</v>
          </cell>
          <cell r="AA72">
            <v>0</v>
          </cell>
          <cell r="AD72">
            <v>0</v>
          </cell>
          <cell r="AG72">
            <v>0</v>
          </cell>
        </row>
        <row r="73">
          <cell r="A73" t="str">
            <v>1.1.02.05.001.09.02.06</v>
          </cell>
          <cell r="C73">
            <v>337999834</v>
          </cell>
          <cell r="D73">
            <v>0</v>
          </cell>
          <cell r="E73">
            <v>0</v>
          </cell>
          <cell r="I73">
            <v>15983239</v>
          </cell>
          <cell r="L73">
            <v>2678992</v>
          </cell>
          <cell r="S73" t="str">
            <v>2.1.1.01.01.001.06-1</v>
          </cell>
          <cell r="T73" t="str">
            <v>Prima de Servicios</v>
          </cell>
          <cell r="V73">
            <v>0</v>
          </cell>
          <cell r="W73">
            <v>0</v>
          </cell>
          <cell r="AA73">
            <v>0</v>
          </cell>
          <cell r="AD73">
            <v>0</v>
          </cell>
          <cell r="AG73">
            <v>0</v>
          </cell>
        </row>
        <row r="74">
          <cell r="A74" t="str">
            <v>1.1.02.05.001.09.02.06.99</v>
          </cell>
          <cell r="B74" t="str">
            <v>Vigencia Anterior</v>
          </cell>
          <cell r="C74">
            <v>36950848</v>
          </cell>
          <cell r="D74">
            <v>0</v>
          </cell>
          <cell r="E74">
            <v>0</v>
          </cell>
          <cell r="I74">
            <v>47332727</v>
          </cell>
          <cell r="L74">
            <v>47332727</v>
          </cell>
          <cell r="S74" t="str">
            <v>1010104-5</v>
          </cell>
          <cell r="T74" t="str">
            <v>Bonificación Convencional</v>
          </cell>
          <cell r="V74">
            <v>0</v>
          </cell>
          <cell r="W74">
            <v>0</v>
          </cell>
          <cell r="AA74">
            <v>0</v>
          </cell>
          <cell r="AD74">
            <v>0</v>
          </cell>
          <cell r="AG74">
            <v>0</v>
          </cell>
        </row>
        <row r="75">
          <cell r="A75" t="str">
            <v>1.1.02.05.001.09.02.07</v>
          </cell>
          <cell r="B75" t="str">
            <v>FUERZAS MILITARES</v>
          </cell>
          <cell r="S75" t="str">
            <v>2.1.1.01.01.001.05-1</v>
          </cell>
          <cell r="T75" t="str">
            <v>Auxilio de Transporte</v>
          </cell>
          <cell r="V75">
            <v>0</v>
          </cell>
          <cell r="W75">
            <v>0</v>
          </cell>
          <cell r="AA75">
            <v>0</v>
          </cell>
          <cell r="AD75">
            <v>0</v>
          </cell>
          <cell r="AG75">
            <v>0</v>
          </cell>
        </row>
        <row r="76">
          <cell r="A76" t="str">
            <v>1.1.02.05.001.09.02.07</v>
          </cell>
          <cell r="C76">
            <v>341067989</v>
          </cell>
          <cell r="D76">
            <v>0</v>
          </cell>
          <cell r="E76">
            <v>0</v>
          </cell>
          <cell r="I76">
            <v>11182155</v>
          </cell>
          <cell r="L76">
            <v>0</v>
          </cell>
          <cell r="S76" t="str">
            <v>2.1.1.01.01.001.04-1</v>
          </cell>
          <cell r="T76" t="str">
            <v>Auxilio de Alimentación</v>
          </cell>
          <cell r="V76">
            <v>0</v>
          </cell>
          <cell r="W76">
            <v>0</v>
          </cell>
          <cell r="AA76">
            <v>0</v>
          </cell>
          <cell r="AD76">
            <v>0</v>
          </cell>
          <cell r="AG76">
            <v>0</v>
          </cell>
        </row>
        <row r="77">
          <cell r="A77" t="str">
            <v>1.1.02.05.001.09.02.07.99</v>
          </cell>
          <cell r="B77" t="str">
            <v>Vigencia Anterior</v>
          </cell>
          <cell r="C77">
            <v>107653987</v>
          </cell>
          <cell r="D77">
            <v>0</v>
          </cell>
          <cell r="E77">
            <v>0</v>
          </cell>
          <cell r="I77">
            <v>0</v>
          </cell>
          <cell r="L77">
            <v>0</v>
          </cell>
          <cell r="S77" t="str">
            <v>1010104-8</v>
          </cell>
          <cell r="T77" t="str">
            <v>Indemnizaciones por Vacaciones o Supresión de Cargos por Reestructuración</v>
          </cell>
          <cell r="V77">
            <v>0</v>
          </cell>
          <cell r="W77">
            <v>0</v>
          </cell>
          <cell r="AA77">
            <v>0</v>
          </cell>
          <cell r="AD77">
            <v>0</v>
          </cell>
          <cell r="AG77">
            <v>0</v>
          </cell>
        </row>
        <row r="78">
          <cell r="A78" t="str">
            <v>1.1.02.05.001.09.02.13-1</v>
          </cell>
          <cell r="B78" t="str">
            <v>PARTICULARES   (Venta de Contado)</v>
          </cell>
          <cell r="S78" t="str">
            <v>1010104-9</v>
          </cell>
          <cell r="V78">
            <v>0</v>
          </cell>
          <cell r="W78">
            <v>0</v>
          </cell>
          <cell r="AA78">
            <v>0</v>
          </cell>
          <cell r="AD78">
            <v>0</v>
          </cell>
          <cell r="AG78">
            <v>0</v>
          </cell>
        </row>
        <row r="79">
          <cell r="A79" t="str">
            <v>1.1.02.05.001.09.02.13-1</v>
          </cell>
          <cell r="C79">
            <v>531131551</v>
          </cell>
          <cell r="D79">
            <v>0</v>
          </cell>
          <cell r="E79">
            <v>0</v>
          </cell>
          <cell r="I79">
            <v>58156800</v>
          </cell>
          <cell r="L79">
            <v>0</v>
          </cell>
          <cell r="S79" t="str">
            <v>2.1.1.01.03.001.03-1</v>
          </cell>
          <cell r="V79">
            <v>0</v>
          </cell>
          <cell r="W79">
            <v>0</v>
          </cell>
          <cell r="AA79">
            <v>0</v>
          </cell>
          <cell r="AD79">
            <v>0</v>
          </cell>
          <cell r="AG79">
            <v>0</v>
          </cell>
        </row>
        <row r="80">
          <cell r="A80" t="str">
            <v>1.1.02.05.001.09.02.13.99-1</v>
          </cell>
          <cell r="B80" t="str">
            <v>Vigencia Anterior</v>
          </cell>
          <cell r="C80">
            <v>150000000</v>
          </cell>
          <cell r="D80">
            <v>0</v>
          </cell>
          <cell r="E80">
            <v>0</v>
          </cell>
          <cell r="I80">
            <v>2581600</v>
          </cell>
          <cell r="L80">
            <v>2581600</v>
          </cell>
          <cell r="S80" t="str">
            <v>2.1.1.01.03.001.01-1</v>
          </cell>
          <cell r="V80">
            <v>0</v>
          </cell>
          <cell r="W80">
            <v>0</v>
          </cell>
          <cell r="AA80">
            <v>0</v>
          </cell>
          <cell r="AD80">
            <v>0</v>
          </cell>
          <cell r="AG80">
            <v>0</v>
          </cell>
        </row>
        <row r="81">
          <cell r="A81" t="str">
            <v>1.1.02.05.001.09.02.08</v>
          </cell>
          <cell r="B81" t="str">
            <v>POLICIA NACIONAL</v>
          </cell>
          <cell r="C81">
            <v>386698320</v>
          </cell>
          <cell r="S81" t="str">
            <v>2.1.2.02.02.009.902.99</v>
          </cell>
          <cell r="T81" t="str">
            <v xml:space="preserve">Vigencia Anterior </v>
          </cell>
          <cell r="V81">
            <v>0</v>
          </cell>
          <cell r="W81">
            <v>0</v>
          </cell>
          <cell r="AA81">
            <v>0</v>
          </cell>
          <cell r="AD81">
            <v>0</v>
          </cell>
          <cell r="AG81">
            <v>0</v>
          </cell>
        </row>
        <row r="82">
          <cell r="A82" t="str">
            <v>1.1.02.05.001.09.02.08</v>
          </cell>
          <cell r="C82">
            <v>376911385</v>
          </cell>
          <cell r="D82">
            <v>0</v>
          </cell>
          <cell r="E82">
            <v>0</v>
          </cell>
          <cell r="I82">
            <v>28422025</v>
          </cell>
          <cell r="L82">
            <v>0</v>
          </cell>
          <cell r="S82">
            <v>0</v>
          </cell>
        </row>
        <row r="83">
          <cell r="A83" t="str">
            <v>1.1.02.05.001.09.02.08,99</v>
          </cell>
          <cell r="B83" t="str">
            <v>Vigencia Anterior</v>
          </cell>
          <cell r="C83">
            <v>9786935</v>
          </cell>
          <cell r="D83">
            <v>0</v>
          </cell>
          <cell r="E83">
            <v>0</v>
          </cell>
          <cell r="I83">
            <v>46457386</v>
          </cell>
          <cell r="L83">
            <v>46457386</v>
          </cell>
          <cell r="S83">
            <v>1020200</v>
          </cell>
        </row>
        <row r="84">
          <cell r="S84" t="str">
            <v>2.1.2.02.02.009.902</v>
          </cell>
          <cell r="T84" t="str">
            <v>Servicios Personales (Personal Asistencial)</v>
          </cell>
          <cell r="V84">
            <v>0</v>
          </cell>
          <cell r="W84">
            <v>0</v>
          </cell>
          <cell r="AA84">
            <v>30313680080</v>
          </cell>
          <cell r="AD84">
            <v>4617601749</v>
          </cell>
          <cell r="AG84">
            <v>0</v>
          </cell>
        </row>
        <row r="85">
          <cell r="A85" t="str">
            <v>1.1.02.05.001.09.02.90</v>
          </cell>
          <cell r="B85" t="str">
            <v>Otras Ventas de Servicios de Salud</v>
          </cell>
          <cell r="S85" t="str">
            <v>1020200-2</v>
          </cell>
          <cell r="T85" t="str">
            <v>Personal Supernumerario</v>
          </cell>
          <cell r="V85">
            <v>0</v>
          </cell>
          <cell r="W85">
            <v>0</v>
          </cell>
          <cell r="AA85">
            <v>0</v>
          </cell>
          <cell r="AD85">
            <v>0</v>
          </cell>
          <cell r="AG85">
            <v>0</v>
          </cell>
        </row>
        <row r="86">
          <cell r="A86" t="str">
            <v>1.1.02.05.001.08</v>
          </cell>
          <cell r="C86">
            <v>0</v>
          </cell>
          <cell r="D86">
            <v>0</v>
          </cell>
          <cell r="E86">
            <v>0</v>
          </cell>
          <cell r="L86">
            <v>0</v>
          </cell>
          <cell r="S86" t="str">
            <v>1020200-3</v>
          </cell>
          <cell r="T86" t="str">
            <v>Otros Honorarios</v>
          </cell>
          <cell r="V86">
            <v>0</v>
          </cell>
          <cell r="W86">
            <v>0</v>
          </cell>
          <cell r="AA86">
            <v>0</v>
          </cell>
          <cell r="AD86">
            <v>0</v>
          </cell>
          <cell r="AG86">
            <v>0</v>
          </cell>
        </row>
        <row r="87">
          <cell r="A87">
            <v>1130202</v>
          </cell>
          <cell r="B87">
            <v>1130202</v>
          </cell>
          <cell r="C87">
            <v>0</v>
          </cell>
          <cell r="D87">
            <v>0</v>
          </cell>
          <cell r="E87">
            <v>0</v>
          </cell>
          <cell r="L87">
            <v>0</v>
          </cell>
          <cell r="S87" t="str">
            <v>1020200-4</v>
          </cell>
          <cell r="T87" t="str">
            <v>Otros Honorarios</v>
          </cell>
          <cell r="V87">
            <v>0</v>
          </cell>
          <cell r="W87">
            <v>0</v>
          </cell>
          <cell r="AA87">
            <v>0</v>
          </cell>
          <cell r="AD87">
            <v>0</v>
          </cell>
          <cell r="AG87">
            <v>0</v>
          </cell>
        </row>
        <row r="88">
          <cell r="A88" t="str">
            <v>1.1.02.05.001.08</v>
          </cell>
          <cell r="B88" t="str">
            <v>Servicios Prestados a las empresas y servicios de produccion</v>
          </cell>
          <cell r="C88">
            <v>0</v>
          </cell>
          <cell r="D88">
            <v>0</v>
          </cell>
          <cell r="E88">
            <v>1684010668</v>
          </cell>
          <cell r="L88">
            <v>0</v>
          </cell>
          <cell r="S88" t="str">
            <v>2.1.2.02.02.009.99.01</v>
          </cell>
          <cell r="T88" t="str">
            <v>Vigencia Anterior Servicios Personales</v>
          </cell>
          <cell r="V88">
            <v>0</v>
          </cell>
          <cell r="W88">
            <v>0</v>
          </cell>
          <cell r="AA88">
            <v>5027142785</v>
          </cell>
          <cell r="AD88">
            <v>5027142785</v>
          </cell>
          <cell r="AG88">
            <v>5027142785</v>
          </cell>
        </row>
        <row r="89">
          <cell r="A89" t="str">
            <v>1.1.02.05.001.09.02.90.04</v>
          </cell>
          <cell r="B89" t="str">
            <v>CONVENIOS CON EL DEPARTAMENTO LIGADOS A LA VENTA SERVICIOS</v>
          </cell>
          <cell r="C89">
            <v>0</v>
          </cell>
          <cell r="D89">
            <v>0</v>
          </cell>
          <cell r="E89">
            <v>2520457839</v>
          </cell>
          <cell r="L89">
            <v>0</v>
          </cell>
          <cell r="S89">
            <v>0</v>
          </cell>
        </row>
        <row r="90">
          <cell r="B90" t="str">
            <v xml:space="preserve">CONVENIOS CON EL MUNICIPIO LIGADOS A LA VENTA DE SERVICIOS </v>
          </cell>
          <cell r="C90">
            <v>0</v>
          </cell>
          <cell r="D90">
            <v>0</v>
          </cell>
          <cell r="L90">
            <v>0</v>
          </cell>
          <cell r="S90">
            <v>1020300</v>
          </cell>
        </row>
        <row r="91">
          <cell r="A91">
            <v>1130206</v>
          </cell>
          <cell r="B91" t="str">
            <v>OTROS CONVENIOS LIGADOS A LA VENTA DE SERVICIOS</v>
          </cell>
          <cell r="C91">
            <v>0</v>
          </cell>
          <cell r="D91">
            <v>0</v>
          </cell>
          <cell r="E91">
            <v>0</v>
          </cell>
          <cell r="L91">
            <v>0</v>
          </cell>
          <cell r="S91">
            <v>1020301</v>
          </cell>
          <cell r="T91" t="str">
            <v>Contribuciones - SGP - Aportes Patronales - Cuenta Maestra</v>
          </cell>
        </row>
        <row r="92">
          <cell r="A92" t="str">
            <v>1.1.02.05.001.09.02.90.05.99</v>
          </cell>
          <cell r="B92" t="str">
            <v>Vigencia Anterior de Otros Convenios de Salud Nacionales (vacunacion covid-19 agendamiento y aplicación)</v>
          </cell>
          <cell r="C92">
            <v>0</v>
          </cell>
          <cell r="D92">
            <v>0</v>
          </cell>
          <cell r="E92">
            <v>0</v>
          </cell>
          <cell r="L92">
            <v>0</v>
          </cell>
          <cell r="S92" t="str">
            <v>1020301-1</v>
          </cell>
          <cell r="T92" t="str">
            <v>E.P.S. - Aportes cuenta maestra</v>
          </cell>
          <cell r="V92">
            <v>0</v>
          </cell>
          <cell r="W92">
            <v>0</v>
          </cell>
          <cell r="AA92">
            <v>0</v>
          </cell>
          <cell r="AD92">
            <v>0</v>
          </cell>
          <cell r="AG92">
            <v>0</v>
          </cell>
        </row>
        <row r="93">
          <cell r="A93">
            <v>0</v>
          </cell>
          <cell r="B93">
            <v>0</v>
          </cell>
          <cell r="S93" t="str">
            <v>1020301-2</v>
          </cell>
          <cell r="T93" t="str">
            <v>Fondos pensionales - Aportes cuenta maestra</v>
          </cell>
          <cell r="V93">
            <v>0</v>
          </cell>
          <cell r="W93">
            <v>0</v>
          </cell>
          <cell r="AA93">
            <v>0</v>
          </cell>
          <cell r="AD93">
            <v>0</v>
          </cell>
          <cell r="AG93">
            <v>0</v>
          </cell>
        </row>
        <row r="94">
          <cell r="A94" t="str">
            <v>1.1.02.06.006.06</v>
          </cell>
          <cell r="B94" t="str">
            <v>Aportes (No ligados a la venta de servicios de salud)</v>
          </cell>
          <cell r="S94" t="str">
            <v>1020301-3</v>
          </cell>
          <cell r="T94" t="str">
            <v>Fondos de cesantías - Aportes cuenta maestra</v>
          </cell>
          <cell r="V94">
            <v>0</v>
          </cell>
          <cell r="W94">
            <v>0</v>
          </cell>
          <cell r="AA94">
            <v>0</v>
          </cell>
          <cell r="AD94">
            <v>0</v>
          </cell>
          <cell r="AG94">
            <v>0</v>
          </cell>
        </row>
        <row r="95">
          <cell r="A95" t="str">
            <v>1.2.08.06.002</v>
          </cell>
          <cell r="B95" t="str">
            <v>Condicionadas a la adquisicion de un activo</v>
          </cell>
          <cell r="C95">
            <v>0</v>
          </cell>
          <cell r="D95">
            <v>0</v>
          </cell>
          <cell r="E95">
            <v>0</v>
          </cell>
          <cell r="I95">
            <v>0</v>
          </cell>
          <cell r="L95">
            <v>0</v>
          </cell>
          <cell r="S95" t="str">
            <v>1020301-4</v>
          </cell>
          <cell r="T95" t="str">
            <v>Riesgos laborales - Aportes cuenta maestra</v>
          </cell>
          <cell r="V95">
            <v>0</v>
          </cell>
          <cell r="W95">
            <v>0</v>
          </cell>
          <cell r="AA95">
            <v>0</v>
          </cell>
          <cell r="AD95">
            <v>0</v>
          </cell>
          <cell r="AG95">
            <v>0</v>
          </cell>
        </row>
        <row r="96">
          <cell r="A96" t="str">
            <v>1.1.02.06.007.02.08</v>
          </cell>
          <cell r="B96" t="str">
            <v>Aportes del Departamento - Subsidio a la Oferta</v>
          </cell>
          <cell r="C96">
            <v>0</v>
          </cell>
          <cell r="D96">
            <v>0</v>
          </cell>
          <cell r="E96">
            <v>0</v>
          </cell>
          <cell r="I96">
            <v>0</v>
          </cell>
          <cell r="L96">
            <v>0</v>
          </cell>
          <cell r="S96">
            <v>1020302</v>
          </cell>
          <cell r="T96" t="str">
            <v>Contribuciones - Otros</v>
          </cell>
        </row>
        <row r="97">
          <cell r="A97" t="str">
            <v>1.1.02.06.007.02.08</v>
          </cell>
          <cell r="B97" t="str">
            <v>Aportes del Municipio para fortalecimiento</v>
          </cell>
          <cell r="C97">
            <v>0</v>
          </cell>
          <cell r="D97">
            <v>0</v>
          </cell>
          <cell r="E97">
            <v>0</v>
          </cell>
          <cell r="I97">
            <v>0</v>
          </cell>
          <cell r="L97">
            <v>0</v>
          </cell>
          <cell r="S97" t="str">
            <v>2.1.1.01.02.002-1</v>
          </cell>
          <cell r="T97" t="str">
            <v>Aportes a E.P.S. - recursos propios</v>
          </cell>
          <cell r="V97">
            <v>0</v>
          </cell>
          <cell r="W97">
            <v>0</v>
          </cell>
          <cell r="AA97">
            <v>0</v>
          </cell>
          <cell r="AD97">
            <v>0</v>
          </cell>
          <cell r="AG97">
            <v>0</v>
          </cell>
        </row>
        <row r="98">
          <cell r="A98" t="str">
            <v>1.1.02.06.007.02.08</v>
          </cell>
          <cell r="C98">
            <v>0</v>
          </cell>
          <cell r="D98">
            <v>0</v>
          </cell>
          <cell r="E98">
            <v>0</v>
          </cell>
          <cell r="I98">
            <v>0</v>
          </cell>
          <cell r="L98">
            <v>0</v>
          </cell>
          <cell r="S98" t="str">
            <v>2.1.1.01.02.001-1</v>
          </cell>
          <cell r="T98" t="str">
            <v>Aportes Fondos Pensionales - recursos propios</v>
          </cell>
          <cell r="V98">
            <v>0</v>
          </cell>
          <cell r="W98">
            <v>0</v>
          </cell>
          <cell r="AA98">
            <v>0</v>
          </cell>
          <cell r="AD98">
            <v>0</v>
          </cell>
          <cell r="AG98">
            <v>0</v>
          </cell>
        </row>
        <row r="99">
          <cell r="A99" t="str">
            <v>11303-5</v>
          </cell>
          <cell r="B99" t="str">
            <v>RECURSOS PARA PROGRAMA DE SANEAMIENTO FINANCIERO</v>
          </cell>
          <cell r="C99">
            <v>0</v>
          </cell>
          <cell r="D99">
            <v>0</v>
          </cell>
          <cell r="E99">
            <v>0</v>
          </cell>
          <cell r="I99">
            <v>0</v>
          </cell>
          <cell r="L99">
            <v>0</v>
          </cell>
          <cell r="S99" t="str">
            <v>2.1.1.01.02.003-1</v>
          </cell>
          <cell r="T99" t="str">
            <v>Aportes a Fondos de Cesantia - recursos propios</v>
          </cell>
          <cell r="V99">
            <v>0</v>
          </cell>
          <cell r="W99">
            <v>0</v>
          </cell>
          <cell r="AA99">
            <v>0</v>
          </cell>
          <cell r="AD99">
            <v>0</v>
          </cell>
          <cell r="AG99">
            <v>0</v>
          </cell>
        </row>
        <row r="100">
          <cell r="A100" t="str">
            <v>1.1.02.06.006.07</v>
          </cell>
          <cell r="B100" t="str">
            <v>ESTAMPILLA PROHOSPITALES</v>
          </cell>
          <cell r="C100">
            <v>650000000</v>
          </cell>
          <cell r="D100">
            <v>0</v>
          </cell>
          <cell r="E100">
            <v>0</v>
          </cell>
          <cell r="I100">
            <v>0</v>
          </cell>
          <cell r="L100">
            <v>0</v>
          </cell>
          <cell r="S100" t="str">
            <v>2.1.1.01.02.005-1</v>
          </cell>
          <cell r="T100" t="str">
            <v>Aporte a ARL. - recursos propios</v>
          </cell>
          <cell r="V100">
            <v>0</v>
          </cell>
          <cell r="W100">
            <v>0</v>
          </cell>
          <cell r="AA100">
            <v>0</v>
          </cell>
          <cell r="AD100">
            <v>0</v>
          </cell>
          <cell r="AG100">
            <v>0</v>
          </cell>
        </row>
        <row r="101">
          <cell r="A101" t="str">
            <v>11303-7</v>
          </cell>
          <cell r="B101" t="str">
            <v>SUBSIDIO A LA OFERTA (ART. 2.4.2.6 DECRETO 268 DE 2020)</v>
          </cell>
          <cell r="C101">
            <v>0</v>
          </cell>
          <cell r="D101">
            <v>0</v>
          </cell>
          <cell r="E101">
            <v>0</v>
          </cell>
          <cell r="I101">
            <v>0</v>
          </cell>
          <cell r="L101">
            <v>0</v>
          </cell>
          <cell r="S101" t="str">
            <v>2.1.1.01.02.004-1</v>
          </cell>
          <cell r="T101" t="str">
            <v>Aporte a Caja Compensación Familiar</v>
          </cell>
          <cell r="V101">
            <v>0</v>
          </cell>
          <cell r="W101">
            <v>0</v>
          </cell>
          <cell r="AA101">
            <v>0</v>
          </cell>
          <cell r="AD101">
            <v>0</v>
          </cell>
          <cell r="AG101">
            <v>0</v>
          </cell>
        </row>
        <row r="102">
          <cell r="A102" t="str">
            <v>1.1.02.06.006.07.99</v>
          </cell>
          <cell r="B102" t="str">
            <v>Vigencia Anterior estampilla</v>
          </cell>
          <cell r="C102">
            <v>0</v>
          </cell>
          <cell r="D102">
            <v>0</v>
          </cell>
          <cell r="E102">
            <v>0</v>
          </cell>
          <cell r="I102">
            <v>0</v>
          </cell>
          <cell r="L102">
            <v>0</v>
          </cell>
          <cell r="S102">
            <v>1020399</v>
          </cell>
          <cell r="T102" t="str">
            <v>Vigencias Anteriores</v>
          </cell>
          <cell r="V102">
            <v>0</v>
          </cell>
          <cell r="W102">
            <v>0</v>
          </cell>
          <cell r="AA102">
            <v>0</v>
          </cell>
          <cell r="AD102">
            <v>0</v>
          </cell>
          <cell r="AG102">
            <v>0</v>
          </cell>
        </row>
        <row r="103">
          <cell r="A103">
            <v>0</v>
          </cell>
          <cell r="B103">
            <v>0</v>
          </cell>
          <cell r="S103">
            <v>0</v>
          </cell>
        </row>
        <row r="104">
          <cell r="A104">
            <v>11304</v>
          </cell>
          <cell r="B104" t="str">
            <v>Otros ingresos corrientes</v>
          </cell>
          <cell r="S104">
            <v>1020400</v>
          </cell>
        </row>
        <row r="105">
          <cell r="A105" t="str">
            <v>1.1.02.05.002.07</v>
          </cell>
          <cell r="B105" t="str">
            <v>Servicios financieros y servicios conexos, servicios inmobiliarios y servicios de leasing (ARRENDAMIENTOS)</v>
          </cell>
          <cell r="C105">
            <v>235000000</v>
          </cell>
          <cell r="D105">
            <v>0</v>
          </cell>
          <cell r="E105">
            <v>0</v>
          </cell>
          <cell r="I105">
            <v>23914935</v>
          </cell>
          <cell r="L105">
            <v>6555080</v>
          </cell>
          <cell r="S105">
            <v>1020402</v>
          </cell>
          <cell r="T105" t="str">
            <v>Contribuciones - Otros</v>
          </cell>
        </row>
        <row r="106">
          <cell r="A106">
            <v>1020402</v>
          </cell>
          <cell r="C106">
            <v>0</v>
          </cell>
          <cell r="D106">
            <v>0</v>
          </cell>
          <cell r="E106">
            <v>0</v>
          </cell>
          <cell r="I106">
            <v>83333330</v>
          </cell>
          <cell r="L106">
            <v>0</v>
          </cell>
          <cell r="S106" t="str">
            <v>2.1.1.01.02.007-1</v>
          </cell>
          <cell r="T106" t="str">
            <v>S.E.N.A.</v>
          </cell>
          <cell r="V106">
            <v>0</v>
          </cell>
          <cell r="W106">
            <v>0</v>
          </cell>
          <cell r="AA106">
            <v>0</v>
          </cell>
          <cell r="AD106">
            <v>0</v>
          </cell>
          <cell r="AG106">
            <v>0</v>
          </cell>
        </row>
        <row r="107">
          <cell r="C107">
            <v>0</v>
          </cell>
          <cell r="D107">
            <v>0</v>
          </cell>
          <cell r="L107">
            <v>0</v>
          </cell>
          <cell r="S107" t="str">
            <v>2.1.1.01.02.006-1</v>
          </cell>
          <cell r="T107" t="str">
            <v>I.C.B.F.</v>
          </cell>
          <cell r="V107">
            <v>0</v>
          </cell>
          <cell r="W107">
            <v>0</v>
          </cell>
          <cell r="AA107">
            <v>0</v>
          </cell>
          <cell r="AD107">
            <v>0</v>
          </cell>
          <cell r="AG107">
            <v>0</v>
          </cell>
        </row>
        <row r="108">
          <cell r="C108">
            <v>0</v>
          </cell>
          <cell r="D108">
            <v>0</v>
          </cell>
          <cell r="E108">
            <v>0</v>
          </cell>
          <cell r="L108">
            <v>0</v>
          </cell>
          <cell r="V108">
            <v>0</v>
          </cell>
          <cell r="W108">
            <v>0</v>
          </cell>
          <cell r="AA108">
            <v>0</v>
          </cell>
          <cell r="AD108">
            <v>0</v>
          </cell>
          <cell r="AG108">
            <v>0</v>
          </cell>
        </row>
        <row r="109">
          <cell r="A109" t="str">
            <v>1.1.02.05.002.08</v>
          </cell>
          <cell r="B109" t="str">
            <v>Servicios prestados a las empresas y servicios de producción(APROVECHAMIENTOS)</v>
          </cell>
          <cell r="C109">
            <v>0</v>
          </cell>
          <cell r="D109">
            <v>0</v>
          </cell>
          <cell r="E109">
            <v>0</v>
          </cell>
          <cell r="I109">
            <v>23625039</v>
          </cell>
          <cell r="L109">
            <v>23625039</v>
          </cell>
          <cell r="S109">
            <v>23625024</v>
          </cell>
        </row>
        <row r="110">
          <cell r="A110" t="str">
            <v>1.1.02.05.002.09</v>
          </cell>
          <cell r="B110" t="str">
            <v>Convenio Docencia Servicio</v>
          </cell>
          <cell r="C110">
            <v>0</v>
          </cell>
          <cell r="D110">
            <v>0</v>
          </cell>
          <cell r="E110">
            <v>0</v>
          </cell>
          <cell r="I110">
            <v>0</v>
          </cell>
          <cell r="L110">
            <v>0</v>
          </cell>
          <cell r="S110">
            <v>2000000</v>
          </cell>
        </row>
        <row r="111">
          <cell r="A111" t="str">
            <v>1.1.02.05.002.07.99</v>
          </cell>
          <cell r="B111" t="str">
            <v>Vigencia anterior Servicios financieros y servicios conexos, servicios inmobiliarios y servicios de leasing (ARRENDAMIENTOS)</v>
          </cell>
          <cell r="C111">
            <v>0</v>
          </cell>
          <cell r="D111">
            <v>0</v>
          </cell>
          <cell r="E111">
            <v>0</v>
          </cell>
          <cell r="I111">
            <v>18355529</v>
          </cell>
          <cell r="L111">
            <v>18355529</v>
          </cell>
          <cell r="S111">
            <v>18355520</v>
          </cell>
        </row>
        <row r="112">
          <cell r="A112">
            <v>18355520</v>
          </cell>
          <cell r="B112">
            <v>18355520</v>
          </cell>
          <cell r="S112">
            <v>2010000</v>
          </cell>
        </row>
        <row r="113">
          <cell r="A113">
            <v>2000</v>
          </cell>
          <cell r="B113" t="str">
            <v>INGRESOS DE CAPITAL</v>
          </cell>
          <cell r="S113">
            <v>2000</v>
          </cell>
        </row>
        <row r="114">
          <cell r="A114">
            <v>2000</v>
          </cell>
          <cell r="B114">
            <v>2000</v>
          </cell>
          <cell r="S114">
            <v>2010100</v>
          </cell>
        </row>
        <row r="115">
          <cell r="A115">
            <v>2100</v>
          </cell>
          <cell r="B115" t="str">
            <v>CREDITO INTERNO</v>
          </cell>
          <cell r="C115">
            <v>0</v>
          </cell>
          <cell r="D115">
            <v>0</v>
          </cell>
          <cell r="E115">
            <v>0</v>
          </cell>
          <cell r="I115">
            <v>0</v>
          </cell>
          <cell r="L115">
            <v>0</v>
          </cell>
          <cell r="S115" t="str">
            <v>2.1.2.02.01.003.302</v>
          </cell>
          <cell r="T115" t="str">
            <v>Papeleria</v>
          </cell>
          <cell r="V115">
            <v>0</v>
          </cell>
          <cell r="W115">
            <v>0</v>
          </cell>
          <cell r="AA115">
            <v>41476618</v>
          </cell>
          <cell r="AD115">
            <v>18273366</v>
          </cell>
          <cell r="AG115">
            <v>846000</v>
          </cell>
        </row>
        <row r="116">
          <cell r="A116" t="str">
            <v>2100-1</v>
          </cell>
          <cell r="B116" t="str">
            <v>Vigencia Anterior</v>
          </cell>
          <cell r="C116">
            <v>0</v>
          </cell>
          <cell r="D116">
            <v>0</v>
          </cell>
          <cell r="E116">
            <v>0</v>
          </cell>
          <cell r="I116">
            <v>0</v>
          </cell>
          <cell r="L116">
            <v>0</v>
          </cell>
          <cell r="S116" t="str">
            <v>2.1.2.02.01.003.301</v>
          </cell>
          <cell r="T116" t="str">
            <v>Combustible</v>
          </cell>
          <cell r="V116">
            <v>0</v>
          </cell>
          <cell r="W116">
            <v>0</v>
          </cell>
          <cell r="AA116">
            <v>60000000</v>
          </cell>
          <cell r="AD116">
            <v>2164298</v>
          </cell>
          <cell r="AG116">
            <v>0</v>
          </cell>
        </row>
        <row r="117">
          <cell r="A117">
            <v>2200</v>
          </cell>
          <cell r="B117" t="str">
            <v>CREDITO EXTERNO</v>
          </cell>
          <cell r="C117">
            <v>0</v>
          </cell>
          <cell r="D117">
            <v>0</v>
          </cell>
          <cell r="E117">
            <v>0</v>
          </cell>
          <cell r="I117">
            <v>0</v>
          </cell>
          <cell r="L117">
            <v>0</v>
          </cell>
          <cell r="S117" t="str">
            <v>2.1.3.07.02.031</v>
          </cell>
          <cell r="T117" t="str">
            <v>Programa de Salud Ocupacional</v>
          </cell>
          <cell r="V117">
            <v>0</v>
          </cell>
          <cell r="W117">
            <v>0</v>
          </cell>
          <cell r="AA117">
            <v>0</v>
          </cell>
          <cell r="AD117">
            <v>0</v>
          </cell>
          <cell r="AG117">
            <v>0</v>
          </cell>
        </row>
        <row r="118">
          <cell r="A118" t="str">
            <v>2200-1</v>
          </cell>
          <cell r="B118" t="str">
            <v>Vigencia Anterior</v>
          </cell>
          <cell r="C118">
            <v>0</v>
          </cell>
          <cell r="D118">
            <v>0</v>
          </cell>
          <cell r="E118">
            <v>0</v>
          </cell>
          <cell r="I118">
            <v>0</v>
          </cell>
          <cell r="L118">
            <v>0</v>
          </cell>
          <cell r="S118" t="str">
            <v>2.1.2.02.01.003.307</v>
          </cell>
          <cell r="T118" t="str">
            <v>Mantenimiento - Bienes Ambiental y Sanitaria</v>
          </cell>
          <cell r="V118">
            <v>0</v>
          </cell>
          <cell r="W118">
            <v>0</v>
          </cell>
          <cell r="AA118">
            <v>0</v>
          </cell>
          <cell r="AD118">
            <v>0</v>
          </cell>
          <cell r="AG118">
            <v>0</v>
          </cell>
        </row>
        <row r="119">
          <cell r="A119" t="str">
            <v>1.2.05.02</v>
          </cell>
          <cell r="B119" t="str">
            <v>Depositos (RENDIMIENTOS FINANCIEROS)</v>
          </cell>
          <cell r="C119">
            <v>0</v>
          </cell>
          <cell r="D119">
            <v>0</v>
          </cell>
          <cell r="E119">
            <v>0</v>
          </cell>
          <cell r="I119">
            <v>0</v>
          </cell>
          <cell r="L119">
            <v>0</v>
          </cell>
          <cell r="S119" t="str">
            <v>2.1.2.02.01.003.305</v>
          </cell>
          <cell r="T119" t="str">
            <v>Mantenimiento -  Partes, accesorios, herramientas</v>
          </cell>
          <cell r="V119">
            <v>0</v>
          </cell>
          <cell r="W119">
            <v>0</v>
          </cell>
          <cell r="AA119">
            <v>0</v>
          </cell>
          <cell r="AD119">
            <v>0</v>
          </cell>
          <cell r="AG119">
            <v>0</v>
          </cell>
        </row>
        <row r="120">
          <cell r="A120">
            <v>2400</v>
          </cell>
          <cell r="B120" t="str">
            <v>VENTA DE ACTIVOS</v>
          </cell>
          <cell r="C120">
            <v>0</v>
          </cell>
          <cell r="D120">
            <v>0</v>
          </cell>
          <cell r="E120">
            <v>0</v>
          </cell>
          <cell r="I120">
            <v>0</v>
          </cell>
          <cell r="L120">
            <v>0</v>
          </cell>
          <cell r="S120" t="str">
            <v>2.1.2.02.01.003.308</v>
          </cell>
          <cell r="T120" t="str">
            <v>Mantenimiento - Bienes Adecuaciones locativas</v>
          </cell>
          <cell r="V120">
            <v>0</v>
          </cell>
          <cell r="W120">
            <v>0</v>
          </cell>
          <cell r="AA120">
            <v>0</v>
          </cell>
          <cell r="AD120">
            <v>0</v>
          </cell>
          <cell r="AG120">
            <v>0</v>
          </cell>
        </row>
        <row r="121">
          <cell r="A121">
            <v>2500</v>
          </cell>
          <cell r="B121" t="str">
            <v>DONACIONES</v>
          </cell>
          <cell r="C121">
            <v>0</v>
          </cell>
          <cell r="D121">
            <v>0</v>
          </cell>
          <cell r="E121">
            <v>0</v>
          </cell>
          <cell r="I121">
            <v>0</v>
          </cell>
          <cell r="L121">
            <v>0</v>
          </cell>
          <cell r="S121" t="str">
            <v>2.1.2.02.02.008.99.02</v>
          </cell>
          <cell r="T121" t="str">
            <v>Vigencias Anteriores Vigilancia</v>
          </cell>
          <cell r="V121">
            <v>0</v>
          </cell>
          <cell r="W121">
            <v>0</v>
          </cell>
          <cell r="AA121">
            <v>173710906</v>
          </cell>
          <cell r="AD121">
            <v>173710906</v>
          </cell>
          <cell r="AG121">
            <v>173710906</v>
          </cell>
        </row>
        <row r="122">
          <cell r="A122">
            <v>2600</v>
          </cell>
          <cell r="B122" t="str">
            <v>RECUPERACIÓN DE CARTERA (AÑO 2023 Y ANTERIORES)</v>
          </cell>
          <cell r="C122">
            <v>0</v>
          </cell>
          <cell r="D122">
            <v>0</v>
          </cell>
          <cell r="E122">
            <v>0</v>
          </cell>
          <cell r="I122">
            <v>0</v>
          </cell>
          <cell r="L122">
            <v>0</v>
          </cell>
          <cell r="S122">
            <v>0</v>
          </cell>
        </row>
        <row r="123">
          <cell r="A123">
            <v>2700</v>
          </cell>
          <cell r="B123" t="str">
            <v>OTROS INGRESOS DE CAPITAL</v>
          </cell>
          <cell r="C123">
            <v>0</v>
          </cell>
          <cell r="D123">
            <v>0</v>
          </cell>
          <cell r="E123">
            <v>0</v>
          </cell>
          <cell r="I123">
            <v>0</v>
          </cell>
          <cell r="L123">
            <v>0</v>
          </cell>
          <cell r="S123">
            <v>2010200</v>
          </cell>
        </row>
        <row r="124">
          <cell r="A124">
            <v>2800</v>
          </cell>
          <cell r="C124">
            <v>0</v>
          </cell>
          <cell r="D124">
            <v>0</v>
          </cell>
          <cell r="E124">
            <v>0</v>
          </cell>
          <cell r="I124">
            <v>0</v>
          </cell>
          <cell r="L124">
            <v>0</v>
          </cell>
          <cell r="S124" t="str">
            <v>2.1.2.02.02.007.702</v>
          </cell>
          <cell r="T124" t="str">
            <v>Seguros</v>
          </cell>
          <cell r="V124">
            <v>0</v>
          </cell>
          <cell r="W124">
            <v>0</v>
          </cell>
          <cell r="AA124">
            <v>849808541</v>
          </cell>
          <cell r="AD124">
            <v>849037177</v>
          </cell>
          <cell r="AG124">
            <v>0</v>
          </cell>
        </row>
        <row r="125">
          <cell r="S125" t="str">
            <v>2.1.2.02.02.007.703</v>
          </cell>
          <cell r="T125" t="str">
            <v>Arrendamientos</v>
          </cell>
          <cell r="V125">
            <v>0</v>
          </cell>
          <cell r="W125">
            <v>0</v>
          </cell>
          <cell r="AA125">
            <v>30000000</v>
          </cell>
          <cell r="AD125">
            <v>10000000</v>
          </cell>
          <cell r="AG125">
            <v>0</v>
          </cell>
        </row>
        <row r="126">
          <cell r="S126" t="str">
            <v>2.1.2.02.02.008.801</v>
          </cell>
          <cell r="T126" t="str">
            <v>Servicios Publicos (energia, Gas, Agua, Internet, Telefonia Fija y Movil)</v>
          </cell>
          <cell r="V126">
            <v>0</v>
          </cell>
          <cell r="W126">
            <v>0</v>
          </cell>
          <cell r="AA126">
            <v>68087380</v>
          </cell>
          <cell r="AD126">
            <v>67346780</v>
          </cell>
          <cell r="AG126">
            <v>15134624</v>
          </cell>
        </row>
        <row r="127">
          <cell r="S127" t="str">
            <v>2.1.2.02.02.006.603</v>
          </cell>
          <cell r="T127" t="str">
            <v>Comunicaciones y Transportes</v>
          </cell>
          <cell r="V127">
            <v>0</v>
          </cell>
          <cell r="W127">
            <v>0</v>
          </cell>
          <cell r="AA127">
            <v>61718200</v>
          </cell>
          <cell r="AD127">
            <v>13208878</v>
          </cell>
          <cell r="AG127">
            <v>0</v>
          </cell>
        </row>
        <row r="128">
          <cell r="S128" t="str">
            <v>2.1.2.02.02.006.604</v>
          </cell>
          <cell r="T128" t="str">
            <v>Impresos y Publicaciones</v>
          </cell>
          <cell r="V128">
            <v>0</v>
          </cell>
          <cell r="W128">
            <v>0</v>
          </cell>
          <cell r="AA128">
            <v>200560000</v>
          </cell>
          <cell r="AD128">
            <v>0</v>
          </cell>
          <cell r="AG128">
            <v>0</v>
          </cell>
        </row>
        <row r="129">
          <cell r="S129" t="str">
            <v>2.1.2.02.02.009.905</v>
          </cell>
          <cell r="T129" t="str">
            <v>Servicios de Capacitacion</v>
          </cell>
          <cell r="V129">
            <v>0</v>
          </cell>
          <cell r="W129">
            <v>0</v>
          </cell>
          <cell r="AA129">
            <v>0</v>
          </cell>
          <cell r="AD129">
            <v>0</v>
          </cell>
          <cell r="AG129">
            <v>0</v>
          </cell>
        </row>
        <row r="130">
          <cell r="S130" t="str">
            <v>2.1.2.02.02.008.804</v>
          </cell>
          <cell r="T130" t="str">
            <v xml:space="preserve">Vigilancia </v>
          </cell>
          <cell r="V130">
            <v>0</v>
          </cell>
          <cell r="W130">
            <v>0</v>
          </cell>
          <cell r="AA130">
            <v>2320627096</v>
          </cell>
          <cell r="AD130">
            <v>191317439</v>
          </cell>
          <cell r="AG130">
            <v>0</v>
          </cell>
        </row>
        <row r="131">
          <cell r="S131" t="str">
            <v>2.1.2.02.02.009.908</v>
          </cell>
          <cell r="T131" t="str">
            <v>Bienestar Social</v>
          </cell>
          <cell r="V131">
            <v>198873359</v>
          </cell>
          <cell r="W131">
            <v>0</v>
          </cell>
          <cell r="AA131">
            <v>360934225</v>
          </cell>
          <cell r="AD131">
            <v>0</v>
          </cell>
          <cell r="AG131">
            <v>0</v>
          </cell>
        </row>
        <row r="132">
          <cell r="S132" t="str">
            <v>2.1.2.02.02.010</v>
          </cell>
          <cell r="T132" t="str">
            <v>Viáticos de los funcionarios en comisión</v>
          </cell>
          <cell r="V132">
            <v>0</v>
          </cell>
          <cell r="W132">
            <v>0</v>
          </cell>
          <cell r="AA132">
            <v>0</v>
          </cell>
          <cell r="AD132">
            <v>0</v>
          </cell>
          <cell r="AG132">
            <v>0</v>
          </cell>
        </row>
        <row r="133">
          <cell r="S133" t="str">
            <v>2.1.2.02.02.009.903</v>
          </cell>
          <cell r="T133" t="str">
            <v>Servicios prestados por IPS</v>
          </cell>
          <cell r="V133">
            <v>0</v>
          </cell>
          <cell r="W133">
            <v>0</v>
          </cell>
          <cell r="AA133">
            <v>0</v>
          </cell>
          <cell r="AD133">
            <v>0</v>
          </cell>
          <cell r="AG133">
            <v>0</v>
          </cell>
        </row>
        <row r="134">
          <cell r="S134" t="str">
            <v>2010200-11</v>
          </cell>
          <cell r="T134" t="str">
            <v>Gastos Bancarios</v>
          </cell>
          <cell r="V134">
            <v>0</v>
          </cell>
          <cell r="W134">
            <v>0</v>
          </cell>
          <cell r="AA134">
            <v>0</v>
          </cell>
          <cell r="AD134">
            <v>0</v>
          </cell>
          <cell r="AG134">
            <v>0</v>
          </cell>
        </row>
        <row r="135">
          <cell r="S135" t="str">
            <v>2.1.2.02.02.009.909</v>
          </cell>
          <cell r="T135" t="str">
            <v>Convenio Docencia Servicios</v>
          </cell>
          <cell r="V135">
            <v>0</v>
          </cell>
          <cell r="W135">
            <v>0</v>
          </cell>
          <cell r="AA135">
            <v>0</v>
          </cell>
          <cell r="AD135">
            <v>0</v>
          </cell>
          <cell r="AG135">
            <v>0</v>
          </cell>
        </row>
        <row r="136">
          <cell r="S136" t="str">
            <v>2.1.2.02.02.008.809</v>
          </cell>
          <cell r="T136" t="str">
            <v>Publicidad</v>
          </cell>
          <cell r="V136">
            <v>0</v>
          </cell>
          <cell r="W136">
            <v>0</v>
          </cell>
          <cell r="AA136">
            <v>0</v>
          </cell>
          <cell r="AD136">
            <v>0</v>
          </cell>
          <cell r="AG136">
            <v>0</v>
          </cell>
        </row>
        <row r="137">
          <cell r="S137">
            <v>0</v>
          </cell>
          <cell r="T137">
            <v>0</v>
          </cell>
          <cell r="V137">
            <v>0</v>
          </cell>
          <cell r="W137">
            <v>0</v>
          </cell>
          <cell r="AA137">
            <v>0</v>
          </cell>
          <cell r="AD137">
            <v>0</v>
          </cell>
          <cell r="AG137">
            <v>0</v>
          </cell>
        </row>
        <row r="138">
          <cell r="S138">
            <v>0</v>
          </cell>
          <cell r="T138">
            <v>0</v>
          </cell>
          <cell r="V138">
            <v>0</v>
          </cell>
          <cell r="W138">
            <v>0</v>
          </cell>
          <cell r="AA138">
            <v>0</v>
          </cell>
          <cell r="AD138">
            <v>0</v>
          </cell>
          <cell r="AG138">
            <v>0</v>
          </cell>
        </row>
        <row r="139">
          <cell r="S139" t="str">
            <v>2.1.2.02.02.008.99.01</v>
          </cell>
          <cell r="T139" t="str">
            <v xml:space="preserve">Vigencias Anteriores Serv.Publicos </v>
          </cell>
          <cell r="V139">
            <v>0</v>
          </cell>
          <cell r="W139">
            <v>0</v>
          </cell>
          <cell r="AA139">
            <v>233459133</v>
          </cell>
          <cell r="AD139">
            <v>233459133</v>
          </cell>
          <cell r="AG139">
            <v>233459133</v>
          </cell>
        </row>
        <row r="140">
          <cell r="S140">
            <v>233459072</v>
          </cell>
        </row>
        <row r="141">
          <cell r="S141" t="str">
            <v>2.1.8.01</v>
          </cell>
        </row>
        <row r="142">
          <cell r="S142" t="str">
            <v>2.1.8.01.52</v>
          </cell>
          <cell r="T142" t="str">
            <v>Impuestos (Predial, Vehiculos, Otros)</v>
          </cell>
          <cell r="V142">
            <v>0</v>
          </cell>
          <cell r="W142">
            <v>0</v>
          </cell>
          <cell r="AA142">
            <v>0</v>
          </cell>
          <cell r="AD142">
            <v>0</v>
          </cell>
          <cell r="AG142">
            <v>0</v>
          </cell>
        </row>
        <row r="143">
          <cell r="S143" t="str">
            <v>2.1.8.01.54</v>
          </cell>
          <cell r="T143" t="str">
            <v>Impuesto de Industria y comercio</v>
          </cell>
          <cell r="V143">
            <v>0</v>
          </cell>
          <cell r="W143">
            <v>0</v>
          </cell>
          <cell r="AA143">
            <v>8880060</v>
          </cell>
          <cell r="AD143">
            <v>8880060</v>
          </cell>
          <cell r="AG143">
            <v>8880060</v>
          </cell>
        </row>
        <row r="144">
          <cell r="S144">
            <v>8880056</v>
          </cell>
        </row>
        <row r="145">
          <cell r="S145">
            <v>2020010</v>
          </cell>
        </row>
        <row r="146">
          <cell r="S146">
            <v>2020010</v>
          </cell>
        </row>
        <row r="147">
          <cell r="S147" t="str">
            <v>2.1.2</v>
          </cell>
        </row>
        <row r="148">
          <cell r="S148" t="str">
            <v>2.1.2.02.01.003.305</v>
          </cell>
          <cell r="T148" t="str">
            <v>Mantenimiento -  Partes, accesorios, herramientas</v>
          </cell>
          <cell r="V148">
            <v>0</v>
          </cell>
          <cell r="W148">
            <v>0</v>
          </cell>
          <cell r="AA148">
            <v>215038613</v>
          </cell>
          <cell r="AD148">
            <v>27163946</v>
          </cell>
          <cell r="AG148">
            <v>0</v>
          </cell>
        </row>
        <row r="149">
          <cell r="S149">
            <v>2020102</v>
          </cell>
          <cell r="T149" t="str">
            <v>Otros</v>
          </cell>
        </row>
        <row r="150">
          <cell r="S150" t="str">
            <v>2.1.2.02.01.002,001</v>
          </cell>
          <cell r="T150" t="str">
            <v>Roperia</v>
          </cell>
          <cell r="V150">
            <v>0</v>
          </cell>
          <cell r="W150">
            <v>0</v>
          </cell>
          <cell r="AA150">
            <v>0</v>
          </cell>
          <cell r="AD150">
            <v>0</v>
          </cell>
          <cell r="AG150">
            <v>0</v>
          </cell>
        </row>
        <row r="151">
          <cell r="S151" t="str">
            <v>2.1.2.02.01.003.303</v>
          </cell>
          <cell r="T151" t="str">
            <v>Elementos de Aseo</v>
          </cell>
          <cell r="V151">
            <v>0</v>
          </cell>
          <cell r="W151">
            <v>0</v>
          </cell>
          <cell r="AA151">
            <v>112166023</v>
          </cell>
          <cell r="AD151">
            <v>71866050</v>
          </cell>
          <cell r="AG151">
            <v>0</v>
          </cell>
        </row>
        <row r="152">
          <cell r="S152" t="str">
            <v>2.1.2.02.01.003.304</v>
          </cell>
          <cell r="T152" t="str">
            <v xml:space="preserve">Insumos hospitalarios </v>
          </cell>
          <cell r="V152">
            <v>0</v>
          </cell>
          <cell r="W152">
            <v>0</v>
          </cell>
          <cell r="AA152">
            <v>80887852</v>
          </cell>
          <cell r="AD152">
            <v>28092003</v>
          </cell>
          <cell r="AG152">
            <v>0</v>
          </cell>
        </row>
        <row r="153">
          <cell r="S153" t="str">
            <v>2.1.2.02.01.003.99</v>
          </cell>
          <cell r="T153" t="str">
            <v>Vigencia anterior Mantenimiento - Partes,Accesorios, Herramientas.</v>
          </cell>
          <cell r="V153">
            <v>0</v>
          </cell>
          <cell r="W153">
            <v>0</v>
          </cell>
          <cell r="AA153">
            <v>203715344</v>
          </cell>
          <cell r="AD153">
            <v>203715344</v>
          </cell>
          <cell r="AG153">
            <v>203715344</v>
          </cell>
        </row>
        <row r="154">
          <cell r="S154">
            <v>203715328</v>
          </cell>
        </row>
        <row r="155">
          <cell r="S155" t="str">
            <v>2.1.2.02.02</v>
          </cell>
        </row>
        <row r="156">
          <cell r="S156" t="str">
            <v>2.1.2.02.01.003.306</v>
          </cell>
          <cell r="T156" t="str">
            <v>Mantenimiento - Bienes sistemas</v>
          </cell>
          <cell r="V156">
            <v>0</v>
          </cell>
          <cell r="W156">
            <v>0</v>
          </cell>
          <cell r="AA156">
            <v>0</v>
          </cell>
          <cell r="AD156">
            <v>0</v>
          </cell>
          <cell r="AG156">
            <v>0</v>
          </cell>
        </row>
        <row r="157">
          <cell r="S157">
            <v>2020202</v>
          </cell>
          <cell r="T157" t="str">
            <v>Otros</v>
          </cell>
        </row>
        <row r="159">
          <cell r="S159" t="str">
            <v>2.1.2.02.02.005.502</v>
          </cell>
          <cell r="T159" t="str">
            <v>Mantenimiento - Arrendamiento Software</v>
          </cell>
          <cell r="V159">
            <v>0</v>
          </cell>
          <cell r="W159">
            <v>0</v>
          </cell>
          <cell r="AA159">
            <v>0</v>
          </cell>
          <cell r="AD159">
            <v>0</v>
          </cell>
          <cell r="AG159">
            <v>0</v>
          </cell>
        </row>
        <row r="160">
          <cell r="S160" t="str">
            <v>2.1.2.02.02.005.501</v>
          </cell>
          <cell r="T160" t="str">
            <v>Mantenimiento  - Servicios Planta Fisica</v>
          </cell>
          <cell r="V160">
            <v>0</v>
          </cell>
          <cell r="W160">
            <v>0</v>
          </cell>
          <cell r="AA160">
            <v>8000000</v>
          </cell>
          <cell r="AD160">
            <v>795000</v>
          </cell>
          <cell r="AG160">
            <v>0</v>
          </cell>
        </row>
        <row r="161">
          <cell r="S161" t="str">
            <v>2.1.2.02.02.008.808</v>
          </cell>
          <cell r="T161" t="str">
            <v>Mantenimiento Servicios - Ambiental y sanitaria</v>
          </cell>
          <cell r="V161">
            <v>0</v>
          </cell>
          <cell r="W161">
            <v>0</v>
          </cell>
          <cell r="AA161">
            <v>143637400</v>
          </cell>
          <cell r="AD161">
            <v>16590810</v>
          </cell>
          <cell r="AG161">
            <v>0</v>
          </cell>
        </row>
        <row r="162">
          <cell r="S162" t="str">
            <v>2.1.2.02.02.008.800</v>
          </cell>
          <cell r="T162" t="str">
            <v>Mantenimiento  - Servicios Dotación y vehiculos</v>
          </cell>
          <cell r="V162">
            <v>0</v>
          </cell>
          <cell r="W162">
            <v>0</v>
          </cell>
          <cell r="AA162">
            <v>31535631</v>
          </cell>
          <cell r="AD162">
            <v>31535631</v>
          </cell>
          <cell r="AG162">
            <v>0</v>
          </cell>
        </row>
        <row r="163">
          <cell r="S163" t="str">
            <v>2.1.2.02.02.008.805</v>
          </cell>
          <cell r="T163" t="str">
            <v>Mantenimiento - Servicio de Metrología y Calibracion</v>
          </cell>
          <cell r="V163">
            <v>0</v>
          </cell>
          <cell r="W163">
            <v>0</v>
          </cell>
          <cell r="AA163">
            <v>0</v>
          </cell>
          <cell r="AD163">
            <v>0</v>
          </cell>
          <cell r="AG163">
            <v>0</v>
          </cell>
        </row>
        <row r="164">
          <cell r="S164" t="str">
            <v>2.1.2.02.02.008.806</v>
          </cell>
          <cell r="T164" t="str">
            <v xml:space="preserve">Mantenimiento- Servicios </v>
          </cell>
          <cell r="V164">
            <v>0</v>
          </cell>
          <cell r="W164">
            <v>0</v>
          </cell>
          <cell r="AA164">
            <v>1271024563</v>
          </cell>
          <cell r="AD164">
            <v>206972101</v>
          </cell>
          <cell r="AG164">
            <v>0</v>
          </cell>
        </row>
        <row r="165">
          <cell r="S165" t="str">
            <v>2.1.2.02.02.008.807</v>
          </cell>
          <cell r="T165" t="str">
            <v>Mantenimiento Servicios-fotocopias y otros</v>
          </cell>
          <cell r="V165">
            <v>0</v>
          </cell>
          <cell r="W165">
            <v>0</v>
          </cell>
          <cell r="AA165">
            <v>15750000</v>
          </cell>
          <cell r="AD165">
            <v>15749990</v>
          </cell>
          <cell r="AG165">
            <v>0</v>
          </cell>
        </row>
        <row r="166">
          <cell r="S166" t="str">
            <v>2.1.2.02.02.01.003.010</v>
          </cell>
          <cell r="T166" t="str">
            <v>Mantenimiento- Bienes- Repuestos</v>
          </cell>
          <cell r="V166">
            <v>0</v>
          </cell>
          <cell r="W166">
            <v>0</v>
          </cell>
          <cell r="AA166">
            <v>0</v>
          </cell>
          <cell r="AD166">
            <v>0</v>
          </cell>
          <cell r="AG166">
            <v>0</v>
          </cell>
        </row>
        <row r="167">
          <cell r="S167" t="str">
            <v>2.1.2.02.02.008.811</v>
          </cell>
          <cell r="T167" t="str">
            <v>Mantenimiento servicios - planta física y sistemas</v>
          </cell>
          <cell r="V167">
            <v>0</v>
          </cell>
          <cell r="W167">
            <v>0</v>
          </cell>
          <cell r="AA167">
            <v>0</v>
          </cell>
          <cell r="AD167">
            <v>0</v>
          </cell>
          <cell r="AG167">
            <v>0</v>
          </cell>
        </row>
        <row r="168">
          <cell r="S168" t="str">
            <v>2.1.2.02.02.008.99.03</v>
          </cell>
          <cell r="T168" t="str">
            <v xml:space="preserve">Vigencias Anteriores Mantenimiento Servicios </v>
          </cell>
          <cell r="V168">
            <v>0</v>
          </cell>
          <cell r="W168">
            <v>0</v>
          </cell>
          <cell r="AA168">
            <v>194172848</v>
          </cell>
          <cell r="AD168">
            <v>194172848</v>
          </cell>
          <cell r="AG168">
            <v>194172848</v>
          </cell>
        </row>
        <row r="169">
          <cell r="S169">
            <v>194172800</v>
          </cell>
        </row>
        <row r="170">
          <cell r="S170">
            <v>3000000</v>
          </cell>
        </row>
        <row r="171">
          <cell r="S171">
            <v>3000000</v>
          </cell>
        </row>
        <row r="172">
          <cell r="S172">
            <v>3100000</v>
          </cell>
        </row>
        <row r="173">
          <cell r="S173" t="str">
            <v>2.1.8.04.01</v>
          </cell>
          <cell r="T173" t="str">
            <v>Cuotas de fiscalizacion y auditaje</v>
          </cell>
          <cell r="V173">
            <v>0</v>
          </cell>
          <cell r="W173">
            <v>0</v>
          </cell>
          <cell r="AA173">
            <v>122145496</v>
          </cell>
          <cell r="AD173">
            <v>122145496</v>
          </cell>
          <cell r="AG173">
            <v>0</v>
          </cell>
        </row>
        <row r="174">
          <cell r="S174" t="str">
            <v>2.1.8.02</v>
          </cell>
          <cell r="T174" t="str">
            <v>Acuerdo de estampillas</v>
          </cell>
          <cell r="V174">
            <v>0</v>
          </cell>
          <cell r="W174">
            <v>0</v>
          </cell>
          <cell r="AA174">
            <v>23007298</v>
          </cell>
          <cell r="AD174">
            <v>23007298</v>
          </cell>
          <cell r="AG174">
            <v>23007298</v>
          </cell>
        </row>
        <row r="175">
          <cell r="S175">
            <v>23007296</v>
          </cell>
        </row>
        <row r="176">
          <cell r="S176">
            <v>320000</v>
          </cell>
        </row>
        <row r="177">
          <cell r="S177">
            <v>3200100</v>
          </cell>
          <cell r="T177" t="str">
            <v>Pensiones y Jubilaciones (Pago Directo)</v>
          </cell>
          <cell r="V177">
            <v>0</v>
          </cell>
          <cell r="W177">
            <v>0</v>
          </cell>
          <cell r="AA177">
            <v>0</v>
          </cell>
          <cell r="AD177">
            <v>0</v>
          </cell>
          <cell r="AG177">
            <v>0</v>
          </cell>
        </row>
        <row r="178">
          <cell r="S178">
            <v>3200200</v>
          </cell>
          <cell r="T178" t="str">
            <v>Cesantías Pago Directo (Pago Directo)</v>
          </cell>
          <cell r="V178">
            <v>0</v>
          </cell>
          <cell r="W178">
            <v>0</v>
          </cell>
          <cell r="AA178">
            <v>0</v>
          </cell>
          <cell r="AD178">
            <v>0</v>
          </cell>
          <cell r="AG178">
            <v>0</v>
          </cell>
        </row>
        <row r="179">
          <cell r="S179" t="str">
            <v>2.1.3.07.02.002.02</v>
          </cell>
          <cell r="T179" t="str">
            <v>Cuotas partes pensionales a cargo de la entidad ( de pensiones)</v>
          </cell>
          <cell r="V179">
            <v>0</v>
          </cell>
          <cell r="W179">
            <v>0</v>
          </cell>
          <cell r="AA179">
            <v>516791</v>
          </cell>
          <cell r="AD179">
            <v>516791</v>
          </cell>
          <cell r="AG179">
            <v>516791</v>
          </cell>
        </row>
        <row r="180">
          <cell r="S180" t="str">
            <v>2.1.3.07.02.003.02</v>
          </cell>
          <cell r="T180" t="str">
            <v>Bonos pensionales a cargo de la entidad ( de pensiones)</v>
          </cell>
          <cell r="V180">
            <v>0</v>
          </cell>
          <cell r="W180">
            <v>0</v>
          </cell>
          <cell r="AA180">
            <v>0</v>
          </cell>
          <cell r="AD180">
            <v>0</v>
          </cell>
          <cell r="AG180">
            <v>0</v>
          </cell>
        </row>
        <row r="181">
          <cell r="S181">
            <v>3200500</v>
          </cell>
          <cell r="V181">
            <v>0</v>
          </cell>
          <cell r="W181">
            <v>0</v>
          </cell>
          <cell r="AA181">
            <v>0</v>
          </cell>
          <cell r="AD181">
            <v>0</v>
          </cell>
          <cell r="AG181">
            <v>0</v>
          </cell>
        </row>
        <row r="182">
          <cell r="S182">
            <v>3200600</v>
          </cell>
          <cell r="V182">
            <v>0</v>
          </cell>
          <cell r="W182">
            <v>0</v>
          </cell>
          <cell r="AA182">
            <v>0</v>
          </cell>
          <cell r="AD182">
            <v>0</v>
          </cell>
          <cell r="AG182">
            <v>0</v>
          </cell>
        </row>
        <row r="183">
          <cell r="S183" t="str">
            <v>2.1.7.01.01</v>
          </cell>
          <cell r="T183" t="str">
            <v>Vigencias Anteriores Cesantias</v>
          </cell>
          <cell r="V183">
            <v>0</v>
          </cell>
          <cell r="W183">
            <v>0</v>
          </cell>
          <cell r="AA183">
            <v>0</v>
          </cell>
          <cell r="AD183">
            <v>0</v>
          </cell>
          <cell r="AG183">
            <v>0</v>
          </cell>
        </row>
        <row r="184">
          <cell r="S184">
            <v>0</v>
          </cell>
        </row>
        <row r="185">
          <cell r="S185">
            <v>3300000</v>
          </cell>
        </row>
        <row r="186">
          <cell r="S186" t="str">
            <v>2.1.3.13.01.001</v>
          </cell>
          <cell r="T186" t="str">
            <v>Sentencias</v>
          </cell>
          <cell r="V186">
            <v>-350000000</v>
          </cell>
          <cell r="W186">
            <v>0</v>
          </cell>
          <cell r="AA186">
            <v>0</v>
          </cell>
          <cell r="AD186">
            <v>0</v>
          </cell>
          <cell r="AG186">
            <v>0</v>
          </cell>
        </row>
        <row r="187">
          <cell r="S187">
            <v>3300200</v>
          </cell>
          <cell r="T187" t="str">
            <v>Destinatarios de otras transferencias</v>
          </cell>
        </row>
        <row r="188">
          <cell r="S188" t="str">
            <v>2.1.2.02.02.009.907</v>
          </cell>
          <cell r="T188" t="str">
            <v>Cuota de Afiliación o sostenimiento (COHAN, AESA, OTROS)</v>
          </cell>
          <cell r="V188">
            <v>0</v>
          </cell>
          <cell r="W188">
            <v>0</v>
          </cell>
          <cell r="AA188">
            <v>6216703</v>
          </cell>
          <cell r="AD188">
            <v>6216703</v>
          </cell>
          <cell r="AG188">
            <v>0</v>
          </cell>
        </row>
        <row r="189">
          <cell r="S189" t="str">
            <v>2.1.3.13.01.002</v>
          </cell>
          <cell r="T189" t="str">
            <v>Conciliaciones</v>
          </cell>
          <cell r="V189">
            <v>0</v>
          </cell>
          <cell r="W189">
            <v>0</v>
          </cell>
          <cell r="AA189">
            <v>0</v>
          </cell>
          <cell r="AD189">
            <v>0</v>
          </cell>
          <cell r="AG189">
            <v>0</v>
          </cell>
        </row>
        <row r="190">
          <cell r="S190" t="str">
            <v>2.1.8.04.07</v>
          </cell>
          <cell r="T190" t="str">
            <v>Cuotas de auditaje supersalud</v>
          </cell>
          <cell r="V190">
            <v>0</v>
          </cell>
          <cell r="W190">
            <v>0</v>
          </cell>
          <cell r="AA190">
            <v>0</v>
          </cell>
          <cell r="AD190">
            <v>0</v>
          </cell>
          <cell r="AG190">
            <v>0</v>
          </cell>
        </row>
        <row r="191">
          <cell r="V191">
            <v>350000000</v>
          </cell>
          <cell r="W191">
            <v>0</v>
          </cell>
          <cell r="AA191">
            <v>87127063</v>
          </cell>
          <cell r="AD191">
            <v>87127063</v>
          </cell>
          <cell r="AG191">
            <v>87127063</v>
          </cell>
        </row>
        <row r="195">
          <cell r="S195" t="str">
            <v>2.4</v>
          </cell>
        </row>
        <row r="196">
          <cell r="S196" t="str">
            <v>2.4.5</v>
          </cell>
        </row>
        <row r="197">
          <cell r="S197" t="str">
            <v>2.4.5.01</v>
          </cell>
          <cell r="T197" t="str">
            <v>Materiales y suministros</v>
          </cell>
        </row>
        <row r="198">
          <cell r="S198" t="str">
            <v>2.4.5.01.03.301</v>
          </cell>
          <cell r="T198" t="str">
            <v>Medicamentos</v>
          </cell>
          <cell r="V198">
            <v>0</v>
          </cell>
          <cell r="W198">
            <v>0</v>
          </cell>
          <cell r="AA198">
            <v>1504731509</v>
          </cell>
          <cell r="AD198">
            <v>677738526</v>
          </cell>
          <cell r="AG198">
            <v>1702000</v>
          </cell>
        </row>
        <row r="199">
          <cell r="S199" t="str">
            <v>2.4.5.01.03.302</v>
          </cell>
          <cell r="T199" t="str">
            <v>Material Médico Quirúrgico</v>
          </cell>
          <cell r="V199">
            <v>0</v>
          </cell>
          <cell r="W199">
            <v>0</v>
          </cell>
          <cell r="AA199">
            <v>1722113931</v>
          </cell>
          <cell r="AD199">
            <v>1123084598</v>
          </cell>
          <cell r="AG199">
            <v>0</v>
          </cell>
        </row>
        <row r="200">
          <cell r="S200" t="str">
            <v>2.4.5.01.03.303</v>
          </cell>
          <cell r="T200" t="str">
            <v>Material de Laboratorio</v>
          </cell>
          <cell r="V200">
            <v>0</v>
          </cell>
          <cell r="W200">
            <v>0</v>
          </cell>
          <cell r="AA200">
            <v>684183827</v>
          </cell>
          <cell r="AD200">
            <v>159801512</v>
          </cell>
          <cell r="AG200">
            <v>44566719</v>
          </cell>
        </row>
        <row r="201">
          <cell r="S201" t="str">
            <v>2.4.5.02.09.901</v>
          </cell>
          <cell r="T201" t="str">
            <v xml:space="preserve">Servicio de Lavandería </v>
          </cell>
          <cell r="V201">
            <v>0</v>
          </cell>
          <cell r="W201">
            <v>0</v>
          </cell>
          <cell r="AA201">
            <v>229991300</v>
          </cell>
          <cell r="AD201">
            <v>103127691</v>
          </cell>
          <cell r="AG201">
            <v>0</v>
          </cell>
        </row>
        <row r="202">
          <cell r="S202" t="str">
            <v>2.4.5.02.09.902</v>
          </cell>
          <cell r="T202" t="str">
            <v>Servicios de esterilización</v>
          </cell>
          <cell r="V202">
            <v>0</v>
          </cell>
          <cell r="W202">
            <v>0</v>
          </cell>
          <cell r="AA202">
            <v>109200000</v>
          </cell>
          <cell r="AD202">
            <v>8032995</v>
          </cell>
          <cell r="AG202">
            <v>0</v>
          </cell>
        </row>
        <row r="203">
          <cell r="S203" t="str">
            <v>2.4.5.01.03.305</v>
          </cell>
          <cell r="T203" t="str">
            <v>Sangre</v>
          </cell>
          <cell r="V203">
            <v>0</v>
          </cell>
          <cell r="W203">
            <v>0</v>
          </cell>
          <cell r="AA203">
            <v>816200000</v>
          </cell>
          <cell r="AD203">
            <v>163958738</v>
          </cell>
          <cell r="AG203">
            <v>0</v>
          </cell>
        </row>
        <row r="204">
          <cell r="S204" t="str">
            <v>2.4.5.02.08</v>
          </cell>
          <cell r="T204" t="str">
            <v>Servicios de ayudas diagnòsticas</v>
          </cell>
          <cell r="V204">
            <v>-495559635</v>
          </cell>
          <cell r="W204">
            <v>0</v>
          </cell>
          <cell r="AA204">
            <v>3116800000</v>
          </cell>
          <cell r="AD204">
            <v>840133048</v>
          </cell>
          <cell r="AG204">
            <v>0</v>
          </cell>
        </row>
        <row r="205">
          <cell r="S205">
            <v>4100200</v>
          </cell>
          <cell r="T205" t="str">
            <v>Gastos Complementarios e Intermedios</v>
          </cell>
        </row>
        <row r="206">
          <cell r="S206" t="str">
            <v>2.4.5.02.06.601</v>
          </cell>
          <cell r="T206" t="str">
            <v>Servicio de alimentación</v>
          </cell>
          <cell r="V206">
            <v>0</v>
          </cell>
          <cell r="W206">
            <v>0</v>
          </cell>
          <cell r="AA206">
            <v>4142600000</v>
          </cell>
          <cell r="AD206">
            <v>574445094</v>
          </cell>
          <cell r="AG206">
            <v>0</v>
          </cell>
        </row>
        <row r="207">
          <cell r="S207" t="str">
            <v>2.4.5.01.03.99.01</v>
          </cell>
          <cell r="T207" t="str">
            <v>Vigencias Anteriores Medicamentos</v>
          </cell>
          <cell r="V207">
            <v>0</v>
          </cell>
          <cell r="W207">
            <v>0</v>
          </cell>
          <cell r="AA207">
            <v>1068525520</v>
          </cell>
          <cell r="AD207">
            <v>1068525520</v>
          </cell>
          <cell r="AG207">
            <v>1050551586</v>
          </cell>
        </row>
        <row r="208">
          <cell r="S208">
            <v>1050551296</v>
          </cell>
        </row>
        <row r="209">
          <cell r="S209">
            <v>5000000</v>
          </cell>
        </row>
        <row r="210">
          <cell r="S210">
            <v>5100000</v>
          </cell>
        </row>
        <row r="211">
          <cell r="S211">
            <v>5100100</v>
          </cell>
          <cell r="T211" t="str">
            <v>Compra de Bienes para la venta</v>
          </cell>
        </row>
        <row r="212">
          <cell r="S212" t="str">
            <v>5100100-1</v>
          </cell>
          <cell r="T212" t="str">
            <v>Productos Farmaceuticos</v>
          </cell>
          <cell r="U212">
            <v>0</v>
          </cell>
          <cell r="V212">
            <v>0</v>
          </cell>
          <cell r="W212">
            <v>0</v>
          </cell>
          <cell r="AD212">
            <v>0</v>
          </cell>
          <cell r="AG212">
            <v>0</v>
          </cell>
        </row>
        <row r="213">
          <cell r="S213" t="str">
            <v>5100100-2</v>
          </cell>
          <cell r="T213" t="str">
            <v>Material Médico Quirúrgico</v>
          </cell>
          <cell r="U213">
            <v>0</v>
          </cell>
          <cell r="V213">
            <v>0</v>
          </cell>
          <cell r="W213">
            <v>0</v>
          </cell>
          <cell r="AA213">
            <v>0</v>
          </cell>
          <cell r="AD213">
            <v>0</v>
          </cell>
          <cell r="AG213">
            <v>0</v>
          </cell>
        </row>
        <row r="214">
          <cell r="S214" t="str">
            <v>5100100-3</v>
          </cell>
          <cell r="T214" t="str">
            <v>Material de Laboratorio</v>
          </cell>
          <cell r="U214">
            <v>0</v>
          </cell>
          <cell r="V214">
            <v>0</v>
          </cell>
          <cell r="W214">
            <v>0</v>
          </cell>
          <cell r="AA214">
            <v>0</v>
          </cell>
          <cell r="AD214">
            <v>0</v>
          </cell>
          <cell r="AG214">
            <v>0</v>
          </cell>
        </row>
        <row r="215">
          <cell r="S215" t="str">
            <v>2.4.5.02.09.91122</v>
          </cell>
          <cell r="T215" t="str">
            <v>Servicios de Certificación, Habilitación y Acreditación</v>
          </cell>
          <cell r="V215">
            <v>0</v>
          </cell>
          <cell r="W215">
            <v>0</v>
          </cell>
          <cell r="AA215">
            <v>0</v>
          </cell>
          <cell r="AD215">
            <v>0</v>
          </cell>
          <cell r="AG215">
            <v>0</v>
          </cell>
        </row>
        <row r="216">
          <cell r="S216" t="str">
            <v>2.4.5.02.08.801.99</v>
          </cell>
          <cell r="T216" t="str">
            <v>Vigencias Anteriores lavanderia</v>
          </cell>
          <cell r="V216">
            <v>0</v>
          </cell>
          <cell r="W216">
            <v>0</v>
          </cell>
          <cell r="AA216">
            <v>0</v>
          </cell>
          <cell r="AD216">
            <v>0</v>
          </cell>
          <cell r="AG216">
            <v>0</v>
          </cell>
        </row>
        <row r="217">
          <cell r="S217" t="str">
            <v>2.4.5.02.08.802.99</v>
          </cell>
          <cell r="T217" t="str">
            <v>Vigencias Anteriores de esterilizacion</v>
          </cell>
          <cell r="V217">
            <v>0</v>
          </cell>
          <cell r="W217">
            <v>0</v>
          </cell>
          <cell r="AA217">
            <v>0</v>
          </cell>
          <cell r="AD217">
            <v>0</v>
          </cell>
          <cell r="AG217">
            <v>0</v>
          </cell>
        </row>
        <row r="218">
          <cell r="S218" t="str">
            <v>2.4.5.02.08.99</v>
          </cell>
          <cell r="T218" t="str">
            <v>Vigencias Anteriores ayudas diagnosticas, lavanderia, esterilizacion,alimentacion</v>
          </cell>
          <cell r="V218">
            <v>495559635</v>
          </cell>
          <cell r="W218">
            <v>0</v>
          </cell>
          <cell r="AA218">
            <v>1133097383</v>
          </cell>
          <cell r="AD218">
            <v>1133097383</v>
          </cell>
          <cell r="AG218">
            <v>1133097383</v>
          </cell>
        </row>
        <row r="219">
          <cell r="S219">
            <v>1133096960</v>
          </cell>
        </row>
        <row r="220">
          <cell r="S220" t="str">
            <v>C</v>
          </cell>
        </row>
        <row r="221">
          <cell r="S221">
            <v>1133096960</v>
          </cell>
        </row>
        <row r="222">
          <cell r="S222">
            <v>7001000</v>
          </cell>
        </row>
        <row r="223">
          <cell r="S223" t="str">
            <v>2.2.2.2.01.02.002.02</v>
          </cell>
          <cell r="T223" t="str">
            <v>Banca Comercial</v>
          </cell>
          <cell r="V223">
            <v>0</v>
          </cell>
          <cell r="W223">
            <v>0</v>
          </cell>
          <cell r="AA223">
            <v>0</v>
          </cell>
          <cell r="AD223">
            <v>0</v>
          </cell>
          <cell r="AG223">
            <v>0</v>
          </cell>
        </row>
        <row r="224">
          <cell r="S224" t="str">
            <v>2.2.2.02</v>
          </cell>
          <cell r="T224" t="str">
            <v>Intereses Comisiones y gastos de la Deuda Pública</v>
          </cell>
          <cell r="V224">
            <v>0</v>
          </cell>
          <cell r="W224">
            <v>0</v>
          </cell>
          <cell r="AA224">
            <v>108733333</v>
          </cell>
          <cell r="AD224">
            <v>108733333</v>
          </cell>
          <cell r="AG224">
            <v>108733333</v>
          </cell>
        </row>
        <row r="225">
          <cell r="S225" t="str">
            <v>2.2.2.02</v>
          </cell>
          <cell r="T225" t="str">
            <v>Vigencias Anteriores Deuda Pública</v>
          </cell>
          <cell r="V225">
            <v>0</v>
          </cell>
          <cell r="W225">
            <v>0</v>
          </cell>
          <cell r="AA225">
            <v>0</v>
          </cell>
          <cell r="AD225">
            <v>0</v>
          </cell>
          <cell r="AG225">
            <v>0</v>
          </cell>
        </row>
        <row r="226">
          <cell r="S226">
            <v>0</v>
          </cell>
        </row>
        <row r="227">
          <cell r="S227">
            <v>7002001</v>
          </cell>
        </row>
        <row r="228">
          <cell r="S228">
            <v>7002100</v>
          </cell>
          <cell r="T228" t="str">
            <v>Amortización deuda Pública Externa</v>
          </cell>
          <cell r="U228">
            <v>0</v>
          </cell>
          <cell r="V228">
            <v>0</v>
          </cell>
          <cell r="W228">
            <v>0</v>
          </cell>
          <cell r="AA228">
            <v>0</v>
          </cell>
          <cell r="AD228">
            <v>0</v>
          </cell>
          <cell r="AG228">
            <v>0</v>
          </cell>
        </row>
        <row r="229">
          <cell r="S229">
            <v>7002200</v>
          </cell>
          <cell r="T229" t="str">
            <v>Intereses Comisiones y gastos de la Deuda Pública</v>
          </cell>
          <cell r="U229">
            <v>0</v>
          </cell>
          <cell r="V229">
            <v>0</v>
          </cell>
          <cell r="W229">
            <v>0</v>
          </cell>
          <cell r="AA229">
            <v>0</v>
          </cell>
          <cell r="AD229">
            <v>0</v>
          </cell>
          <cell r="AG229">
            <v>0</v>
          </cell>
        </row>
        <row r="230">
          <cell r="S230">
            <v>7002999</v>
          </cell>
          <cell r="T230" t="str">
            <v>Vigencias Anteriores</v>
          </cell>
          <cell r="U230">
            <v>0</v>
          </cell>
          <cell r="V230">
            <v>0</v>
          </cell>
          <cell r="W230">
            <v>0</v>
          </cell>
          <cell r="AA230">
            <v>0</v>
          </cell>
          <cell r="AD230">
            <v>0</v>
          </cell>
          <cell r="AG230">
            <v>0</v>
          </cell>
        </row>
        <row r="231">
          <cell r="S231">
            <v>0</v>
          </cell>
        </row>
        <row r="232">
          <cell r="S232" t="str">
            <v>D</v>
          </cell>
        </row>
        <row r="233">
          <cell r="S233">
            <v>0</v>
          </cell>
        </row>
        <row r="234">
          <cell r="S234">
            <v>8000000</v>
          </cell>
        </row>
        <row r="235">
          <cell r="S235">
            <v>8001000</v>
          </cell>
          <cell r="T235" t="str">
            <v>Formación Bruta del Capital</v>
          </cell>
        </row>
        <row r="236">
          <cell r="S236" t="str">
            <v>2.3.2.01.01</v>
          </cell>
          <cell r="T236" t="str">
            <v>Activos fijos</v>
          </cell>
          <cell r="U236">
            <v>0</v>
          </cell>
          <cell r="V236">
            <v>0</v>
          </cell>
          <cell r="W236">
            <v>0</v>
          </cell>
          <cell r="AA236">
            <v>0</v>
          </cell>
          <cell r="AD236">
            <v>0</v>
          </cell>
          <cell r="AG236">
            <v>0</v>
          </cell>
        </row>
        <row r="237">
          <cell r="S237" t="str">
            <v>2.3.2.02.02.005</v>
          </cell>
          <cell r="T237" t="str">
            <v>Servicios de la Construcción</v>
          </cell>
          <cell r="U237">
            <v>0</v>
          </cell>
          <cell r="V237">
            <v>0</v>
          </cell>
          <cell r="W237">
            <v>0</v>
          </cell>
          <cell r="AA237">
            <v>0</v>
          </cell>
          <cell r="AD237">
            <v>0</v>
          </cell>
          <cell r="AG237">
            <v>0</v>
          </cell>
        </row>
        <row r="238">
          <cell r="S238" t="str">
            <v>2.3.2.02.02.009</v>
          </cell>
          <cell r="T238" t="str">
            <v>Servicios para la comunidad, sociales y personales</v>
          </cell>
          <cell r="U238">
            <v>0</v>
          </cell>
          <cell r="V238">
            <v>0</v>
          </cell>
          <cell r="W238">
            <v>6401468407</v>
          </cell>
          <cell r="AA238">
            <v>5164181771</v>
          </cell>
          <cell r="AD238">
            <v>661895081</v>
          </cell>
          <cell r="AG238">
            <v>0</v>
          </cell>
        </row>
        <row r="239">
          <cell r="S239" t="str">
            <v>8001000-4</v>
          </cell>
          <cell r="T239" t="str">
            <v>Subprogr.Construc. Remodelac. Adecuación y Apliac.4</v>
          </cell>
          <cell r="U239">
            <v>0</v>
          </cell>
          <cell r="V239">
            <v>0</v>
          </cell>
          <cell r="W239">
            <v>0</v>
          </cell>
          <cell r="AA239">
            <v>0</v>
          </cell>
          <cell r="AD239">
            <v>0</v>
          </cell>
          <cell r="AG239">
            <v>0</v>
          </cell>
        </row>
        <row r="240">
          <cell r="S240" t="str">
            <v>8001000-5</v>
          </cell>
          <cell r="T240" t="str">
            <v>Subprogr.Construc. Remodelac. Adecuación y Apliac.5</v>
          </cell>
          <cell r="U240">
            <v>0</v>
          </cell>
          <cell r="V240">
            <v>0</v>
          </cell>
          <cell r="W240">
            <v>0</v>
          </cell>
          <cell r="AA240">
            <v>0</v>
          </cell>
          <cell r="AD240">
            <v>0</v>
          </cell>
          <cell r="AG240">
            <v>0</v>
          </cell>
        </row>
        <row r="241">
          <cell r="S241" t="str">
            <v>2.3.2.02.02.009.99</v>
          </cell>
          <cell r="T241" t="str">
            <v>Vigencias  Servicios para la comunidad sociales y personales</v>
          </cell>
          <cell r="U241">
            <v>0</v>
          </cell>
          <cell r="V241">
            <v>0</v>
          </cell>
          <cell r="W241">
            <v>0</v>
          </cell>
          <cell r="AA241">
            <v>0</v>
          </cell>
          <cell r="AD241">
            <v>0</v>
          </cell>
          <cell r="AG241">
            <v>0</v>
          </cell>
        </row>
        <row r="242">
          <cell r="S242">
            <v>0</v>
          </cell>
        </row>
        <row r="243">
          <cell r="S243">
            <v>8002001</v>
          </cell>
        </row>
        <row r="244">
          <cell r="S244" t="str">
            <v>8002100-1</v>
          </cell>
          <cell r="T244" t="str">
            <v>Fondo de la Vivienda</v>
          </cell>
          <cell r="U244">
            <v>0</v>
          </cell>
          <cell r="V244">
            <v>0</v>
          </cell>
          <cell r="W244">
            <v>0</v>
          </cell>
          <cell r="AA244">
            <v>0</v>
          </cell>
          <cell r="AD244">
            <v>0</v>
          </cell>
          <cell r="AG244">
            <v>0</v>
          </cell>
        </row>
        <row r="245">
          <cell r="S245" t="str">
            <v>8002100-2</v>
          </cell>
          <cell r="T245" t="str">
            <v>Plan Nacional de Vacunación</v>
          </cell>
          <cell r="U245">
            <v>0</v>
          </cell>
          <cell r="V245">
            <v>0</v>
          </cell>
          <cell r="W245">
            <v>0</v>
          </cell>
          <cell r="AA245">
            <v>0</v>
          </cell>
          <cell r="AD245">
            <v>0</v>
          </cell>
          <cell r="AG245">
            <v>0</v>
          </cell>
        </row>
        <row r="246">
          <cell r="S246" t="str">
            <v>8002100-3</v>
          </cell>
          <cell r="T246" t="str">
            <v>Programas Especial 02</v>
          </cell>
          <cell r="U246">
            <v>0</v>
          </cell>
          <cell r="V246">
            <v>0</v>
          </cell>
          <cell r="W246">
            <v>0</v>
          </cell>
          <cell r="AA246">
            <v>0</v>
          </cell>
          <cell r="AD246">
            <v>0</v>
          </cell>
          <cell r="AG246">
            <v>0</v>
          </cell>
        </row>
        <row r="247">
          <cell r="S247" t="str">
            <v>8002100-4</v>
          </cell>
          <cell r="T247" t="str">
            <v>Programas Especial 03</v>
          </cell>
          <cell r="U247">
            <v>0</v>
          </cell>
          <cell r="V247">
            <v>0</v>
          </cell>
          <cell r="W247">
            <v>0</v>
          </cell>
          <cell r="AA247">
            <v>0</v>
          </cell>
          <cell r="AD247">
            <v>0</v>
          </cell>
          <cell r="AG247">
            <v>0</v>
          </cell>
        </row>
        <row r="248">
          <cell r="S248" t="str">
            <v>8002100-5</v>
          </cell>
          <cell r="T248" t="str">
            <v>Programas Especial 04</v>
          </cell>
          <cell r="U248">
            <v>0</v>
          </cell>
          <cell r="V248">
            <v>0</v>
          </cell>
          <cell r="W248">
            <v>0</v>
          </cell>
          <cell r="AA248">
            <v>0</v>
          </cell>
          <cell r="AD248">
            <v>0</v>
          </cell>
          <cell r="AG248">
            <v>0</v>
          </cell>
        </row>
        <row r="249">
          <cell r="S249" t="str">
            <v>8002100-6</v>
          </cell>
          <cell r="T249" t="str">
            <v>Programas Especial 05</v>
          </cell>
          <cell r="U249">
            <v>0</v>
          </cell>
          <cell r="V249">
            <v>0</v>
          </cell>
          <cell r="W249">
            <v>0</v>
          </cell>
          <cell r="AA249">
            <v>0</v>
          </cell>
          <cell r="AD249">
            <v>0</v>
          </cell>
          <cell r="AG249">
            <v>0</v>
          </cell>
        </row>
        <row r="250">
          <cell r="S250" t="str">
            <v>8002100-7</v>
          </cell>
          <cell r="T250" t="str">
            <v>Programas Especial 06</v>
          </cell>
          <cell r="U250">
            <v>0</v>
          </cell>
          <cell r="V250">
            <v>0</v>
          </cell>
          <cell r="W250">
            <v>0</v>
          </cell>
          <cell r="AA250">
            <v>0</v>
          </cell>
          <cell r="AD250">
            <v>0</v>
          </cell>
          <cell r="AG250">
            <v>0</v>
          </cell>
        </row>
        <row r="251">
          <cell r="S251" t="str">
            <v>8002100-8</v>
          </cell>
          <cell r="T251" t="str">
            <v>Programas Especial 07</v>
          </cell>
          <cell r="U251">
            <v>0</v>
          </cell>
          <cell r="V251">
            <v>0</v>
          </cell>
          <cell r="W251">
            <v>0</v>
          </cell>
          <cell r="AA251">
            <v>0</v>
          </cell>
          <cell r="AD251">
            <v>0</v>
          </cell>
          <cell r="AG251">
            <v>0</v>
          </cell>
        </row>
        <row r="252">
          <cell r="S252" t="str">
            <v>8002100-9</v>
          </cell>
          <cell r="T252" t="str">
            <v>Programas Especial 08</v>
          </cell>
          <cell r="U252">
            <v>0</v>
          </cell>
          <cell r="V252">
            <v>0</v>
          </cell>
          <cell r="W252">
            <v>0</v>
          </cell>
          <cell r="AA252">
            <v>0</v>
          </cell>
          <cell r="AD252">
            <v>0</v>
          </cell>
          <cell r="AG252">
            <v>0</v>
          </cell>
        </row>
        <row r="253">
          <cell r="S253" t="str">
            <v>8002100-10</v>
          </cell>
          <cell r="T253" t="str">
            <v>Programas Especial 09</v>
          </cell>
          <cell r="U253">
            <v>0</v>
          </cell>
          <cell r="V253">
            <v>0</v>
          </cell>
          <cell r="W253">
            <v>0</v>
          </cell>
          <cell r="AA253">
            <v>0</v>
          </cell>
          <cell r="AD253">
            <v>0</v>
          </cell>
          <cell r="AG253">
            <v>0</v>
          </cell>
        </row>
        <row r="254">
          <cell r="S254" t="str">
            <v>8002100-11</v>
          </cell>
          <cell r="T254" t="str">
            <v>Programas Especial 10</v>
          </cell>
          <cell r="U254">
            <v>0</v>
          </cell>
          <cell r="V254">
            <v>0</v>
          </cell>
          <cell r="W254">
            <v>0</v>
          </cell>
          <cell r="AA254">
            <v>0</v>
          </cell>
          <cell r="AD254">
            <v>0</v>
          </cell>
          <cell r="AG254">
            <v>0</v>
          </cell>
        </row>
        <row r="255">
          <cell r="S255" t="str">
            <v>8002100-12</v>
          </cell>
          <cell r="T255" t="str">
            <v>Programas Especial 11</v>
          </cell>
          <cell r="U255">
            <v>0</v>
          </cell>
          <cell r="V255">
            <v>0</v>
          </cell>
          <cell r="W255">
            <v>0</v>
          </cell>
          <cell r="AA255">
            <v>0</v>
          </cell>
          <cell r="AD255">
            <v>0</v>
          </cell>
          <cell r="AG255">
            <v>0</v>
          </cell>
        </row>
        <row r="256">
          <cell r="S256" t="str">
            <v>2.3.2.01.01.99</v>
          </cell>
          <cell r="T256" t="str">
            <v>Vigencias Anteriores Activos Fijos</v>
          </cell>
          <cell r="U256">
            <v>0</v>
          </cell>
          <cell r="V256">
            <v>0</v>
          </cell>
          <cell r="W256">
            <v>0</v>
          </cell>
          <cell r="AA256">
            <v>0</v>
          </cell>
          <cell r="AD256">
            <v>0</v>
          </cell>
          <cell r="AG256">
            <v>0</v>
          </cell>
        </row>
        <row r="257">
          <cell r="S257">
            <v>0</v>
          </cell>
        </row>
      </sheetData>
      <sheetData sheetId="2" refreshError="1">
        <row r="12">
          <cell r="P12">
            <v>0</v>
          </cell>
          <cell r="Q12">
            <v>3941159</v>
          </cell>
        </row>
        <row r="13">
          <cell r="P13">
            <v>0</v>
          </cell>
          <cell r="Q13">
            <v>554873586</v>
          </cell>
        </row>
        <row r="14">
          <cell r="P14">
            <v>0</v>
          </cell>
          <cell r="Q14">
            <v>620662520</v>
          </cell>
        </row>
        <row r="15">
          <cell r="P15">
            <v>0</v>
          </cell>
          <cell r="Q15">
            <v>0</v>
          </cell>
        </row>
        <row r="17">
          <cell r="AL17">
            <v>169873052</v>
          </cell>
          <cell r="AM17">
            <v>0</v>
          </cell>
        </row>
        <row r="18">
          <cell r="AL18">
            <v>0</v>
          </cell>
          <cell r="AM18">
            <v>0</v>
          </cell>
        </row>
        <row r="19">
          <cell r="AL19">
            <v>0</v>
          </cell>
          <cell r="AM19">
            <v>0</v>
          </cell>
        </row>
        <row r="21">
          <cell r="AL21">
            <v>0</v>
          </cell>
          <cell r="AM21">
            <v>0</v>
          </cell>
        </row>
        <row r="22">
          <cell r="AL22">
            <v>0</v>
          </cell>
          <cell r="AM22">
            <v>0</v>
          </cell>
        </row>
        <row r="23">
          <cell r="P23">
            <v>0</v>
          </cell>
          <cell r="Q23">
            <v>0</v>
          </cell>
          <cell r="AL23">
            <v>0</v>
          </cell>
          <cell r="AM23">
            <v>0</v>
          </cell>
        </row>
        <row r="24">
          <cell r="P24">
            <v>0</v>
          </cell>
          <cell r="Q24">
            <v>0</v>
          </cell>
          <cell r="AL24">
            <v>0</v>
          </cell>
          <cell r="AM24">
            <v>0</v>
          </cell>
        </row>
        <row r="25">
          <cell r="AL25">
            <v>0</v>
          </cell>
          <cell r="AM25">
            <v>0</v>
          </cell>
        </row>
        <row r="26">
          <cell r="P26">
            <v>0</v>
          </cell>
          <cell r="Q26">
            <v>0</v>
          </cell>
          <cell r="AL26">
            <v>0</v>
          </cell>
          <cell r="AM26">
            <v>0</v>
          </cell>
        </row>
        <row r="27">
          <cell r="P27">
            <v>0</v>
          </cell>
          <cell r="Q27">
            <v>0</v>
          </cell>
          <cell r="AL27">
            <v>0</v>
          </cell>
          <cell r="AM27">
            <v>0</v>
          </cell>
        </row>
        <row r="28">
          <cell r="AL28">
            <v>0</v>
          </cell>
          <cell r="AM28">
            <v>0</v>
          </cell>
        </row>
        <row r="29">
          <cell r="AL29">
            <v>0</v>
          </cell>
          <cell r="AM29">
            <v>0</v>
          </cell>
        </row>
        <row r="30">
          <cell r="P30">
            <v>0</v>
          </cell>
          <cell r="Q30">
            <v>0</v>
          </cell>
          <cell r="AL30">
            <v>0</v>
          </cell>
          <cell r="AM30">
            <v>0</v>
          </cell>
        </row>
        <row r="31">
          <cell r="P31">
            <v>0</v>
          </cell>
          <cell r="Q31">
            <v>0</v>
          </cell>
          <cell r="AL31">
            <v>0</v>
          </cell>
          <cell r="AM31">
            <v>0</v>
          </cell>
        </row>
        <row r="32">
          <cell r="AL32">
            <v>0</v>
          </cell>
          <cell r="AM32">
            <v>0</v>
          </cell>
        </row>
        <row r="33">
          <cell r="P33">
            <v>0</v>
          </cell>
          <cell r="Q33">
            <v>0</v>
          </cell>
          <cell r="AL33">
            <v>0</v>
          </cell>
          <cell r="AM33">
            <v>0</v>
          </cell>
        </row>
        <row r="34">
          <cell r="P34">
            <v>0</v>
          </cell>
          <cell r="Q34">
            <v>0</v>
          </cell>
        </row>
        <row r="36">
          <cell r="P36">
            <v>0</v>
          </cell>
          <cell r="Q36">
            <v>0</v>
          </cell>
          <cell r="AL36">
            <v>0</v>
          </cell>
          <cell r="AM36">
            <v>0</v>
          </cell>
        </row>
        <row r="37">
          <cell r="P37">
            <v>0</v>
          </cell>
          <cell r="Q37">
            <v>0</v>
          </cell>
          <cell r="AL37">
            <v>0</v>
          </cell>
          <cell r="AM37">
            <v>0</v>
          </cell>
        </row>
        <row r="38">
          <cell r="P38">
            <v>0</v>
          </cell>
          <cell r="Q38">
            <v>0</v>
          </cell>
          <cell r="AL38">
            <v>0</v>
          </cell>
          <cell r="AM38">
            <v>0</v>
          </cell>
        </row>
        <row r="39">
          <cell r="P39">
            <v>0</v>
          </cell>
          <cell r="Q39">
            <v>0</v>
          </cell>
          <cell r="AL39">
            <v>0</v>
          </cell>
          <cell r="AM39">
            <v>0</v>
          </cell>
        </row>
        <row r="40">
          <cell r="P40">
            <v>0</v>
          </cell>
          <cell r="Q40">
            <v>0</v>
          </cell>
          <cell r="AL40">
            <v>0</v>
          </cell>
          <cell r="AM40">
            <v>0</v>
          </cell>
        </row>
        <row r="41">
          <cell r="P41">
            <v>0</v>
          </cell>
          <cell r="Q41">
            <v>0</v>
          </cell>
          <cell r="AL41">
            <v>0</v>
          </cell>
          <cell r="AM41">
            <v>0</v>
          </cell>
        </row>
        <row r="43">
          <cell r="P43">
            <v>0</v>
          </cell>
          <cell r="Q43">
            <v>0</v>
          </cell>
        </row>
        <row r="44">
          <cell r="P44">
            <v>0</v>
          </cell>
          <cell r="Q44">
            <v>0</v>
          </cell>
        </row>
        <row r="45">
          <cell r="AL45">
            <v>0</v>
          </cell>
          <cell r="AM45">
            <v>0</v>
          </cell>
        </row>
        <row r="46">
          <cell r="P46">
            <v>0</v>
          </cell>
          <cell r="Q46">
            <v>0</v>
          </cell>
          <cell r="AL46">
            <v>0</v>
          </cell>
          <cell r="AM46">
            <v>0</v>
          </cell>
        </row>
        <row r="47">
          <cell r="P47">
            <v>0</v>
          </cell>
          <cell r="Q47">
            <v>0</v>
          </cell>
          <cell r="AL47">
            <v>0</v>
          </cell>
          <cell r="AM47">
            <v>0</v>
          </cell>
        </row>
        <row r="48">
          <cell r="AL48">
            <v>0</v>
          </cell>
          <cell r="AM48">
            <v>0</v>
          </cell>
        </row>
        <row r="49">
          <cell r="P49">
            <v>0</v>
          </cell>
          <cell r="Q49">
            <v>0</v>
          </cell>
        </row>
        <row r="50">
          <cell r="P50">
            <v>0</v>
          </cell>
          <cell r="Q50">
            <v>0</v>
          </cell>
          <cell r="AL50">
            <v>0</v>
          </cell>
          <cell r="AM50">
            <v>0</v>
          </cell>
        </row>
        <row r="51">
          <cell r="AL51">
            <v>0</v>
          </cell>
          <cell r="AM51">
            <v>0</v>
          </cell>
        </row>
        <row r="52">
          <cell r="P52">
            <v>0</v>
          </cell>
          <cell r="Q52">
            <v>0</v>
          </cell>
          <cell r="AL52">
            <v>-30000000</v>
          </cell>
          <cell r="AM52">
            <v>0</v>
          </cell>
        </row>
        <row r="53">
          <cell r="P53">
            <v>0</v>
          </cell>
          <cell r="Q53">
            <v>0</v>
          </cell>
          <cell r="AL53">
            <v>0</v>
          </cell>
          <cell r="AM53">
            <v>0</v>
          </cell>
        </row>
        <row r="54">
          <cell r="AL54">
            <v>0</v>
          </cell>
          <cell r="AM54">
            <v>0</v>
          </cell>
        </row>
        <row r="55">
          <cell r="P55">
            <v>0</v>
          </cell>
          <cell r="Q55">
            <v>0</v>
          </cell>
          <cell r="AL55">
            <v>30000000</v>
          </cell>
          <cell r="AM55">
            <v>0</v>
          </cell>
        </row>
        <row r="56">
          <cell r="P56">
            <v>0</v>
          </cell>
          <cell r="Q56">
            <v>0</v>
          </cell>
        </row>
        <row r="58">
          <cell r="P58">
            <v>0</v>
          </cell>
          <cell r="Q58">
            <v>0</v>
          </cell>
        </row>
        <row r="59">
          <cell r="P59">
            <v>0</v>
          </cell>
          <cell r="Q59">
            <v>0</v>
          </cell>
          <cell r="AL59">
            <v>0</v>
          </cell>
          <cell r="AM59">
            <v>0</v>
          </cell>
        </row>
        <row r="60">
          <cell r="AL60">
            <v>0</v>
          </cell>
          <cell r="AM60">
            <v>0</v>
          </cell>
        </row>
        <row r="61">
          <cell r="P61">
            <v>0</v>
          </cell>
          <cell r="Q61">
            <v>0</v>
          </cell>
          <cell r="AL61">
            <v>0</v>
          </cell>
          <cell r="AM61">
            <v>0</v>
          </cell>
        </row>
        <row r="62">
          <cell r="P62">
            <v>0</v>
          </cell>
          <cell r="Q62">
            <v>0</v>
          </cell>
        </row>
        <row r="64">
          <cell r="P64">
            <v>0</v>
          </cell>
          <cell r="Q64">
            <v>0</v>
          </cell>
        </row>
        <row r="65">
          <cell r="P65">
            <v>0</v>
          </cell>
          <cell r="Q65">
            <v>0</v>
          </cell>
        </row>
        <row r="66">
          <cell r="AL66">
            <v>0</v>
          </cell>
          <cell r="AM66">
            <v>0</v>
          </cell>
        </row>
        <row r="67">
          <cell r="P67">
            <v>0</v>
          </cell>
          <cell r="Q67">
            <v>0</v>
          </cell>
          <cell r="AL67">
            <v>0</v>
          </cell>
          <cell r="AM67">
            <v>0</v>
          </cell>
        </row>
        <row r="68">
          <cell r="P68">
            <v>0</v>
          </cell>
          <cell r="Q68">
            <v>0</v>
          </cell>
          <cell r="AL68">
            <v>0</v>
          </cell>
          <cell r="AM68">
            <v>0</v>
          </cell>
        </row>
        <row r="70">
          <cell r="P70">
            <v>0</v>
          </cell>
          <cell r="Q70">
            <v>0</v>
          </cell>
          <cell r="AL70">
            <v>0</v>
          </cell>
          <cell r="AM70">
            <v>0</v>
          </cell>
        </row>
        <row r="71">
          <cell r="P71">
            <v>0</v>
          </cell>
          <cell r="Q71">
            <v>0</v>
          </cell>
          <cell r="AL71">
            <v>0</v>
          </cell>
          <cell r="AM71">
            <v>0</v>
          </cell>
        </row>
        <row r="72">
          <cell r="AL72">
            <v>0</v>
          </cell>
          <cell r="AM72">
            <v>0</v>
          </cell>
        </row>
        <row r="73">
          <cell r="P73">
            <v>0</v>
          </cell>
          <cell r="Q73">
            <v>0</v>
          </cell>
          <cell r="AL73">
            <v>0</v>
          </cell>
          <cell r="AM73">
            <v>0</v>
          </cell>
        </row>
        <row r="74">
          <cell r="P74">
            <v>0</v>
          </cell>
          <cell r="Q74">
            <v>0</v>
          </cell>
          <cell r="AL74">
            <v>0</v>
          </cell>
          <cell r="AM74">
            <v>0</v>
          </cell>
        </row>
        <row r="75">
          <cell r="AL75">
            <v>0</v>
          </cell>
          <cell r="AM75">
            <v>0</v>
          </cell>
        </row>
        <row r="76">
          <cell r="P76">
            <v>0</v>
          </cell>
          <cell r="Q76">
            <v>0</v>
          </cell>
          <cell r="AL76">
            <v>0</v>
          </cell>
          <cell r="AM76">
            <v>0</v>
          </cell>
        </row>
        <row r="77">
          <cell r="P77">
            <v>0</v>
          </cell>
          <cell r="Q77">
            <v>0</v>
          </cell>
          <cell r="AL77">
            <v>0</v>
          </cell>
          <cell r="AM77">
            <v>0</v>
          </cell>
        </row>
        <row r="78">
          <cell r="AL78">
            <v>0</v>
          </cell>
          <cell r="AM78">
            <v>0</v>
          </cell>
        </row>
        <row r="79">
          <cell r="P79">
            <v>0</v>
          </cell>
          <cell r="Q79">
            <v>0</v>
          </cell>
          <cell r="AL79">
            <v>0</v>
          </cell>
          <cell r="AM79">
            <v>0</v>
          </cell>
        </row>
        <row r="80">
          <cell r="P80">
            <v>0</v>
          </cell>
          <cell r="Q80">
            <v>0</v>
          </cell>
          <cell r="AL80">
            <v>0</v>
          </cell>
          <cell r="AM80">
            <v>0</v>
          </cell>
        </row>
        <row r="81">
          <cell r="AL81">
            <v>0</v>
          </cell>
          <cell r="AM81">
            <v>0</v>
          </cell>
        </row>
        <row r="82">
          <cell r="P82">
            <v>0</v>
          </cell>
          <cell r="Q82">
            <v>0</v>
          </cell>
        </row>
        <row r="83">
          <cell r="P83">
            <v>0</v>
          </cell>
          <cell r="Q83">
            <v>0</v>
          </cell>
        </row>
        <row r="84">
          <cell r="AL84">
            <v>0</v>
          </cell>
          <cell r="AM84">
            <v>0</v>
          </cell>
        </row>
        <row r="85">
          <cell r="AL85">
            <v>0</v>
          </cell>
          <cell r="AM85">
            <v>0</v>
          </cell>
        </row>
        <row r="86">
          <cell r="P86">
            <v>0</v>
          </cell>
          <cell r="Q86">
            <v>0</v>
          </cell>
          <cell r="AL86">
            <v>0</v>
          </cell>
          <cell r="AM86">
            <v>0</v>
          </cell>
        </row>
        <row r="87">
          <cell r="P87">
            <v>0</v>
          </cell>
          <cell r="Q87">
            <v>0</v>
          </cell>
          <cell r="AL87">
            <v>0</v>
          </cell>
          <cell r="AM87">
            <v>0</v>
          </cell>
        </row>
        <row r="88">
          <cell r="P88">
            <v>0</v>
          </cell>
          <cell r="Q88">
            <v>0</v>
          </cell>
          <cell r="AL88">
            <v>300000000</v>
          </cell>
          <cell r="AM88">
            <v>0</v>
          </cell>
        </row>
        <row r="89">
          <cell r="P89">
            <v>0</v>
          </cell>
          <cell r="Q89">
            <v>0</v>
          </cell>
        </row>
        <row r="90">
          <cell r="P90">
            <v>0</v>
          </cell>
        </row>
        <row r="91">
          <cell r="P91">
            <v>0</v>
          </cell>
          <cell r="Q91">
            <v>0</v>
          </cell>
        </row>
        <row r="92">
          <cell r="P92">
            <v>0</v>
          </cell>
          <cell r="Q92">
            <v>0</v>
          </cell>
          <cell r="AL92">
            <v>0</v>
          </cell>
          <cell r="AM92">
            <v>0</v>
          </cell>
        </row>
        <row r="93">
          <cell r="AL93">
            <v>0</v>
          </cell>
          <cell r="AM93">
            <v>0</v>
          </cell>
        </row>
        <row r="94">
          <cell r="AL94">
            <v>0</v>
          </cell>
          <cell r="AM94">
            <v>0</v>
          </cell>
        </row>
        <row r="95">
          <cell r="P95">
            <v>0</v>
          </cell>
          <cell r="Q95">
            <v>0</v>
          </cell>
          <cell r="AL95">
            <v>0</v>
          </cell>
          <cell r="AM95">
            <v>0</v>
          </cell>
        </row>
        <row r="96">
          <cell r="P96">
            <v>0</v>
          </cell>
          <cell r="Q96">
            <v>0</v>
          </cell>
        </row>
        <row r="97">
          <cell r="P97">
            <v>0</v>
          </cell>
          <cell r="Q97">
            <v>0</v>
          </cell>
          <cell r="AL97">
            <v>0</v>
          </cell>
          <cell r="AM97">
            <v>0</v>
          </cell>
        </row>
        <row r="98">
          <cell r="P98">
            <v>0</v>
          </cell>
          <cell r="Q98">
            <v>0</v>
          </cell>
          <cell r="AL98">
            <v>0</v>
          </cell>
          <cell r="AM98">
            <v>0</v>
          </cell>
        </row>
        <row r="99">
          <cell r="P99">
            <v>0</v>
          </cell>
          <cell r="Q99">
            <v>0</v>
          </cell>
          <cell r="AL99">
            <v>0</v>
          </cell>
          <cell r="AM99">
            <v>0</v>
          </cell>
        </row>
        <row r="100">
          <cell r="P100">
            <v>0</v>
          </cell>
          <cell r="Q100">
            <v>0</v>
          </cell>
          <cell r="AL100">
            <v>0</v>
          </cell>
          <cell r="AM100">
            <v>0</v>
          </cell>
        </row>
        <row r="101">
          <cell r="P101">
            <v>0</v>
          </cell>
          <cell r="Q101">
            <v>0</v>
          </cell>
          <cell r="AL101">
            <v>0</v>
          </cell>
          <cell r="AM101">
            <v>0</v>
          </cell>
        </row>
        <row r="102">
          <cell r="P102">
            <v>0</v>
          </cell>
          <cell r="Q102">
            <v>0</v>
          </cell>
          <cell r="AL102">
            <v>0</v>
          </cell>
          <cell r="AM102">
            <v>0</v>
          </cell>
        </row>
        <row r="105">
          <cell r="P105">
            <v>0</v>
          </cell>
          <cell r="Q105">
            <v>0</v>
          </cell>
        </row>
        <row r="106">
          <cell r="P106">
            <v>0</v>
          </cell>
          <cell r="Q106">
            <v>0</v>
          </cell>
          <cell r="AL106">
            <v>0</v>
          </cell>
          <cell r="AM106">
            <v>0</v>
          </cell>
        </row>
        <row r="107">
          <cell r="P107">
            <v>0</v>
          </cell>
          <cell r="AL107">
            <v>0</v>
          </cell>
          <cell r="AM107">
            <v>0</v>
          </cell>
        </row>
        <row r="108">
          <cell r="P108">
            <v>0</v>
          </cell>
          <cell r="Q108">
            <v>0</v>
          </cell>
          <cell r="AL108">
            <v>0</v>
          </cell>
          <cell r="AM108">
            <v>0</v>
          </cell>
        </row>
        <row r="109">
          <cell r="P109">
            <v>0</v>
          </cell>
          <cell r="Q109">
            <v>0</v>
          </cell>
        </row>
        <row r="110">
          <cell r="P110">
            <v>0</v>
          </cell>
          <cell r="Q110">
            <v>0</v>
          </cell>
        </row>
        <row r="111">
          <cell r="P111">
            <v>0</v>
          </cell>
          <cell r="Q111">
            <v>0</v>
          </cell>
        </row>
        <row r="115">
          <cell r="P115">
            <v>0</v>
          </cell>
          <cell r="Q115">
            <v>0</v>
          </cell>
          <cell r="AL115">
            <v>0</v>
          </cell>
          <cell r="AM115">
            <v>0</v>
          </cell>
        </row>
        <row r="116">
          <cell r="P116">
            <v>0</v>
          </cell>
          <cell r="Q116">
            <v>0</v>
          </cell>
          <cell r="AL116">
            <v>0</v>
          </cell>
          <cell r="AM116">
            <v>0</v>
          </cell>
        </row>
        <row r="117">
          <cell r="P117">
            <v>0</v>
          </cell>
          <cell r="Q117">
            <v>0</v>
          </cell>
          <cell r="AL117">
            <v>0</v>
          </cell>
          <cell r="AM117">
            <v>0</v>
          </cell>
        </row>
        <row r="118">
          <cell r="P118">
            <v>0</v>
          </cell>
          <cell r="Q118">
            <v>0</v>
          </cell>
          <cell r="AL118">
            <v>0</v>
          </cell>
          <cell r="AM118">
            <v>0</v>
          </cell>
        </row>
        <row r="119">
          <cell r="P119">
            <v>0</v>
          </cell>
          <cell r="Q119">
            <v>0</v>
          </cell>
          <cell r="AL119">
            <v>0</v>
          </cell>
          <cell r="AM119">
            <v>0</v>
          </cell>
        </row>
        <row r="120">
          <cell r="P120">
            <v>0</v>
          </cell>
          <cell r="Q120">
            <v>0</v>
          </cell>
          <cell r="AL120">
            <v>0</v>
          </cell>
          <cell r="AM120">
            <v>0</v>
          </cell>
        </row>
        <row r="121">
          <cell r="P121">
            <v>0</v>
          </cell>
          <cell r="Q121">
            <v>0</v>
          </cell>
          <cell r="AL121">
            <v>0</v>
          </cell>
          <cell r="AM121">
            <v>0</v>
          </cell>
        </row>
        <row r="122">
          <cell r="P122">
            <v>0</v>
          </cell>
          <cell r="Q122">
            <v>0</v>
          </cell>
        </row>
        <row r="123">
          <cell r="P123">
            <v>0</v>
          </cell>
          <cell r="Q123">
            <v>0</v>
          </cell>
        </row>
        <row r="124">
          <cell r="P124">
            <v>0</v>
          </cell>
          <cell r="Q124">
            <v>0</v>
          </cell>
          <cell r="AL124">
            <v>0</v>
          </cell>
          <cell r="AM124">
            <v>0</v>
          </cell>
        </row>
        <row r="125">
          <cell r="AL125">
            <v>10000000</v>
          </cell>
          <cell r="AM125">
            <v>0</v>
          </cell>
        </row>
        <row r="126">
          <cell r="AL126">
            <v>0</v>
          </cell>
          <cell r="AM126">
            <v>0</v>
          </cell>
        </row>
        <row r="127">
          <cell r="AL127">
            <v>0</v>
          </cell>
          <cell r="AM127">
            <v>0</v>
          </cell>
        </row>
        <row r="128">
          <cell r="AL128">
            <v>0</v>
          </cell>
          <cell r="AM128">
            <v>0</v>
          </cell>
        </row>
        <row r="129">
          <cell r="AL129">
            <v>0</v>
          </cell>
          <cell r="AM129">
            <v>0</v>
          </cell>
        </row>
        <row r="130">
          <cell r="AL130">
            <v>-310000000</v>
          </cell>
          <cell r="AM130">
            <v>0</v>
          </cell>
        </row>
        <row r="131">
          <cell r="AL131">
            <v>-169873052</v>
          </cell>
          <cell r="AM131">
            <v>169879991</v>
          </cell>
        </row>
        <row r="132">
          <cell r="AL132">
            <v>0</v>
          </cell>
          <cell r="AM132">
            <v>0</v>
          </cell>
        </row>
        <row r="133">
          <cell r="AL133">
            <v>0</v>
          </cell>
          <cell r="AM133">
            <v>0</v>
          </cell>
        </row>
        <row r="134">
          <cell r="AL134">
            <v>0</v>
          </cell>
          <cell r="AM134">
            <v>0</v>
          </cell>
        </row>
        <row r="135">
          <cell r="AL135">
            <v>0</v>
          </cell>
          <cell r="AM135">
            <v>0</v>
          </cell>
        </row>
        <row r="136">
          <cell r="AL136">
            <v>0</v>
          </cell>
          <cell r="AM136">
            <v>0</v>
          </cell>
        </row>
        <row r="137">
          <cell r="AL137">
            <v>0</v>
          </cell>
          <cell r="AM137">
            <v>0</v>
          </cell>
        </row>
        <row r="138">
          <cell r="AL138">
            <v>0</v>
          </cell>
          <cell r="AM138">
            <v>0</v>
          </cell>
        </row>
        <row r="139">
          <cell r="AL139">
            <v>0</v>
          </cell>
          <cell r="AM139">
            <v>0</v>
          </cell>
        </row>
        <row r="142">
          <cell r="AL142">
            <v>0</v>
          </cell>
          <cell r="AM142">
            <v>0</v>
          </cell>
        </row>
        <row r="143">
          <cell r="AL143">
            <v>0</v>
          </cell>
          <cell r="AM143">
            <v>0</v>
          </cell>
        </row>
        <row r="148">
          <cell r="AL148">
            <v>0</v>
          </cell>
          <cell r="AM148">
            <v>0</v>
          </cell>
        </row>
        <row r="150">
          <cell r="AL150">
            <v>0</v>
          </cell>
          <cell r="AM150">
            <v>0</v>
          </cell>
        </row>
        <row r="151">
          <cell r="AL151">
            <v>0</v>
          </cell>
          <cell r="AM151">
            <v>0</v>
          </cell>
        </row>
        <row r="152">
          <cell r="AL152">
            <v>0</v>
          </cell>
          <cell r="AM152">
            <v>0</v>
          </cell>
        </row>
        <row r="153">
          <cell r="AL153">
            <v>0</v>
          </cell>
          <cell r="AM153">
            <v>0</v>
          </cell>
        </row>
        <row r="156">
          <cell r="AL156">
            <v>0</v>
          </cell>
          <cell r="AM156">
            <v>0</v>
          </cell>
        </row>
        <row r="159">
          <cell r="AL159">
            <v>0</v>
          </cell>
          <cell r="AM159">
            <v>0</v>
          </cell>
        </row>
        <row r="160">
          <cell r="AL160">
            <v>0</v>
          </cell>
          <cell r="AM160">
            <v>0</v>
          </cell>
        </row>
        <row r="161">
          <cell r="AL161">
            <v>0</v>
          </cell>
          <cell r="AM161">
            <v>0</v>
          </cell>
        </row>
        <row r="162">
          <cell r="AL162">
            <v>0</v>
          </cell>
          <cell r="AM162">
            <v>0</v>
          </cell>
        </row>
        <row r="163">
          <cell r="AL163">
            <v>0</v>
          </cell>
          <cell r="AM163">
            <v>0</v>
          </cell>
        </row>
        <row r="164">
          <cell r="AL164">
            <v>0</v>
          </cell>
          <cell r="AM164">
            <v>0</v>
          </cell>
        </row>
        <row r="165">
          <cell r="AL165">
            <v>0</v>
          </cell>
          <cell r="AM165">
            <v>0</v>
          </cell>
        </row>
        <row r="166">
          <cell r="AL166">
            <v>0</v>
          </cell>
          <cell r="AM166">
            <v>0</v>
          </cell>
        </row>
        <row r="167">
          <cell r="AL167">
            <v>0</v>
          </cell>
          <cell r="AM167">
            <v>0</v>
          </cell>
        </row>
        <row r="168">
          <cell r="AL168">
            <v>0</v>
          </cell>
          <cell r="AM168">
            <v>158814745</v>
          </cell>
        </row>
        <row r="173">
          <cell r="AL173">
            <v>0</v>
          </cell>
          <cell r="AM173">
            <v>0</v>
          </cell>
        </row>
        <row r="174">
          <cell r="AL174">
            <v>0</v>
          </cell>
          <cell r="AM174">
            <v>0</v>
          </cell>
        </row>
        <row r="177">
          <cell r="AL177">
            <v>0</v>
          </cell>
          <cell r="AM177">
            <v>0</v>
          </cell>
        </row>
        <row r="178">
          <cell r="AL178">
            <v>0</v>
          </cell>
          <cell r="AM178">
            <v>0</v>
          </cell>
        </row>
        <row r="179">
          <cell r="AL179">
            <v>0</v>
          </cell>
          <cell r="AM179">
            <v>0</v>
          </cell>
        </row>
        <row r="180">
          <cell r="AL180">
            <v>0</v>
          </cell>
          <cell r="AM180">
            <v>0</v>
          </cell>
        </row>
        <row r="181">
          <cell r="AL181">
            <v>0</v>
          </cell>
          <cell r="AM181">
            <v>0</v>
          </cell>
        </row>
        <row r="182">
          <cell r="AL182">
            <v>0</v>
          </cell>
          <cell r="AM182">
            <v>0</v>
          </cell>
        </row>
        <row r="183">
          <cell r="AL183">
            <v>0</v>
          </cell>
          <cell r="AM183">
            <v>0</v>
          </cell>
        </row>
        <row r="186">
          <cell r="AL186">
            <v>0</v>
          </cell>
          <cell r="AM186">
            <v>0</v>
          </cell>
        </row>
        <row r="188">
          <cell r="AL188">
            <v>0</v>
          </cell>
          <cell r="AM188">
            <v>0</v>
          </cell>
        </row>
        <row r="189">
          <cell r="AL189">
            <v>0</v>
          </cell>
          <cell r="AM189">
            <v>0</v>
          </cell>
        </row>
        <row r="190">
          <cell r="AL190">
            <v>0</v>
          </cell>
          <cell r="AM190">
            <v>0</v>
          </cell>
        </row>
        <row r="191">
          <cell r="AL191">
            <v>0</v>
          </cell>
          <cell r="AM191">
            <v>0</v>
          </cell>
        </row>
        <row r="198">
          <cell r="AL198">
            <v>0</v>
          </cell>
          <cell r="AM198">
            <v>0</v>
          </cell>
        </row>
        <row r="199">
          <cell r="AL199">
            <v>0</v>
          </cell>
          <cell r="AM199">
            <v>200000000</v>
          </cell>
        </row>
        <row r="200">
          <cell r="AL200">
            <v>0</v>
          </cell>
          <cell r="AM200">
            <v>200000000</v>
          </cell>
        </row>
        <row r="201">
          <cell r="AL201">
            <v>0</v>
          </cell>
          <cell r="AM201">
            <v>0</v>
          </cell>
        </row>
        <row r="202">
          <cell r="AL202">
            <v>0</v>
          </cell>
          <cell r="AM202">
            <v>0</v>
          </cell>
        </row>
        <row r="203">
          <cell r="AL203">
            <v>0</v>
          </cell>
          <cell r="AM203">
            <v>0</v>
          </cell>
        </row>
        <row r="204">
          <cell r="AL204">
            <v>0</v>
          </cell>
          <cell r="AM204">
            <v>0</v>
          </cell>
        </row>
        <row r="206">
          <cell r="AL206">
            <v>0</v>
          </cell>
          <cell r="AM206">
            <v>0</v>
          </cell>
        </row>
        <row r="207">
          <cell r="AL207">
            <v>0</v>
          </cell>
          <cell r="AM207">
            <v>0</v>
          </cell>
        </row>
        <row r="212">
          <cell r="AL212">
            <v>0</v>
          </cell>
          <cell r="AM212">
            <v>0</v>
          </cell>
        </row>
        <row r="213">
          <cell r="AL213">
            <v>0</v>
          </cell>
          <cell r="AM213">
            <v>0</v>
          </cell>
        </row>
        <row r="214">
          <cell r="AL214">
            <v>0</v>
          </cell>
          <cell r="AM214">
            <v>0</v>
          </cell>
        </row>
        <row r="215">
          <cell r="AL215">
            <v>0</v>
          </cell>
          <cell r="AM215">
            <v>0</v>
          </cell>
        </row>
        <row r="216">
          <cell r="AL216">
            <v>0</v>
          </cell>
          <cell r="AM216">
            <v>0</v>
          </cell>
        </row>
        <row r="217">
          <cell r="AL217">
            <v>0</v>
          </cell>
          <cell r="AM217">
            <v>0</v>
          </cell>
        </row>
        <row r="218">
          <cell r="AL218">
            <v>0</v>
          </cell>
          <cell r="AM218">
            <v>0</v>
          </cell>
        </row>
        <row r="223">
          <cell r="AL223">
            <v>0</v>
          </cell>
          <cell r="AM223">
            <v>0</v>
          </cell>
        </row>
        <row r="224">
          <cell r="AL224">
            <v>0</v>
          </cell>
          <cell r="AM224">
            <v>0</v>
          </cell>
        </row>
        <row r="225">
          <cell r="AL225">
            <v>0</v>
          </cell>
          <cell r="AM225">
            <v>0</v>
          </cell>
        </row>
        <row r="228">
          <cell r="AL228">
            <v>0</v>
          </cell>
          <cell r="AM228">
            <v>0</v>
          </cell>
        </row>
        <row r="229">
          <cell r="AL229">
            <v>0</v>
          </cell>
          <cell r="AM229">
            <v>0</v>
          </cell>
        </row>
        <row r="230">
          <cell r="AL230">
            <v>0</v>
          </cell>
          <cell r="AM230">
            <v>0</v>
          </cell>
        </row>
        <row r="236">
          <cell r="AL236">
            <v>0</v>
          </cell>
          <cell r="AM236">
            <v>0</v>
          </cell>
        </row>
        <row r="237">
          <cell r="AL237">
            <v>0</v>
          </cell>
          <cell r="AM237">
            <v>0</v>
          </cell>
        </row>
        <row r="238">
          <cell r="AL238">
            <v>0</v>
          </cell>
          <cell r="AM238">
            <v>7465757523</v>
          </cell>
        </row>
        <row r="239">
          <cell r="AL239">
            <v>0</v>
          </cell>
          <cell r="AM239">
            <v>0</v>
          </cell>
        </row>
        <row r="240">
          <cell r="AL240">
            <v>0</v>
          </cell>
          <cell r="AM240">
            <v>0</v>
          </cell>
        </row>
        <row r="241">
          <cell r="AL241">
            <v>0</v>
          </cell>
          <cell r="AM241">
            <v>450782529</v>
          </cell>
        </row>
        <row r="244">
          <cell r="AL244">
            <v>0</v>
          </cell>
          <cell r="AM244">
            <v>0</v>
          </cell>
        </row>
        <row r="245">
          <cell r="AL245">
            <v>0</v>
          </cell>
          <cell r="AM245">
            <v>0</v>
          </cell>
        </row>
        <row r="246">
          <cell r="AL246">
            <v>0</v>
          </cell>
          <cell r="AM246">
            <v>0</v>
          </cell>
        </row>
        <row r="247">
          <cell r="AL247">
            <v>0</v>
          </cell>
          <cell r="AM247">
            <v>0</v>
          </cell>
        </row>
        <row r="248">
          <cell r="AL248">
            <v>0</v>
          </cell>
          <cell r="AM248">
            <v>0</v>
          </cell>
        </row>
        <row r="249">
          <cell r="AL249">
            <v>0</v>
          </cell>
          <cell r="AM249">
            <v>0</v>
          </cell>
        </row>
        <row r="250">
          <cell r="AL250">
            <v>0</v>
          </cell>
          <cell r="AM250">
            <v>0</v>
          </cell>
        </row>
        <row r="251">
          <cell r="AL251">
            <v>0</v>
          </cell>
          <cell r="AM251">
            <v>0</v>
          </cell>
        </row>
        <row r="252">
          <cell r="AL252">
            <v>0</v>
          </cell>
          <cell r="AM252">
            <v>0</v>
          </cell>
        </row>
        <row r="253">
          <cell r="AL253">
            <v>0</v>
          </cell>
          <cell r="AM253">
            <v>0</v>
          </cell>
        </row>
        <row r="254">
          <cell r="AL254">
            <v>0</v>
          </cell>
          <cell r="AM254">
            <v>0</v>
          </cell>
        </row>
        <row r="255">
          <cell r="AL255">
            <v>0</v>
          </cell>
          <cell r="AM255">
            <v>0</v>
          </cell>
        </row>
        <row r="256">
          <cell r="AL256">
            <v>0</v>
          </cell>
          <cell r="AM256">
            <v>0</v>
          </cell>
        </row>
      </sheetData>
      <sheetData sheetId="3" refreshError="1">
        <row r="10">
          <cell r="I10">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15">
          <cell r="A15" t="str">
            <v>2.4.5.01.03.303</v>
          </cell>
          <cell r="B15" t="str">
            <v>Material de Laboratorio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 val="Hoja1 (2)"/>
    </sheetNames>
    <sheetDataSet>
      <sheetData sheetId="0"/>
      <sheetData sheetId="1">
        <row r="4">
          <cell r="K4">
            <v>8692345029</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me rubros 4 tte 2025"/>
      <sheetName val="Hoja1"/>
    </sheetNames>
    <sheetDataSet>
      <sheetData sheetId="0">
        <row r="1">
          <cell r="O1">
            <v>8990577978</v>
          </cell>
        </row>
      </sheetData>
      <sheetData sheetId="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78"/>
  <sheetViews>
    <sheetView showGridLines="0" workbookViewId="0">
      <selection activeCell="F4" sqref="F4"/>
    </sheetView>
  </sheetViews>
  <sheetFormatPr baseColWidth="10" defaultColWidth="14.42578125" defaultRowHeight="15" customHeight="1"/>
  <cols>
    <col min="1" max="1" width="21.7109375" customWidth="1"/>
    <col min="2" max="2" width="49.140625" customWidth="1"/>
    <col min="3" max="3" width="14.140625" customWidth="1"/>
    <col min="4" max="4" width="14.85546875" customWidth="1"/>
    <col min="5" max="5" width="15.85546875" customWidth="1"/>
    <col min="6" max="6" width="17.140625" customWidth="1"/>
    <col min="7" max="7" width="80.28515625" customWidth="1"/>
    <col min="8" max="8" width="1.42578125" customWidth="1"/>
    <col min="9" max="26" width="11.42578125" hidden="1" customWidth="1"/>
  </cols>
  <sheetData>
    <row r="1" spans="1:7" ht="12" customHeight="1">
      <c r="A1" s="1286" t="s">
        <v>0</v>
      </c>
      <c r="B1" s="1287"/>
      <c r="C1" s="1287"/>
      <c r="D1" s="1287"/>
      <c r="E1" s="1287"/>
      <c r="F1" s="1287"/>
      <c r="G1" s="1288"/>
    </row>
    <row r="2" spans="1:7" ht="12" customHeight="1">
      <c r="A2" s="1"/>
      <c r="B2" s="2"/>
      <c r="C2" s="2"/>
      <c r="D2" s="2"/>
      <c r="E2" s="2"/>
      <c r="F2" s="2"/>
      <c r="G2" s="1289"/>
    </row>
    <row r="3" spans="1:7" ht="12" customHeight="1">
      <c r="A3" s="3" t="s">
        <v>1</v>
      </c>
      <c r="B3" s="1291" t="s">
        <v>2</v>
      </c>
      <c r="C3" s="1292"/>
      <c r="D3" s="1293"/>
      <c r="E3" s="4" t="s">
        <v>3</v>
      </c>
      <c r="F3" s="5">
        <v>2025</v>
      </c>
      <c r="G3" s="1290"/>
    </row>
    <row r="4" spans="1:7" ht="12" customHeight="1">
      <c r="A4" s="1"/>
      <c r="B4" s="2"/>
      <c r="C4" s="2"/>
      <c r="D4" s="2"/>
      <c r="E4" s="2"/>
      <c r="F4" s="2"/>
      <c r="G4" s="1290"/>
    </row>
    <row r="5" spans="1:7" ht="12" customHeight="1">
      <c r="A5" s="6" t="s">
        <v>4</v>
      </c>
      <c r="B5" s="1291" t="s">
        <v>5</v>
      </c>
      <c r="C5" s="1292"/>
      <c r="D5" s="1292"/>
      <c r="E5" s="1292"/>
      <c r="F5" s="1293"/>
      <c r="G5" s="7"/>
    </row>
    <row r="6" spans="1:7" ht="12" customHeight="1">
      <c r="A6" s="1"/>
      <c r="B6" s="2"/>
      <c r="C6" s="2"/>
      <c r="D6" s="2"/>
      <c r="E6" s="2"/>
      <c r="F6" s="2"/>
      <c r="G6" s="7"/>
    </row>
    <row r="7" spans="1:7" ht="12" customHeight="1">
      <c r="A7" s="8"/>
      <c r="B7" s="9"/>
      <c r="C7" s="9"/>
      <c r="D7" s="9"/>
      <c r="E7" s="9"/>
      <c r="F7" s="9"/>
      <c r="G7" s="10"/>
    </row>
    <row r="8" spans="1:7" ht="12" customHeight="1">
      <c r="A8" s="1294"/>
      <c r="B8" s="1295"/>
      <c r="C8" s="1295"/>
      <c r="D8" s="1295"/>
      <c r="E8" s="1295"/>
      <c r="F8" s="1295"/>
      <c r="G8" s="1296"/>
    </row>
    <row r="9" spans="1:7" ht="12" customHeight="1">
      <c r="A9" s="1297" t="s">
        <v>6</v>
      </c>
      <c r="B9" s="1287"/>
      <c r="C9" s="1287"/>
      <c r="D9" s="1287"/>
      <c r="E9" s="1287"/>
      <c r="F9" s="1287"/>
      <c r="G9" s="1288"/>
    </row>
    <row r="10" spans="1:7" ht="12" customHeight="1">
      <c r="A10" s="1298"/>
      <c r="B10" s="1299"/>
      <c r="C10" s="1299"/>
      <c r="D10" s="1299"/>
      <c r="E10" s="1299"/>
      <c r="F10" s="1299"/>
      <c r="G10" s="1290"/>
    </row>
    <row r="11" spans="1:7" ht="12" customHeight="1">
      <c r="A11" s="1300"/>
      <c r="B11" s="1295"/>
      <c r="C11" s="1295"/>
      <c r="D11" s="1295"/>
      <c r="E11" s="1295"/>
      <c r="F11" s="1295"/>
      <c r="G11" s="1296"/>
    </row>
    <row r="12" spans="1:7" ht="12" customHeight="1">
      <c r="A12" s="1301" t="s">
        <v>7</v>
      </c>
      <c r="B12" s="1287"/>
      <c r="C12" s="1287"/>
      <c r="D12" s="1287"/>
      <c r="E12" s="1287"/>
      <c r="F12" s="1287"/>
      <c r="G12" s="1288"/>
    </row>
    <row r="13" spans="1:7" ht="12" customHeight="1">
      <c r="A13" s="1298"/>
      <c r="B13" s="1299"/>
      <c r="C13" s="1299"/>
      <c r="D13" s="1299"/>
      <c r="E13" s="1299"/>
      <c r="F13" s="1299"/>
      <c r="G13" s="1290"/>
    </row>
    <row r="14" spans="1:7" ht="12" customHeight="1">
      <c r="A14" s="1300"/>
      <c r="B14" s="1295"/>
      <c r="C14" s="1295"/>
      <c r="D14" s="1295"/>
      <c r="E14" s="1295"/>
      <c r="F14" s="1295"/>
      <c r="G14" s="1296"/>
    </row>
    <row r="15" spans="1:7" ht="12" customHeight="1">
      <c r="A15" s="1304" t="s">
        <v>8</v>
      </c>
      <c r="B15" s="1287"/>
      <c r="C15" s="1287"/>
      <c r="D15" s="1287"/>
      <c r="E15" s="1287"/>
      <c r="F15" s="1287"/>
      <c r="G15" s="1288"/>
    </row>
    <row r="17" spans="1:7" ht="12" customHeight="1">
      <c r="A17" s="14" t="s">
        <v>9</v>
      </c>
      <c r="B17" s="12"/>
      <c r="C17" s="12"/>
      <c r="D17" s="12"/>
      <c r="E17" s="12"/>
      <c r="F17" s="12"/>
      <c r="G17" s="13"/>
    </row>
    <row r="18" spans="1:7" ht="12" customHeight="1">
      <c r="A18" s="11"/>
      <c r="B18" s="2"/>
      <c r="C18" s="2"/>
      <c r="D18" s="2"/>
      <c r="E18" s="2"/>
      <c r="F18" s="2"/>
      <c r="G18" s="7"/>
    </row>
    <row r="19" spans="1:7" ht="12" customHeight="1">
      <c r="A19" s="1305" t="s">
        <v>10</v>
      </c>
      <c r="B19" s="1299"/>
      <c r="C19" s="1299"/>
      <c r="D19" s="1299"/>
      <c r="E19" s="1299"/>
      <c r="F19" s="1299"/>
      <c r="G19" s="1290"/>
    </row>
    <row r="20" spans="1:7" ht="12" customHeight="1">
      <c r="A20" s="1298"/>
      <c r="B20" s="1299"/>
      <c r="C20" s="1299"/>
      <c r="D20" s="1299"/>
      <c r="E20" s="1299"/>
      <c r="F20" s="1299"/>
      <c r="G20" s="1290"/>
    </row>
    <row r="21" spans="1:7" ht="12" customHeight="1">
      <c r="A21" s="1298"/>
      <c r="B21" s="1299"/>
      <c r="C21" s="1299"/>
      <c r="D21" s="1299"/>
      <c r="E21" s="1299"/>
      <c r="F21" s="1299"/>
      <c r="G21" s="1290"/>
    </row>
    <row r="22" spans="1:7" ht="12" customHeight="1">
      <c r="A22" s="11"/>
      <c r="B22" s="2"/>
      <c r="C22" s="2"/>
      <c r="D22" s="2"/>
      <c r="E22" s="2"/>
      <c r="F22" s="2"/>
      <c r="G22" s="7"/>
    </row>
    <row r="23" spans="1:7" ht="12" customHeight="1">
      <c r="A23" s="1306" t="s">
        <v>11</v>
      </c>
      <c r="B23" s="1299"/>
      <c r="C23" s="1299"/>
      <c r="D23" s="1299"/>
      <c r="E23" s="1299"/>
      <c r="F23" s="1299"/>
      <c r="G23" s="1290"/>
    </row>
    <row r="24" spans="1:7" ht="12" customHeight="1">
      <c r="A24" s="1"/>
      <c r="B24" s="2"/>
      <c r="C24" s="2"/>
      <c r="D24" s="2"/>
      <c r="E24" s="2"/>
      <c r="F24" s="2"/>
      <c r="G24" s="7"/>
    </row>
    <row r="25" spans="1:7" ht="12" customHeight="1">
      <c r="A25" s="1307" t="s">
        <v>12</v>
      </c>
      <c r="B25" s="1299"/>
      <c r="C25" s="1299"/>
      <c r="D25" s="1299"/>
      <c r="E25" s="1299"/>
      <c r="F25" s="1299"/>
      <c r="G25" s="1290"/>
    </row>
    <row r="26" spans="1:7" ht="12" customHeight="1">
      <c r="A26" s="1"/>
      <c r="B26" s="2"/>
      <c r="C26" s="2"/>
      <c r="D26" s="2"/>
      <c r="E26" s="2"/>
      <c r="F26" s="2"/>
      <c r="G26" s="7"/>
    </row>
    <row r="27" spans="1:7" ht="12" customHeight="1">
      <c r="A27" s="1307" t="s">
        <v>13</v>
      </c>
      <c r="B27" s="1299"/>
      <c r="C27" s="1299"/>
      <c r="D27" s="1299"/>
      <c r="E27" s="1299"/>
      <c r="F27" s="1299"/>
      <c r="G27" s="1290"/>
    </row>
    <row r="28" spans="1:7" ht="12" customHeight="1">
      <c r="A28" s="11"/>
      <c r="B28" s="2"/>
      <c r="C28" s="2"/>
      <c r="D28" s="2"/>
      <c r="E28" s="2"/>
      <c r="F28" s="2"/>
      <c r="G28" s="7"/>
    </row>
    <row r="29" spans="1:7" ht="12" customHeight="1">
      <c r="A29" s="1"/>
      <c r="B29" s="2"/>
      <c r="C29" s="2"/>
      <c r="D29" s="2"/>
      <c r="E29" s="2"/>
      <c r="F29" s="2"/>
      <c r="G29" s="7"/>
    </row>
    <row r="30" spans="1:7" ht="12" customHeight="1">
      <c r="A30" s="1306" t="s">
        <v>14</v>
      </c>
      <c r="B30" s="1299"/>
      <c r="C30" s="1299"/>
      <c r="D30" s="1299"/>
      <c r="E30" s="1299"/>
      <c r="F30" s="1299"/>
      <c r="G30" s="1290"/>
    </row>
    <row r="33" spans="1:7" ht="12" customHeight="1">
      <c r="A33" s="1306" t="s">
        <v>15</v>
      </c>
      <c r="B33" s="1299"/>
      <c r="C33" s="1299"/>
      <c r="D33" s="1299"/>
      <c r="E33" s="1299"/>
      <c r="F33" s="1299"/>
      <c r="G33" s="1290"/>
    </row>
    <row r="34" spans="1:7" ht="12" customHeight="1">
      <c r="A34" s="1298"/>
      <c r="B34" s="1299"/>
      <c r="C34" s="1299"/>
      <c r="D34" s="1299"/>
      <c r="E34" s="1299"/>
      <c r="F34" s="1299"/>
      <c r="G34" s="1290"/>
    </row>
    <row r="35" spans="1:7" ht="12" customHeight="1">
      <c r="A35" s="15"/>
      <c r="B35" s="16"/>
      <c r="C35" s="16"/>
      <c r="D35" s="16"/>
      <c r="E35" s="16"/>
      <c r="F35" s="16"/>
      <c r="G35" s="17"/>
    </row>
    <row r="36" spans="1:7" ht="12" customHeight="1">
      <c r="A36" s="2"/>
      <c r="B36" s="2"/>
      <c r="C36" s="2"/>
      <c r="D36" s="2"/>
      <c r="E36" s="2"/>
      <c r="F36" s="2"/>
      <c r="G36" s="2"/>
    </row>
    <row r="37" spans="1:7" ht="12" customHeight="1">
      <c r="A37" s="18" t="s">
        <v>16</v>
      </c>
      <c r="B37" s="19"/>
      <c r="C37" s="19"/>
      <c r="D37" s="19"/>
      <c r="E37" s="19"/>
      <c r="F37" s="19"/>
      <c r="G37" s="20"/>
    </row>
    <row r="38" spans="1:7" ht="12" customHeight="1">
      <c r="A38" s="1"/>
      <c r="B38" s="2"/>
      <c r="C38" s="2"/>
      <c r="D38" s="2"/>
      <c r="E38" s="2"/>
      <c r="F38" s="2"/>
      <c r="G38" s="7"/>
    </row>
    <row r="39" spans="1:7" ht="12" customHeight="1">
      <c r="A39" s="1" t="s">
        <v>17</v>
      </c>
      <c r="B39" s="2"/>
      <c r="C39" s="2"/>
      <c r="D39" s="2"/>
      <c r="E39" s="2"/>
      <c r="F39" s="2"/>
      <c r="G39" s="7"/>
    </row>
    <row r="40" spans="1:7" ht="12" customHeight="1">
      <c r="A40" s="1" t="s">
        <v>18</v>
      </c>
      <c r="B40" s="2"/>
      <c r="C40" s="2"/>
      <c r="D40" s="2"/>
      <c r="E40" s="2"/>
      <c r="F40" s="2"/>
      <c r="G40" s="7"/>
    </row>
    <row r="41" spans="1:7" ht="12" customHeight="1">
      <c r="A41" s="1" t="s">
        <v>19</v>
      </c>
      <c r="B41" s="2"/>
      <c r="C41" s="2"/>
      <c r="D41" s="2"/>
      <c r="E41" s="2"/>
      <c r="F41" s="2"/>
      <c r="G41" s="7"/>
    </row>
    <row r="42" spans="1:7" ht="12" customHeight="1">
      <c r="A42" s="1"/>
      <c r="B42" s="2"/>
      <c r="C42" s="2"/>
      <c r="D42" s="2"/>
      <c r="E42" s="2"/>
      <c r="F42" s="2"/>
      <c r="G42" s="7"/>
    </row>
    <row r="43" spans="1:7" ht="12" customHeight="1">
      <c r="A43" s="21" t="s">
        <v>20</v>
      </c>
      <c r="B43" s="2"/>
      <c r="C43" s="2"/>
      <c r="D43" s="2"/>
      <c r="E43" s="2"/>
      <c r="F43" s="2"/>
      <c r="G43" s="7"/>
    </row>
    <row r="44" spans="1:7" ht="12" customHeight="1">
      <c r="A44" s="1" t="s">
        <v>21</v>
      </c>
      <c r="B44" s="2"/>
      <c r="C44" s="2"/>
      <c r="D44" s="2"/>
      <c r="E44" s="2"/>
      <c r="F44" s="2"/>
      <c r="G44" s="7"/>
    </row>
    <row r="45" spans="1:7" ht="12" customHeight="1">
      <c r="A45" s="15"/>
      <c r="B45" s="16"/>
      <c r="C45" s="16"/>
      <c r="D45" s="16"/>
      <c r="E45" s="16"/>
      <c r="F45" s="16"/>
      <c r="G45" s="17"/>
    </row>
    <row r="46" spans="1:7" ht="12" customHeight="1">
      <c r="A46" s="12"/>
      <c r="B46" s="2"/>
      <c r="C46" s="2"/>
      <c r="D46" s="2"/>
      <c r="E46" s="2"/>
      <c r="F46" s="2"/>
      <c r="G46" s="2"/>
    </row>
    <row r="47" spans="1:7" ht="12" customHeight="1">
      <c r="A47" s="1302" t="s">
        <v>22</v>
      </c>
      <c r="B47" s="1299"/>
      <c r="C47" s="1299"/>
      <c r="D47" s="1299"/>
      <c r="E47" s="1299"/>
      <c r="F47" s="1299"/>
      <c r="G47" s="1299"/>
    </row>
    <row r="48" spans="1:7" ht="12" customHeight="1">
      <c r="A48" s="22" t="s">
        <v>23</v>
      </c>
      <c r="B48" s="23"/>
      <c r="C48" s="19"/>
      <c r="D48" s="19"/>
      <c r="E48" s="19"/>
      <c r="F48" s="19"/>
      <c r="G48" s="20"/>
    </row>
    <row r="49" spans="1:7" ht="12" customHeight="1">
      <c r="A49" s="24" t="s">
        <v>24</v>
      </c>
      <c r="B49" s="2"/>
      <c r="C49" s="2"/>
      <c r="D49" s="2"/>
      <c r="E49" s="2"/>
      <c r="F49" s="2"/>
      <c r="G49" s="7"/>
    </row>
    <row r="50" spans="1:7" ht="12" customHeight="1">
      <c r="A50" s="24"/>
      <c r="B50" s="2"/>
      <c r="C50" s="2"/>
      <c r="D50" s="2"/>
      <c r="E50" s="2"/>
      <c r="F50" s="2"/>
      <c r="G50" s="7"/>
    </row>
    <row r="51" spans="1:7" ht="12" customHeight="1">
      <c r="A51" s="1303" t="s">
        <v>25</v>
      </c>
      <c r="B51" s="1299"/>
      <c r="C51" s="1299"/>
      <c r="D51" s="1299"/>
      <c r="E51" s="1299"/>
      <c r="F51" s="1299"/>
      <c r="G51" s="1290"/>
    </row>
    <row r="52" spans="1:7" ht="12" customHeight="1">
      <c r="A52" s="1298"/>
      <c r="B52" s="1299"/>
      <c r="C52" s="1299"/>
      <c r="D52" s="1299"/>
      <c r="E52" s="1299"/>
      <c r="F52" s="1299"/>
      <c r="G52" s="1290"/>
    </row>
    <row r="53" spans="1:7" ht="12" customHeight="1">
      <c r="A53" s="1"/>
      <c r="B53" s="2"/>
      <c r="C53" s="2"/>
      <c r="D53" s="2"/>
      <c r="E53" s="2"/>
      <c r="F53" s="2"/>
      <c r="G53" s="7"/>
    </row>
    <row r="54" spans="1:7" ht="12" customHeight="1">
      <c r="A54" s="26" t="s">
        <v>26</v>
      </c>
      <c r="B54" s="2"/>
      <c r="C54" s="2"/>
      <c r="D54" s="2"/>
      <c r="E54" s="2"/>
      <c r="F54" s="2"/>
      <c r="G54" s="7"/>
    </row>
    <row r="55" spans="1:7" ht="12" customHeight="1">
      <c r="A55" s="1"/>
      <c r="B55" s="2"/>
      <c r="C55" s="2"/>
      <c r="D55" s="2"/>
      <c r="E55" s="2"/>
      <c r="F55" s="2"/>
      <c r="G55" s="7"/>
    </row>
    <row r="56" spans="1:7" ht="12" customHeight="1">
      <c r="A56" s="24" t="s">
        <v>27</v>
      </c>
      <c r="B56" s="2"/>
      <c r="C56" s="2"/>
      <c r="D56" s="2"/>
      <c r="E56" s="2"/>
      <c r="F56" s="2"/>
      <c r="G56" s="7"/>
    </row>
    <row r="57" spans="1:7" ht="12" customHeight="1">
      <c r="A57" s="27"/>
      <c r="B57" s="2"/>
      <c r="C57" s="2"/>
      <c r="D57" s="2"/>
      <c r="E57" s="2"/>
      <c r="F57" s="2"/>
      <c r="G57" s="7"/>
    </row>
    <row r="58" spans="1:7" ht="12" customHeight="1">
      <c r="A58" s="24" t="s">
        <v>28</v>
      </c>
      <c r="B58" s="2"/>
      <c r="C58" s="2"/>
      <c r="D58" s="2"/>
      <c r="E58" s="2"/>
      <c r="F58" s="2"/>
      <c r="G58" s="7"/>
    </row>
    <row r="59" spans="1:7" ht="12" customHeight="1">
      <c r="A59" s="1"/>
      <c r="B59" s="2"/>
      <c r="C59" s="2"/>
      <c r="D59" s="2"/>
      <c r="E59" s="2"/>
      <c r="F59" s="2"/>
      <c r="G59" s="7"/>
    </row>
    <row r="60" spans="1:7" ht="12" customHeight="1">
      <c r="A60" s="26" t="s">
        <v>29</v>
      </c>
      <c r="B60" s="2"/>
      <c r="C60" s="2"/>
      <c r="D60" s="2"/>
      <c r="E60" s="2"/>
      <c r="F60" s="2"/>
      <c r="G60" s="7"/>
    </row>
    <row r="61" spans="1:7" ht="12" customHeight="1">
      <c r="A61" s="1"/>
      <c r="B61" s="2"/>
      <c r="C61" s="2"/>
      <c r="D61" s="2"/>
      <c r="E61" s="2"/>
      <c r="F61" s="2"/>
      <c r="G61" s="7"/>
    </row>
    <row r="62" spans="1:7" ht="12" customHeight="1">
      <c r="A62" s="1303" t="s">
        <v>30</v>
      </c>
      <c r="B62" s="1299"/>
      <c r="C62" s="1299"/>
      <c r="D62" s="1299"/>
      <c r="E62" s="1299"/>
      <c r="F62" s="1299"/>
      <c r="G62" s="1290"/>
    </row>
    <row r="63" spans="1:7" ht="12" customHeight="1">
      <c r="A63" s="1298"/>
      <c r="B63" s="1299"/>
      <c r="C63" s="1299"/>
      <c r="D63" s="1299"/>
      <c r="E63" s="1299"/>
      <c r="F63" s="1299"/>
      <c r="G63" s="1290"/>
    </row>
    <row r="64" spans="1:7" ht="12" customHeight="1">
      <c r="A64" s="1298"/>
      <c r="B64" s="1299"/>
      <c r="C64" s="1299"/>
      <c r="D64" s="1299"/>
      <c r="E64" s="1299"/>
      <c r="F64" s="1299"/>
      <c r="G64" s="1290"/>
    </row>
    <row r="65" spans="1:7" ht="12" customHeight="1">
      <c r="A65" s="26" t="s">
        <v>31</v>
      </c>
      <c r="B65" s="2"/>
      <c r="C65" s="2"/>
      <c r="D65" s="2"/>
      <c r="E65" s="2"/>
      <c r="F65" s="2"/>
      <c r="G65" s="7"/>
    </row>
    <row r="66" spans="1:7" ht="12" customHeight="1">
      <c r="A66" s="1"/>
      <c r="B66" s="2"/>
      <c r="C66" s="2"/>
      <c r="D66" s="2"/>
      <c r="E66" s="2"/>
      <c r="F66" s="2"/>
      <c r="G66" s="7"/>
    </row>
    <row r="67" spans="1:7" ht="12" customHeight="1">
      <c r="A67" s="1303" t="s">
        <v>32</v>
      </c>
      <c r="B67" s="1299"/>
      <c r="C67" s="1299"/>
      <c r="D67" s="1299"/>
      <c r="E67" s="1299"/>
      <c r="F67" s="1299"/>
      <c r="G67" s="1290"/>
    </row>
    <row r="68" spans="1:7" ht="12" customHeight="1">
      <c r="A68" s="1298"/>
      <c r="B68" s="1299"/>
      <c r="C68" s="1299"/>
      <c r="D68" s="1299"/>
      <c r="E68" s="1299"/>
      <c r="F68" s="1299"/>
      <c r="G68" s="1290"/>
    </row>
    <row r="69" spans="1:7" ht="12" customHeight="1">
      <c r="A69" s="1303" t="s">
        <v>33</v>
      </c>
      <c r="B69" s="1299"/>
      <c r="C69" s="1299"/>
      <c r="D69" s="1299"/>
      <c r="E69" s="1299"/>
      <c r="F69" s="1299"/>
      <c r="G69" s="1290"/>
    </row>
    <row r="70" spans="1:7" ht="27" customHeight="1">
      <c r="A70" s="1298"/>
      <c r="B70" s="1299"/>
      <c r="C70" s="1299"/>
      <c r="D70" s="1299"/>
      <c r="E70" s="1299"/>
      <c r="F70" s="1299"/>
      <c r="G70" s="1290"/>
    </row>
    <row r="71" spans="1:7" ht="12" hidden="1" customHeight="1">
      <c r="A71" s="1303"/>
      <c r="B71" s="1299"/>
      <c r="C71" s="1299"/>
      <c r="D71" s="1299"/>
      <c r="E71" s="1299"/>
      <c r="F71" s="1299"/>
      <c r="G71" s="1290"/>
    </row>
    <row r="72" spans="1:7" ht="12" hidden="1" customHeight="1">
      <c r="A72" s="1298"/>
      <c r="B72" s="1299"/>
      <c r="C72" s="1299"/>
      <c r="D72" s="1299"/>
      <c r="E72" s="1299"/>
      <c r="F72" s="1299"/>
      <c r="G72" s="1290"/>
    </row>
    <row r="73" spans="1:7" ht="12" customHeight="1">
      <c r="A73" s="25"/>
      <c r="B73" s="28"/>
      <c r="C73" s="28"/>
      <c r="D73" s="28"/>
      <c r="E73" s="28"/>
      <c r="F73" s="28"/>
      <c r="G73" s="29"/>
    </row>
    <row r="74" spans="1:7" ht="12" customHeight="1">
      <c r="A74" s="26" t="s">
        <v>34</v>
      </c>
      <c r="B74" s="2"/>
      <c r="C74" s="2"/>
      <c r="D74" s="2"/>
      <c r="E74" s="2"/>
      <c r="F74" s="2"/>
      <c r="G74" s="7"/>
    </row>
    <row r="75" spans="1:7" ht="12" customHeight="1">
      <c r="A75" s="1"/>
      <c r="B75" s="2"/>
      <c r="C75" s="2"/>
      <c r="D75" s="2"/>
      <c r="E75" s="2"/>
      <c r="F75" s="2"/>
      <c r="G75" s="7"/>
    </row>
    <row r="76" spans="1:7" ht="12" customHeight="1">
      <c r="A76" s="24" t="s">
        <v>35</v>
      </c>
      <c r="B76" s="2"/>
      <c r="C76" s="2"/>
      <c r="D76" s="2"/>
      <c r="E76" s="2"/>
      <c r="F76" s="2"/>
      <c r="G76" s="7"/>
    </row>
    <row r="77" spans="1:7" ht="12" customHeight="1">
      <c r="A77" s="1303"/>
      <c r="B77" s="1299"/>
      <c r="C77" s="1299"/>
      <c r="D77" s="1299"/>
      <c r="E77" s="1299"/>
      <c r="F77" s="1299"/>
      <c r="G77" s="1290"/>
    </row>
    <row r="78" spans="1:7" ht="12" customHeight="1">
      <c r="A78" s="1298"/>
      <c r="B78" s="1299"/>
      <c r="C78" s="1299"/>
      <c r="D78" s="1299"/>
      <c r="E78" s="1299"/>
      <c r="F78" s="1299"/>
      <c r="G78" s="1290"/>
    </row>
  </sheetData>
  <mergeCells count="21">
    <mergeCell ref="A67:G68"/>
    <mergeCell ref="A69:G70"/>
    <mergeCell ref="A71:G72"/>
    <mergeCell ref="A77:G78"/>
    <mergeCell ref="A15:G15"/>
    <mergeCell ref="A19:G21"/>
    <mergeCell ref="A23:G23"/>
    <mergeCell ref="A25:G25"/>
    <mergeCell ref="A27:G27"/>
    <mergeCell ref="A30:G30"/>
    <mergeCell ref="A33:G34"/>
    <mergeCell ref="A9:G11"/>
    <mergeCell ref="A12:G14"/>
    <mergeCell ref="A47:G47"/>
    <mergeCell ref="A51:G52"/>
    <mergeCell ref="A62:G64"/>
    <mergeCell ref="A1:G1"/>
    <mergeCell ref="G2:G4"/>
    <mergeCell ref="B3:D3"/>
    <mergeCell ref="B5:F5"/>
    <mergeCell ref="A8:G8"/>
  </mergeCells>
  <printOptions horizontalCentered="1" verticalCentered="1"/>
  <pageMargins left="0.59055118110236227" right="0.59055118110236227" top="0.43307086614173229" bottom="0.39370078740157483" header="0" footer="0"/>
  <pageSetup paperSize="14" scale="50" orientation="landscape" r:id="rId1"/>
  <headerFooter>
    <oddFooter>&amp;CPágina &amp;P de</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BQ263"/>
  <sheetViews>
    <sheetView showGridLines="0" topLeftCell="A27" zoomScale="93" zoomScaleNormal="93" workbookViewId="0">
      <selection activeCell="A38" sqref="A38"/>
    </sheetView>
  </sheetViews>
  <sheetFormatPr baseColWidth="10" defaultColWidth="14.42578125" defaultRowHeight="15" customHeight="1"/>
  <cols>
    <col min="1" max="1" width="27.28515625" customWidth="1"/>
    <col min="2" max="2" width="51" customWidth="1"/>
    <col min="3" max="3" width="18.5703125" customWidth="1"/>
    <col min="4" max="4" width="16.140625" customWidth="1"/>
    <col min="5" max="10" width="14.42578125" customWidth="1"/>
    <col min="11" max="11" width="19.85546875" customWidth="1"/>
    <col min="12" max="12" width="14.42578125" customWidth="1"/>
    <col min="13" max="14" width="16.7109375" customWidth="1"/>
    <col min="15" max="15" width="2.85546875" customWidth="1"/>
    <col min="16" max="17" width="23.7109375" customWidth="1"/>
    <col min="18" max="18" width="5.42578125" customWidth="1"/>
    <col min="19" max="19" width="22.85546875" customWidth="1"/>
    <col min="20" max="20" width="60.140625" customWidth="1"/>
    <col min="21" max="21" width="16.28515625" customWidth="1"/>
    <col min="22" max="22" width="14.7109375" customWidth="1"/>
    <col min="23" max="23" width="19" customWidth="1"/>
    <col min="24" max="24" width="15.5703125" customWidth="1"/>
    <col min="25" max="25" width="20.5703125" customWidth="1"/>
    <col min="26" max="26" width="14.7109375" customWidth="1"/>
    <col min="27" max="27" width="17.85546875" customWidth="1"/>
    <col min="28" max="28" width="17" customWidth="1"/>
    <col min="29" max="29" width="16" customWidth="1"/>
    <col min="30" max="30" width="19" customWidth="1"/>
    <col min="31" max="31" width="16.140625" customWidth="1"/>
    <col min="32" max="32" width="14.7109375" customWidth="1"/>
    <col min="33" max="33" width="17.5703125" customWidth="1"/>
    <col min="34" max="36" width="16.7109375" customWidth="1"/>
    <col min="37" max="37" width="14.28515625" bestFit="1" customWidth="1"/>
    <col min="38" max="39" width="23.7109375" customWidth="1"/>
    <col min="40" max="40" width="37.140625" customWidth="1"/>
    <col min="41" max="41" width="12.28515625" customWidth="1"/>
    <col min="42" max="42" width="52.7109375" customWidth="1"/>
    <col min="43" max="45" width="16.85546875" customWidth="1"/>
    <col min="46" max="46" width="12.7109375" customWidth="1"/>
    <col min="47" max="47" width="27.42578125" customWidth="1"/>
    <col min="48" max="48" width="25" customWidth="1"/>
    <col min="49" max="52" width="16.85546875" customWidth="1"/>
    <col min="53" max="53" width="11" customWidth="1"/>
    <col min="54" max="54" width="65.140625" customWidth="1"/>
    <col min="55" max="57" width="18.85546875" customWidth="1"/>
    <col min="58" max="58" width="36.140625" customWidth="1"/>
    <col min="59" max="59" width="72.7109375" customWidth="1"/>
    <col min="60" max="63" width="17.5703125" customWidth="1"/>
    <col min="64" max="64" width="31.5703125" customWidth="1"/>
    <col min="65" max="65" width="76" customWidth="1"/>
    <col min="66" max="66" width="17.140625" customWidth="1"/>
    <col min="67" max="67" width="18.42578125" customWidth="1"/>
    <col min="68" max="68" width="17" customWidth="1"/>
    <col min="69" max="69" width="22" customWidth="1"/>
    <col min="70" max="70" width="11" customWidth="1"/>
  </cols>
  <sheetData>
    <row r="1" spans="1:69" ht="24.75" customHeight="1" thickBot="1">
      <c r="A1" s="1362"/>
      <c r="B1" s="1363"/>
      <c r="C1" s="1420"/>
      <c r="D1" s="1420"/>
      <c r="E1" s="1420"/>
      <c r="F1" s="1420"/>
      <c r="G1" s="1420"/>
      <c r="H1" s="1420"/>
      <c r="I1" s="1420"/>
      <c r="J1" s="1420"/>
      <c r="K1" s="1421" t="str">
        <f>+IF(L8&gt;I8,"OJO - SUS RECAUDOS SON SUPERIORES A SUS RECONOCIMIENTOS, VERIFIQUE","")</f>
        <v/>
      </c>
      <c r="L1" s="1421"/>
      <c r="M1" s="1421"/>
      <c r="N1" s="1421"/>
      <c r="O1" s="31"/>
      <c r="P1" s="32"/>
      <c r="Q1" s="32"/>
      <c r="R1" s="31"/>
      <c r="S1" s="33"/>
      <c r="T1" s="34"/>
      <c r="U1" s="35" t="str">
        <f>+IF(AA8&gt;X8,"OJO - HA COMPROMETIDO MUCHO MAS DE LO QUE TIENE PRESUPUESTADO","")</f>
        <v/>
      </c>
      <c r="V1" s="31"/>
      <c r="W1" s="31"/>
      <c r="X1" s="35"/>
      <c r="Y1" s="35" t="str">
        <f>+IF(AD8&gt;AA8,"OJO - SUS OBLIGACIONES SUPERAN SUS COMPROMISOS, VERIFIQUE","")</f>
        <v/>
      </c>
      <c r="Z1" s="31"/>
      <c r="AA1" s="31"/>
      <c r="AB1" s="31"/>
      <c r="AC1" s="35" t="str">
        <f>+IF(AG8&gt;AD8,"OJO - SUS PAGOS NO PUEDEN SUPERAR SUS OBLIGACIONES, VERIFIQUE","")</f>
        <v/>
      </c>
      <c r="AD1" s="31"/>
      <c r="AE1" s="31"/>
      <c r="AF1" s="31"/>
      <c r="AG1" s="31"/>
      <c r="AH1" s="31"/>
      <c r="AI1" s="31"/>
      <c r="AJ1" s="31"/>
      <c r="AK1" s="36"/>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r="2" spans="1:69" ht="53.25" customHeight="1" thickBot="1">
      <c r="A2" s="524"/>
      <c r="B2" s="45" t="str">
        <f>+ENERO!B2</f>
        <v>SECRETARIA SECCIONAL DE SALUD Y PROTECCION SOCIAL DE ANTIOQUIA DE ANTIOQUIA</v>
      </c>
      <c r="C2" s="39"/>
      <c r="D2" s="1407" t="str">
        <f>+IF(F2="","","MUNICIPIO:")</f>
        <v>MUNICIPIO:</v>
      </c>
      <c r="E2" s="1407"/>
      <c r="F2" s="40" t="str">
        <f>IF(INSTRUCCIONES!B3=0,"",INSTRUCCIONES!B3)</f>
        <v>BELLO</v>
      </c>
      <c r="G2" s="41"/>
      <c r="H2" s="41"/>
      <c r="I2" s="41"/>
      <c r="J2" s="41"/>
      <c r="K2" s="42"/>
      <c r="L2" s="1422" t="s">
        <v>37</v>
      </c>
      <c r="M2" s="1476"/>
      <c r="N2" s="43" t="s">
        <v>38</v>
      </c>
      <c r="O2" s="31"/>
      <c r="P2" s="1480" t="s">
        <v>346</v>
      </c>
      <c r="Q2" s="1481"/>
      <c r="R2" s="31"/>
      <c r="S2" s="44"/>
      <c r="T2" s="45" t="str">
        <f>+ENERO!T2</f>
        <v>SECRETARIA SECCIONAL DE SALUD Y PROTECCION SOCIAL DE ANTIOQUIA DE ANTIOQUIA</v>
      </c>
      <c r="U2" s="39"/>
      <c r="V2" s="1433" t="str">
        <f>+IF(Y2="","","M U N I C I P I O:")</f>
        <v>M U N I C I P I O:</v>
      </c>
      <c r="W2" s="1433"/>
      <c r="X2" s="1433"/>
      <c r="Y2" s="1434" t="str">
        <f>IF(INSTRUCCIONES!B3=0,"",INSTRUCCIONES!B3)</f>
        <v>BELLO</v>
      </c>
      <c r="Z2" s="1434"/>
      <c r="AA2" s="1434"/>
      <c r="AB2" s="1434"/>
      <c r="AC2" s="1434"/>
      <c r="AD2" s="1434"/>
      <c r="AE2" s="1434"/>
      <c r="AF2" s="1434"/>
      <c r="AG2" s="1475"/>
      <c r="AH2" s="1422" t="s">
        <v>37</v>
      </c>
      <c r="AI2" s="1476"/>
      <c r="AJ2" s="43" t="s">
        <v>38</v>
      </c>
      <c r="AK2" s="36"/>
      <c r="AL2" s="1423" t="s">
        <v>346</v>
      </c>
      <c r="AM2" s="1338"/>
      <c r="AN2" s="31"/>
      <c r="AO2" s="46">
        <v>9</v>
      </c>
      <c r="AP2" s="1342" t="s">
        <v>40</v>
      </c>
      <c r="AQ2" s="1322"/>
      <c r="AR2" s="1322"/>
      <c r="AS2" s="1322"/>
      <c r="AT2" s="1322"/>
      <c r="AU2" s="1322"/>
      <c r="AV2" s="1322"/>
      <c r="AW2" s="1322"/>
      <c r="AX2" s="1322"/>
      <c r="AY2" s="1322"/>
      <c r="AZ2" s="1323"/>
      <c r="BA2" s="31"/>
      <c r="BB2" s="1341" t="s">
        <v>41</v>
      </c>
      <c r="BC2" s="1327"/>
      <c r="BD2" s="47" t="s">
        <v>37</v>
      </c>
      <c r="BE2" s="43" t="str">
        <f>+L3</f>
        <v>SEPTIEMBRE</v>
      </c>
      <c r="BF2" s="35"/>
      <c r="BG2" s="1341" t="s">
        <v>42</v>
      </c>
      <c r="BH2" s="1337"/>
      <c r="BI2" s="1327"/>
      <c r="BJ2" s="47" t="s">
        <v>37</v>
      </c>
      <c r="BK2" s="43" t="str">
        <f>+BE2</f>
        <v>SEPTIEMBRE</v>
      </c>
      <c r="BL2" s="31"/>
      <c r="BM2" s="1343" t="s">
        <v>42</v>
      </c>
      <c r="BN2" s="1344"/>
      <c r="BO2" s="1345"/>
      <c r="BP2" s="732" t="s">
        <v>37</v>
      </c>
      <c r="BQ2" s="733" t="str">
        <f>+BK2</f>
        <v>SEPTIEMBRE</v>
      </c>
    </row>
    <row r="3" spans="1:69" ht="24.75" customHeight="1" thickBot="1">
      <c r="A3" s="525"/>
      <c r="B3" s="1469" t="s">
        <v>43</v>
      </c>
      <c r="C3" s="49"/>
      <c r="D3" s="1438" t="str">
        <f>+IF(F3="","","INSTITUCION")</f>
        <v>INSTITUCION</v>
      </c>
      <c r="E3" s="1438"/>
      <c r="F3" s="1435" t="str">
        <f>IF(INSTRUCCIONES!B5=0,"",INSTRUCCIONES!B5)</f>
        <v>ESE HOSPITAL MARCO FIDEL SUAREZ</v>
      </c>
      <c r="G3" s="1435"/>
      <c r="H3" s="1435"/>
      <c r="I3" s="1435"/>
      <c r="J3" s="1435"/>
      <c r="K3" s="1453"/>
      <c r="L3" s="1412" t="s">
        <v>393</v>
      </c>
      <c r="M3" s="1456"/>
      <c r="N3" s="1395">
        <f>SUM(ENERO!AJ3)</f>
        <v>2025</v>
      </c>
      <c r="O3" s="31"/>
      <c r="P3" s="1397" t="s">
        <v>394</v>
      </c>
      <c r="Q3" s="1400" t="s">
        <v>395</v>
      </c>
      <c r="R3" s="31"/>
      <c r="S3" s="50"/>
      <c r="T3" s="1469" t="s">
        <v>47</v>
      </c>
      <c r="U3" s="51"/>
      <c r="V3" s="1439" t="str">
        <f>+IF(Y3="","","E.S.E. H O S P I T A L:")</f>
        <v>E.S.E. H O S P I T A L:</v>
      </c>
      <c r="W3" s="1439"/>
      <c r="X3" s="1439"/>
      <c r="Y3" s="1435" t="str">
        <f>IF(INSTRUCCIONES!B5=0,"",INSTRUCCIONES!B5)</f>
        <v>ESE HOSPITAL MARCO FIDEL SUAREZ</v>
      </c>
      <c r="Z3" s="1435"/>
      <c r="AA3" s="1435"/>
      <c r="AB3" s="1435"/>
      <c r="AC3" s="1435"/>
      <c r="AD3" s="1435"/>
      <c r="AE3" s="1435"/>
      <c r="AF3" s="1435"/>
      <c r="AG3" s="1453"/>
      <c r="AH3" s="1412" t="str">
        <f>+L3</f>
        <v>SEPTIEMBRE</v>
      </c>
      <c r="AI3" s="1456"/>
      <c r="AJ3" s="1395">
        <f>+N3</f>
        <v>2025</v>
      </c>
      <c r="AK3" s="36"/>
      <c r="AL3" s="1397" t="s">
        <v>349</v>
      </c>
      <c r="AM3" s="1400" t="s">
        <v>348</v>
      </c>
      <c r="AN3" s="31"/>
      <c r="AO3" s="52"/>
      <c r="AP3" s="1373" t="s">
        <v>50</v>
      </c>
      <c r="AQ3" s="1374"/>
      <c r="AR3" s="1374"/>
      <c r="AS3" s="1374"/>
      <c r="AT3" s="1374"/>
      <c r="AU3" s="1374"/>
      <c r="AV3" s="1374"/>
      <c r="AW3" s="1374"/>
      <c r="AX3" s="1374"/>
      <c r="AY3" s="1374"/>
      <c r="AZ3" s="1375"/>
      <c r="BA3" s="31"/>
      <c r="BB3" s="1376" t="str">
        <f>+CONCATENATE(INSTRUCCIONES!B5, " - ", INSTRUCCIONES!B3)</f>
        <v>ESE HOSPITAL MARCO FIDEL SUAREZ - BELLO</v>
      </c>
      <c r="BC3" s="1377"/>
      <c r="BD3" s="53" t="s">
        <v>38</v>
      </c>
      <c r="BE3" s="54">
        <f>+N3</f>
        <v>2025</v>
      </c>
      <c r="BF3" s="55" t="s">
        <v>51</v>
      </c>
      <c r="BG3" s="1376" t="str">
        <f>+CONCATENATE(INSTRUCCIONES!B5, " - ", INSTRUCCIONES!B3)</f>
        <v>ESE HOSPITAL MARCO FIDEL SUAREZ - BELLO</v>
      </c>
      <c r="BH3" s="1378"/>
      <c r="BI3" s="1377"/>
      <c r="BJ3" s="53" t="s">
        <v>38</v>
      </c>
      <c r="BK3" s="54">
        <f>+BE3</f>
        <v>2025</v>
      </c>
      <c r="BL3" s="31"/>
      <c r="BM3" s="1379" t="str">
        <f>+CONCATENATE(INSTRUCCIONES!B5, " - ", INSTRUCCIONES!B3)</f>
        <v>ESE HOSPITAL MARCO FIDEL SUAREZ - BELLO</v>
      </c>
      <c r="BN3" s="1380"/>
      <c r="BO3" s="1381"/>
      <c r="BP3" s="53" t="s">
        <v>38</v>
      </c>
      <c r="BQ3" s="734">
        <f>+BK3</f>
        <v>2025</v>
      </c>
    </row>
    <row r="4" spans="1:69" ht="24.75" customHeight="1" thickBot="1">
      <c r="A4" s="525"/>
      <c r="B4" s="1470"/>
      <c r="C4" s="56"/>
      <c r="D4" s="1477"/>
      <c r="E4" s="1477"/>
      <c r="F4" s="1454"/>
      <c r="G4" s="1454"/>
      <c r="H4" s="1454"/>
      <c r="I4" s="1454"/>
      <c r="J4" s="1454"/>
      <c r="K4" s="1455"/>
      <c r="L4" s="1457"/>
      <c r="M4" s="1458"/>
      <c r="N4" s="1468"/>
      <c r="O4" s="31"/>
      <c r="P4" s="1459"/>
      <c r="Q4" s="1461"/>
      <c r="R4" s="31"/>
      <c r="S4" s="50"/>
      <c r="T4" s="1470"/>
      <c r="U4" s="56"/>
      <c r="V4" s="1479"/>
      <c r="W4" s="1479"/>
      <c r="X4" s="1479"/>
      <c r="Y4" s="1454"/>
      <c r="Z4" s="1454"/>
      <c r="AA4" s="1454"/>
      <c r="AB4" s="1454"/>
      <c r="AC4" s="1454"/>
      <c r="AD4" s="1454"/>
      <c r="AE4" s="1454"/>
      <c r="AF4" s="1454"/>
      <c r="AG4" s="1455"/>
      <c r="AH4" s="1457"/>
      <c r="AI4" s="1458"/>
      <c r="AJ4" s="1468"/>
      <c r="AK4" s="36"/>
      <c r="AL4" s="1398"/>
      <c r="AM4" s="1401"/>
      <c r="AN4" s="31"/>
      <c r="AO4" s="52"/>
      <c r="AP4" s="57"/>
      <c r="AQ4" s="58" t="s">
        <v>52</v>
      </c>
      <c r="AR4" s="58" t="s">
        <v>53</v>
      </c>
      <c r="AS4" s="58" t="s">
        <v>54</v>
      </c>
      <c r="AT4" s="58" t="s">
        <v>55</v>
      </c>
      <c r="AU4" s="58" t="s">
        <v>55</v>
      </c>
      <c r="AV4" s="59" t="s">
        <v>55</v>
      </c>
      <c r="AW4" s="1382" t="str">
        <f>+CONCATENATE("PROYECCION A DICIEMBRE 31 DEL ",N3)</f>
        <v>PROYECCION A DICIEMBRE 31 DEL 2025</v>
      </c>
      <c r="AX4" s="1374"/>
      <c r="AY4" s="1374"/>
      <c r="AZ4" s="1375"/>
      <c r="BA4" s="31"/>
      <c r="BB4" s="60"/>
      <c r="BC4" s="61"/>
      <c r="BD4" s="61"/>
      <c r="BE4" s="63"/>
      <c r="BF4" s="64"/>
      <c r="BG4" s="60"/>
      <c r="BH4" s="61"/>
      <c r="BI4" s="61"/>
      <c r="BJ4" s="62"/>
      <c r="BK4" s="65"/>
      <c r="BL4" s="66"/>
      <c r="BM4" s="735"/>
      <c r="BN4" s="736"/>
      <c r="BO4" s="737"/>
      <c r="BP4" s="737"/>
      <c r="BQ4" s="738"/>
    </row>
    <row r="5" spans="1:69" ht="42" customHeight="1" thickTop="1" thickBot="1">
      <c r="A5" s="1409" t="s">
        <v>56</v>
      </c>
      <c r="B5" s="1410" t="s">
        <v>61</v>
      </c>
      <c r="C5" s="1411" t="s">
        <v>57</v>
      </c>
      <c r="D5" s="1402"/>
      <c r="E5" s="1402"/>
      <c r="F5" s="1474"/>
      <c r="G5" s="1414" t="s">
        <v>396</v>
      </c>
      <c r="H5" s="1463"/>
      <c r="I5" s="1464"/>
      <c r="J5" s="1415" t="str">
        <f>+IF(L8&gt;I8,"OJO - RECAUDOS MAYORES QUE RECONOCIMIENTOS","RECAUDO")</f>
        <v>RECAUDO</v>
      </c>
      <c r="K5" s="1465"/>
      <c r="L5" s="1466"/>
      <c r="M5" s="1416" t="s">
        <v>59</v>
      </c>
      <c r="N5" s="1467"/>
      <c r="O5" s="31"/>
      <c r="P5" s="1460"/>
      <c r="Q5" s="1462"/>
      <c r="R5" s="31"/>
      <c r="S5" s="1418" t="s">
        <v>60</v>
      </c>
      <c r="T5" s="1410" t="s">
        <v>61</v>
      </c>
      <c r="U5" s="1411" t="s">
        <v>57</v>
      </c>
      <c r="V5" s="1402"/>
      <c r="W5" s="1402"/>
      <c r="X5" s="1474"/>
      <c r="Y5" s="1403" t="s">
        <v>397</v>
      </c>
      <c r="Z5" s="1471"/>
      <c r="AA5" s="1472"/>
      <c r="AB5" s="1403" t="s">
        <v>398</v>
      </c>
      <c r="AC5" s="1471"/>
      <c r="AD5" s="1472"/>
      <c r="AE5" s="1403" t="s">
        <v>34</v>
      </c>
      <c r="AF5" s="1471"/>
      <c r="AG5" s="1472"/>
      <c r="AH5" s="1403" t="s">
        <v>64</v>
      </c>
      <c r="AI5" s="1471"/>
      <c r="AJ5" s="1472"/>
      <c r="AK5" s="36"/>
      <c r="AL5" s="1399"/>
      <c r="AM5" s="1396"/>
      <c r="AN5" s="31"/>
      <c r="AO5" s="68"/>
      <c r="AP5" s="69" t="s">
        <v>65</v>
      </c>
      <c r="AQ5" s="58"/>
      <c r="AR5" s="58" t="s">
        <v>66</v>
      </c>
      <c r="AS5" s="58" t="s">
        <v>66</v>
      </c>
      <c r="AT5" s="58" t="s">
        <v>67</v>
      </c>
      <c r="AU5" s="58" t="s">
        <v>68</v>
      </c>
      <c r="AV5" s="58" t="s">
        <v>68</v>
      </c>
      <c r="AW5" s="58" t="s">
        <v>23</v>
      </c>
      <c r="AX5" s="58" t="s">
        <v>26</v>
      </c>
      <c r="AY5" s="58" t="s">
        <v>69</v>
      </c>
      <c r="AZ5" s="70" t="s">
        <v>69</v>
      </c>
      <c r="BA5" s="31"/>
      <c r="BB5" s="71" t="s">
        <v>70</v>
      </c>
      <c r="BC5" s="1445" t="str">
        <f>+CONCATENATE("ACUMULADO ",N3)</f>
        <v>ACUMULADO 2025</v>
      </c>
      <c r="BD5" s="1322"/>
      <c r="BE5" s="1323"/>
      <c r="BF5" s="1440" t="s">
        <v>352</v>
      </c>
      <c r="BG5" s="549" t="s">
        <v>71</v>
      </c>
      <c r="BH5" s="1361" t="str">
        <f>+CONCATENATE("ACUMULADO ",N3)</f>
        <v>ACUMULADO 2025</v>
      </c>
      <c r="BI5" s="1322"/>
      <c r="BJ5" s="1322"/>
      <c r="BK5" s="1442"/>
      <c r="BL5" s="1443" t="s">
        <v>353</v>
      </c>
      <c r="BM5" s="1384" t="s">
        <v>71</v>
      </c>
      <c r="BN5" s="1370" t="str">
        <f>+CONCATENATE("ACUMULADO ",BQ3)</f>
        <v>ACUMULADO 2025</v>
      </c>
      <c r="BO5" s="1371"/>
      <c r="BP5" s="1371"/>
      <c r="BQ5" s="1372"/>
    </row>
    <row r="6" spans="1:69" ht="24.75" customHeight="1" thickBot="1">
      <c r="A6" s="1478"/>
      <c r="B6" s="1473"/>
      <c r="C6" s="76" t="s">
        <v>72</v>
      </c>
      <c r="D6" s="77" t="s">
        <v>73</v>
      </c>
      <c r="E6" s="77" t="s">
        <v>74</v>
      </c>
      <c r="F6" s="78" t="s">
        <v>75</v>
      </c>
      <c r="G6" s="76" t="s">
        <v>76</v>
      </c>
      <c r="H6" s="77" t="s">
        <v>77</v>
      </c>
      <c r="I6" s="78" t="s">
        <v>78</v>
      </c>
      <c r="J6" s="76" t="s">
        <v>76</v>
      </c>
      <c r="K6" s="77" t="s">
        <v>77</v>
      </c>
      <c r="L6" s="78" t="s">
        <v>78</v>
      </c>
      <c r="M6" s="76" t="s">
        <v>79</v>
      </c>
      <c r="N6" s="78" t="s">
        <v>80</v>
      </c>
      <c r="O6" s="31"/>
      <c r="P6" s="79" t="s">
        <v>39</v>
      </c>
      <c r="Q6" s="80" t="s">
        <v>82</v>
      </c>
      <c r="R6" s="31"/>
      <c r="S6" s="1451"/>
      <c r="T6" s="1473"/>
      <c r="U6" s="81" t="s">
        <v>72</v>
      </c>
      <c r="V6" s="82" t="s">
        <v>73</v>
      </c>
      <c r="W6" s="82" t="s">
        <v>74</v>
      </c>
      <c r="X6" s="83" t="s">
        <v>75</v>
      </c>
      <c r="Y6" s="84" t="s">
        <v>76</v>
      </c>
      <c r="Z6" s="82" t="s">
        <v>77</v>
      </c>
      <c r="AA6" s="82" t="s">
        <v>78</v>
      </c>
      <c r="AB6" s="84" t="s">
        <v>76</v>
      </c>
      <c r="AC6" s="82" t="s">
        <v>77</v>
      </c>
      <c r="AD6" s="82" t="s">
        <v>78</v>
      </c>
      <c r="AE6" s="84" t="s">
        <v>76</v>
      </c>
      <c r="AF6" s="82" t="s">
        <v>77</v>
      </c>
      <c r="AG6" s="82" t="s">
        <v>78</v>
      </c>
      <c r="AH6" s="84" t="s">
        <v>29</v>
      </c>
      <c r="AI6" s="82" t="s">
        <v>31</v>
      </c>
      <c r="AJ6" s="83" t="s">
        <v>34</v>
      </c>
      <c r="AK6" s="36"/>
      <c r="AL6" s="76" t="s">
        <v>39</v>
      </c>
      <c r="AM6" s="78" t="s">
        <v>82</v>
      </c>
      <c r="AN6" s="31"/>
      <c r="AO6" s="85"/>
      <c r="AP6" s="86"/>
      <c r="AQ6" s="87" t="s">
        <v>75</v>
      </c>
      <c r="AR6" s="87" t="str">
        <f>+L3</f>
        <v>SEPTIEMBRE</v>
      </c>
      <c r="AS6" s="87" t="str">
        <f>AR6</f>
        <v>SEPTIEMBRE</v>
      </c>
      <c r="AT6" s="87" t="str">
        <f>AR6</f>
        <v>SEPTIEMBRE</v>
      </c>
      <c r="AU6" s="87" t="s">
        <v>53</v>
      </c>
      <c r="AV6" s="87" t="s">
        <v>26</v>
      </c>
      <c r="AW6" s="87"/>
      <c r="AX6" s="87"/>
      <c r="AY6" s="87" t="s">
        <v>53</v>
      </c>
      <c r="AZ6" s="88" t="s">
        <v>26</v>
      </c>
      <c r="BA6" s="31"/>
      <c r="BB6" s="89"/>
      <c r="BC6" s="90" t="s">
        <v>83</v>
      </c>
      <c r="BD6" s="91" t="s">
        <v>84</v>
      </c>
      <c r="BE6" s="92" t="s">
        <v>85</v>
      </c>
      <c r="BF6" s="1441"/>
      <c r="BG6" s="550"/>
      <c r="BH6" s="551" t="s">
        <v>83</v>
      </c>
      <c r="BI6" s="551" t="s">
        <v>86</v>
      </c>
      <c r="BJ6" s="551" t="s">
        <v>87</v>
      </c>
      <c r="BK6" s="552" t="s">
        <v>88</v>
      </c>
      <c r="BL6" s="1444"/>
      <c r="BM6" s="1385"/>
      <c r="BN6" s="96" t="s">
        <v>83</v>
      </c>
      <c r="BO6" s="739" t="s">
        <v>86</v>
      </c>
      <c r="BP6" s="739" t="s">
        <v>87</v>
      </c>
      <c r="BQ6" s="740" t="s">
        <v>88</v>
      </c>
    </row>
    <row r="7" spans="1:69" ht="24.75" customHeight="1" thickBot="1">
      <c r="A7" s="526"/>
      <c r="B7" s="103"/>
      <c r="C7" s="104"/>
      <c r="D7" s="104"/>
      <c r="E7" s="104"/>
      <c r="F7" s="104"/>
      <c r="G7" s="104"/>
      <c r="H7" s="104"/>
      <c r="I7" s="104"/>
      <c r="J7" s="104"/>
      <c r="K7" s="104"/>
      <c r="L7" s="104"/>
      <c r="M7" s="104"/>
      <c r="N7" s="105"/>
      <c r="O7" s="31"/>
      <c r="P7" s="527"/>
      <c r="Q7" s="105"/>
      <c r="R7" s="101"/>
      <c r="S7" s="102"/>
      <c r="T7" s="103"/>
      <c r="U7" s="104"/>
      <c r="V7" s="104"/>
      <c r="W7" s="104"/>
      <c r="X7" s="104"/>
      <c r="Y7" s="104"/>
      <c r="Z7" s="104"/>
      <c r="AA7" s="104"/>
      <c r="AB7" s="104"/>
      <c r="AC7" s="104"/>
      <c r="AD7" s="104"/>
      <c r="AE7" s="104"/>
      <c r="AF7" s="104"/>
      <c r="AG7" s="104"/>
      <c r="AH7" s="104"/>
      <c r="AI7" s="104"/>
      <c r="AJ7" s="105"/>
      <c r="AK7" s="36"/>
      <c r="AL7" s="106"/>
      <c r="AM7" s="107"/>
      <c r="AN7" s="101"/>
      <c r="AO7" s="108"/>
      <c r="AP7" s="109" t="s">
        <v>89</v>
      </c>
      <c r="AQ7" s="110">
        <f>F22</f>
        <v>62813118010.586876</v>
      </c>
      <c r="AR7" s="110">
        <f>I22</f>
        <v>68686466089</v>
      </c>
      <c r="AS7" s="110">
        <f>L22</f>
        <v>44035296999</v>
      </c>
      <c r="AT7" s="101"/>
      <c r="AU7" s="111">
        <f t="shared" ref="AU7:AU17" si="0">IF(AQ7=0," ",AR7/AQ7)</f>
        <v>1.0935051190648297</v>
      </c>
      <c r="AV7" s="111">
        <f t="shared" ref="AV7:AV17" si="1">IF(AQ7=0," ",AS7/AQ7)</f>
        <v>0.70105255707220338</v>
      </c>
      <c r="AW7" s="110">
        <f>I23/AO$2*12+I24</f>
        <v>86012147609.333344</v>
      </c>
      <c r="AX7" s="110">
        <f>L23/AO$2*12+L24</f>
        <v>53143922156</v>
      </c>
      <c r="AY7" s="110">
        <f t="shared" ref="AY7:AY16" si="2">AW7-AQ7</f>
        <v>23199029598.746468</v>
      </c>
      <c r="AZ7" s="112">
        <f t="shared" ref="AZ7:AZ16" si="3">AX7-AQ7</f>
        <v>-9669195854.5868759</v>
      </c>
      <c r="BA7" s="101"/>
      <c r="BB7" s="113" t="s">
        <v>90</v>
      </c>
      <c r="BC7" s="114">
        <f>F10</f>
        <v>1179477265</v>
      </c>
      <c r="BD7" s="115">
        <f>I10</f>
        <v>1179477265</v>
      </c>
      <c r="BE7" s="116">
        <f>K10</f>
        <v>0</v>
      </c>
      <c r="BF7" s="553">
        <f>MARZO!BF7+ABRIL!BE7+MAYO!BE7+JUNIO!BE7</f>
        <v>1179477265</v>
      </c>
      <c r="BG7" s="227" t="s">
        <v>91</v>
      </c>
      <c r="BH7" s="554">
        <f>+SUM(BH8:BH11)</f>
        <v>102591667543.61127</v>
      </c>
      <c r="BI7" s="554">
        <f>+SUM(BI8:BI11)</f>
        <v>82157924122</v>
      </c>
      <c r="BJ7" s="554">
        <f>+SUM(BJ8:BJ11)</f>
        <v>71496963264</v>
      </c>
      <c r="BK7" s="554">
        <f>+SUM(BK8:BK11)</f>
        <v>8295493922</v>
      </c>
      <c r="BL7" s="555">
        <f>+BK7+MAYO!BK7+ABRIL!BK7+MARZO!BL7</f>
        <v>26566673866</v>
      </c>
      <c r="BM7" s="741" t="s">
        <v>91</v>
      </c>
      <c r="BN7" s="121">
        <f>BN8+BN15+BN22</f>
        <v>102591667543.6113</v>
      </c>
      <c r="BO7" s="121">
        <f>BO8+BO15+BO22</f>
        <v>82157924122</v>
      </c>
      <c r="BP7" s="121">
        <f>BP8+BP15+BP22</f>
        <v>71496963264</v>
      </c>
      <c r="BQ7" s="121">
        <f>BQ8+BQ15+BQ22</f>
        <v>8295493922</v>
      </c>
    </row>
    <row r="8" spans="1:69" ht="24.75" customHeight="1" thickBot="1">
      <c r="A8" s="123">
        <f>+IF(AGOSTO!A8=0,"",AGOSTO!A8)</f>
        <v>1</v>
      </c>
      <c r="B8" s="124" t="str">
        <f>+IF(AGOSTO!B8=0,"",AGOSTO!B8)</f>
        <v>INGRESOS</v>
      </c>
      <c r="C8" s="125">
        <f t="shared" ref="C8:N8" si="4">C10+C17+C113</f>
        <v>158143153137.47653</v>
      </c>
      <c r="D8" s="125">
        <f t="shared" si="4"/>
        <v>0</v>
      </c>
      <c r="E8" s="125">
        <f t="shared" si="4"/>
        <v>49616199475</v>
      </c>
      <c r="F8" s="125">
        <f t="shared" si="4"/>
        <v>207759352612.47653</v>
      </c>
      <c r="G8" s="125">
        <f t="shared" si="4"/>
        <v>167870621098</v>
      </c>
      <c r="H8" s="125">
        <f t="shared" si="4"/>
        <v>18600720502</v>
      </c>
      <c r="I8" s="125">
        <f t="shared" si="4"/>
        <v>186471341600</v>
      </c>
      <c r="J8" s="125">
        <f t="shared" si="4"/>
        <v>99053236750</v>
      </c>
      <c r="K8" s="125">
        <f t="shared" si="4"/>
        <v>14648408043</v>
      </c>
      <c r="L8" s="125">
        <f t="shared" si="4"/>
        <v>113701644793</v>
      </c>
      <c r="M8" s="125">
        <f t="shared" si="4"/>
        <v>21288011012.476513</v>
      </c>
      <c r="N8" s="125">
        <f t="shared" si="4"/>
        <v>94057707819.476517</v>
      </c>
      <c r="O8" s="126"/>
      <c r="P8" s="127">
        <f>P10+P17+P113</f>
        <v>0</v>
      </c>
      <c r="Q8" s="128">
        <f>Q10+Q17+Q113</f>
        <v>0</v>
      </c>
      <c r="R8" s="101"/>
      <c r="S8" s="129" t="str">
        <f>+IF(AGOSTO!S8=0,"",AGOSTO!S8)</f>
        <v>2</v>
      </c>
      <c r="T8" s="130" t="str">
        <f>+IF(AGOSTO!T8=0,"",AGOSTO!T8)</f>
        <v>GASTOS</v>
      </c>
      <c r="U8" s="131">
        <f t="shared" ref="U8:AJ8" si="5">U10+U192+U219+U231</f>
        <v>158143153137.16666</v>
      </c>
      <c r="V8" s="131">
        <f t="shared" si="5"/>
        <v>0</v>
      </c>
      <c r="W8" s="132">
        <f t="shared" si="5"/>
        <v>49616199475</v>
      </c>
      <c r="X8" s="133">
        <f t="shared" si="5"/>
        <v>207759352612.16666</v>
      </c>
      <c r="Y8" s="134">
        <f t="shared" si="5"/>
        <v>161131143983</v>
      </c>
      <c r="Z8" s="132">
        <f t="shared" si="5"/>
        <v>9996955111</v>
      </c>
      <c r="AA8" s="133">
        <f t="shared" si="5"/>
        <v>171128099094</v>
      </c>
      <c r="AB8" s="134">
        <f t="shared" si="5"/>
        <v>134849207587</v>
      </c>
      <c r="AC8" s="132">
        <f t="shared" si="5"/>
        <v>14984361824</v>
      </c>
      <c r="AD8" s="133">
        <f t="shared" si="5"/>
        <v>149833569411</v>
      </c>
      <c r="AE8" s="134">
        <f t="shared" si="5"/>
        <v>93897394080.5</v>
      </c>
      <c r="AF8" s="132">
        <f t="shared" si="5"/>
        <v>14438481883</v>
      </c>
      <c r="AG8" s="133">
        <f t="shared" si="5"/>
        <v>108335875963.5</v>
      </c>
      <c r="AH8" s="134">
        <f t="shared" si="5"/>
        <v>36631253518.166664</v>
      </c>
      <c r="AI8" s="132">
        <f t="shared" si="5"/>
        <v>57925783201.166664</v>
      </c>
      <c r="AJ8" s="135">
        <f t="shared" si="5"/>
        <v>99423476648.666656</v>
      </c>
      <c r="AK8" s="101"/>
      <c r="AL8" s="136">
        <f>AL10+AL192+AL219+AL231</f>
        <v>0</v>
      </c>
      <c r="AM8" s="137">
        <f>AM10+AM192+AM219+AM231</f>
        <v>0</v>
      </c>
      <c r="AN8" s="101"/>
      <c r="AO8" s="108"/>
      <c r="AP8" s="109" t="s">
        <v>93</v>
      </c>
      <c r="AQ8" s="138">
        <f>F25</f>
        <v>110963785244</v>
      </c>
      <c r="AR8" s="138">
        <f>I25</f>
        <v>89699875650</v>
      </c>
      <c r="AS8" s="138">
        <f>L25</f>
        <v>49203508015</v>
      </c>
      <c r="AT8" s="101"/>
      <c r="AU8" s="139">
        <f t="shared" si="0"/>
        <v>0.80837072611354721</v>
      </c>
      <c r="AV8" s="139">
        <f t="shared" si="1"/>
        <v>0.44341951661801765</v>
      </c>
      <c r="AW8" s="138">
        <f>I26/AO$2*12+I27</f>
        <v>109494832859.33333</v>
      </c>
      <c r="AX8" s="138">
        <f>L26/AO$2*12+L27</f>
        <v>55499676012.666664</v>
      </c>
      <c r="AY8" s="138">
        <f t="shared" si="2"/>
        <v>-1468952384.6666718</v>
      </c>
      <c r="AZ8" s="140">
        <f t="shared" si="3"/>
        <v>-55464109231.333336</v>
      </c>
      <c r="BA8" s="101"/>
      <c r="BB8" s="141" t="s">
        <v>94</v>
      </c>
      <c r="BC8" s="142">
        <f>BC9+BC19</f>
        <v>161219767324.37653</v>
      </c>
      <c r="BD8" s="143">
        <f>BD9+BD19</f>
        <v>135714952488</v>
      </c>
      <c r="BE8" s="142">
        <f>SUM(BE9+BE19+BE18)</f>
        <v>12880168353</v>
      </c>
      <c r="BF8" s="553">
        <f>MARZO!BF8+ABRIL!BE8+MAYO!BE8+JUNIO!BE8</f>
        <v>31282077404</v>
      </c>
      <c r="BG8" s="145" t="s">
        <v>95</v>
      </c>
      <c r="BH8" s="146">
        <f>BN9+BN13</f>
        <v>10326167331.212667</v>
      </c>
      <c r="BI8" s="146">
        <f>BO9+BO13</f>
        <v>6144537989</v>
      </c>
      <c r="BJ8" s="146">
        <f>BP9+BP13</f>
        <v>6143321491</v>
      </c>
      <c r="BK8" s="146">
        <f>BQ9+BQ13</f>
        <v>615950066</v>
      </c>
      <c r="BL8" s="555">
        <f>+BK8+MAYO!BK8+ABRIL!BK8+MARZO!BL8</f>
        <v>3854842420</v>
      </c>
      <c r="BM8" s="743" t="s">
        <v>96</v>
      </c>
      <c r="BN8" s="148">
        <f>BN9+BN14+BN13</f>
        <v>79290925987.212677</v>
      </c>
      <c r="BO8" s="146">
        <f>BO9+BO14+BO13</f>
        <v>68015215015</v>
      </c>
      <c r="BP8" s="146">
        <f>BP9+BP14+BP13</f>
        <v>59710557890</v>
      </c>
      <c r="BQ8" s="744">
        <f>BQ9+BQ14+BQ13</f>
        <v>6984291288</v>
      </c>
    </row>
    <row r="9" spans="1:69" ht="24.75" customHeight="1" thickBot="1">
      <c r="A9" s="149"/>
      <c r="B9" s="150"/>
      <c r="C9" s="151"/>
      <c r="D9" s="151"/>
      <c r="E9" s="151"/>
      <c r="F9" s="151"/>
      <c r="G9" s="151"/>
      <c r="H9" s="151"/>
      <c r="I9" s="151"/>
      <c r="J9" s="151"/>
      <c r="K9" s="151"/>
      <c r="L9" s="151"/>
      <c r="M9" s="151"/>
      <c r="N9" s="152"/>
      <c r="O9" s="126"/>
      <c r="P9" s="153"/>
      <c r="Q9" s="152"/>
      <c r="R9" s="101"/>
      <c r="S9" s="102"/>
      <c r="T9" s="103"/>
      <c r="U9" s="104"/>
      <c r="V9" s="104"/>
      <c r="W9" s="104"/>
      <c r="X9" s="104"/>
      <c r="Y9" s="104"/>
      <c r="Z9" s="104"/>
      <c r="AA9" s="104"/>
      <c r="AB9" s="104"/>
      <c r="AC9" s="104"/>
      <c r="AD9" s="104"/>
      <c r="AE9" s="104"/>
      <c r="AF9" s="104"/>
      <c r="AG9" s="104"/>
      <c r="AH9" s="104"/>
      <c r="AI9" s="104"/>
      <c r="AJ9" s="105"/>
      <c r="AK9" s="101"/>
      <c r="AL9" s="154"/>
      <c r="AM9" s="155"/>
      <c r="AN9" s="101"/>
      <c r="AO9" s="156"/>
      <c r="AP9" s="109" t="s">
        <v>97</v>
      </c>
      <c r="AQ9" s="138">
        <f>F28+F75</f>
        <v>2299679776</v>
      </c>
      <c r="AR9" s="138">
        <f>I28+I75</f>
        <v>1994943372</v>
      </c>
      <c r="AS9" s="138">
        <f>L28+L75</f>
        <v>1743372873</v>
      </c>
      <c r="AT9" s="101"/>
      <c r="AU9" s="157">
        <f t="shared" si="0"/>
        <v>0.86748746187173498</v>
      </c>
      <c r="AV9" s="157">
        <f t="shared" si="1"/>
        <v>0.75809375339742957</v>
      </c>
      <c r="AW9" s="158">
        <f>(I30+I33+I36+I76)/AO$2*12+I31+I34+I37+I38+I39+I40+I77</f>
        <v>2472863169</v>
      </c>
      <c r="AX9" s="158">
        <f>(L30+L33+L36+L76)/AO$2*12+L31+L34+L37+L38+L39+L40+L77</f>
        <v>2137435837</v>
      </c>
      <c r="AY9" s="158">
        <f t="shared" si="2"/>
        <v>173183393</v>
      </c>
      <c r="AZ9" s="159">
        <f t="shared" si="3"/>
        <v>-162243939</v>
      </c>
      <c r="BA9" s="101"/>
      <c r="BB9" s="160" t="s">
        <v>98</v>
      </c>
      <c r="BC9" s="161">
        <f>BC10+BC18</f>
        <v>159649989034.37653</v>
      </c>
      <c r="BD9" s="162">
        <f>BD10+BD18</f>
        <v>133867535683</v>
      </c>
      <c r="BE9" s="161">
        <f>BE10+BE16</f>
        <v>12852877388</v>
      </c>
      <c r="BF9" s="553">
        <f>MARZO!BF9+ABRIL!BE9+MAYO!BE9+JUNIO!BE9</f>
        <v>30552431532</v>
      </c>
      <c r="BG9" s="165" t="s">
        <v>99</v>
      </c>
      <c r="BH9" s="166">
        <f t="shared" ref="BH9:BK10" si="6">BN14</f>
        <v>68964758656</v>
      </c>
      <c r="BI9" s="166">
        <f t="shared" si="6"/>
        <v>61870677026</v>
      </c>
      <c r="BJ9" s="166">
        <f t="shared" si="6"/>
        <v>53567236399</v>
      </c>
      <c r="BK9" s="166">
        <f t="shared" si="6"/>
        <v>6368341222</v>
      </c>
      <c r="BL9" s="555">
        <f>+BK9+MAYO!BK9+ABRIL!BK9+MARZO!BL9</f>
        <v>17243878914</v>
      </c>
      <c r="BM9" s="745" t="s">
        <v>100</v>
      </c>
      <c r="BN9" s="168">
        <f>SUM(BN10:BN12)</f>
        <v>7660515927.916667</v>
      </c>
      <c r="BO9" s="574">
        <f>SUM(BO10:BO12)</f>
        <v>4708619009</v>
      </c>
      <c r="BP9" s="166">
        <f>SUM(BP10:BP12)</f>
        <v>4707402511</v>
      </c>
      <c r="BQ9" s="746">
        <f>SUM(BQ10:BQ12)</f>
        <v>474905832</v>
      </c>
    </row>
    <row r="10" spans="1:69" ht="24.75" customHeight="1">
      <c r="A10" s="169" t="str">
        <f>+IF(AGOSTO!A10=0,"",AGOSTO!A10)</f>
        <v>1.0</v>
      </c>
      <c r="B10" s="170" t="str">
        <f>+IF(AGOSTO!B10=0,"",AGOSTO!B10)</f>
        <v>DISPONIBILIDAD INICIAL</v>
      </c>
      <c r="C10" s="171">
        <f t="shared" ref="C10:N10" si="7">SUM(C12:C15)</f>
        <v>0</v>
      </c>
      <c r="D10" s="172">
        <f t="shared" si="7"/>
        <v>0</v>
      </c>
      <c r="E10" s="172">
        <f t="shared" si="7"/>
        <v>1179477265</v>
      </c>
      <c r="F10" s="173">
        <f t="shared" si="7"/>
        <v>1179477265</v>
      </c>
      <c r="G10" s="174">
        <f t="shared" si="7"/>
        <v>1179477265</v>
      </c>
      <c r="H10" s="172">
        <f t="shared" si="7"/>
        <v>0</v>
      </c>
      <c r="I10" s="175">
        <f t="shared" si="7"/>
        <v>1179477265</v>
      </c>
      <c r="J10" s="171">
        <f t="shared" si="7"/>
        <v>1179477265</v>
      </c>
      <c r="K10" s="172">
        <f t="shared" si="7"/>
        <v>0</v>
      </c>
      <c r="L10" s="173">
        <f t="shared" si="7"/>
        <v>1179477265</v>
      </c>
      <c r="M10" s="171">
        <f t="shared" si="7"/>
        <v>0</v>
      </c>
      <c r="N10" s="173">
        <f t="shared" si="7"/>
        <v>0</v>
      </c>
      <c r="O10" s="101"/>
      <c r="P10" s="171">
        <f>SUM(P12:P15)</f>
        <v>0</v>
      </c>
      <c r="Q10" s="173">
        <f>SUM(Q12:Q15)</f>
        <v>0</v>
      </c>
      <c r="R10" s="101"/>
      <c r="S10" s="176" t="str">
        <f>+IF(AGOSTO!S10=0,"",AGOSTO!S10)</f>
        <v>2.1</v>
      </c>
      <c r="T10" s="177" t="str">
        <f>+IF(AGOSTO!T10=0,"",AGOSTO!T10)</f>
        <v>GASTOS DE FUNCIONAMIENTO</v>
      </c>
      <c r="U10" s="178">
        <f t="shared" ref="U10:AJ10" si="8">U12+U110+U168</f>
        <v>112528788023.5</v>
      </c>
      <c r="V10" s="178">
        <f t="shared" si="8"/>
        <v>0</v>
      </c>
      <c r="W10" s="179">
        <f t="shared" si="8"/>
        <v>11349143180</v>
      </c>
      <c r="X10" s="182">
        <f t="shared" si="8"/>
        <v>123877931203.5</v>
      </c>
      <c r="Y10" s="181">
        <f t="shared" si="8"/>
        <v>99554949817</v>
      </c>
      <c r="Z10" s="179">
        <f t="shared" si="8"/>
        <v>1523021155</v>
      </c>
      <c r="AA10" s="182">
        <f t="shared" si="8"/>
        <v>101077970972</v>
      </c>
      <c r="AB10" s="181">
        <f t="shared" si="8"/>
        <v>82517633682</v>
      </c>
      <c r="AC10" s="179">
        <f t="shared" si="8"/>
        <v>7899376432</v>
      </c>
      <c r="AD10" s="182">
        <f t="shared" si="8"/>
        <v>90417010114</v>
      </c>
      <c r="AE10" s="181">
        <f t="shared" si="8"/>
        <v>60549974410.5</v>
      </c>
      <c r="AF10" s="179">
        <f t="shared" si="8"/>
        <v>8295493922</v>
      </c>
      <c r="AG10" s="182">
        <f t="shared" si="8"/>
        <v>68845468332.5</v>
      </c>
      <c r="AH10" s="181">
        <f t="shared" si="8"/>
        <v>22799960231.5</v>
      </c>
      <c r="AI10" s="179">
        <f t="shared" si="8"/>
        <v>33460921089.5</v>
      </c>
      <c r="AJ10" s="180">
        <f t="shared" si="8"/>
        <v>55032462871</v>
      </c>
      <c r="AK10" s="101"/>
      <c r="AL10" s="822">
        <f>AL12+AL110+AL168</f>
        <v>0</v>
      </c>
      <c r="AM10" s="184">
        <f>AM12+AM110+AM168</f>
        <v>0</v>
      </c>
      <c r="AN10" s="101"/>
      <c r="AO10" s="156"/>
      <c r="AP10" s="109" t="s">
        <v>102</v>
      </c>
      <c r="AQ10" s="138">
        <f>F42</f>
        <v>287170800</v>
      </c>
      <c r="AR10" s="138">
        <f>I42</f>
        <v>108360349</v>
      </c>
      <c r="AS10" s="138">
        <f>L42</f>
        <v>75044358</v>
      </c>
      <c r="AT10" s="101"/>
      <c r="AU10" s="157">
        <f t="shared" si="0"/>
        <v>0.37733762973115653</v>
      </c>
      <c r="AV10" s="157">
        <f t="shared" si="1"/>
        <v>0.26132308020174755</v>
      </c>
      <c r="AW10" s="158">
        <f>I43/AO$2*12+I44</f>
        <v>123681388</v>
      </c>
      <c r="AX10" s="158">
        <f>L43/AO$2*12+L44</f>
        <v>79260066.666666672</v>
      </c>
      <c r="AY10" s="158">
        <f t="shared" si="2"/>
        <v>-163489412</v>
      </c>
      <c r="AZ10" s="159">
        <f t="shared" si="3"/>
        <v>-207910733.33333331</v>
      </c>
      <c r="BA10" s="101"/>
      <c r="BB10" s="185" t="s">
        <v>103</v>
      </c>
      <c r="BC10" s="161">
        <f>BC11+BC12+BC13+BC14+BC16+BC17+BC15</f>
        <v>159649989034.37653</v>
      </c>
      <c r="BD10" s="162">
        <f>BD11+BD12+BD13+BD14+BD16+BD17+BD15</f>
        <v>133867535683</v>
      </c>
      <c r="BE10" s="161">
        <f>SUM(BE11+BE12+BE13+BE14+BE17)</f>
        <v>9816978021</v>
      </c>
      <c r="BF10" s="553">
        <f>MARZO!BF10+ABRIL!BE10+MAYO!BE10+JUNIO!BE10</f>
        <v>24439062842</v>
      </c>
      <c r="BG10" s="145" t="s">
        <v>104</v>
      </c>
      <c r="BH10" s="186">
        <f t="shared" si="6"/>
        <v>20086680971.398613</v>
      </c>
      <c r="BI10" s="186">
        <f t="shared" si="6"/>
        <v>12998996402</v>
      </c>
      <c r="BJ10" s="186">
        <f t="shared" si="6"/>
        <v>10657233999</v>
      </c>
      <c r="BK10" s="186">
        <f t="shared" si="6"/>
        <v>1150905707</v>
      </c>
      <c r="BL10" s="555">
        <f>+BK10+MAYO!BK10+ABRIL!BK10+MARZO!BL10</f>
        <v>4786865713</v>
      </c>
      <c r="BM10" s="747" t="s">
        <v>105</v>
      </c>
      <c r="BN10" s="188">
        <f>X17+X66</f>
        <v>6034913230</v>
      </c>
      <c r="BO10" s="575">
        <f>AA17+AA66</f>
        <v>3876590701</v>
      </c>
      <c r="BP10" s="186">
        <f>AD17+AD66</f>
        <v>3876590701</v>
      </c>
      <c r="BQ10" s="748">
        <f>AF17+AF66</f>
        <v>426687389</v>
      </c>
    </row>
    <row r="11" spans="1:69" ht="24.75" customHeight="1">
      <c r="A11" s="149"/>
      <c r="B11" s="150"/>
      <c r="C11" s="151"/>
      <c r="D11" s="151"/>
      <c r="E11" s="151"/>
      <c r="F11" s="151"/>
      <c r="G11" s="151"/>
      <c r="H11" s="151"/>
      <c r="I11" s="151"/>
      <c r="J11" s="151"/>
      <c r="K11" s="151"/>
      <c r="L11" s="151"/>
      <c r="M11" s="151"/>
      <c r="N11" s="152"/>
      <c r="O11" s="126"/>
      <c r="P11" s="153"/>
      <c r="Q11" s="152"/>
      <c r="R11" s="101"/>
      <c r="S11" s="189"/>
      <c r="T11" s="488"/>
      <c r="U11" s="191"/>
      <c r="V11" s="191"/>
      <c r="W11" s="191"/>
      <c r="X11" s="191"/>
      <c r="Y11" s="191"/>
      <c r="Z11" s="191"/>
      <c r="AA11" s="191"/>
      <c r="AB11" s="191"/>
      <c r="AC11" s="191"/>
      <c r="AD11" s="191"/>
      <c r="AE11" s="191"/>
      <c r="AF11" s="191"/>
      <c r="AG11" s="191"/>
      <c r="AH11" s="191"/>
      <c r="AI11" s="191"/>
      <c r="AJ11" s="192"/>
      <c r="AK11" s="101"/>
      <c r="AL11" s="194"/>
      <c r="AM11" s="195"/>
      <c r="AN11" s="101"/>
      <c r="AO11" s="196" t="s">
        <v>50</v>
      </c>
      <c r="AP11" s="197" t="s">
        <v>106</v>
      </c>
      <c r="AQ11" s="138">
        <f>F88</f>
        <v>2337265046</v>
      </c>
      <c r="AR11" s="138">
        <f>I88</f>
        <v>2337265046</v>
      </c>
      <c r="AS11" s="138">
        <f>L88</f>
        <v>2278833420</v>
      </c>
      <c r="AT11" s="198">
        <f>AO2/12</f>
        <v>0.75</v>
      </c>
      <c r="AU11" s="157">
        <f t="shared" si="0"/>
        <v>1</v>
      </c>
      <c r="AV11" s="157">
        <f t="shared" si="1"/>
        <v>0.97500000006417753</v>
      </c>
      <c r="AW11" s="158">
        <f>I88</f>
        <v>2337265046</v>
      </c>
      <c r="AX11" s="158">
        <f>L88</f>
        <v>2278833420</v>
      </c>
      <c r="AY11" s="158">
        <f t="shared" si="2"/>
        <v>0</v>
      </c>
      <c r="AZ11" s="159">
        <f t="shared" si="3"/>
        <v>-58431626</v>
      </c>
      <c r="BA11" s="101"/>
      <c r="BB11" s="185" t="s">
        <v>107</v>
      </c>
      <c r="BC11" s="161">
        <f>F26</f>
        <v>81866799864</v>
      </c>
      <c r="BD11" s="162">
        <f>I26</f>
        <v>59384871628</v>
      </c>
      <c r="BE11" s="161">
        <f>SUM(K26)</f>
        <v>3597688251</v>
      </c>
      <c r="BF11" s="553">
        <f>MARZO!BF11+ABRIL!BE11+MAYO!BE11+JUNIO!BE11</f>
        <v>8453018963</v>
      </c>
      <c r="BG11" s="145" t="s">
        <v>108</v>
      </c>
      <c r="BH11" s="199">
        <f>BN22</f>
        <v>3214060585</v>
      </c>
      <c r="BI11" s="199">
        <f>BO22</f>
        <v>1143712705</v>
      </c>
      <c r="BJ11" s="199">
        <f>BP22</f>
        <v>1129171375</v>
      </c>
      <c r="BK11" s="199">
        <f>BQ22</f>
        <v>160296927</v>
      </c>
      <c r="BL11" s="555">
        <f>+BK11+MAYO!BK11+ABRIL!BK11+MARZO!BL11</f>
        <v>681086819</v>
      </c>
      <c r="BM11" s="749" t="s">
        <v>109</v>
      </c>
      <c r="BN11" s="201">
        <f>X18+X67</f>
        <v>17000000</v>
      </c>
      <c r="BO11" s="576">
        <f>AA18+AA67</f>
        <v>11078519</v>
      </c>
      <c r="BP11" s="199">
        <f>AD18+AD67</f>
        <v>11078519</v>
      </c>
      <c r="BQ11" s="750">
        <f>AF18+AF67</f>
        <v>1828108</v>
      </c>
    </row>
    <row r="12" spans="1:69" ht="24.75" customHeight="1">
      <c r="A12" s="202" t="str">
        <f>+IF(AGOSTO!A12=0,"",AGOSTO!A12)</f>
        <v>1.0.01</v>
      </c>
      <c r="B12" s="203" t="str">
        <f>+IF(AGOSTO!B12=0,"",AGOSTO!B12)</f>
        <v>Caja</v>
      </c>
      <c r="C12" s="204">
        <f>+ENERO!C12</f>
        <v>0</v>
      </c>
      <c r="D12" s="205">
        <f>AGOSTO!D12+SEPTIEMBRE!P12</f>
        <v>0</v>
      </c>
      <c r="E12" s="205">
        <f>AGOSTO!E12+SEPTIEMBRE!Q12</f>
        <v>3941159</v>
      </c>
      <c r="F12" s="206">
        <f>SUM(C12:E12)</f>
        <v>3941159</v>
      </c>
      <c r="G12" s="207">
        <f>AGOSTO!I12</f>
        <v>3941159</v>
      </c>
      <c r="H12" s="208">
        <v>0</v>
      </c>
      <c r="I12" s="206">
        <f>SUM(G12:H12)</f>
        <v>3941159</v>
      </c>
      <c r="J12" s="207">
        <f>AGOSTO!L12</f>
        <v>3941159</v>
      </c>
      <c r="K12" s="209">
        <v>0</v>
      </c>
      <c r="L12" s="206">
        <f>SUM(J12:K12)</f>
        <v>3941159</v>
      </c>
      <c r="M12" s="207">
        <f>F12-I12</f>
        <v>0</v>
      </c>
      <c r="N12" s="206">
        <f>F12-L12</f>
        <v>0</v>
      </c>
      <c r="O12" s="67"/>
      <c r="P12" s="204">
        <v>0</v>
      </c>
      <c r="Q12" s="210">
        <v>0</v>
      </c>
      <c r="R12" s="101"/>
      <c r="S12" s="211" t="str">
        <f>+IF(AGOSTO!S12=0,"",AGOSTO!S12)</f>
        <v>2.1.1</v>
      </c>
      <c r="T12" s="212" t="str">
        <f>+IF(AGOSTO!T12=0,"",AGOSTO!T12)</f>
        <v>GASTOS DE PERSONAL</v>
      </c>
      <c r="U12" s="213">
        <f>U14+U63</f>
        <v>88367557767.879166</v>
      </c>
      <c r="V12" s="213">
        <f>V14+V63</f>
        <v>-435937870</v>
      </c>
      <c r="W12" s="214">
        <f>W14+W63</f>
        <v>8355635160</v>
      </c>
      <c r="X12" s="215">
        <f>X14+X63</f>
        <v>96287255057.879166</v>
      </c>
      <c r="Y12" s="183">
        <f t="shared" ref="Y12:AJ12" si="9">Y14+Y63</f>
        <v>84356741770</v>
      </c>
      <c r="Z12" s="214">
        <f t="shared" si="9"/>
        <v>641668334</v>
      </c>
      <c r="AA12" s="215">
        <f t="shared" si="9"/>
        <v>84998410104</v>
      </c>
      <c r="AB12" s="183">
        <f t="shared" si="9"/>
        <v>70040089607</v>
      </c>
      <c r="AC12" s="214">
        <f t="shared" si="9"/>
        <v>6653663372</v>
      </c>
      <c r="AD12" s="215">
        <f t="shared" si="9"/>
        <v>76693752979</v>
      </c>
      <c r="AE12" s="183">
        <f t="shared" si="9"/>
        <v>51251159259</v>
      </c>
      <c r="AF12" s="214">
        <f t="shared" si="9"/>
        <v>6984291288</v>
      </c>
      <c r="AG12" s="215">
        <f t="shared" si="9"/>
        <v>58235450547</v>
      </c>
      <c r="AH12" s="183">
        <f t="shared" si="9"/>
        <v>11288844953.879168</v>
      </c>
      <c r="AI12" s="214">
        <f t="shared" si="9"/>
        <v>19593502078.879166</v>
      </c>
      <c r="AJ12" s="184">
        <f t="shared" si="9"/>
        <v>38051804510.879166</v>
      </c>
      <c r="AK12" s="216"/>
      <c r="AL12" s="217">
        <f>AL14+AL63</f>
        <v>-950000000</v>
      </c>
      <c r="AM12" s="218">
        <f>AM14+AM63</f>
        <v>0</v>
      </c>
      <c r="AN12" s="101"/>
      <c r="AO12" s="196"/>
      <c r="AP12" s="197" t="s">
        <v>111</v>
      </c>
      <c r="AQ12" s="138">
        <f>F89+F92</f>
        <v>9574697797</v>
      </c>
      <c r="AR12" s="138">
        <f>I89+I92</f>
        <v>6783878985</v>
      </c>
      <c r="AS12" s="138">
        <f>L89+L92</f>
        <v>6759157481</v>
      </c>
      <c r="AT12" s="101"/>
      <c r="AU12" s="157">
        <f t="shared" si="0"/>
        <v>0.70852147282659561</v>
      </c>
      <c r="AV12" s="157">
        <f t="shared" si="1"/>
        <v>0.70593951102225061</v>
      </c>
      <c r="AW12" s="158">
        <f>I89</f>
        <v>6783878985</v>
      </c>
      <c r="AX12" s="158">
        <f>L89</f>
        <v>6759157481</v>
      </c>
      <c r="AY12" s="158">
        <f t="shared" si="2"/>
        <v>-2790818812</v>
      </c>
      <c r="AZ12" s="159">
        <f t="shared" si="3"/>
        <v>-2815540316</v>
      </c>
      <c r="BA12" s="101"/>
      <c r="BB12" s="185" t="s">
        <v>112</v>
      </c>
      <c r="BC12" s="161">
        <f>F23</f>
        <v>49300076925.586876</v>
      </c>
      <c r="BD12" s="162">
        <f>I23</f>
        <v>51977044561</v>
      </c>
      <c r="BE12" s="161">
        <f>SUM(K23)</f>
        <v>5490693064</v>
      </c>
      <c r="BF12" s="553">
        <f>MARZO!BF12+ABRIL!BE12+MAYO!BE12+JUNIO!BE12</f>
        <v>14566848805</v>
      </c>
      <c r="BG12" s="219" t="s">
        <v>113</v>
      </c>
      <c r="BH12" s="199">
        <f>BN25</f>
        <v>49579849515.333328</v>
      </c>
      <c r="BI12" s="199">
        <f>BO25</f>
        <v>41123700062</v>
      </c>
      <c r="BJ12" s="199">
        <f>BP25</f>
        <v>34358496871</v>
      </c>
      <c r="BK12" s="199">
        <f>BQ25</f>
        <v>3326324858</v>
      </c>
      <c r="BL12" s="555">
        <f>+BK12+MAYO!BK12+ABRIL!BK12+MARZO!BL12</f>
        <v>10799517604</v>
      </c>
      <c r="BM12" s="751" t="s">
        <v>114</v>
      </c>
      <c r="BN12" s="201">
        <f>X16+X65-X81-X33-BN10-BN11</f>
        <v>1608602697.916667</v>
      </c>
      <c r="BO12" s="576">
        <f>AA16+AA65-AA81-AA33-BO10-BO11</f>
        <v>820949789</v>
      </c>
      <c r="BP12" s="199">
        <f>AD16+AD65-AD81-AD33-BP10-BP11</f>
        <v>819733291</v>
      </c>
      <c r="BQ12" s="750">
        <f>AF16+AF65-AF81-AF33-BQ10-BQ11</f>
        <v>46390335</v>
      </c>
    </row>
    <row r="13" spans="1:69" ht="24.75" customHeight="1">
      <c r="A13" s="202" t="str">
        <f>+IF(AGOSTO!A13=0,"",AGOSTO!A13)</f>
        <v>1.0.02</v>
      </c>
      <c r="B13" s="203" t="str">
        <f>+IF(AGOSTO!B13=0,"",AGOSTO!B13)</f>
        <v>Bancos</v>
      </c>
      <c r="C13" s="204">
        <f>+ENERO!C13</f>
        <v>0</v>
      </c>
      <c r="D13" s="205">
        <f>AGOSTO!D13+SEPTIEMBRE!P13</f>
        <v>0</v>
      </c>
      <c r="E13" s="205">
        <f>AGOSTO!E13+SEPTIEMBRE!Q13</f>
        <v>554873586</v>
      </c>
      <c r="F13" s="206">
        <f>SUM(C13:E13)</f>
        <v>554873586</v>
      </c>
      <c r="G13" s="207">
        <f>AGOSTO!I13</f>
        <v>554873586</v>
      </c>
      <c r="H13" s="208">
        <v>0</v>
      </c>
      <c r="I13" s="206">
        <f>SUM(G13:H13)</f>
        <v>554873586</v>
      </c>
      <c r="J13" s="207">
        <f>AGOSTO!L13</f>
        <v>554873586</v>
      </c>
      <c r="K13" s="209">
        <v>0</v>
      </c>
      <c r="L13" s="206">
        <f>SUM(J13:K13)</f>
        <v>554873586</v>
      </c>
      <c r="M13" s="207">
        <f>F13-I13</f>
        <v>0</v>
      </c>
      <c r="N13" s="206">
        <f>F13-L13</f>
        <v>0</v>
      </c>
      <c r="O13" s="67"/>
      <c r="P13" s="204">
        <v>0</v>
      </c>
      <c r="Q13" s="210">
        <v>0</v>
      </c>
      <c r="R13" s="101"/>
      <c r="S13" s="189"/>
      <c r="T13" s="488"/>
      <c r="U13" s="191"/>
      <c r="V13" s="191"/>
      <c r="W13" s="191"/>
      <c r="X13" s="191"/>
      <c r="Y13" s="191"/>
      <c r="Z13" s="191"/>
      <c r="AA13" s="191"/>
      <c r="AB13" s="191"/>
      <c r="AC13" s="191"/>
      <c r="AD13" s="191"/>
      <c r="AE13" s="191"/>
      <c r="AF13" s="191"/>
      <c r="AG13" s="191"/>
      <c r="AH13" s="191"/>
      <c r="AI13" s="191"/>
      <c r="AJ13" s="192"/>
      <c r="AK13" s="216"/>
      <c r="AL13" s="194"/>
      <c r="AM13" s="195"/>
      <c r="AN13" s="101"/>
      <c r="AO13" s="221"/>
      <c r="AP13" s="197" t="s">
        <v>115</v>
      </c>
      <c r="AQ13" s="138">
        <f>F90</f>
        <v>9662757523</v>
      </c>
      <c r="AR13" s="138">
        <f>I90</f>
        <v>8239426646</v>
      </c>
      <c r="AS13" s="138">
        <f>L90</f>
        <v>3332437546</v>
      </c>
      <c r="AT13" s="101"/>
      <c r="AU13" s="157">
        <f t="shared" si="0"/>
        <v>0.85269930725136334</v>
      </c>
      <c r="AV13" s="157">
        <f t="shared" si="1"/>
        <v>0.3448743837427245</v>
      </c>
      <c r="AW13" s="158">
        <f>I90</f>
        <v>8239426646</v>
      </c>
      <c r="AX13" s="158">
        <f>L90</f>
        <v>3332437546</v>
      </c>
      <c r="AY13" s="158">
        <f t="shared" si="2"/>
        <v>-1423330877</v>
      </c>
      <c r="AZ13" s="159">
        <f t="shared" si="3"/>
        <v>-6330319977</v>
      </c>
      <c r="BA13" s="67"/>
      <c r="BB13" s="236" t="s">
        <v>116</v>
      </c>
      <c r="BC13" s="223">
        <f>+F30+F33+F36+F38+F39+F40</f>
        <v>1140706891</v>
      </c>
      <c r="BD13" s="224">
        <f>+I30+I33+I36+I38+I39+I40</f>
        <v>1305092893</v>
      </c>
      <c r="BE13" s="161">
        <f>SUM(K33)</f>
        <v>339181303</v>
      </c>
      <c r="BF13" s="553">
        <f>MARZO!BF13+ABRIL!BE13+MAYO!BE13+JUNIO!BE13</f>
        <v>713778648</v>
      </c>
      <c r="BG13" s="227" t="s">
        <v>117</v>
      </c>
      <c r="BH13" s="199">
        <f t="shared" ref="BH13:BK15" si="10">BN29</f>
        <v>22232273766</v>
      </c>
      <c r="BI13" s="199">
        <f t="shared" si="10"/>
        <v>19236972516</v>
      </c>
      <c r="BJ13" s="199">
        <f t="shared" si="10"/>
        <v>15374806882</v>
      </c>
      <c r="BK13" s="199">
        <f t="shared" si="10"/>
        <v>2535488971</v>
      </c>
      <c r="BL13" s="555">
        <f>+BK13+MAYO!BK13+ABRIL!BK13+MARZO!BL13</f>
        <v>7197732133</v>
      </c>
      <c r="BM13" s="745" t="s">
        <v>118</v>
      </c>
      <c r="BN13" s="188">
        <f>X43-X55+X57-X61+X90-X102+X104-X108</f>
        <v>2665651403.2960005</v>
      </c>
      <c r="BO13" s="575">
        <f>AA43-AA55+AA57-AA61+AA90-AA102+AA104-AA108</f>
        <v>1435918980</v>
      </c>
      <c r="BP13" s="186">
        <f>AD43-AD55+AD57-AD61+AD90-AD102+AD104-AD108</f>
        <v>1435918980</v>
      </c>
      <c r="BQ13" s="748">
        <f>AF43-AF55+AF57-AF61+AF90-AF102+AF104-AF108</f>
        <v>141044234</v>
      </c>
    </row>
    <row r="14" spans="1:69" ht="24.75" customHeight="1">
      <c r="A14" s="202" t="str">
        <f>+IF(AGOSTO!A14=0,"",AGOSTO!A14)</f>
        <v>1.0.03</v>
      </c>
      <c r="B14" s="203" t="str">
        <f>+IF(AGOSTO!B14=0,"",AGOSTO!B14)</f>
        <v>Inversiones Temporales</v>
      </c>
      <c r="C14" s="204">
        <f>+ENERO!C14</f>
        <v>0</v>
      </c>
      <c r="D14" s="205">
        <f>AGOSTO!D14+SEPTIEMBRE!P14</f>
        <v>0</v>
      </c>
      <c r="E14" s="205">
        <f>AGOSTO!E14+SEPTIEMBRE!Q14</f>
        <v>620662520</v>
      </c>
      <c r="F14" s="206">
        <f>SUM(C14:E14)</f>
        <v>620662520</v>
      </c>
      <c r="G14" s="207">
        <f>AGOSTO!I14</f>
        <v>620662520</v>
      </c>
      <c r="H14" s="208">
        <v>0</v>
      </c>
      <c r="I14" s="206">
        <f>SUM(G14:H14)</f>
        <v>620662520</v>
      </c>
      <c r="J14" s="207">
        <f>AGOSTO!L14</f>
        <v>620662520</v>
      </c>
      <c r="K14" s="209">
        <v>0</v>
      </c>
      <c r="L14" s="206">
        <f>SUM(J14:K14)</f>
        <v>620662520</v>
      </c>
      <c r="M14" s="207">
        <f>F14-I14</f>
        <v>0</v>
      </c>
      <c r="N14" s="206">
        <f>F14-L14</f>
        <v>0</v>
      </c>
      <c r="O14" s="67"/>
      <c r="P14" s="204">
        <v>0</v>
      </c>
      <c r="Q14" s="210">
        <v>0</v>
      </c>
      <c r="R14" s="101"/>
      <c r="S14" s="228" t="str">
        <f>+IF(AGOSTO!S14=0,"",AGOSTO!S14)</f>
        <v>2.1.1.01</v>
      </c>
      <c r="T14" s="229" t="str">
        <f>+IF(AGOSTO!T14=0,"",AGOSTO!T14)</f>
        <v>Gastos de Administración</v>
      </c>
      <c r="U14" s="230">
        <f>U16+U35+U43+U57</f>
        <v>23848754297.879169</v>
      </c>
      <c r="V14" s="230">
        <f>V16+V35+V43+V57</f>
        <v>3037062130</v>
      </c>
      <c r="W14" s="231">
        <f>W16+W35+W43+W57</f>
        <v>865000000</v>
      </c>
      <c r="X14" s="234">
        <f>X16+X35+X43+X57</f>
        <v>27750816427.879169</v>
      </c>
      <c r="Y14" s="233">
        <f t="shared" ref="Y14:AJ14" si="11">Y16+Y35+Y43+Y57</f>
        <v>21934213799</v>
      </c>
      <c r="Z14" s="231">
        <f t="shared" si="11"/>
        <v>627668334</v>
      </c>
      <c r="AA14" s="234">
        <f t="shared" si="11"/>
        <v>22561882133</v>
      </c>
      <c r="AB14" s="233">
        <f t="shared" si="11"/>
        <v>18805190928</v>
      </c>
      <c r="AC14" s="231">
        <f t="shared" si="11"/>
        <v>1992033533</v>
      </c>
      <c r="AD14" s="234">
        <f t="shared" si="11"/>
        <v>20797224461</v>
      </c>
      <c r="AE14" s="233">
        <f t="shared" si="11"/>
        <v>14740432212</v>
      </c>
      <c r="AF14" s="231">
        <f t="shared" si="11"/>
        <v>1932699438</v>
      </c>
      <c r="AG14" s="234">
        <f t="shared" si="11"/>
        <v>16673131650</v>
      </c>
      <c r="AH14" s="233">
        <f t="shared" si="11"/>
        <v>5188934294.8791676</v>
      </c>
      <c r="AI14" s="231">
        <f t="shared" si="11"/>
        <v>6953591966.8791676</v>
      </c>
      <c r="AJ14" s="232">
        <f t="shared" si="11"/>
        <v>11077684777.879168</v>
      </c>
      <c r="AK14" s="216"/>
      <c r="AL14" s="233">
        <f>AL16+AL35+AL43+AL57</f>
        <v>0</v>
      </c>
      <c r="AM14" s="232">
        <f>AM16+AM35+AM43+AM57</f>
        <v>0</v>
      </c>
      <c r="AN14" s="101"/>
      <c r="AO14" s="108"/>
      <c r="AP14" s="109" t="s">
        <v>120</v>
      </c>
      <c r="AQ14" s="138">
        <f>F19-AQ7-AQ8-AQ9-AQ10-AQ11-AQ12-AQ13+F104+F94</f>
        <v>8641401150.8896484</v>
      </c>
      <c r="AR14" s="138">
        <f>I19-AR7-AR8-AR9-AR10-AR11-AR12-AR13+I94+I104</f>
        <v>7441648198</v>
      </c>
      <c r="AS14" s="138">
        <f>L19-AS7-AS8-AS9-AS10-AS11-AS12-AS13+L94+L104</f>
        <v>5094516836</v>
      </c>
      <c r="AT14" s="67"/>
      <c r="AU14" s="157">
        <f t="shared" si="0"/>
        <v>0.86116221988304154</v>
      </c>
      <c r="AV14" s="157">
        <f t="shared" si="1"/>
        <v>0.58954754524681563</v>
      </c>
      <c r="AW14" s="158">
        <f>(I41+I46+I49+I52+I55+I58+I61+I64+I67+I70+I73+I78+I81+I82+I83+I85+I94+I104)/AO$2*12+I47+I50+I53+I56+I59+I62+I65+I68+I71+I74</f>
        <v>32917524162.666668</v>
      </c>
      <c r="AX14" s="158">
        <f>(L41+L46+L49+L52+L55+L58+L61+L64+L67+L70+L73+L78+L81+L82+L83+L85+L94+L104)/AO$2*12+L47+L50+L53+L56+L59+L62+L65+L68+L71+L74</f>
        <v>23045649920</v>
      </c>
      <c r="AY14" s="158">
        <f t="shared" si="2"/>
        <v>24276123011.77702</v>
      </c>
      <c r="AZ14" s="159">
        <f t="shared" si="3"/>
        <v>14404248769.110352</v>
      </c>
      <c r="BA14" s="101"/>
      <c r="BB14" s="236" t="s">
        <v>121</v>
      </c>
      <c r="BC14" s="237">
        <f>+F64</f>
        <v>2137731076.9417498</v>
      </c>
      <c r="BD14" s="238">
        <f>+I64</f>
        <v>1322410754</v>
      </c>
      <c r="BE14" s="239">
        <f>K64</f>
        <v>164191458</v>
      </c>
      <c r="BF14" s="553">
        <f>MARZO!BF14+ABRIL!BE14+MAYO!BE14+JUNIO!BE14</f>
        <v>382641166</v>
      </c>
      <c r="BG14" s="227" t="s">
        <v>122</v>
      </c>
      <c r="BH14" s="186">
        <f t="shared" si="10"/>
        <v>3239175000</v>
      </c>
      <c r="BI14" s="186">
        <f t="shared" si="10"/>
        <v>1438780329</v>
      </c>
      <c r="BJ14" s="186">
        <f t="shared" si="10"/>
        <v>1438780329</v>
      </c>
      <c r="BK14" s="186">
        <f t="shared" si="10"/>
        <v>280924315</v>
      </c>
      <c r="BL14" s="555">
        <f>+BK14+MAYO!BK14+ABRIL!BK14+MARZO!BL14</f>
        <v>830455603</v>
      </c>
      <c r="BM14" s="752" t="s">
        <v>123</v>
      </c>
      <c r="BN14" s="201">
        <f>X35-X41+X83-X88</f>
        <v>68964758656</v>
      </c>
      <c r="BO14" s="199">
        <f>AA35-AA41+AA83-AA88</f>
        <v>61870677026</v>
      </c>
      <c r="BP14" s="199">
        <f>AD35-AD41+AD83-AD88</f>
        <v>53567236399</v>
      </c>
      <c r="BQ14" s="753">
        <f>AF35-AF41+AF83-AF88</f>
        <v>6368341222</v>
      </c>
    </row>
    <row r="15" spans="1:69" ht="24.75" customHeight="1" thickBot="1">
      <c r="A15" s="241">
        <f>+IF(AGOSTO!A15=0,"",AGOSTO!A15)</f>
        <v>1004</v>
      </c>
      <c r="B15" s="203" t="str">
        <f>+IF(AGOSTO!B15=0,"",AGOSTO!B15)</f>
        <v>Cesantias Ley 50/1990 a Dic-31-2024</v>
      </c>
      <c r="C15" s="242">
        <f>+ENERO!C15</f>
        <v>0</v>
      </c>
      <c r="D15" s="243">
        <f>AGOSTO!D15+SEPTIEMBRE!P15</f>
        <v>0</v>
      </c>
      <c r="E15" s="243">
        <f>AGOSTO!E15+SEPTIEMBRE!Q15</f>
        <v>0</v>
      </c>
      <c r="F15" s="244">
        <f>SUM(C15:E15)</f>
        <v>0</v>
      </c>
      <c r="G15" s="245">
        <f>AGOSTO!I15</f>
        <v>0</v>
      </c>
      <c r="H15" s="246">
        <v>0</v>
      </c>
      <c r="I15" s="244">
        <f>SUM(G15:H15)</f>
        <v>0</v>
      </c>
      <c r="J15" s="245">
        <f>AGOSTO!L15</f>
        <v>0</v>
      </c>
      <c r="K15" s="247">
        <v>0</v>
      </c>
      <c r="L15" s="244">
        <f>SUM(J15:K15)</f>
        <v>0</v>
      </c>
      <c r="M15" s="245">
        <f>F15-I15</f>
        <v>0</v>
      </c>
      <c r="N15" s="244">
        <f>F15-L15</f>
        <v>0</v>
      </c>
      <c r="O15" s="67"/>
      <c r="P15" s="242">
        <v>0</v>
      </c>
      <c r="Q15" s="248">
        <v>0</v>
      </c>
      <c r="R15" s="101"/>
      <c r="S15" s="189" t="str">
        <f>+IF(AGOSTO!S15=0,"",AGOSTO!S15)</f>
        <v/>
      </c>
      <c r="T15" s="488" t="str">
        <f>+IF(AGOSTO!T15=0,"",AGOSTO!T15)</f>
        <v xml:space="preserve"> </v>
      </c>
      <c r="U15" s="191"/>
      <c r="V15" s="191"/>
      <c r="W15" s="191"/>
      <c r="X15" s="191"/>
      <c r="Y15" s="191"/>
      <c r="Z15" s="191"/>
      <c r="AA15" s="191"/>
      <c r="AB15" s="191"/>
      <c r="AC15" s="191"/>
      <c r="AD15" s="191"/>
      <c r="AE15" s="191"/>
      <c r="AF15" s="191"/>
      <c r="AG15" s="191"/>
      <c r="AH15" s="191"/>
      <c r="AI15" s="191"/>
      <c r="AJ15" s="192"/>
      <c r="AK15" s="216"/>
      <c r="AL15" s="249"/>
      <c r="AM15" s="250"/>
      <c r="AN15" s="101"/>
      <c r="AO15" s="221"/>
      <c r="AP15" s="109" t="s">
        <v>124</v>
      </c>
      <c r="AQ15" s="138">
        <f>F113</f>
        <v>0</v>
      </c>
      <c r="AR15" s="138">
        <f>I113</f>
        <v>0</v>
      </c>
      <c r="AS15" s="138">
        <f>L113</f>
        <v>0</v>
      </c>
      <c r="AT15" s="101"/>
      <c r="AU15" s="139" t="str">
        <f t="shared" si="0"/>
        <v xml:space="preserve"> </v>
      </c>
      <c r="AV15" s="139" t="str">
        <f t="shared" si="1"/>
        <v xml:space="preserve"> </v>
      </c>
      <c r="AW15" s="138">
        <f>+AR15</f>
        <v>0</v>
      </c>
      <c r="AX15" s="138">
        <f>+AS15</f>
        <v>0</v>
      </c>
      <c r="AY15" s="138">
        <f t="shared" si="2"/>
        <v>0</v>
      </c>
      <c r="AZ15" s="140">
        <f t="shared" si="3"/>
        <v>0</v>
      </c>
      <c r="BA15" s="67"/>
      <c r="BB15" s="236" t="s">
        <v>125</v>
      </c>
      <c r="BC15" s="237">
        <f>F46+F49</f>
        <v>976431378</v>
      </c>
      <c r="BD15" s="238">
        <f>I46+I49</f>
        <v>350678274</v>
      </c>
      <c r="BE15" s="239">
        <f>K46</f>
        <v>10932749</v>
      </c>
      <c r="BF15" s="553">
        <f>MARZO!BF15+ABRIL!BE15+MAYO!BE15+JUNIO!BE15</f>
        <v>4215387</v>
      </c>
      <c r="BG15" s="227" t="s">
        <v>126</v>
      </c>
      <c r="BH15" s="186">
        <f t="shared" si="10"/>
        <v>30116386787.222057</v>
      </c>
      <c r="BI15" s="186">
        <f t="shared" si="10"/>
        <v>27170722065</v>
      </c>
      <c r="BJ15" s="186">
        <f t="shared" si="10"/>
        <v>27164522065</v>
      </c>
      <c r="BK15" s="186">
        <f t="shared" si="10"/>
        <v>249817</v>
      </c>
      <c r="BL15" s="555">
        <f>+BK15+MAYO!BK15+ABRIL!BK15+MARZO!BL15</f>
        <v>26886061691</v>
      </c>
      <c r="BM15" s="743" t="s">
        <v>104</v>
      </c>
      <c r="BN15" s="188">
        <f>SUM(BN16:BN21)</f>
        <v>20086680971.398613</v>
      </c>
      <c r="BO15" s="186">
        <f>SUM(BO16:BO21)</f>
        <v>12998996402</v>
      </c>
      <c r="BP15" s="186">
        <f>SUM(BP16:BP21)</f>
        <v>10657233999</v>
      </c>
      <c r="BQ15" s="754">
        <f>SUM(BQ16:BQ21)</f>
        <v>1150905707</v>
      </c>
    </row>
    <row r="16" spans="1:69" ht="24.75" customHeight="1" thickBot="1">
      <c r="A16" s="251" t="str">
        <f>+IF(AGOSTO!A16=0,"",AGOSTO!A16)</f>
        <v/>
      </c>
      <c r="B16" s="252" t="str">
        <f>+IF(AGOSTO!B16=0,"",AGOSTO!B16)</f>
        <v/>
      </c>
      <c r="C16" s="253"/>
      <c r="D16" s="253"/>
      <c r="E16" s="253"/>
      <c r="F16" s="253"/>
      <c r="G16" s="253"/>
      <c r="H16" s="253"/>
      <c r="I16" s="253"/>
      <c r="J16" s="253"/>
      <c r="K16" s="253"/>
      <c r="L16" s="253"/>
      <c r="M16" s="253"/>
      <c r="N16" s="254"/>
      <c r="O16" s="67"/>
      <c r="P16" s="255"/>
      <c r="Q16" s="256"/>
      <c r="R16" s="101"/>
      <c r="S16" s="257" t="str">
        <f>+IF(AGOSTO!S16=0,"",AGOSTO!S16)</f>
        <v>2.1.1.01.01</v>
      </c>
      <c r="T16" s="546" t="str">
        <f>+IF(AGOSTO!T16=0,"",AGOSTO!T16)</f>
        <v>Servicios Personales Asociados a Nómina</v>
      </c>
      <c r="U16" s="230">
        <f>SUM(U17:U20)+U33</f>
        <v>8136453797.916667</v>
      </c>
      <c r="V16" s="230">
        <f>SUM(V17:V20)+V33</f>
        <v>-475937870</v>
      </c>
      <c r="W16" s="231">
        <f>SUM(W17:W20)+W33</f>
        <v>0</v>
      </c>
      <c r="X16" s="234">
        <f>SUM(X17:X20)+X33</f>
        <v>7660515927.916667</v>
      </c>
      <c r="Y16" s="233">
        <f t="shared" ref="Y16:AJ16" si="12">SUM(Y17:Y20)+Y33</f>
        <v>4232729950</v>
      </c>
      <c r="Z16" s="231">
        <f t="shared" si="12"/>
        <v>475889059</v>
      </c>
      <c r="AA16" s="234">
        <f t="shared" si="12"/>
        <v>4708619009</v>
      </c>
      <c r="AB16" s="233">
        <f t="shared" si="12"/>
        <v>4232729950</v>
      </c>
      <c r="AC16" s="231">
        <f>SUM(AC17:AC20)+AC33</f>
        <v>474672561</v>
      </c>
      <c r="AD16" s="234">
        <f t="shared" si="12"/>
        <v>4707402511</v>
      </c>
      <c r="AE16" s="233">
        <f t="shared" si="12"/>
        <v>4198630904</v>
      </c>
      <c r="AF16" s="231">
        <f>SUM(AF17:AF20)+AF33</f>
        <v>474905832</v>
      </c>
      <c r="AG16" s="234">
        <f t="shared" si="12"/>
        <v>4673536736</v>
      </c>
      <c r="AH16" s="233">
        <f t="shared" si="12"/>
        <v>2951896918.9166665</v>
      </c>
      <c r="AI16" s="231">
        <f t="shared" si="12"/>
        <v>2953113416.9166665</v>
      </c>
      <c r="AJ16" s="232">
        <f t="shared" si="12"/>
        <v>2986979191.9166665</v>
      </c>
      <c r="AK16" s="216"/>
      <c r="AL16" s="233">
        <f>SUM(AL17:AL20)+AL33</f>
        <v>0</v>
      </c>
      <c r="AM16" s="232">
        <f>SUM(AM17:AM20)+AM33</f>
        <v>0</v>
      </c>
      <c r="AN16" s="101"/>
      <c r="AO16" s="108"/>
      <c r="AP16" s="259" t="s">
        <v>128</v>
      </c>
      <c r="AQ16" s="260">
        <f>F10</f>
        <v>1179477265</v>
      </c>
      <c r="AR16" s="260">
        <f>I10</f>
        <v>1179477265</v>
      </c>
      <c r="AS16" s="260">
        <f>L10</f>
        <v>1179477265</v>
      </c>
      <c r="AT16" s="67"/>
      <c r="AU16" s="261">
        <f t="shared" si="0"/>
        <v>1</v>
      </c>
      <c r="AV16" s="261">
        <f t="shared" si="1"/>
        <v>1</v>
      </c>
      <c r="AW16" s="260">
        <f>+AR16</f>
        <v>1179477265</v>
      </c>
      <c r="AX16" s="260">
        <f>+AS16</f>
        <v>1179477265</v>
      </c>
      <c r="AY16" s="138">
        <f t="shared" si="2"/>
        <v>0</v>
      </c>
      <c r="AZ16" s="262">
        <f t="shared" si="3"/>
        <v>0</v>
      </c>
      <c r="BA16" s="67"/>
      <c r="BB16" s="185" t="s">
        <v>129</v>
      </c>
      <c r="BC16" s="161">
        <f>F43</f>
        <v>0</v>
      </c>
      <c r="BD16" s="162">
        <f>I43</f>
        <v>45963117</v>
      </c>
      <c r="BE16" s="237">
        <f>SUM(K86:K91)</f>
        <v>3035899367</v>
      </c>
      <c r="BF16" s="553">
        <f>MARZO!BF16+ABRIL!BE16+MAYO!BE16+JUNIO!BE16</f>
        <v>6113368690</v>
      </c>
      <c r="BG16" s="227" t="s">
        <v>130</v>
      </c>
      <c r="BH16" s="263">
        <f>BH7+BH12+BH13+BH14+BH15</f>
        <v>207759352612.16663</v>
      </c>
      <c r="BI16" s="263">
        <f>BI7+BI12+BI13+BI14+BI15</f>
        <v>171128099094</v>
      </c>
      <c r="BJ16" s="263">
        <f>BJ7+BJ12+BJ13+BJ14+BJ15</f>
        <v>149833569411</v>
      </c>
      <c r="BK16" s="263">
        <f>BK7+BK12+BK13+BK14+BK15</f>
        <v>14438481883</v>
      </c>
      <c r="BL16" s="555">
        <f>+BK16+MAYO!BK16+ABRIL!BK16+MARZO!BL16</f>
        <v>72280440897</v>
      </c>
      <c r="BM16" s="745" t="s">
        <v>131</v>
      </c>
      <c r="BN16" s="188">
        <f>SUM(X115+X116+X117+X149)</f>
        <v>1938007702.1208334</v>
      </c>
      <c r="BO16" s="188">
        <f>SUM(AA115+AA116+AA117+AA149)</f>
        <v>1448879006</v>
      </c>
      <c r="BP16" s="188">
        <f>SUM(AD115+AD116+AD117+AD149)</f>
        <v>1279913292</v>
      </c>
      <c r="BQ16" s="188">
        <f>SUM(AF115+AF116+AF117+AF149)</f>
        <v>135647949</v>
      </c>
    </row>
    <row r="17" spans="1:69" ht="24.75" customHeight="1" thickBot="1">
      <c r="A17" s="169" t="str">
        <f>+IF(AGOSTO!A17=0,"",AGOSTO!A17)</f>
        <v>1.1</v>
      </c>
      <c r="B17" s="265" t="str">
        <f>+IF(AGOSTO!B17=0,"",AGOSTO!B17)</f>
        <v>INGRESOS  CORRIENTES</v>
      </c>
      <c r="C17" s="127">
        <f t="shared" ref="C17:N17" si="13">C19+C94+C104</f>
        <v>158143153137.47653</v>
      </c>
      <c r="D17" s="125">
        <f t="shared" si="13"/>
        <v>0</v>
      </c>
      <c r="E17" s="125">
        <f t="shared" si="13"/>
        <v>48436722210</v>
      </c>
      <c r="F17" s="125">
        <f t="shared" si="13"/>
        <v>206579875347.47653</v>
      </c>
      <c r="G17" s="125">
        <f t="shared" si="13"/>
        <v>166691143833</v>
      </c>
      <c r="H17" s="125">
        <f t="shared" si="13"/>
        <v>18600720502</v>
      </c>
      <c r="I17" s="125">
        <f t="shared" si="13"/>
        <v>185291864335</v>
      </c>
      <c r="J17" s="125">
        <f t="shared" si="13"/>
        <v>97873759485</v>
      </c>
      <c r="K17" s="125">
        <f t="shared" si="13"/>
        <v>14648408043</v>
      </c>
      <c r="L17" s="125">
        <f t="shared" si="13"/>
        <v>112522167528</v>
      </c>
      <c r="M17" s="125">
        <f t="shared" si="13"/>
        <v>21288011012.476513</v>
      </c>
      <c r="N17" s="128">
        <f t="shared" si="13"/>
        <v>94057707819.476517</v>
      </c>
      <c r="O17" s="67"/>
      <c r="P17" s="171">
        <f>P19+P94+P104</f>
        <v>0</v>
      </c>
      <c r="Q17" s="173">
        <f>Q19+Q94+Q104</f>
        <v>0</v>
      </c>
      <c r="R17" s="101"/>
      <c r="S17" s="266" t="str">
        <f>+IF(AGOSTO!S17=0,"",AGOSTO!S17)</f>
        <v>2.1.1.01.01.001.01</v>
      </c>
      <c r="T17" s="267" t="str">
        <f>+IF(AGOSTO!T17=0,"",AGOSTO!T17)</f>
        <v>Sueldos del Personal de nómina</v>
      </c>
      <c r="U17" s="373">
        <f>+ENERO!U17</f>
        <v>6531851100</v>
      </c>
      <c r="V17" s="220">
        <f>SUM(AGOSTO!V17+SEPTIEMBRE!AL17)</f>
        <v>-496937870</v>
      </c>
      <c r="W17" s="220">
        <f>AGOSTO!W17+SEPTIEMBRE!AM17</f>
        <v>0</v>
      </c>
      <c r="X17" s="271">
        <f>SUM(U17:W17)</f>
        <v>6034913230</v>
      </c>
      <c r="Y17" s="270">
        <f>AGOSTO!AA17</f>
        <v>3450309079</v>
      </c>
      <c r="Z17" s="208">
        <v>426281622</v>
      </c>
      <c r="AA17" s="271">
        <f>SUM(Y17:Z17)</f>
        <v>3876590701</v>
      </c>
      <c r="AB17" s="270">
        <f>AGOSTO!AD17</f>
        <v>3450309079</v>
      </c>
      <c r="AC17" s="208">
        <v>426281622</v>
      </c>
      <c r="AD17" s="271">
        <f>SUM(AB17:AC17)</f>
        <v>3876590701</v>
      </c>
      <c r="AE17" s="270">
        <f>AGOSTO!AG17</f>
        <v>3449903312</v>
      </c>
      <c r="AF17" s="208">
        <v>426687389</v>
      </c>
      <c r="AG17" s="271">
        <f>SUM(AE17:AF17)</f>
        <v>3876590701</v>
      </c>
      <c r="AH17" s="270">
        <f>X17-AA17</f>
        <v>2158322529</v>
      </c>
      <c r="AI17" s="220">
        <f>X17-AD17</f>
        <v>2158322529</v>
      </c>
      <c r="AJ17" s="269">
        <f>X17-AG17</f>
        <v>2158322529</v>
      </c>
      <c r="AK17" s="101"/>
      <c r="AL17" s="204">
        <v>0</v>
      </c>
      <c r="AM17" s="210">
        <v>0</v>
      </c>
      <c r="AN17" s="101"/>
      <c r="AO17" s="156"/>
      <c r="AP17" s="272" t="s">
        <v>134</v>
      </c>
      <c r="AQ17" s="981">
        <f>SUM(AQ7:AQ16)</f>
        <v>207759352612.47653</v>
      </c>
      <c r="AR17" s="982">
        <f>SUM(AR7:AR16)</f>
        <v>186471341600</v>
      </c>
      <c r="AS17" s="983">
        <f>SUM(AS7:AS16)</f>
        <v>113701644793</v>
      </c>
      <c r="AT17" s="276"/>
      <c r="AU17" s="274">
        <f t="shared" si="0"/>
        <v>0.89753524573122812</v>
      </c>
      <c r="AV17" s="274">
        <f t="shared" si="1"/>
        <v>0.54727569836570567</v>
      </c>
      <c r="AW17" s="277">
        <f>SUM(AX7:AX16)</f>
        <v>147455849704.33331</v>
      </c>
      <c r="AX17" s="277">
        <f>SUM(AX7:AX16)</f>
        <v>147455849704.33331</v>
      </c>
      <c r="AY17" s="277">
        <f>SUM(AY7:AY16)</f>
        <v>41801744517.856812</v>
      </c>
      <c r="AZ17" s="278">
        <f>SUM(AZ7:AZ16)</f>
        <v>-60303502908.143188</v>
      </c>
      <c r="BA17" s="101"/>
      <c r="BB17" s="185" t="s">
        <v>135</v>
      </c>
      <c r="BC17" s="161">
        <f>F41+F52+F55+F58+F61+F67+F70+F73+F76+F79+F82+F86+F87+F88+F89+F90+F91</f>
        <v>24228242898.847889</v>
      </c>
      <c r="BD17" s="162">
        <f>I41+I52+I55+I58+I61+I67+I70+I73+I76+I79+I82+I86+I87+I88+I89+I90+I91</f>
        <v>19481474456</v>
      </c>
      <c r="BE17" s="161">
        <f>SUM(K43+K49+K46+K49+K52+K55+K58+K61+K67+K70+K73+K79+K76+K82)</f>
        <v>225223945</v>
      </c>
      <c r="BF17" s="553">
        <f>MARZO!BF17+ABRIL!BE17+MAYO!BE17+JUNIO!BE17</f>
        <v>322775260</v>
      </c>
      <c r="BG17" s="279" t="s">
        <v>136</v>
      </c>
      <c r="BH17" s="280">
        <f>BC23-BH16</f>
        <v>-207759352612.16663</v>
      </c>
      <c r="BI17" s="280"/>
      <c r="BJ17" s="280"/>
      <c r="BK17" s="280"/>
      <c r="BL17" s="555">
        <f>+BK17+MAYO!BK17+ABRIL!BK17+MARZO!BL17</f>
        <v>0</v>
      </c>
      <c r="BM17" s="745" t="s">
        <v>137</v>
      </c>
      <c r="BN17" s="188">
        <f>X124+X127+X128+X129+X130+X131+X132+X133+X134+X135+X136+X125+X137+X138</f>
        <v>4817970291.2777777</v>
      </c>
      <c r="BO17" s="188">
        <f>AA124+AA127+AA128+AA129+AA130+AA131+AA132+AA133+AA134+AA135+AA136+AA125+AA137+AA138</f>
        <v>4333961044</v>
      </c>
      <c r="BP17" s="188">
        <f>AD124+AD127+AD128+AD129+AD130+AD131+AD132+AD133+AD134+AD135+AD136+AD125+AD137+AD138</f>
        <v>3490268211</v>
      </c>
      <c r="BQ17" s="188">
        <f>AF124+AF127+AF128+AF129+AF130+AF131+AF132+AF133+AF134+AF135+AF136+AF125+AF137+AF138</f>
        <v>260239868</v>
      </c>
    </row>
    <row r="18" spans="1:69" ht="24.75" customHeight="1" thickBot="1">
      <c r="A18" s="202">
        <f>+IF(AGOSTO!A18=0,"",AGOSTO!A18)</f>
        <v>399373312</v>
      </c>
      <c r="B18" s="282">
        <f>+IF(AGOSTO!B18=0,"",AGOSTO!B18)</f>
        <v>399373312</v>
      </c>
      <c r="C18" s="67"/>
      <c r="D18" s="67"/>
      <c r="E18" s="67"/>
      <c r="F18" s="67"/>
      <c r="G18" s="67"/>
      <c r="H18" s="67"/>
      <c r="I18" s="67"/>
      <c r="J18" s="67"/>
      <c r="K18" s="67"/>
      <c r="L18" s="67"/>
      <c r="M18" s="67"/>
      <c r="N18" s="283"/>
      <c r="O18" s="101"/>
      <c r="P18" s="284"/>
      <c r="Q18" s="285"/>
      <c r="R18" s="101"/>
      <c r="S18" s="266" t="str">
        <f>+IF(AGOSTO!S18=0,"",AGOSTO!S18)</f>
        <v>2.1.1.01.01.001.02</v>
      </c>
      <c r="T18" s="267" t="str">
        <f>+IF(AGOSTO!T18=0,"",AGOSTO!T18)</f>
        <v>Horas Extras,Dominic.,Festivos y Rec. Nocturnos</v>
      </c>
      <c r="U18" s="373">
        <f>+ENERO!U18</f>
        <v>17000000</v>
      </c>
      <c r="V18" s="220">
        <f>SUM(AGOSTO!V18+SEPTIEMBRE!AL18)</f>
        <v>0</v>
      </c>
      <c r="W18" s="220">
        <f>AGOSTO!W18+SEPTIEMBRE!AM18</f>
        <v>0</v>
      </c>
      <c r="X18" s="271">
        <f>SUM(U18:W18)</f>
        <v>17000000</v>
      </c>
      <c r="Y18" s="270">
        <f>AGOSTO!AA18</f>
        <v>9250411</v>
      </c>
      <c r="Z18" s="208">
        <v>1828108</v>
      </c>
      <c r="AA18" s="271">
        <f>SUM(Y18:Z18)</f>
        <v>11078519</v>
      </c>
      <c r="AB18" s="270">
        <f>AGOSTO!AD18</f>
        <v>9250411</v>
      </c>
      <c r="AC18" s="208">
        <v>1828108</v>
      </c>
      <c r="AD18" s="271">
        <f>SUM(AB18:AC18)</f>
        <v>11078519</v>
      </c>
      <c r="AE18" s="270">
        <f>AGOSTO!AG18</f>
        <v>9250411</v>
      </c>
      <c r="AF18" s="208">
        <v>1828108</v>
      </c>
      <c r="AG18" s="271">
        <f>SUM(AE18:AF18)</f>
        <v>11078519</v>
      </c>
      <c r="AH18" s="270">
        <f>X18-AA18</f>
        <v>5921481</v>
      </c>
      <c r="AI18" s="220">
        <f>X18-AD18</f>
        <v>5921481</v>
      </c>
      <c r="AJ18" s="269">
        <f>X18-AG18</f>
        <v>5921481</v>
      </c>
      <c r="AK18" s="101"/>
      <c r="AL18" s="204">
        <v>0</v>
      </c>
      <c r="AM18" s="210">
        <v>0</v>
      </c>
      <c r="AN18" s="101"/>
      <c r="AO18" s="108"/>
      <c r="AP18" s="67" t="s">
        <v>92</v>
      </c>
      <c r="AQ18" s="67"/>
      <c r="AR18" s="67"/>
      <c r="AS18" s="67"/>
      <c r="AT18" s="67"/>
      <c r="AU18" s="67"/>
      <c r="AV18" s="67"/>
      <c r="AW18" s="67"/>
      <c r="AX18" s="67"/>
      <c r="AY18" s="67"/>
      <c r="AZ18" s="67"/>
      <c r="BA18" s="67"/>
      <c r="BB18" s="236" t="s">
        <v>139</v>
      </c>
      <c r="BC18" s="161">
        <f>+F95+F96+F97+F99</f>
        <v>0</v>
      </c>
      <c r="BD18" s="162">
        <f>+I95+I96+I97+I99</f>
        <v>0</v>
      </c>
      <c r="BE18" s="163">
        <f>+K95+K96+K97+K99</f>
        <v>0</v>
      </c>
      <c r="BF18" s="553">
        <f>MARZO!BF18+ABRIL!BE18+MAYO!BE18+JUNIO!BE18</f>
        <v>0</v>
      </c>
      <c r="BG18" s="101"/>
      <c r="BH18" s="101"/>
      <c r="BI18" s="101"/>
      <c r="BJ18" s="101"/>
      <c r="BK18" s="101"/>
      <c r="BL18" s="101"/>
      <c r="BM18" s="745" t="s">
        <v>140</v>
      </c>
      <c r="BN18" s="188">
        <f>X118+X120+X148+X156+X157-X166</f>
        <v>9458680319</v>
      </c>
      <c r="BO18" s="188">
        <f>AA118+AA120+AA148+AA156+AA157-AA166</f>
        <v>4295020565</v>
      </c>
      <c r="BP18" s="188">
        <f>AD118+AD120+AD148+AD156+AD157-AD166</f>
        <v>3193572240</v>
      </c>
      <c r="BQ18" s="188">
        <f>AF118+AF120+AF148+AF156+AF157-AF166</f>
        <v>380749024</v>
      </c>
    </row>
    <row r="19" spans="1:69" ht="24.75" customHeight="1" thickBot="1">
      <c r="A19" s="286">
        <f>+IF(AGOSTO!A19=0,"",AGOSTO!A19)</f>
        <v>113</v>
      </c>
      <c r="B19" s="287" t="str">
        <f>+IF(AGOSTO!B19=0,"",AGOSTO!B19)</f>
        <v>VENTA DE SERVICIOS</v>
      </c>
      <c r="C19" s="127">
        <f t="shared" ref="C19:N19" si="14">C21+C85</f>
        <v>157258153137.47653</v>
      </c>
      <c r="D19" s="125">
        <f t="shared" si="14"/>
        <v>0</v>
      </c>
      <c r="E19" s="125">
        <f t="shared" si="14"/>
        <v>47732207131</v>
      </c>
      <c r="F19" s="128">
        <f t="shared" si="14"/>
        <v>204990360268.47653</v>
      </c>
      <c r="G19" s="127">
        <f t="shared" si="14"/>
        <v>164854365562</v>
      </c>
      <c r="H19" s="125">
        <f t="shared" si="14"/>
        <v>18570345179</v>
      </c>
      <c r="I19" s="128">
        <f t="shared" si="14"/>
        <v>183424710741</v>
      </c>
      <c r="J19" s="127">
        <f t="shared" si="14"/>
        <v>96073023674</v>
      </c>
      <c r="K19" s="125">
        <f t="shared" si="14"/>
        <v>14621117078</v>
      </c>
      <c r="L19" s="128">
        <f t="shared" si="14"/>
        <v>110694140752</v>
      </c>
      <c r="M19" s="127">
        <f t="shared" si="14"/>
        <v>21565649527.476513</v>
      </c>
      <c r="N19" s="128">
        <f t="shared" si="14"/>
        <v>94296219516.476517</v>
      </c>
      <c r="O19" s="67"/>
      <c r="P19" s="288">
        <f>P21+P85</f>
        <v>0</v>
      </c>
      <c r="Q19" s="289">
        <f>Q21+Q85</f>
        <v>0</v>
      </c>
      <c r="R19" s="101"/>
      <c r="S19" s="266">
        <f>+IF(AGOSTO!S19=0,"",AGOSTO!S19)</f>
        <v>1010103</v>
      </c>
      <c r="T19" s="267" t="str">
        <f>+IF(AGOSTO!T19=0,"",AGOSTO!T19)</f>
        <v>Prima Técnica</v>
      </c>
      <c r="U19" s="373">
        <f>+ENERO!U19</f>
        <v>0</v>
      </c>
      <c r="V19" s="220">
        <f>SUM(AGOSTO!V19+SEPTIEMBRE!AL19)</f>
        <v>0</v>
      </c>
      <c r="W19" s="220">
        <f>AGOSTO!W19+SEPTIEMBRE!AM19</f>
        <v>0</v>
      </c>
      <c r="X19" s="271">
        <f>SUM(U19:W19)</f>
        <v>0</v>
      </c>
      <c r="Y19" s="270">
        <f>AGOSTO!AA19</f>
        <v>0</v>
      </c>
      <c r="Z19" s="208">
        <v>0</v>
      </c>
      <c r="AA19" s="271">
        <f>SUM(Y19:Z19)</f>
        <v>0</v>
      </c>
      <c r="AB19" s="270">
        <f>AGOSTO!AD19</f>
        <v>0</v>
      </c>
      <c r="AC19" s="208">
        <v>0</v>
      </c>
      <c r="AD19" s="271">
        <f>SUM(AB19:AC19)</f>
        <v>0</v>
      </c>
      <c r="AE19" s="270">
        <f>AGOSTO!AG19</f>
        <v>0</v>
      </c>
      <c r="AF19" s="208">
        <v>0</v>
      </c>
      <c r="AG19" s="271">
        <f>SUM(AE19:AF19)</f>
        <v>0</v>
      </c>
      <c r="AH19" s="270">
        <f>X19-AA19</f>
        <v>0</v>
      </c>
      <c r="AI19" s="220">
        <f>X19-AD19</f>
        <v>0</v>
      </c>
      <c r="AJ19" s="269">
        <f>X19-AG19</f>
        <v>0</v>
      </c>
      <c r="AK19" s="101"/>
      <c r="AL19" s="204">
        <v>0</v>
      </c>
      <c r="AM19" s="210">
        <v>0</v>
      </c>
      <c r="AN19" s="101"/>
      <c r="AO19" s="108"/>
      <c r="AP19" s="290"/>
      <c r="AQ19" s="291" t="s">
        <v>52</v>
      </c>
      <c r="AR19" s="292" t="s">
        <v>31</v>
      </c>
      <c r="AS19" s="293" t="s">
        <v>143</v>
      </c>
      <c r="AT19" s="292" t="s">
        <v>55</v>
      </c>
      <c r="AU19" s="294" t="s">
        <v>55</v>
      </c>
      <c r="AV19" s="295" t="s">
        <v>55</v>
      </c>
      <c r="AW19" s="1328" t="str">
        <f>+CONCATENATE("PROYECCION A DICIEMBRE 31 DEL ",N3)</f>
        <v>PROYECCION A DICIEMBRE 31 DEL 2025</v>
      </c>
      <c r="AX19" s="1322"/>
      <c r="AY19" s="1322"/>
      <c r="AZ19" s="1323"/>
      <c r="BA19" s="67"/>
      <c r="BB19" s="296" t="s">
        <v>144</v>
      </c>
      <c r="BC19" s="297">
        <f>+F105+F106+F107+F108+F109+F110+F98+F100+F101</f>
        <v>1569778290</v>
      </c>
      <c r="BD19" s="238">
        <f>+I105+I106+I107+I108+I109+I110+I98+I100+I101</f>
        <v>1847416805</v>
      </c>
      <c r="BE19" s="239">
        <f>+K105+K106+K107+K108+K109+K110+K98+K100+K101</f>
        <v>27290965</v>
      </c>
      <c r="BF19" s="553">
        <f>MARZO!BF19+ABRIL!BE19+MAYO!BE19+JUNIO!BE19</f>
        <v>729645872</v>
      </c>
      <c r="BG19" s="67"/>
      <c r="BH19" s="67"/>
      <c r="BI19" s="67"/>
      <c r="BJ19" s="67"/>
      <c r="BK19" s="67"/>
      <c r="BL19" s="101"/>
      <c r="BM19" s="745" t="s">
        <v>145</v>
      </c>
      <c r="BN19" s="188">
        <f>X126</f>
        <v>3324022659</v>
      </c>
      <c r="BO19" s="188">
        <f>AA126</f>
        <v>2599701837</v>
      </c>
      <c r="BP19" s="188">
        <f>AD126</f>
        <v>2372046306</v>
      </c>
      <c r="BQ19" s="755">
        <f>AF126</f>
        <v>307151674</v>
      </c>
    </row>
    <row r="20" spans="1:69" ht="24.75" customHeight="1" thickBot="1">
      <c r="A20" s="202" t="str">
        <f>+IF(AGOSTO!A20=0,"",AGOSTO!A20)</f>
        <v/>
      </c>
      <c r="B20" s="298" t="str">
        <f>+IF(AGOSTO!B20=0,"",AGOSTO!B20)</f>
        <v/>
      </c>
      <c r="C20" s="67"/>
      <c r="D20" s="67"/>
      <c r="E20" s="67"/>
      <c r="F20" s="67"/>
      <c r="G20" s="67"/>
      <c r="H20" s="67"/>
      <c r="I20" s="67"/>
      <c r="J20" s="67"/>
      <c r="K20" s="67"/>
      <c r="L20" s="67"/>
      <c r="M20" s="67"/>
      <c r="N20" s="283"/>
      <c r="O20" s="101"/>
      <c r="P20" s="284"/>
      <c r="Q20" s="285"/>
      <c r="R20" s="101"/>
      <c r="S20" s="266">
        <f>+IF(AGOSTO!S20=0,"",AGOSTO!S20)</f>
        <v>1010104</v>
      </c>
      <c r="T20" s="267" t="str">
        <f>+IF(AGOSTO!T20=0,"",AGOSTO!T20)</f>
        <v>Otros</v>
      </c>
      <c r="U20" s="373">
        <f>SUM(U21:U32)</f>
        <v>1587602697.9166667</v>
      </c>
      <c r="V20" s="220">
        <f>SUM(AGOSTO!V20+SEPTIEMBRE!AL20)</f>
        <v>21000000</v>
      </c>
      <c r="W20" s="220">
        <f>SUM(W21:W32)</f>
        <v>0</v>
      </c>
      <c r="X20" s="271">
        <f>SUM(X21:X32)</f>
        <v>1608602697.9166667</v>
      </c>
      <c r="Y20" s="270">
        <f t="shared" ref="Y20:AJ20" si="15">SUM(Y21:Y32)</f>
        <v>773170460</v>
      </c>
      <c r="Z20" s="300">
        <f t="shared" si="15"/>
        <v>47779329</v>
      </c>
      <c r="AA20" s="271">
        <f t="shared" si="15"/>
        <v>820949789</v>
      </c>
      <c r="AB20" s="270">
        <f t="shared" si="15"/>
        <v>773170460</v>
      </c>
      <c r="AC20" s="300">
        <f>SUM(AC21:AC32)</f>
        <v>46562831</v>
      </c>
      <c r="AD20" s="271">
        <f t="shared" si="15"/>
        <v>819733291</v>
      </c>
      <c r="AE20" s="270">
        <f t="shared" si="15"/>
        <v>739477181</v>
      </c>
      <c r="AF20" s="300">
        <f>SUM(AF21:AF32)</f>
        <v>46390335</v>
      </c>
      <c r="AG20" s="271">
        <f t="shared" si="15"/>
        <v>785867516</v>
      </c>
      <c r="AH20" s="270">
        <f t="shared" si="15"/>
        <v>787652908.91666663</v>
      </c>
      <c r="AI20" s="220">
        <f t="shared" si="15"/>
        <v>788869406.91666663</v>
      </c>
      <c r="AJ20" s="269">
        <f t="shared" si="15"/>
        <v>822735181.91666663</v>
      </c>
      <c r="AK20" s="101"/>
      <c r="AL20" s="301">
        <f>SUM(AL21:AL32)</f>
        <v>0</v>
      </c>
      <c r="AM20" s="302">
        <f>SUM(AM21:AM32)</f>
        <v>0</v>
      </c>
      <c r="AN20" s="101"/>
      <c r="AO20" s="156"/>
      <c r="AP20" s="303" t="s">
        <v>65</v>
      </c>
      <c r="AQ20" s="304" t="s">
        <v>75</v>
      </c>
      <c r="AR20" s="304" t="s">
        <v>66</v>
      </c>
      <c r="AS20" s="305" t="s">
        <v>66</v>
      </c>
      <c r="AT20" s="304" t="s">
        <v>67</v>
      </c>
      <c r="AU20" s="306" t="s">
        <v>68</v>
      </c>
      <c r="AV20" s="306" t="s">
        <v>68</v>
      </c>
      <c r="AW20" s="306" t="s">
        <v>31</v>
      </c>
      <c r="AX20" s="306" t="s">
        <v>34</v>
      </c>
      <c r="AY20" s="306" t="s">
        <v>147</v>
      </c>
      <c r="AZ20" s="307" t="s">
        <v>147</v>
      </c>
      <c r="BA20" s="67"/>
      <c r="BB20" s="308" t="s">
        <v>148</v>
      </c>
      <c r="BC20" s="142">
        <f>+F115+F117+F119+F120+F121+F123+F124</f>
        <v>0</v>
      </c>
      <c r="BD20" s="143">
        <f>+I115+I117+I119+I120+I121+I123+I124</f>
        <v>0</v>
      </c>
      <c r="BE20" s="144">
        <f>+K115+K117+K119+K120+K121+K123+K124</f>
        <v>0</v>
      </c>
      <c r="BF20" s="553">
        <f>MARZO!BF20+ABRIL!BE20+MAYO!BE20+JUNIO!BE20</f>
        <v>0</v>
      </c>
      <c r="BG20" s="67"/>
      <c r="BH20" s="67"/>
      <c r="BI20" s="67"/>
      <c r="BJ20" s="67"/>
      <c r="BK20" s="67"/>
      <c r="BL20" s="67"/>
      <c r="BM20" s="745" t="s">
        <v>149</v>
      </c>
      <c r="BN20" s="188">
        <f>+X141</f>
        <v>548000000</v>
      </c>
      <c r="BO20" s="188">
        <f>+AA141</f>
        <v>321433950</v>
      </c>
      <c r="BP20" s="188">
        <f>+AD141</f>
        <v>321433950</v>
      </c>
      <c r="BQ20" s="755">
        <f>+AF141</f>
        <v>67117192</v>
      </c>
    </row>
    <row r="21" spans="1:69" ht="24.75" customHeight="1" thickBot="1">
      <c r="A21" s="309" t="str">
        <f>+IF(AGOSTO!A21=0,"",AGOSTO!A21)</f>
        <v>1.1.02.05.001.09.02</v>
      </c>
      <c r="B21" s="310" t="str">
        <f>+IF(AGOSTO!B21=0,"",AGOSTO!B21)</f>
        <v>Venta de Servicios de Salud</v>
      </c>
      <c r="C21" s="171">
        <f t="shared" ref="C21:N21" si="16">C22+C25+C28+C41+C42+C45+C48+C51+C54+C57+C60+C63+C66+C69+C72+C75+C78+C81</f>
        <v>157258153137.47653</v>
      </c>
      <c r="D21" s="172">
        <f t="shared" si="16"/>
        <v>0</v>
      </c>
      <c r="E21" s="172">
        <f t="shared" si="16"/>
        <v>26157486765</v>
      </c>
      <c r="F21" s="172">
        <f>F22+F25+F28+F41+F42+F45+F48+F51+F54+F57+F60+F63+F66+F69+F72+F75+F78+F81</f>
        <v>183415639902.47653</v>
      </c>
      <c r="G21" s="172">
        <f>G22+G25+G28+G41+G42+G45+G48+G51+G54+G57+G60+G63+G66+G69+G72+G75+G78+G81</f>
        <v>150863027579</v>
      </c>
      <c r="H21" s="172">
        <f t="shared" si="16"/>
        <v>15201112485</v>
      </c>
      <c r="I21" s="172">
        <f t="shared" si="16"/>
        <v>166064140064</v>
      </c>
      <c r="J21" s="172">
        <f t="shared" si="16"/>
        <v>86738494594</v>
      </c>
      <c r="K21" s="172">
        <f t="shared" si="16"/>
        <v>11585217711</v>
      </c>
      <c r="L21" s="172">
        <f t="shared" si="16"/>
        <v>98323712305</v>
      </c>
      <c r="M21" s="172">
        <f t="shared" si="16"/>
        <v>17351499838.476513</v>
      </c>
      <c r="N21" s="173">
        <f t="shared" si="16"/>
        <v>85091927597.476517</v>
      </c>
      <c r="O21" s="67"/>
      <c r="P21" s="288">
        <f>P22+P25+P28+P41+P42+P45+P48+P51+P54+P57+P60+P63+P66+P69+P72+P75+P78+P81</f>
        <v>0</v>
      </c>
      <c r="Q21" s="289">
        <f>Q22+Q25+Q28+Q41+Q42+Q45+Q48+Q51+Q54+Q57+Q60+Q63+Q66+Q69+Q72+Q75+Q78+Q81</f>
        <v>0</v>
      </c>
      <c r="R21" s="101"/>
      <c r="S21" s="311" t="str">
        <f>+IF(AGOSTO!S21=0,"",AGOSTO!S21)</f>
        <v>2.1.1.01.01.001.08.01</v>
      </c>
      <c r="T21" s="312" t="str">
        <f>+IF(AGOSTO!T21=0,"",AGOSTO!T21)</f>
        <v xml:space="preserve">Prima de Navidad </v>
      </c>
      <c r="U21" s="373">
        <f>+ENERO!U21</f>
        <v>544320925</v>
      </c>
      <c r="V21" s="220">
        <f>SUM(AGOSTO!V21+SEPTIEMBRE!AL21)</f>
        <v>0</v>
      </c>
      <c r="W21" s="220">
        <f>AGOSTO!W21+SEPTIEMBRE!AM21</f>
        <v>0</v>
      </c>
      <c r="X21" s="271">
        <f t="shared" ref="X21:X33" si="17">SUM(U21:W21)</f>
        <v>544320925</v>
      </c>
      <c r="Y21" s="270">
        <f>AGOSTO!AA21</f>
        <v>10823679</v>
      </c>
      <c r="Z21" s="208">
        <v>12861164</v>
      </c>
      <c r="AA21" s="271">
        <f t="shared" ref="AA21:AA33" si="18">SUM(Y21:Z21)</f>
        <v>23684843</v>
      </c>
      <c r="AB21" s="270">
        <f>AGOSTO!AD21</f>
        <v>10823679</v>
      </c>
      <c r="AC21" s="208">
        <v>12861164</v>
      </c>
      <c r="AD21" s="271">
        <f t="shared" ref="AD21:AD33" si="19">SUM(AB21:AC21)</f>
        <v>23684843</v>
      </c>
      <c r="AE21" s="270">
        <f>AGOSTO!AG21</f>
        <v>6880624</v>
      </c>
      <c r="AF21" s="208">
        <v>3943055</v>
      </c>
      <c r="AG21" s="271">
        <f t="shared" ref="AG21:AG33" si="20">SUM(AE21:AF21)</f>
        <v>10823679</v>
      </c>
      <c r="AH21" s="270">
        <f t="shared" ref="AH21:AH33" si="21">X21-AA21</f>
        <v>520636082</v>
      </c>
      <c r="AI21" s="220">
        <f t="shared" ref="AI21:AI33" si="22">X21-AD21</f>
        <v>520636082</v>
      </c>
      <c r="AJ21" s="269">
        <f t="shared" ref="AJ21:AJ33" si="23">X21-AG21</f>
        <v>533497246</v>
      </c>
      <c r="AK21" s="101"/>
      <c r="AL21" s="204">
        <v>0</v>
      </c>
      <c r="AM21" s="210">
        <v>0</v>
      </c>
      <c r="AN21" s="101"/>
      <c r="AO21" s="156"/>
      <c r="AP21" s="313"/>
      <c r="AQ21" s="314"/>
      <c r="AR21" s="315" t="str">
        <f>AR6</f>
        <v>SEPTIEMBRE</v>
      </c>
      <c r="AS21" s="316" t="str">
        <f>AR6</f>
        <v>SEPTIEMBRE</v>
      </c>
      <c r="AT21" s="315" t="str">
        <f>AR6</f>
        <v>SEPTIEMBRE</v>
      </c>
      <c r="AU21" s="315" t="s">
        <v>31</v>
      </c>
      <c r="AV21" s="315" t="s">
        <v>34</v>
      </c>
      <c r="AW21" s="317"/>
      <c r="AX21" s="317"/>
      <c r="AY21" s="315" t="s">
        <v>31</v>
      </c>
      <c r="AZ21" s="318" t="s">
        <v>34</v>
      </c>
      <c r="BA21" s="101"/>
      <c r="BB21" s="308" t="s">
        <v>152</v>
      </c>
      <c r="BC21" s="142">
        <f>SUM(F128)</f>
        <v>45360108023.099998</v>
      </c>
      <c r="BD21" s="142">
        <f>SUM(I128)</f>
        <v>49576911847</v>
      </c>
      <c r="BE21" s="142">
        <f>SUM(K128)</f>
        <v>1781857923</v>
      </c>
      <c r="BF21" s="553">
        <f>MARZO!BF21+ABRIL!BE21+MAYO!BE21+JUNIO!BE21</f>
        <v>43654823414</v>
      </c>
      <c r="BG21" s="67"/>
      <c r="BH21" s="67"/>
      <c r="BI21" s="67"/>
      <c r="BJ21" s="67"/>
      <c r="BK21" s="67"/>
      <c r="BL21" s="67"/>
      <c r="BM21" s="745" t="s">
        <v>153</v>
      </c>
      <c r="BN21" s="188">
        <v>0</v>
      </c>
      <c r="BO21" s="186">
        <v>0</v>
      </c>
      <c r="BP21" s="186">
        <v>0</v>
      </c>
      <c r="BQ21" s="754">
        <v>0</v>
      </c>
    </row>
    <row r="22" spans="1:69" ht="24.75" customHeight="1" thickBot="1">
      <c r="A22" s="286" t="str">
        <f>+IF(AGOSTO!A22=0,"",AGOSTO!A22)</f>
        <v>1.1.02.05.001.09.02.02</v>
      </c>
      <c r="B22" s="319" t="str">
        <f>+IF(AGOSTO!B22=0,"",AGOSTO!B22)</f>
        <v>EPS - REGIMEN CONTRIBUTIVO</v>
      </c>
      <c r="C22" s="288">
        <f t="shared" ref="C22:N22" si="24">SUM(C23:C24)</f>
        <v>56030749893.586876</v>
      </c>
      <c r="D22" s="320">
        <f t="shared" si="24"/>
        <v>0</v>
      </c>
      <c r="E22" s="320">
        <f t="shared" si="24"/>
        <v>6782368117</v>
      </c>
      <c r="F22" s="320">
        <f t="shared" si="24"/>
        <v>62813118010.586876</v>
      </c>
      <c r="G22" s="320">
        <f t="shared" si="24"/>
        <v>62042884275</v>
      </c>
      <c r="H22" s="320">
        <f t="shared" si="24"/>
        <v>6643581814</v>
      </c>
      <c r="I22" s="320">
        <f t="shared" si="24"/>
        <v>68686466089</v>
      </c>
      <c r="J22" s="320">
        <f t="shared" si="24"/>
        <v>38028324177</v>
      </c>
      <c r="K22" s="320">
        <f t="shared" si="24"/>
        <v>6006972822</v>
      </c>
      <c r="L22" s="320">
        <f t="shared" si="24"/>
        <v>44035296999</v>
      </c>
      <c r="M22" s="320">
        <f t="shared" si="24"/>
        <v>-5873348078.4131241</v>
      </c>
      <c r="N22" s="289">
        <f t="shared" si="24"/>
        <v>18777821011.586876</v>
      </c>
      <c r="O22" s="101"/>
      <c r="P22" s="288">
        <f>SUM(P23:P24)</f>
        <v>0</v>
      </c>
      <c r="Q22" s="289">
        <f>SUM(Q23:Q24)</f>
        <v>0</v>
      </c>
      <c r="R22" s="101"/>
      <c r="S22" s="311" t="str">
        <f>+IF(AGOSTO!S22=0,"",AGOSTO!S22)</f>
        <v>2.1.1.01.01.001.08.02</v>
      </c>
      <c r="T22" s="312" t="str">
        <f>+IF(AGOSTO!T22=0,"",AGOSTO!T22)</f>
        <v>Prima de Vacaciones</v>
      </c>
      <c r="U22" s="373">
        <f>+ENERO!U22</f>
        <v>272160462.5</v>
      </c>
      <c r="V22" s="220">
        <f>SUM(AGOSTO!V22+SEPTIEMBRE!AL22)</f>
        <v>0</v>
      </c>
      <c r="W22" s="220">
        <f>AGOSTO!W22+SEPTIEMBRE!AM22</f>
        <v>0</v>
      </c>
      <c r="X22" s="271">
        <f t="shared" si="17"/>
        <v>272160462.5</v>
      </c>
      <c r="Y22" s="270">
        <f>AGOSTO!AA22</f>
        <v>153228188</v>
      </c>
      <c r="Z22" s="208">
        <v>10580897</v>
      </c>
      <c r="AA22" s="271">
        <f t="shared" si="18"/>
        <v>163809085</v>
      </c>
      <c r="AB22" s="270">
        <f>AGOSTO!AD22</f>
        <v>153228188</v>
      </c>
      <c r="AC22" s="208">
        <v>10580897</v>
      </c>
      <c r="AD22" s="271">
        <f t="shared" si="19"/>
        <v>163809085</v>
      </c>
      <c r="AE22" s="270">
        <f>AGOSTO!AG22</f>
        <v>142381498</v>
      </c>
      <c r="AF22" s="208">
        <v>14881103</v>
      </c>
      <c r="AG22" s="271">
        <f t="shared" si="20"/>
        <v>157262601</v>
      </c>
      <c r="AH22" s="270">
        <f t="shared" si="21"/>
        <v>108351377.5</v>
      </c>
      <c r="AI22" s="220">
        <f t="shared" si="22"/>
        <v>108351377.5</v>
      </c>
      <c r="AJ22" s="269">
        <f t="shared" si="23"/>
        <v>114897861.5</v>
      </c>
      <c r="AK22" s="101"/>
      <c r="AL22" s="204">
        <v>0</v>
      </c>
      <c r="AM22" s="210">
        <v>0</v>
      </c>
      <c r="AN22" s="101"/>
      <c r="AO22" s="108"/>
      <c r="AP22" s="536" t="s">
        <v>156</v>
      </c>
      <c r="AQ22" s="537">
        <f>X17+X66</f>
        <v>6034913230</v>
      </c>
      <c r="AR22" s="537">
        <f>AD17+AD66</f>
        <v>3876590701</v>
      </c>
      <c r="AS22" s="537">
        <f>AG17+AG66</f>
        <v>3876590701</v>
      </c>
      <c r="AT22" s="338"/>
      <c r="AU22" s="325">
        <f t="shared" ref="AU22:AU32" si="25">IF(AQ22=0," ",AR22/AQ22)</f>
        <v>0.64236063606170524</v>
      </c>
      <c r="AV22" s="325">
        <f t="shared" ref="AV22:AV32" si="26">IF(AQ22=0," ",AS22/AQ22)</f>
        <v>0.64236063606170524</v>
      </c>
      <c r="AW22" s="323">
        <f>AR22/$AO$2*12</f>
        <v>5168787601.333333</v>
      </c>
      <c r="AX22" s="323">
        <f>AS22/$AO$2*12</f>
        <v>5168787601.333333</v>
      </c>
      <c r="AY22" s="323">
        <f t="shared" ref="AY22:AY31" si="27">AW22-AQ22</f>
        <v>-866125628.66666698</v>
      </c>
      <c r="AZ22" s="326">
        <f t="shared" ref="AZ22:AZ31" si="28">AQ22-AX22</f>
        <v>866125628.66666698</v>
      </c>
      <c r="BA22" s="67"/>
      <c r="BB22" s="327" t="s">
        <v>157</v>
      </c>
      <c r="BC22" s="328">
        <f>BC7+BC8+BC20+BC21</f>
        <v>207759352612.47653</v>
      </c>
      <c r="BD22" s="329">
        <f>BD7+BD8+BD20+BD21</f>
        <v>186471341600</v>
      </c>
      <c r="BE22" s="328">
        <f>SUM(BE8+BE21)</f>
        <v>14662026276</v>
      </c>
      <c r="BF22" s="553">
        <f>MARZO!BF22+ABRIL!BE22+MAYO!BE22+JUNIO!BE22</f>
        <v>74936900818</v>
      </c>
      <c r="BG22" s="67"/>
      <c r="BH22" s="67"/>
      <c r="BI22" s="67"/>
      <c r="BJ22" s="67"/>
      <c r="BK22" s="67"/>
      <c r="BL22" s="101"/>
      <c r="BM22" s="743" t="s">
        <v>108</v>
      </c>
      <c r="BN22" s="188">
        <f>BN23+BN24</f>
        <v>3214060585</v>
      </c>
      <c r="BO22" s="186">
        <f>BO23+BO24</f>
        <v>1143712705</v>
      </c>
      <c r="BP22" s="186">
        <f>BP23+BP24</f>
        <v>1129171375</v>
      </c>
      <c r="BQ22" s="748">
        <f>BQ23+BQ24</f>
        <v>160296927</v>
      </c>
    </row>
    <row r="23" spans="1:69" ht="24.75" customHeight="1">
      <c r="A23" s="202" t="str">
        <f>+IF(AGOSTO!A23=0,"",AGOSTO!A23)</f>
        <v>1.1.02.05.001.09.02.02</v>
      </c>
      <c r="B23" s="331" t="str">
        <f>+CONCATENATE("Vigencia ",INSTRUCCIONES!$F$3)</f>
        <v>Vigencia 2025</v>
      </c>
      <c r="C23" s="204">
        <f>+ENERO!C23</f>
        <v>49300076925.586876</v>
      </c>
      <c r="D23" s="205">
        <f>AGOSTO!D23+SEPTIEMBRE!P23</f>
        <v>0</v>
      </c>
      <c r="E23" s="205">
        <f>AGOSTO!E23+SEPTIEMBRE!Q23</f>
        <v>0</v>
      </c>
      <c r="F23" s="205">
        <f>SUM(C23:E23)</f>
        <v>49300076925.586876</v>
      </c>
      <c r="G23" s="205">
        <f>AGOSTO!I23</f>
        <v>45849742505</v>
      </c>
      <c r="H23" s="208">
        <v>6127302056</v>
      </c>
      <c r="I23" s="205">
        <f>SUM(G23:H23)</f>
        <v>51977044561</v>
      </c>
      <c r="J23" s="205">
        <f>AGOSTO!L23</f>
        <v>21835182407</v>
      </c>
      <c r="K23" s="208">
        <v>5490693064</v>
      </c>
      <c r="L23" s="205">
        <f>SUM(J23:K23)</f>
        <v>27325875471</v>
      </c>
      <c r="M23" s="205">
        <f>F23-I23</f>
        <v>-2676967635.4131241</v>
      </c>
      <c r="N23" s="206">
        <f>F23-L23</f>
        <v>21974201454.586876</v>
      </c>
      <c r="O23" s="101"/>
      <c r="P23" s="204">
        <v>0</v>
      </c>
      <c r="Q23" s="210">
        <v>0</v>
      </c>
      <c r="R23" s="101"/>
      <c r="S23" s="311" t="str">
        <f>+IF(AGOSTO!S23=0,"",AGOSTO!S23)</f>
        <v>2.1.1.01.01.001.07</v>
      </c>
      <c r="T23" s="312" t="str">
        <f>+IF(AGOSTO!T23=0,"",AGOSTO!T23)</f>
        <v>Bonificación  por servicios prestados</v>
      </c>
      <c r="U23" s="373">
        <f>+ENERO!U23</f>
        <v>190512323.74999997</v>
      </c>
      <c r="V23" s="220">
        <f>SUM(AGOSTO!V23+SEPTIEMBRE!AL23)</f>
        <v>0</v>
      </c>
      <c r="W23" s="220">
        <f>AGOSTO!W23+SEPTIEMBRE!AM23</f>
        <v>0</v>
      </c>
      <c r="X23" s="271">
        <f t="shared" si="17"/>
        <v>190512323.74999997</v>
      </c>
      <c r="Y23" s="270">
        <f>AGOSTO!AA23</f>
        <v>124772061</v>
      </c>
      <c r="Z23" s="208">
        <v>7841651</v>
      </c>
      <c r="AA23" s="271">
        <f t="shared" si="18"/>
        <v>132613712</v>
      </c>
      <c r="AB23" s="270">
        <f>AGOSTO!AD23</f>
        <v>124772061</v>
      </c>
      <c r="AC23" s="208">
        <v>7841651</v>
      </c>
      <c r="AD23" s="271">
        <f t="shared" si="19"/>
        <v>132613712</v>
      </c>
      <c r="AE23" s="270">
        <f>AGOSTO!AG23</f>
        <v>123612093</v>
      </c>
      <c r="AF23" s="208">
        <v>4749206</v>
      </c>
      <c r="AG23" s="271">
        <f t="shared" si="20"/>
        <v>128361299</v>
      </c>
      <c r="AH23" s="270">
        <f t="shared" si="21"/>
        <v>57898611.74999997</v>
      </c>
      <c r="AI23" s="220">
        <f t="shared" si="22"/>
        <v>57898611.74999997</v>
      </c>
      <c r="AJ23" s="269">
        <f t="shared" si="23"/>
        <v>62151024.74999997</v>
      </c>
      <c r="AK23" s="101"/>
      <c r="AL23" s="204">
        <v>0</v>
      </c>
      <c r="AM23" s="210">
        <v>0</v>
      </c>
      <c r="AN23" s="101"/>
      <c r="AO23" s="196"/>
      <c r="AP23" s="538" t="s">
        <v>159</v>
      </c>
      <c r="AQ23" s="334">
        <f>X16+X65-AQ22</f>
        <v>1625602697.916667</v>
      </c>
      <c r="AR23" s="334">
        <f>AD16+AD65-AR22</f>
        <v>830811810</v>
      </c>
      <c r="AS23" s="334">
        <f>AG16+AG65-AS22</f>
        <v>796946035</v>
      </c>
      <c r="AT23" s="110"/>
      <c r="AU23" s="139">
        <f t="shared" si="25"/>
        <v>0.51107925144609334</v>
      </c>
      <c r="AV23" s="139">
        <f t="shared" si="26"/>
        <v>0.49024650120312097</v>
      </c>
      <c r="AW23" s="334">
        <f>(AR23-AD21-AD22-AD23-AD25-AD30-AD33-AD70-AD71-AD72-AD74-AD78-AD81)/$AO$2*12+AX22/12*2.5+AD30+AD33+AD78+AD81</f>
        <v>1750940930.9444444</v>
      </c>
      <c r="AX23" s="334">
        <f>(AS23-AG21-AG22-AG23-AG25-AG30-AG33-AG70-AG71-AG72-AG74-AG78-AG81)/$AO$2*12+AX22/12*2.5+AG30+AG33+AG78+AG81</f>
        <v>1737609973.6111112</v>
      </c>
      <c r="AY23" s="334">
        <f t="shared" si="27"/>
        <v>125338233.02777743</v>
      </c>
      <c r="AZ23" s="335">
        <f t="shared" si="28"/>
        <v>-112007275.69444418</v>
      </c>
      <c r="BA23" s="67"/>
      <c r="BB23" s="336"/>
      <c r="BC23" s="336"/>
      <c r="BD23" s="336"/>
      <c r="BE23" s="336"/>
      <c r="BF23" s="67"/>
      <c r="BG23" s="67"/>
      <c r="BH23" s="67"/>
      <c r="BI23" s="67"/>
      <c r="BJ23" s="67"/>
      <c r="BK23" s="67"/>
      <c r="BL23" s="67"/>
      <c r="BM23" s="745" t="s">
        <v>160</v>
      </c>
      <c r="BN23" s="188">
        <f>X176</f>
        <v>0</v>
      </c>
      <c r="BO23" s="186">
        <f>AA176</f>
        <v>0</v>
      </c>
      <c r="BP23" s="186">
        <f>AD176</f>
        <v>0</v>
      </c>
      <c r="BQ23" s="748">
        <f>AF176</f>
        <v>0</v>
      </c>
    </row>
    <row r="24" spans="1:69" ht="24.75" customHeight="1">
      <c r="A24" s="202" t="str">
        <f>+IF(AGOSTO!A24=0,"",AGOSTO!A24)</f>
        <v>1.1.02.05.001.09.02.02,99</v>
      </c>
      <c r="B24" s="331" t="str">
        <f>+IF(AGOSTO!B24=0,"",AGOSTO!B24)</f>
        <v>Vigencia Anterior</v>
      </c>
      <c r="C24" s="204">
        <f>+ENERO!C24</f>
        <v>6730672968</v>
      </c>
      <c r="D24" s="205">
        <f>AGOSTO!D24+SEPTIEMBRE!P24</f>
        <v>0</v>
      </c>
      <c r="E24" s="205">
        <f>AGOSTO!E24+SEPTIEMBRE!Q24</f>
        <v>6782368117</v>
      </c>
      <c r="F24" s="205">
        <f>SUM(C24:E24)</f>
        <v>13513041085</v>
      </c>
      <c r="G24" s="205">
        <f>AGOSTO!I24</f>
        <v>16193141770</v>
      </c>
      <c r="H24" s="208">
        <v>516279758</v>
      </c>
      <c r="I24" s="205">
        <f>SUM(G24:H24)</f>
        <v>16709421528</v>
      </c>
      <c r="J24" s="205">
        <f>AGOSTO!L24</f>
        <v>16193141770</v>
      </c>
      <c r="K24" s="208">
        <v>516279758</v>
      </c>
      <c r="L24" s="205">
        <f>SUM(J24:K24)</f>
        <v>16709421528</v>
      </c>
      <c r="M24" s="205">
        <f>F24-I24</f>
        <v>-3196380443</v>
      </c>
      <c r="N24" s="206">
        <f>F24-L24</f>
        <v>-3196380443</v>
      </c>
      <c r="O24" s="67"/>
      <c r="P24" s="204">
        <v>0</v>
      </c>
      <c r="Q24" s="210">
        <v>0</v>
      </c>
      <c r="R24" s="101"/>
      <c r="S24" s="311" t="str">
        <f>+IF(AGOSTO!S24=0,"",AGOSTO!S24)</f>
        <v>2.1.1.01.01.001.06</v>
      </c>
      <c r="T24" s="312" t="str">
        <f>+IF(AGOSTO!T24=0,"",AGOSTO!T24)</f>
        <v>Prima de Servicios</v>
      </c>
      <c r="U24" s="373">
        <f>+ENERO!U24</f>
        <v>272160462.5</v>
      </c>
      <c r="V24" s="220">
        <f>SUM(AGOSTO!V24+SEPTIEMBRE!AL24)</f>
        <v>0</v>
      </c>
      <c r="W24" s="220">
        <f>AGOSTO!W24+SEPTIEMBRE!AM24</f>
        <v>0</v>
      </c>
      <c r="X24" s="271">
        <f t="shared" si="17"/>
        <v>272160462.5</v>
      </c>
      <c r="Y24" s="270">
        <f>AGOSTO!AA24</f>
        <v>236122207</v>
      </c>
      <c r="Z24" s="208">
        <v>2829246</v>
      </c>
      <c r="AA24" s="271">
        <f t="shared" si="18"/>
        <v>238951453</v>
      </c>
      <c r="AB24" s="270">
        <f>AGOSTO!AD24</f>
        <v>236122207</v>
      </c>
      <c r="AC24" s="208">
        <v>1612748</v>
      </c>
      <c r="AD24" s="271">
        <f t="shared" si="19"/>
        <v>237734955</v>
      </c>
      <c r="AE24" s="270">
        <f>AGOSTO!AG24</f>
        <v>234654968</v>
      </c>
      <c r="AF24" s="208">
        <v>250741</v>
      </c>
      <c r="AG24" s="271">
        <f t="shared" si="20"/>
        <v>234905709</v>
      </c>
      <c r="AH24" s="270">
        <f t="shared" si="21"/>
        <v>33209009.5</v>
      </c>
      <c r="AI24" s="220">
        <f t="shared" si="22"/>
        <v>34425507.5</v>
      </c>
      <c r="AJ24" s="269">
        <f t="shared" si="23"/>
        <v>37254753.5</v>
      </c>
      <c r="AK24" s="101"/>
      <c r="AL24" s="204"/>
      <c r="AM24" s="210">
        <v>0</v>
      </c>
      <c r="AN24" s="101"/>
      <c r="AO24" s="196"/>
      <c r="AP24" s="303" t="s">
        <v>163</v>
      </c>
      <c r="AQ24" s="338">
        <f>X35+X83</f>
        <v>85408946637</v>
      </c>
      <c r="AR24" s="338">
        <f>AD35+AD83</f>
        <v>70007862283</v>
      </c>
      <c r="AS24" s="338">
        <f>AG35+AG83</f>
        <v>51598423509</v>
      </c>
      <c r="AT24" s="338"/>
      <c r="AU24" s="205">
        <f t="shared" si="25"/>
        <v>0.81967832457345757</v>
      </c>
      <c r="AV24" s="205">
        <f t="shared" si="26"/>
        <v>0.60413370660453802</v>
      </c>
      <c r="AW24" s="205">
        <f>(AR24-AD41-AD88)/$AO$2*12+AD41+AD88</f>
        <v>87863607749.333344</v>
      </c>
      <c r="AX24" s="205">
        <f>(AS24-AG41-AG88)/$AO$2*12+AG41+AG88</f>
        <v>63317689384</v>
      </c>
      <c r="AY24" s="205">
        <f t="shared" si="27"/>
        <v>2454661112.3333435</v>
      </c>
      <c r="AZ24" s="206">
        <f t="shared" si="28"/>
        <v>22091257253</v>
      </c>
      <c r="BA24" s="101"/>
      <c r="BB24" s="339"/>
      <c r="BC24" s="67"/>
      <c r="BD24" s="67"/>
      <c r="BE24" s="67"/>
      <c r="BF24" s="67"/>
      <c r="BG24" s="67"/>
      <c r="BH24" s="67"/>
      <c r="BI24" s="67"/>
      <c r="BJ24" s="67"/>
      <c r="BK24" s="67"/>
      <c r="BL24" s="67"/>
      <c r="BM24" s="745" t="s">
        <v>164</v>
      </c>
      <c r="BN24" s="188">
        <f>X168-X190</f>
        <v>3214060585</v>
      </c>
      <c r="BO24" s="188">
        <f>AA168-AA190</f>
        <v>1143712705</v>
      </c>
      <c r="BP24" s="188">
        <f>AD168-AD190</f>
        <v>1129171375</v>
      </c>
      <c r="BQ24" s="188">
        <f>AF168-AF190</f>
        <v>160296927</v>
      </c>
    </row>
    <row r="25" spans="1:69" ht="24.75" customHeight="1">
      <c r="A25" s="286" t="str">
        <f>+IF(AGOSTO!A25=0,"",AGOSTO!A25)</f>
        <v>1.1.02.05.001.09.02.01</v>
      </c>
      <c r="B25" s="319" t="str">
        <f>+IF(AGOSTO!B25=0,"",AGOSTO!B25)</f>
        <v>ARS - REGIMEN SUBSIDIADO</v>
      </c>
      <c r="C25" s="288">
        <f t="shared" ref="C25:N25" si="29">SUM(C26:C27)</f>
        <v>91588666596</v>
      </c>
      <c r="D25" s="320">
        <f t="shared" si="29"/>
        <v>0</v>
      </c>
      <c r="E25" s="320">
        <f t="shared" si="29"/>
        <v>19375118648</v>
      </c>
      <c r="F25" s="320">
        <f t="shared" si="29"/>
        <v>110963785244</v>
      </c>
      <c r="G25" s="320">
        <f t="shared" si="29"/>
        <v>82066284529</v>
      </c>
      <c r="H25" s="320">
        <f t="shared" si="29"/>
        <v>7633591121</v>
      </c>
      <c r="I25" s="320">
        <f t="shared" si="29"/>
        <v>89699875650</v>
      </c>
      <c r="J25" s="320">
        <f t="shared" si="29"/>
        <v>44758342582</v>
      </c>
      <c r="K25" s="320">
        <f t="shared" si="29"/>
        <v>4445165433</v>
      </c>
      <c r="L25" s="320">
        <f t="shared" si="29"/>
        <v>49203508015</v>
      </c>
      <c r="M25" s="320">
        <f t="shared" si="29"/>
        <v>21263909594</v>
      </c>
      <c r="N25" s="289">
        <f t="shared" si="29"/>
        <v>61760277229</v>
      </c>
      <c r="O25" s="67"/>
      <c r="P25" s="288">
        <f>SUM(P26:P27)</f>
        <v>0</v>
      </c>
      <c r="Q25" s="289">
        <f>SUM(Q26:Q27)</f>
        <v>0</v>
      </c>
      <c r="R25" s="101"/>
      <c r="S25" s="311" t="str">
        <f>+IF(AGOSTO!S25=0,"",AGOSTO!S25)</f>
        <v>1010104-5</v>
      </c>
      <c r="T25" s="312" t="str">
        <f>+IF(AGOSTO!T25=0,"",AGOSTO!T25)</f>
        <v>Bonificación Convencional</v>
      </c>
      <c r="U25" s="373">
        <f>+ENERO!U25</f>
        <v>0</v>
      </c>
      <c r="V25" s="220">
        <f>SUM(AGOSTO!V25+SEPTIEMBRE!AL25)</f>
        <v>0</v>
      </c>
      <c r="W25" s="220">
        <f>AGOSTO!W25+SEPTIEMBRE!AM25</f>
        <v>0</v>
      </c>
      <c r="X25" s="271">
        <f t="shared" si="17"/>
        <v>0</v>
      </c>
      <c r="Y25" s="270">
        <f>AGOSTO!AA25</f>
        <v>0</v>
      </c>
      <c r="Z25" s="208">
        <v>0</v>
      </c>
      <c r="AA25" s="271">
        <f t="shared" si="18"/>
        <v>0</v>
      </c>
      <c r="AB25" s="270">
        <f>AGOSTO!AD25</f>
        <v>0</v>
      </c>
      <c r="AC25" s="208">
        <v>0</v>
      </c>
      <c r="AD25" s="271">
        <f t="shared" si="19"/>
        <v>0</v>
      </c>
      <c r="AE25" s="270">
        <f>AGOSTO!AG25</f>
        <v>0</v>
      </c>
      <c r="AF25" s="208">
        <v>0</v>
      </c>
      <c r="AG25" s="271">
        <f t="shared" si="20"/>
        <v>0</v>
      </c>
      <c r="AH25" s="270">
        <f t="shared" si="21"/>
        <v>0</v>
      </c>
      <c r="AI25" s="220">
        <f t="shared" si="22"/>
        <v>0</v>
      </c>
      <c r="AJ25" s="269">
        <f t="shared" si="23"/>
        <v>0</v>
      </c>
      <c r="AK25" s="101"/>
      <c r="AL25" s="204">
        <v>0</v>
      </c>
      <c r="AM25" s="210">
        <v>0</v>
      </c>
      <c r="AN25" s="101"/>
      <c r="AO25" s="108"/>
      <c r="AP25" s="420" t="s">
        <v>168</v>
      </c>
      <c r="AQ25" s="205">
        <f>X43+X57+X90+X104</f>
        <v>3217792492.9625015</v>
      </c>
      <c r="AR25" s="205">
        <f>AD43+AD57+AD90+AD106</f>
        <v>1960226614</v>
      </c>
      <c r="AS25" s="205">
        <f>AG43+AG57+AG90+AG106</f>
        <v>1945228731</v>
      </c>
      <c r="AT25" s="338"/>
      <c r="AU25" s="205">
        <f t="shared" si="25"/>
        <v>0.60918366186978468</v>
      </c>
      <c r="AV25" s="205">
        <f t="shared" si="26"/>
        <v>0.60452273888211494</v>
      </c>
      <c r="AW25" s="205">
        <f>(AR25-AD55-AD61-AD102-AD110)/$AO$2*12+AD55+AD61+AD102+AD110</f>
        <v>-1691570909.6666679</v>
      </c>
      <c r="AX25" s="205">
        <f>(AS25-AG55-AG61-AG102-AG110)/$AO$2*12+AG55+AG61+AG102+AG110</f>
        <v>-677735909</v>
      </c>
      <c r="AY25" s="205">
        <f t="shared" si="27"/>
        <v>-4909363402.6291695</v>
      </c>
      <c r="AZ25" s="206">
        <f t="shared" si="28"/>
        <v>3895528401.9625015</v>
      </c>
      <c r="BA25" s="67"/>
      <c r="BB25" s="67"/>
      <c r="BC25" s="67"/>
      <c r="BD25" s="67"/>
      <c r="BE25" s="67"/>
      <c r="BF25" s="67"/>
      <c r="BG25" s="67"/>
      <c r="BH25" s="67"/>
      <c r="BI25" s="67"/>
      <c r="BJ25" s="67"/>
      <c r="BK25" s="67"/>
      <c r="BL25" s="67"/>
      <c r="BM25" s="756" t="s">
        <v>169</v>
      </c>
      <c r="BN25" s="340">
        <f>+SUM(BN26:BN28)</f>
        <v>49579849515.333328</v>
      </c>
      <c r="BO25" s="341">
        <f>+SUM(BO26:BO28)</f>
        <v>41123700062</v>
      </c>
      <c r="BP25" s="341">
        <f>+SUM(BP26:BP28)</f>
        <v>34358496871</v>
      </c>
      <c r="BQ25" s="757">
        <f>+SUM(BQ26:BQ28)</f>
        <v>3326324858</v>
      </c>
    </row>
    <row r="26" spans="1:69" ht="24.75" customHeight="1">
      <c r="A26" s="202" t="str">
        <f>+IF(AGOSTO!A26=0,"",AGOSTO!A26)</f>
        <v>1.1.02.05.001.09.02.01</v>
      </c>
      <c r="B26" s="331" t="str">
        <f>+CONCATENATE("Vigencia ",INSTRUCCIONES!$F$3)</f>
        <v>Vigencia 2025</v>
      </c>
      <c r="C26" s="204">
        <f>+ENERO!C26</f>
        <v>81866799864</v>
      </c>
      <c r="D26" s="205">
        <f>AGOSTO!D26+SEPTIEMBRE!P26</f>
        <v>0</v>
      </c>
      <c r="E26" s="205">
        <f>AGOSTO!E26+SEPTIEMBRE!Q26</f>
        <v>0</v>
      </c>
      <c r="F26" s="205">
        <f>SUM(C26:E26)</f>
        <v>81866799864</v>
      </c>
      <c r="G26" s="205">
        <f>AGOSTO!I26</f>
        <v>52598757689</v>
      </c>
      <c r="H26" s="208">
        <v>6786113939</v>
      </c>
      <c r="I26" s="205">
        <f>SUM(G26:H26)</f>
        <v>59384871628</v>
      </c>
      <c r="J26" s="205">
        <f>AGOSTO!L26</f>
        <v>15290815742</v>
      </c>
      <c r="K26" s="208">
        <v>3597688251</v>
      </c>
      <c r="L26" s="205">
        <f>SUM(J26:K26)</f>
        <v>18888503993</v>
      </c>
      <c r="M26" s="205">
        <f>F26-I26</f>
        <v>22481928236</v>
      </c>
      <c r="N26" s="206">
        <f>F26-L26</f>
        <v>62978295871</v>
      </c>
      <c r="O26" s="101"/>
      <c r="P26" s="204">
        <v>0</v>
      </c>
      <c r="Q26" s="210">
        <v>0</v>
      </c>
      <c r="R26" s="101"/>
      <c r="S26" s="311" t="str">
        <f>+IF(AGOSTO!S26=0,"",AGOSTO!S26)</f>
        <v>2.1.1.01.01.001.05</v>
      </c>
      <c r="T26" s="312" t="str">
        <f>+IF(AGOSTO!T26=0,"",AGOSTO!T26)</f>
        <v>Auxilio de Transporte</v>
      </c>
      <c r="U26" s="373">
        <f>+ENERO!U26</f>
        <v>0</v>
      </c>
      <c r="V26" s="220">
        <f>SUM(AGOSTO!V26+SEPTIEMBRE!AL26)</f>
        <v>21000000</v>
      </c>
      <c r="W26" s="220">
        <f>AGOSTO!W26+SEPTIEMBRE!AM26</f>
        <v>0</v>
      </c>
      <c r="X26" s="271">
        <f t="shared" si="17"/>
        <v>21000000</v>
      </c>
      <c r="Y26" s="270">
        <f>AGOSTO!AA26</f>
        <v>12933331</v>
      </c>
      <c r="Z26" s="208">
        <v>0</v>
      </c>
      <c r="AA26" s="271">
        <f t="shared" si="18"/>
        <v>12933331</v>
      </c>
      <c r="AB26" s="270">
        <f>AGOSTO!AD26</f>
        <v>12933331</v>
      </c>
      <c r="AC26" s="208">
        <v>0</v>
      </c>
      <c r="AD26" s="271">
        <f t="shared" si="19"/>
        <v>12933331</v>
      </c>
      <c r="AE26" s="270">
        <f>AGOSTO!AG26</f>
        <v>12933331</v>
      </c>
      <c r="AF26" s="208">
        <v>0</v>
      </c>
      <c r="AG26" s="271">
        <f t="shared" si="20"/>
        <v>12933331</v>
      </c>
      <c r="AH26" s="270">
        <f t="shared" si="21"/>
        <v>8066669</v>
      </c>
      <c r="AI26" s="220">
        <f t="shared" si="22"/>
        <v>8066669</v>
      </c>
      <c r="AJ26" s="269">
        <f t="shared" si="23"/>
        <v>8066669</v>
      </c>
      <c r="AK26" s="101"/>
      <c r="AL26" s="204">
        <v>0</v>
      </c>
      <c r="AM26" s="210">
        <v>0</v>
      </c>
      <c r="AN26" s="101"/>
      <c r="AO26" s="108"/>
      <c r="AP26" s="539" t="s">
        <v>171</v>
      </c>
      <c r="AQ26" s="110">
        <f>X110</f>
        <v>23976615560.620831</v>
      </c>
      <c r="AR26" s="110">
        <f>AD110</f>
        <v>12391311551</v>
      </c>
      <c r="AS26" s="110">
        <f>AG110</f>
        <v>9289815017</v>
      </c>
      <c r="AT26" s="198">
        <f>AO2/12</f>
        <v>0.75</v>
      </c>
      <c r="AU26" s="139">
        <f t="shared" si="25"/>
        <v>0.51680820087683588</v>
      </c>
      <c r="AV26" s="139">
        <f t="shared" si="26"/>
        <v>0.38745314131230357</v>
      </c>
      <c r="AW26" s="334" t="e">
        <f>(AR26-AD289-AD139-AD143-AD153-#REF!)/$AO$2*12+AD289+AD139+AD143+AD153+#REF!</f>
        <v>#REF!</v>
      </c>
      <c r="AX26" s="334" t="e">
        <f>(AS26-AG289-AG139-AG143-AG153-#REF!)/$AO$2*12+AG289+AG139+AG143+AG153+#REF!</f>
        <v>#REF!</v>
      </c>
      <c r="AY26" s="334" t="e">
        <f t="shared" si="27"/>
        <v>#REF!</v>
      </c>
      <c r="AZ26" s="335" t="e">
        <f t="shared" si="28"/>
        <v>#REF!</v>
      </c>
      <c r="BA26" s="67"/>
      <c r="BB26" s="67"/>
      <c r="BC26" s="67"/>
      <c r="BD26" s="67"/>
      <c r="BE26" s="67"/>
      <c r="BF26" s="67"/>
      <c r="BG26" s="67"/>
      <c r="BH26" s="67"/>
      <c r="BI26" s="67"/>
      <c r="BJ26" s="67"/>
      <c r="BK26" s="67"/>
      <c r="BL26" s="101"/>
      <c r="BM26" s="758" t="s">
        <v>172</v>
      </c>
      <c r="BN26" s="199">
        <f>+X197</f>
        <v>9264066391.666666</v>
      </c>
      <c r="BO26" s="199">
        <f>+AA197</f>
        <v>7453311091</v>
      </c>
      <c r="BP26" s="199">
        <f>+AD197</f>
        <v>6442706204</v>
      </c>
      <c r="BQ26" s="750">
        <f>+AF197</f>
        <v>437835875</v>
      </c>
    </row>
    <row r="27" spans="1:69" ht="24.75" customHeight="1">
      <c r="A27" s="202" t="str">
        <f>+IF(AGOSTO!A27=0,"",AGOSTO!A27)</f>
        <v>1.1.02.05.001.09.02.01.99</v>
      </c>
      <c r="B27" s="331" t="str">
        <f>+IF(AGOSTO!B27=0,"",AGOSTO!B27)</f>
        <v>Vigencia Anterior</v>
      </c>
      <c r="C27" s="204">
        <f>+ENERO!C27</f>
        <v>9721866732</v>
      </c>
      <c r="D27" s="205">
        <f>AGOSTO!D27+SEPTIEMBRE!P27</f>
        <v>0</v>
      </c>
      <c r="E27" s="205">
        <f>AGOSTO!E27+SEPTIEMBRE!Q27</f>
        <v>19375118648</v>
      </c>
      <c r="F27" s="205">
        <f>SUM(C27:E27)</f>
        <v>29096985380</v>
      </c>
      <c r="G27" s="205">
        <f>AGOSTO!I27</f>
        <v>29467526840</v>
      </c>
      <c r="H27" s="208">
        <v>847477182</v>
      </c>
      <c r="I27" s="205">
        <f>SUM(G27:H27)</f>
        <v>30315004022</v>
      </c>
      <c r="J27" s="205">
        <f>AGOSTO!L27</f>
        <v>29467526840</v>
      </c>
      <c r="K27" s="208">
        <v>847477182</v>
      </c>
      <c r="L27" s="205">
        <f>SUM(J27:K27)</f>
        <v>30315004022</v>
      </c>
      <c r="M27" s="205">
        <f>F27-I27</f>
        <v>-1218018642</v>
      </c>
      <c r="N27" s="671">
        <f>F27-L27</f>
        <v>-1218018642</v>
      </c>
      <c r="O27" s="67"/>
      <c r="P27" s="204">
        <v>0</v>
      </c>
      <c r="Q27" s="210"/>
      <c r="R27" s="101"/>
      <c r="S27" s="311" t="str">
        <f>+IF(AGOSTO!S27=0,"",AGOSTO!S27)</f>
        <v>2.1.1.01.01.001.04</v>
      </c>
      <c r="T27" s="312" t="str">
        <f>+IF(AGOSTO!T27=0,"",AGOSTO!T27)</f>
        <v>Auxilio de Alimentación</v>
      </c>
      <c r="U27" s="373">
        <f>+ENERO!U27</f>
        <v>0</v>
      </c>
      <c r="V27" s="220">
        <f>SUM(AGOSTO!V27+SEPTIEMBRE!AL27)</f>
        <v>0</v>
      </c>
      <c r="W27" s="220">
        <f>AGOSTO!W27+SEPTIEMBRE!AM27</f>
        <v>0</v>
      </c>
      <c r="X27" s="271">
        <f t="shared" si="17"/>
        <v>0</v>
      </c>
      <c r="Y27" s="270">
        <f>AGOSTO!AA27</f>
        <v>0</v>
      </c>
      <c r="Z27" s="208">
        <v>0</v>
      </c>
      <c r="AA27" s="271">
        <f t="shared" si="18"/>
        <v>0</v>
      </c>
      <c r="AB27" s="270">
        <f>AGOSTO!AD27</f>
        <v>0</v>
      </c>
      <c r="AC27" s="208">
        <v>0</v>
      </c>
      <c r="AD27" s="271">
        <f t="shared" si="19"/>
        <v>0</v>
      </c>
      <c r="AE27" s="270">
        <f>AGOSTO!AG27</f>
        <v>0</v>
      </c>
      <c r="AF27" s="208">
        <v>0</v>
      </c>
      <c r="AG27" s="271">
        <f t="shared" si="20"/>
        <v>0</v>
      </c>
      <c r="AH27" s="270">
        <f t="shared" si="21"/>
        <v>0</v>
      </c>
      <c r="AI27" s="220">
        <f t="shared" si="22"/>
        <v>0</v>
      </c>
      <c r="AJ27" s="269">
        <f t="shared" si="23"/>
        <v>0</v>
      </c>
      <c r="AK27" s="101"/>
      <c r="AL27" s="204">
        <v>0</v>
      </c>
      <c r="AM27" s="210">
        <v>0</v>
      </c>
      <c r="AN27" s="101"/>
      <c r="AO27" s="156"/>
      <c r="AP27" s="420" t="s">
        <v>174</v>
      </c>
      <c r="AQ27" s="205">
        <f>X168</f>
        <v>3614060585</v>
      </c>
      <c r="AR27" s="205">
        <f>AD168</f>
        <v>1331945584</v>
      </c>
      <c r="AS27" s="205">
        <f>AG168</f>
        <v>1320202768.5</v>
      </c>
      <c r="AT27" s="338"/>
      <c r="AU27" s="205">
        <f t="shared" si="25"/>
        <v>0.36854544982676324</v>
      </c>
      <c r="AV27" s="205">
        <f t="shared" si="26"/>
        <v>0.36529624710206676</v>
      </c>
      <c r="AW27" s="205">
        <f>(AR27-AD172-AD181-AD190)/$AO$2*12+AD172+AD181+AD190</f>
        <v>1636865400</v>
      </c>
      <c r="AX27" s="205">
        <f>(AS27-AG172-AG181-AG190)/$AO$2*12+AG172+AG181+AG190</f>
        <v>1621208312.6666667</v>
      </c>
      <c r="AY27" s="205">
        <f t="shared" si="27"/>
        <v>-1977195185</v>
      </c>
      <c r="AZ27" s="206">
        <f t="shared" si="28"/>
        <v>1992852272.3333333</v>
      </c>
      <c r="BA27" s="101"/>
      <c r="BB27" s="67"/>
      <c r="BC27" s="67"/>
      <c r="BD27" s="67"/>
      <c r="BE27" s="67"/>
      <c r="BF27" s="67"/>
      <c r="BG27" s="67"/>
      <c r="BH27" s="67"/>
      <c r="BI27" s="67"/>
      <c r="BJ27" s="67"/>
      <c r="BK27" s="67"/>
      <c r="BL27" s="67"/>
      <c r="BM27" s="758" t="s">
        <v>175</v>
      </c>
      <c r="BN27" s="201">
        <f>+X210</f>
        <v>3000000</v>
      </c>
      <c r="BO27" s="199">
        <f>+AA210</f>
        <v>0</v>
      </c>
      <c r="BP27" s="199">
        <f>+AD210</f>
        <v>0</v>
      </c>
      <c r="BQ27" s="750">
        <f>+AF210</f>
        <v>0</v>
      </c>
    </row>
    <row r="28" spans="1:69" ht="24.75" customHeight="1">
      <c r="A28" s="286">
        <f>+IF(AGOSTO!A28=0,"",AGOSTO!A28)</f>
        <v>1130103</v>
      </c>
      <c r="B28" s="344" t="str">
        <f>+IF(AGOSTO!B28=0,"",AGOSTO!B28)</f>
        <v>SUBSIDIO A LA OFERTA- ATENCION PERSONAS POBRES NO CUBIERTOS CON SUBSIDIO A LA DEMANDA</v>
      </c>
      <c r="C28" s="288">
        <f>C29+C32+C35+C38+C39+C40</f>
        <v>1850957800</v>
      </c>
      <c r="D28" s="320">
        <f>+D29+D32+D35+D38+D39+D40</f>
        <v>0</v>
      </c>
      <c r="E28" s="320">
        <f>+E29+E32+E35+E38+E39+E40</f>
        <v>0</v>
      </c>
      <c r="F28" s="320">
        <f>+F29+F32+F35+F38+F39+F40</f>
        <v>1850957800</v>
      </c>
      <c r="G28" s="320">
        <f t="shared" ref="G28:N28" si="30">G29+G32+G35+G38+G39+G40</f>
        <v>1471860356</v>
      </c>
      <c r="H28" s="320">
        <f t="shared" si="30"/>
        <v>123239520</v>
      </c>
      <c r="I28" s="320">
        <f t="shared" si="30"/>
        <v>1595099876</v>
      </c>
      <c r="J28" s="320">
        <f t="shared" si="30"/>
        <v>1132842272</v>
      </c>
      <c r="K28" s="320">
        <f t="shared" si="30"/>
        <v>339181303</v>
      </c>
      <c r="L28" s="320">
        <f t="shared" si="30"/>
        <v>1472023575</v>
      </c>
      <c r="M28" s="320">
        <f t="shared" si="30"/>
        <v>255857924</v>
      </c>
      <c r="N28" s="661">
        <f t="shared" si="30"/>
        <v>378934225</v>
      </c>
      <c r="O28" s="67"/>
      <c r="P28" s="288">
        <f>P29+P32+P35+P38+P39+P939</f>
        <v>0</v>
      </c>
      <c r="Q28" s="289">
        <f>Q29+Q32+Q35+Q38+Q39+Q40</f>
        <v>0</v>
      </c>
      <c r="R28" s="101"/>
      <c r="S28" s="311" t="str">
        <f>+IF(AGOSTO!S28=0,"",AGOSTO!S28)</f>
        <v>1010104-8</v>
      </c>
      <c r="T28" s="312" t="str">
        <f>+IF(AGOSTO!T28=0,"",AGOSTO!T28)</f>
        <v>Indemnizaciones por Vacaciones o Supresión de Cargos por Reestructuración</v>
      </c>
      <c r="U28" s="373">
        <f>+ENERO!U28</f>
        <v>0</v>
      </c>
      <c r="V28" s="220">
        <f>SUM(AGOSTO!V28+SEPTIEMBRE!AL28)</f>
        <v>0</v>
      </c>
      <c r="W28" s="220">
        <f>AGOSTO!W28+SEPTIEMBRE!AM28</f>
        <v>0</v>
      </c>
      <c r="X28" s="271">
        <f t="shared" si="17"/>
        <v>0</v>
      </c>
      <c r="Y28" s="270">
        <f>AGOSTO!AA28</f>
        <v>0</v>
      </c>
      <c r="Z28" s="208">
        <v>0</v>
      </c>
      <c r="AA28" s="271">
        <f t="shared" si="18"/>
        <v>0</v>
      </c>
      <c r="AB28" s="270">
        <f>AGOSTO!AD28</f>
        <v>0</v>
      </c>
      <c r="AC28" s="208">
        <v>0</v>
      </c>
      <c r="AD28" s="271">
        <f t="shared" si="19"/>
        <v>0</v>
      </c>
      <c r="AE28" s="270">
        <f>AGOSTO!AG28</f>
        <v>0</v>
      </c>
      <c r="AF28" s="208">
        <v>0</v>
      </c>
      <c r="AG28" s="271">
        <f t="shared" si="20"/>
        <v>0</v>
      </c>
      <c r="AH28" s="270">
        <f t="shared" si="21"/>
        <v>0</v>
      </c>
      <c r="AI28" s="220">
        <f t="shared" si="22"/>
        <v>0</v>
      </c>
      <c r="AJ28" s="269">
        <f t="shared" si="23"/>
        <v>0</v>
      </c>
      <c r="AK28" s="101"/>
      <c r="AL28" s="204">
        <v>0</v>
      </c>
      <c r="AM28" s="210">
        <v>0</v>
      </c>
      <c r="AN28" s="101"/>
      <c r="AO28" s="156"/>
      <c r="AP28" s="333" t="s">
        <v>179</v>
      </c>
      <c r="AQ28" s="205">
        <f>X194</f>
        <v>53293630478.666664</v>
      </c>
      <c r="AR28" s="205">
        <f>AD194</f>
        <v>38006559426</v>
      </c>
      <c r="AS28" s="205">
        <f>AG194</f>
        <v>22891145263</v>
      </c>
      <c r="AT28" s="338"/>
      <c r="AU28" s="205">
        <f t="shared" si="25"/>
        <v>0.71315388132947621</v>
      </c>
      <c r="AV28" s="205">
        <f t="shared" si="26"/>
        <v>0.42952872711802365</v>
      </c>
      <c r="AW28" s="205">
        <f>(AR28-AD206)/$AO$2*12+AD206</f>
        <v>49459391716.333336</v>
      </c>
      <c r="AX28" s="205">
        <f>(AS28-AG206)/$AO$2*12+AG206</f>
        <v>29305506166.333336</v>
      </c>
      <c r="AY28" s="205">
        <f t="shared" si="27"/>
        <v>-3834238762.3333282</v>
      </c>
      <c r="AZ28" s="206">
        <f t="shared" si="28"/>
        <v>23988124312.333328</v>
      </c>
      <c r="BA28" s="67"/>
      <c r="BB28" s="67"/>
      <c r="BC28" s="67"/>
      <c r="BD28" s="67"/>
      <c r="BE28" s="67"/>
      <c r="BF28" s="67"/>
      <c r="BG28" s="67"/>
      <c r="BH28" s="67"/>
      <c r="BI28" s="67"/>
      <c r="BJ28" s="67"/>
      <c r="BK28" s="67"/>
      <c r="BL28" s="67"/>
      <c r="BM28" s="743" t="s">
        <v>180</v>
      </c>
      <c r="BN28" s="186">
        <f>+X196-X197+X204</f>
        <v>40312783123.666664</v>
      </c>
      <c r="BO28" s="186">
        <f>+AA196-AA197+AA204</f>
        <v>33670388971</v>
      </c>
      <c r="BP28" s="186">
        <f>+AD196-AD197+AD204</f>
        <v>27915790667</v>
      </c>
      <c r="BQ28" s="748">
        <f>+AF196-AF197+AF204</f>
        <v>2888488983</v>
      </c>
    </row>
    <row r="29" spans="1:69" ht="24.75" customHeight="1">
      <c r="A29" s="202" t="str">
        <f>+IF(AGOSTO!A29=0,"",AGOSTO!A29)</f>
        <v>1130103-1</v>
      </c>
      <c r="B29" s="345" t="str">
        <f>+IF(AGOSTO!B29=0,"",AGOSTO!B29)</f>
        <v>Prestación de Servicios de salud  1er Nivel</v>
      </c>
      <c r="C29" s="270">
        <f t="shared" ref="C29:N29" si="31">SUM(C30:C31)</f>
        <v>0</v>
      </c>
      <c r="D29" s="220">
        <f t="shared" si="31"/>
        <v>0</v>
      </c>
      <c r="E29" s="220">
        <f t="shared" si="31"/>
        <v>0</v>
      </c>
      <c r="F29" s="220">
        <f t="shared" si="31"/>
        <v>0</v>
      </c>
      <c r="G29" s="220">
        <f t="shared" si="31"/>
        <v>0</v>
      </c>
      <c r="H29" s="220">
        <f t="shared" si="31"/>
        <v>0</v>
      </c>
      <c r="I29" s="220">
        <f t="shared" si="31"/>
        <v>0</v>
      </c>
      <c r="J29" s="220">
        <f t="shared" si="31"/>
        <v>0</v>
      </c>
      <c r="K29" s="220">
        <f t="shared" si="31"/>
        <v>0</v>
      </c>
      <c r="L29" s="220">
        <f t="shared" si="31"/>
        <v>0</v>
      </c>
      <c r="M29" s="220">
        <f t="shared" si="31"/>
        <v>0</v>
      </c>
      <c r="N29" s="652">
        <f t="shared" si="31"/>
        <v>0</v>
      </c>
      <c r="O29" s="67"/>
      <c r="P29" s="346">
        <f>SUM(P30:P31)</f>
        <v>0</v>
      </c>
      <c r="Q29" s="347">
        <f>SUM(Q30:Q31)</f>
        <v>0</v>
      </c>
      <c r="R29" s="101"/>
      <c r="S29" s="311" t="str">
        <f>+IF(AGOSTO!S29=0,"",AGOSTO!S29)</f>
        <v>1010104-9</v>
      </c>
      <c r="T29" s="312" t="str">
        <f>+IF(AGOSTO!T29=0,"",AGOSTO!T29)</f>
        <v>Gastos de Representacion</v>
      </c>
      <c r="U29" s="373">
        <f>+ENERO!U29</f>
        <v>0</v>
      </c>
      <c r="V29" s="220">
        <f>SUM(AGOSTO!V29+SEPTIEMBRE!AL29)</f>
        <v>0</v>
      </c>
      <c r="W29" s="220">
        <f>AGOSTO!W29+SEPTIEMBRE!AM29</f>
        <v>0</v>
      </c>
      <c r="X29" s="271">
        <f t="shared" si="17"/>
        <v>0</v>
      </c>
      <c r="Y29" s="270">
        <f>AGOSTO!AA29</f>
        <v>0</v>
      </c>
      <c r="Z29" s="208">
        <v>0</v>
      </c>
      <c r="AA29" s="271">
        <f t="shared" si="18"/>
        <v>0</v>
      </c>
      <c r="AB29" s="270">
        <f>AGOSTO!AD29</f>
        <v>0</v>
      </c>
      <c r="AC29" s="208">
        <v>0</v>
      </c>
      <c r="AD29" s="271">
        <f t="shared" si="19"/>
        <v>0</v>
      </c>
      <c r="AE29" s="270">
        <f>AGOSTO!AG29</f>
        <v>0</v>
      </c>
      <c r="AF29" s="208">
        <v>0</v>
      </c>
      <c r="AG29" s="271">
        <f t="shared" si="20"/>
        <v>0</v>
      </c>
      <c r="AH29" s="270">
        <f t="shared" si="21"/>
        <v>0</v>
      </c>
      <c r="AI29" s="220">
        <f t="shared" si="22"/>
        <v>0</v>
      </c>
      <c r="AJ29" s="269">
        <f t="shared" si="23"/>
        <v>0</v>
      </c>
      <c r="AK29" s="101"/>
      <c r="AL29" s="204">
        <v>0</v>
      </c>
      <c r="AM29" s="210">
        <v>0</v>
      </c>
      <c r="AN29" s="101"/>
      <c r="AO29" s="108"/>
      <c r="AP29" s="333" t="s">
        <v>185</v>
      </c>
      <c r="AQ29" s="205">
        <f>X208</f>
        <v>4665559635</v>
      </c>
      <c r="AR29" s="205">
        <f>AD208</f>
        <v>4596412660</v>
      </c>
      <c r="AS29" s="205">
        <f>AG208</f>
        <v>4596412660</v>
      </c>
      <c r="AT29" s="110"/>
      <c r="AU29" s="139">
        <f t="shared" si="25"/>
        <v>0.9851792752832319</v>
      </c>
      <c r="AV29" s="139">
        <f t="shared" si="26"/>
        <v>0.9851792752832319</v>
      </c>
      <c r="AW29" s="334">
        <f>(AR29-AD217)/$AO$2*12+AD217</f>
        <v>4596412660</v>
      </c>
      <c r="AX29" s="334">
        <f>(AS29-AG217)/$AO$2*12+AG217</f>
        <v>4596412660</v>
      </c>
      <c r="AY29" s="334">
        <f t="shared" si="27"/>
        <v>-69146975</v>
      </c>
      <c r="AZ29" s="335">
        <f t="shared" si="28"/>
        <v>69146975</v>
      </c>
      <c r="BA29" s="67"/>
      <c r="BB29" s="336"/>
      <c r="BC29" s="336"/>
      <c r="BD29" s="336"/>
      <c r="BE29" s="336"/>
      <c r="BF29" s="336"/>
      <c r="BG29" s="67"/>
      <c r="BH29" s="67"/>
      <c r="BI29" s="67"/>
      <c r="BJ29" s="67"/>
      <c r="BK29" s="67"/>
      <c r="BL29" s="101"/>
      <c r="BM29" s="759" t="s">
        <v>117</v>
      </c>
      <c r="BN29" s="340">
        <f>X234-X240</f>
        <v>22232273766</v>
      </c>
      <c r="BO29" s="340">
        <f>AA234-AA240</f>
        <v>19236972516</v>
      </c>
      <c r="BP29" s="340">
        <f>AD234-AD240</f>
        <v>15374806882</v>
      </c>
      <c r="BQ29" s="340">
        <f>AF234-AF240</f>
        <v>2535488971</v>
      </c>
    </row>
    <row r="30" spans="1:69" ht="24.75" customHeight="1">
      <c r="A30" s="202" t="str">
        <f>+IF(AGOSTO!A30=0,"",AGOSTO!A30)</f>
        <v>1130103-1-1</v>
      </c>
      <c r="B30" s="331" t="str">
        <f>+CONCATENATE("Vigencia ",INSTRUCCIONES!$F$3)</f>
        <v>Vigencia 2025</v>
      </c>
      <c r="C30" s="204">
        <f>+ENERO!C30</f>
        <v>0</v>
      </c>
      <c r="D30" s="205">
        <f>AGOSTO!D30+SEPTIEMBRE!P30</f>
        <v>0</v>
      </c>
      <c r="E30" s="205">
        <f>AGOSTO!E30+SEPTIEMBRE!Q30</f>
        <v>0</v>
      </c>
      <c r="F30" s="205">
        <f>SUM(C30:E30)</f>
        <v>0</v>
      </c>
      <c r="G30" s="205">
        <f>AGOSTO!I30</f>
        <v>0</v>
      </c>
      <c r="H30" s="208">
        <v>0</v>
      </c>
      <c r="I30" s="205">
        <f>SUM(G30:H30)</f>
        <v>0</v>
      </c>
      <c r="J30" s="205">
        <f>AGOSTO!L30</f>
        <v>0</v>
      </c>
      <c r="K30" s="208">
        <v>0</v>
      </c>
      <c r="L30" s="205">
        <f>SUM(J30:K30)</f>
        <v>0</v>
      </c>
      <c r="M30" s="205">
        <f>F30-I30</f>
        <v>0</v>
      </c>
      <c r="N30" s="671">
        <f>F30-L30</f>
        <v>0</v>
      </c>
      <c r="O30" s="101"/>
      <c r="P30" s="204">
        <v>0</v>
      </c>
      <c r="Q30" s="210">
        <v>0</v>
      </c>
      <c r="R30" s="101"/>
      <c r="S30" s="311" t="str">
        <f>+IF(AGOSTO!S30=0,"",AGOSTO!S30)</f>
        <v>2.1.1.01.03.001.03</v>
      </c>
      <c r="T30" s="312" t="str">
        <f>+IF(AGOSTO!T30=0,"",AGOSTO!T30)</f>
        <v>Bonificación Especial por Recreación</v>
      </c>
      <c r="U30" s="373">
        <f>+ENERO!U30</f>
        <v>36288061.666666657</v>
      </c>
      <c r="V30" s="220">
        <f>SUM(AGOSTO!V30+SEPTIEMBRE!AL30)</f>
        <v>0</v>
      </c>
      <c r="W30" s="220">
        <f>AGOSTO!W30+SEPTIEMBRE!AM30</f>
        <v>0</v>
      </c>
      <c r="X30" s="271">
        <f t="shared" si="17"/>
        <v>36288061.666666657</v>
      </c>
      <c r="Y30" s="270">
        <f>AGOSTO!AA30</f>
        <v>19174384</v>
      </c>
      <c r="Z30" s="208">
        <v>1311754</v>
      </c>
      <c r="AA30" s="271">
        <f t="shared" si="18"/>
        <v>20486138</v>
      </c>
      <c r="AB30" s="270">
        <f>AGOSTO!AD30</f>
        <v>19174384</v>
      </c>
      <c r="AC30" s="208">
        <v>1311754</v>
      </c>
      <c r="AD30" s="271">
        <f t="shared" si="19"/>
        <v>20486138</v>
      </c>
      <c r="AE30" s="270">
        <f>AGOSTO!AG30</f>
        <v>17772202</v>
      </c>
      <c r="AF30" s="208">
        <v>1883952</v>
      </c>
      <c r="AG30" s="271">
        <f t="shared" si="20"/>
        <v>19656154</v>
      </c>
      <c r="AH30" s="270">
        <f t="shared" si="21"/>
        <v>15801923.666666657</v>
      </c>
      <c r="AI30" s="220">
        <f t="shared" si="22"/>
        <v>15801923.666666657</v>
      </c>
      <c r="AJ30" s="269">
        <f t="shared" si="23"/>
        <v>16631907.666666657</v>
      </c>
      <c r="AK30" s="101"/>
      <c r="AL30" s="204">
        <v>0</v>
      </c>
      <c r="AM30" s="210">
        <v>0</v>
      </c>
      <c r="AN30" s="101"/>
      <c r="AO30" s="196" t="s">
        <v>92</v>
      </c>
      <c r="AP30" s="420" t="s">
        <v>188</v>
      </c>
      <c r="AQ30" s="205">
        <f>X219+X231</f>
        <v>25922231295</v>
      </c>
      <c r="AR30" s="205">
        <f>AD219+AD231</f>
        <v>16813587211</v>
      </c>
      <c r="AS30" s="205">
        <f>AG219+AG231</f>
        <v>12002849708</v>
      </c>
      <c r="AT30" s="338"/>
      <c r="AU30" s="205">
        <f t="shared" si="25"/>
        <v>0.64861651065674597</v>
      </c>
      <c r="AV30" s="205">
        <f t="shared" si="26"/>
        <v>0.46303304570525783</v>
      </c>
      <c r="AW30" s="205">
        <f>(AR30-AD224-AD229-AD240-AD255)/$AO$2*12+AD224+AD229+AD240+AD255</f>
        <v>22418116281.333332</v>
      </c>
      <c r="AX30" s="205">
        <f>(AS30-AG224-AG229-AG240-AG255)/$AO$2*12+AG224+AG229+AG240+AG255</f>
        <v>16003799610.666668</v>
      </c>
      <c r="AY30" s="205">
        <f t="shared" si="27"/>
        <v>-3504115013.6666679</v>
      </c>
      <c r="AZ30" s="206">
        <f t="shared" si="28"/>
        <v>9918431684.3333321</v>
      </c>
      <c r="BA30" s="67"/>
      <c r="BB30" s="336"/>
      <c r="BC30" s="336"/>
      <c r="BD30" s="336"/>
      <c r="BE30" s="336"/>
      <c r="BF30" s="336"/>
      <c r="BG30" s="67"/>
      <c r="BH30" s="67"/>
      <c r="BI30" s="67"/>
      <c r="BJ30" s="67"/>
      <c r="BK30" s="67"/>
      <c r="BL30" s="67"/>
      <c r="BM30" s="759" t="s">
        <v>122</v>
      </c>
      <c r="BN30" s="340">
        <f>X219-X229</f>
        <v>3239175000</v>
      </c>
      <c r="BO30" s="340">
        <f>AA219-AA229</f>
        <v>1438780329</v>
      </c>
      <c r="BP30" s="340">
        <f>AD219-AD229</f>
        <v>1438780329</v>
      </c>
      <c r="BQ30" s="340">
        <f>AF219-AF229</f>
        <v>280924315</v>
      </c>
    </row>
    <row r="31" spans="1:69" ht="24.75" customHeight="1">
      <c r="A31" s="202" t="str">
        <f>+IF(AGOSTO!A31=0,"",AGOSTO!A31)</f>
        <v>1130103-1-2</v>
      </c>
      <c r="B31" s="331" t="str">
        <f>+IF(AGOSTO!B31=0,"",AGOSTO!B31)</f>
        <v>Vigencia Anterior</v>
      </c>
      <c r="C31" s="204">
        <f>+ENERO!C31</f>
        <v>0</v>
      </c>
      <c r="D31" s="205">
        <f>AGOSTO!D31+SEPTIEMBRE!P31</f>
        <v>0</v>
      </c>
      <c r="E31" s="205">
        <f>AGOSTO!E31+SEPTIEMBRE!Q31</f>
        <v>0</v>
      </c>
      <c r="F31" s="205">
        <f>SUM(C31:E31)</f>
        <v>0</v>
      </c>
      <c r="G31" s="205">
        <f>AGOSTO!I31</f>
        <v>0</v>
      </c>
      <c r="H31" s="208">
        <v>0</v>
      </c>
      <c r="I31" s="205">
        <f>SUM(G31:H31)</f>
        <v>0</v>
      </c>
      <c r="J31" s="205">
        <f>AGOSTO!L31</f>
        <v>0</v>
      </c>
      <c r="K31" s="208">
        <v>0</v>
      </c>
      <c r="L31" s="205">
        <f>SUM(J31:K31)</f>
        <v>0</v>
      </c>
      <c r="M31" s="205">
        <f>F31-I31</f>
        <v>0</v>
      </c>
      <c r="N31" s="671">
        <f>F31-L31</f>
        <v>0</v>
      </c>
      <c r="O31" s="67"/>
      <c r="P31" s="204">
        <v>0</v>
      </c>
      <c r="Q31" s="210">
        <v>0</v>
      </c>
      <c r="R31" s="101"/>
      <c r="S31" s="311" t="str">
        <f>+IF(AGOSTO!S31=0,"",AGOSTO!S31)</f>
        <v>2.1.1.01.03.001.01</v>
      </c>
      <c r="T31" s="312" t="str">
        <f>+IF(AGOSTO!T31=0,"",AGOSTO!T31)</f>
        <v>Vacaciones</v>
      </c>
      <c r="U31" s="373">
        <f>+ENERO!U31</f>
        <v>272160462.5</v>
      </c>
      <c r="V31" s="220">
        <f>SUM(AGOSTO!V31+SEPTIEMBRE!AL31)</f>
        <v>0</v>
      </c>
      <c r="W31" s="220">
        <f>AGOSTO!W31+SEPTIEMBRE!AM31</f>
        <v>0</v>
      </c>
      <c r="X31" s="271">
        <f t="shared" si="17"/>
        <v>272160462.5</v>
      </c>
      <c r="Y31" s="270">
        <f>AGOSTO!AA31</f>
        <v>216116610</v>
      </c>
      <c r="Z31" s="208">
        <v>12354617</v>
      </c>
      <c r="AA31" s="271">
        <f t="shared" si="18"/>
        <v>228471227</v>
      </c>
      <c r="AB31" s="270">
        <f>AGOSTO!AD31</f>
        <v>216116610</v>
      </c>
      <c r="AC31" s="208">
        <v>12354617</v>
      </c>
      <c r="AD31" s="271">
        <f t="shared" si="19"/>
        <v>228471227</v>
      </c>
      <c r="AE31" s="270">
        <f>AGOSTO!AG31</f>
        <v>201242465</v>
      </c>
      <c r="AF31" s="208">
        <v>20682278</v>
      </c>
      <c r="AG31" s="271">
        <f t="shared" si="20"/>
        <v>221924743</v>
      </c>
      <c r="AH31" s="270">
        <f t="shared" si="21"/>
        <v>43689235.5</v>
      </c>
      <c r="AI31" s="220">
        <f t="shared" si="22"/>
        <v>43689235.5</v>
      </c>
      <c r="AJ31" s="269">
        <f t="shared" si="23"/>
        <v>50235719.5</v>
      </c>
      <c r="AK31" s="101"/>
      <c r="AL31" s="204">
        <v>0</v>
      </c>
      <c r="AM31" s="210">
        <v>0</v>
      </c>
      <c r="AN31" s="101"/>
      <c r="AO31" s="156"/>
      <c r="AP31" s="303" t="s">
        <v>190</v>
      </c>
      <c r="AQ31" s="338">
        <f>X257</f>
        <v>0.30987548828125</v>
      </c>
      <c r="AR31" s="338">
        <f>AD257</f>
        <v>-36131924618</v>
      </c>
      <c r="AS31" s="338">
        <f>AG257</f>
        <v>-108335875963.5</v>
      </c>
      <c r="AT31" s="338"/>
      <c r="AU31" s="205">
        <f t="shared" si="25"/>
        <v>-116601428588.0071</v>
      </c>
      <c r="AV31" s="205">
        <f t="shared" si="26"/>
        <v>-349610989124.67676</v>
      </c>
      <c r="AW31" s="205">
        <f>AQ31</f>
        <v>0.30987548828125</v>
      </c>
      <c r="AX31" s="205">
        <f>AQ31</f>
        <v>0.30987548828125</v>
      </c>
      <c r="AY31" s="205">
        <f t="shared" si="27"/>
        <v>0</v>
      </c>
      <c r="AZ31" s="206">
        <f t="shared" si="28"/>
        <v>0</v>
      </c>
      <c r="BA31" s="67"/>
      <c r="BB31" s="67"/>
      <c r="BC31" s="67"/>
      <c r="BD31" s="67"/>
      <c r="BE31" s="67"/>
      <c r="BF31" s="67"/>
      <c r="BG31" s="67"/>
      <c r="BH31" s="67"/>
      <c r="BI31" s="67"/>
      <c r="BJ31" s="67"/>
      <c r="BK31" s="67"/>
      <c r="BL31" s="67"/>
      <c r="BM31" s="759" t="s">
        <v>191</v>
      </c>
      <c r="BN31" s="340">
        <f>X261</f>
        <v>30116386787.222057</v>
      </c>
      <c r="BO31" s="340">
        <f>AA261</f>
        <v>27170722065</v>
      </c>
      <c r="BP31" s="340">
        <f>AD261</f>
        <v>27164522065</v>
      </c>
      <c r="BQ31" s="340">
        <f>AF261</f>
        <v>249817</v>
      </c>
    </row>
    <row r="32" spans="1:69" ht="24.75" customHeight="1" thickBot="1">
      <c r="A32" s="202" t="str">
        <f>+IF(AGOSTO!A32=0,"",AGOSTO!A32)</f>
        <v>1.1.02.05.001.09.02.15</v>
      </c>
      <c r="B32" s="345" t="str">
        <f>+IF(AGOSTO!B32=0,"",AGOSTO!B32)</f>
        <v>Prestación de Servicios de salud  2o. Nivel</v>
      </c>
      <c r="C32" s="270">
        <f t="shared" ref="C32:N32" si="32">SUM(C33:C34)</f>
        <v>1850957800</v>
      </c>
      <c r="D32" s="220">
        <f t="shared" si="32"/>
        <v>0</v>
      </c>
      <c r="E32" s="220">
        <f t="shared" si="32"/>
        <v>0</v>
      </c>
      <c r="F32" s="220">
        <f t="shared" si="32"/>
        <v>1850957800</v>
      </c>
      <c r="G32" s="220">
        <f t="shared" si="32"/>
        <v>1471860356</v>
      </c>
      <c r="H32" s="220">
        <f t="shared" si="32"/>
        <v>123239520</v>
      </c>
      <c r="I32" s="220">
        <f t="shared" si="32"/>
        <v>1595099876</v>
      </c>
      <c r="J32" s="220">
        <f t="shared" si="32"/>
        <v>1132842272</v>
      </c>
      <c r="K32" s="220">
        <f t="shared" si="32"/>
        <v>339181303</v>
      </c>
      <c r="L32" s="220">
        <f t="shared" si="32"/>
        <v>1472023575</v>
      </c>
      <c r="M32" s="220">
        <f t="shared" si="32"/>
        <v>255857924</v>
      </c>
      <c r="N32" s="652">
        <f t="shared" si="32"/>
        <v>378934225</v>
      </c>
      <c r="O32" s="67"/>
      <c r="P32" s="346">
        <f>SUM(P33:P34)</f>
        <v>0</v>
      </c>
      <c r="Q32" s="347">
        <f>SUM(Q33:Q34)</f>
        <v>0</v>
      </c>
      <c r="R32" s="101"/>
      <c r="S32" s="311" t="str">
        <f>+IF(AGOSTO!S32=0,"",AGOSTO!S32)</f>
        <v>1010104-12</v>
      </c>
      <c r="T32" s="312" t="str">
        <f>+IF(AGOSTO!T32=0,"",AGOSTO!T32)</f>
        <v/>
      </c>
      <c r="U32" s="373">
        <f>+ENERO!U32</f>
        <v>0</v>
      </c>
      <c r="V32" s="220">
        <f>SUM(AGOSTO!V32+SEPTIEMBRE!AL32)</f>
        <v>0</v>
      </c>
      <c r="W32" s="220">
        <f>AGOSTO!W32+SEPTIEMBRE!AM32</f>
        <v>0</v>
      </c>
      <c r="X32" s="271">
        <f t="shared" si="17"/>
        <v>0</v>
      </c>
      <c r="Y32" s="270">
        <f>AGOSTO!AA32</f>
        <v>0</v>
      </c>
      <c r="Z32" s="208">
        <v>0</v>
      </c>
      <c r="AA32" s="271">
        <f t="shared" si="18"/>
        <v>0</v>
      </c>
      <c r="AB32" s="270">
        <f>AGOSTO!AD32</f>
        <v>0</v>
      </c>
      <c r="AC32" s="208">
        <v>0</v>
      </c>
      <c r="AD32" s="271">
        <f t="shared" si="19"/>
        <v>0</v>
      </c>
      <c r="AE32" s="270">
        <f>AGOSTO!AG32</f>
        <v>0</v>
      </c>
      <c r="AF32" s="208">
        <v>0</v>
      </c>
      <c r="AG32" s="271">
        <f t="shared" si="20"/>
        <v>0</v>
      </c>
      <c r="AH32" s="270">
        <f t="shared" si="21"/>
        <v>0</v>
      </c>
      <c r="AI32" s="220">
        <f t="shared" si="22"/>
        <v>0</v>
      </c>
      <c r="AJ32" s="269">
        <f t="shared" si="23"/>
        <v>0</v>
      </c>
      <c r="AK32" s="101"/>
      <c r="AL32" s="204">
        <v>0</v>
      </c>
      <c r="AM32" s="210">
        <v>0</v>
      </c>
      <c r="AN32" s="101"/>
      <c r="AO32" s="108"/>
      <c r="AP32" s="540" t="s">
        <v>194</v>
      </c>
      <c r="AQ32" s="260">
        <f>SUM(AQ22:AQ31)</f>
        <v>207759352612.47656</v>
      </c>
      <c r="AR32" s="260">
        <f>SUM(AR22:AR31)</f>
        <v>113683383222</v>
      </c>
      <c r="AS32" s="260">
        <f>SUM(AS22:AS31)</f>
        <v>-18261571</v>
      </c>
      <c r="AT32" s="349"/>
      <c r="AU32" s="350">
        <f t="shared" si="25"/>
        <v>0.54718780065727346</v>
      </c>
      <c r="AV32" s="350">
        <f t="shared" si="26"/>
        <v>-8.7897708432228423E-5</v>
      </c>
      <c r="AW32" s="158" t="e">
        <f>SUM(AW22:AW31)</f>
        <v>#REF!</v>
      </c>
      <c r="AX32" s="158" t="e">
        <f>SUM(AX22:AX31)</f>
        <v>#REF!</v>
      </c>
      <c r="AY32" s="158" t="e">
        <f>SUM(AY22:AY31)</f>
        <v>#REF!</v>
      </c>
      <c r="AZ32" s="159" t="e">
        <f>SUM(AZ22:AZ31)</f>
        <v>#REF!</v>
      </c>
      <c r="BA32" s="67"/>
      <c r="BB32" s="336"/>
      <c r="BC32" s="336"/>
      <c r="BD32" s="336"/>
      <c r="BE32" s="336"/>
      <c r="BF32" s="336"/>
      <c r="BG32" s="67"/>
      <c r="BH32" s="67"/>
      <c r="BI32" s="67"/>
      <c r="BJ32" s="67"/>
      <c r="BK32" s="67"/>
      <c r="BL32" s="101"/>
      <c r="BM32" s="759" t="s">
        <v>195</v>
      </c>
      <c r="BN32" s="340">
        <f>+BN7+BN25+BN29+BN30+BN31</f>
        <v>207759352612.16669</v>
      </c>
      <c r="BO32" s="340">
        <f>+BO7+BO25+BO29+BO30+BO31</f>
        <v>171128099094</v>
      </c>
      <c r="BP32" s="340">
        <f>+BP7+BP25+BP29+BP30+BP31</f>
        <v>149833569411</v>
      </c>
      <c r="BQ32" s="760">
        <f>+BQ7+BQ25+BQ29+BQ30+BQ31</f>
        <v>14438481883</v>
      </c>
    </row>
    <row r="33" spans="1:69" ht="24.75" customHeight="1" thickBot="1">
      <c r="A33" s="202" t="str">
        <f>+IF(AGOSTO!A33=0,"",AGOSTO!A33)</f>
        <v>1.1.02.05.001.09.02.15</v>
      </c>
      <c r="B33" s="331" t="str">
        <f>+CONCATENATE("Vigencia ",INSTRUCCIONES!$F$3)</f>
        <v>Vigencia 2025</v>
      </c>
      <c r="C33" s="204">
        <f>+ENERO!C33</f>
        <v>1140706891</v>
      </c>
      <c r="D33" s="205">
        <f>AGOSTO!D33+SEPTIEMBRE!P33</f>
        <v>0</v>
      </c>
      <c r="E33" s="205">
        <f>AGOSTO!E33+SEPTIEMBRE!Q33</f>
        <v>0</v>
      </c>
      <c r="F33" s="205">
        <f>SUM(C33:E33)</f>
        <v>1140706891</v>
      </c>
      <c r="G33" s="205">
        <f>AGOSTO!I33</f>
        <v>1181853373</v>
      </c>
      <c r="H33" s="208">
        <f>121324219+1915301</f>
        <v>123239520</v>
      </c>
      <c r="I33" s="205">
        <f>SUM(G33:H33)</f>
        <v>1305092893</v>
      </c>
      <c r="J33" s="205">
        <f>AGOSTO!L33</f>
        <v>842835289</v>
      </c>
      <c r="K33" s="208">
        <f>339095503+85800</f>
        <v>339181303</v>
      </c>
      <c r="L33" s="205">
        <f>SUM(J33:K33)</f>
        <v>1182016592</v>
      </c>
      <c r="M33" s="205">
        <f>F33-I33</f>
        <v>-164386002</v>
      </c>
      <c r="N33" s="671">
        <f>F33-L33</f>
        <v>-41309701</v>
      </c>
      <c r="O33" s="101"/>
      <c r="P33" s="204">
        <v>0</v>
      </c>
      <c r="Q33" s="210">
        <v>0</v>
      </c>
      <c r="R33" s="101"/>
      <c r="S33" s="266">
        <f>+IF(AGOSTO!S33=0,"",AGOSTO!S33)</f>
        <v>1010199</v>
      </c>
      <c r="T33" s="267" t="str">
        <f>+IF(AGOSTO!T33=0,"",AGOSTO!T33)</f>
        <v>Vigencias Anteriores</v>
      </c>
      <c r="U33" s="373">
        <f>+ENERO!U33</f>
        <v>0</v>
      </c>
      <c r="V33" s="220">
        <f>SUM(AGOSTO!V33+SEPTIEMBRE!AL33)</f>
        <v>0</v>
      </c>
      <c r="W33" s="220">
        <f>AGOSTO!W33+SEPTIEMBRE!AM33</f>
        <v>0</v>
      </c>
      <c r="X33" s="271">
        <f t="shared" si="17"/>
        <v>0</v>
      </c>
      <c r="Y33" s="270">
        <f>AGOSTO!AA33</f>
        <v>0</v>
      </c>
      <c r="Z33" s="208">
        <v>0</v>
      </c>
      <c r="AA33" s="271">
        <f t="shared" si="18"/>
        <v>0</v>
      </c>
      <c r="AB33" s="270">
        <f>AGOSTO!AD33</f>
        <v>0</v>
      </c>
      <c r="AC33" s="208">
        <v>0</v>
      </c>
      <c r="AD33" s="271">
        <f t="shared" si="19"/>
        <v>0</v>
      </c>
      <c r="AE33" s="270">
        <f>AGOSTO!AG33</f>
        <v>0</v>
      </c>
      <c r="AF33" s="208">
        <v>0</v>
      </c>
      <c r="AG33" s="271">
        <f t="shared" si="20"/>
        <v>0</v>
      </c>
      <c r="AH33" s="270">
        <f t="shared" si="21"/>
        <v>0</v>
      </c>
      <c r="AI33" s="220">
        <f t="shared" si="22"/>
        <v>0</v>
      </c>
      <c r="AJ33" s="269">
        <f t="shared" si="23"/>
        <v>0</v>
      </c>
      <c r="AK33" s="101"/>
      <c r="AL33" s="204">
        <v>0</v>
      </c>
      <c r="AM33" s="210">
        <v>0</v>
      </c>
      <c r="AN33" s="101"/>
      <c r="AO33" s="156"/>
      <c r="AP33" s="351"/>
      <c r="AQ33" s="352">
        <f>IF((AQ32-X8)&lt;&gt;0,(AQ32-X8),"")</f>
        <v>0.309906005859375</v>
      </c>
      <c r="AR33" s="352"/>
      <c r="AS33" s="352"/>
      <c r="AT33" s="352"/>
      <c r="AU33" s="353"/>
      <c r="AV33" s="325"/>
      <c r="AW33" s="323"/>
      <c r="AX33" s="323"/>
      <c r="AY33" s="323"/>
      <c r="AZ33" s="326"/>
      <c r="BA33" s="67"/>
      <c r="BB33" s="336"/>
      <c r="BC33" s="336"/>
      <c r="BD33" s="336"/>
      <c r="BE33" s="336"/>
      <c r="BF33" s="336"/>
      <c r="BG33" s="67"/>
      <c r="BH33" s="67"/>
      <c r="BI33" s="67"/>
      <c r="BJ33" s="67"/>
      <c r="BK33" s="67"/>
      <c r="BL33" s="67"/>
      <c r="BM33" s="761" t="s">
        <v>197</v>
      </c>
      <c r="BN33" s="762">
        <f>X258</f>
        <v>0</v>
      </c>
      <c r="BO33" s="763">
        <f>AA258</f>
        <v>0</v>
      </c>
      <c r="BP33" s="763">
        <f>AD258</f>
        <v>0</v>
      </c>
      <c r="BQ33" s="764">
        <f>AF258</f>
        <v>0</v>
      </c>
    </row>
    <row r="34" spans="1:69" ht="24.75" customHeight="1" thickBot="1">
      <c r="A34" s="202" t="str">
        <f>+IF(AGOSTO!A34=0,"",AGOSTO!A34)</f>
        <v>1.1.02.05.001.09.02.15.99</v>
      </c>
      <c r="B34" s="331" t="str">
        <f>+IF(AGOSTO!B34=0,"",AGOSTO!B34)</f>
        <v>Vigencia Anterior</v>
      </c>
      <c r="C34" s="204">
        <f>+ENERO!C34</f>
        <v>710250909</v>
      </c>
      <c r="D34" s="205">
        <f>AGOSTO!D34+SEPTIEMBRE!P34</f>
        <v>0</v>
      </c>
      <c r="E34" s="205">
        <f>AGOSTO!E34+SEPTIEMBRE!Q34</f>
        <v>0</v>
      </c>
      <c r="F34" s="205">
        <f>SUM(C34:E34)</f>
        <v>710250909</v>
      </c>
      <c r="G34" s="205">
        <f>AGOSTO!I34</f>
        <v>290006983</v>
      </c>
      <c r="H34" s="208">
        <v>0</v>
      </c>
      <c r="I34" s="205">
        <f>SUM(G34:H34)</f>
        <v>290006983</v>
      </c>
      <c r="J34" s="205">
        <f>AGOSTO!L34</f>
        <v>290006983</v>
      </c>
      <c r="K34" s="208">
        <v>0</v>
      </c>
      <c r="L34" s="205">
        <f>SUM(J34:K34)</f>
        <v>290006983</v>
      </c>
      <c r="M34" s="205">
        <f>F34-I34</f>
        <v>420243926</v>
      </c>
      <c r="N34" s="671">
        <f>F34-L34</f>
        <v>420243926</v>
      </c>
      <c r="O34" s="67"/>
      <c r="P34" s="204">
        <v>0</v>
      </c>
      <c r="Q34" s="210">
        <v>0</v>
      </c>
      <c r="R34" s="101"/>
      <c r="S34" s="189" t="str">
        <f>+IF(AGOSTO!S34=0,"",AGOSTO!S34)</f>
        <v/>
      </c>
      <c r="T34" s="488" t="str">
        <f>+IF(AGOSTO!T34=0,"",AGOSTO!T34)</f>
        <v/>
      </c>
      <c r="U34" s="191"/>
      <c r="V34" s="191"/>
      <c r="W34" s="191"/>
      <c r="X34" s="191"/>
      <c r="Y34" s="191"/>
      <c r="Z34" s="191"/>
      <c r="AA34" s="191"/>
      <c r="AB34" s="191"/>
      <c r="AC34" s="191"/>
      <c r="AD34" s="191"/>
      <c r="AE34" s="191"/>
      <c r="AF34" s="191"/>
      <c r="AG34" s="191"/>
      <c r="AH34" s="191"/>
      <c r="AI34" s="191"/>
      <c r="AJ34" s="192"/>
      <c r="AK34" s="101">
        <f>SUM(AK36:AK87)</f>
        <v>61870677026</v>
      </c>
      <c r="AL34" s="249"/>
      <c r="AM34" s="250"/>
      <c r="AN34" s="101"/>
      <c r="AO34" s="156"/>
      <c r="AP34" s="354"/>
      <c r="AQ34" s="101"/>
      <c r="AR34" s="101"/>
      <c r="AS34" s="101" t="s">
        <v>198</v>
      </c>
      <c r="AT34" s="101"/>
      <c r="AU34" s="355" t="s">
        <v>199</v>
      </c>
      <c r="AV34" s="356" t="s">
        <v>200</v>
      </c>
      <c r="AW34" s="243" t="s">
        <v>198</v>
      </c>
      <c r="AX34" s="357"/>
      <c r="AY34" s="243" t="s">
        <v>201</v>
      </c>
      <c r="AZ34" s="244" t="s">
        <v>202</v>
      </c>
      <c r="BA34" s="67"/>
      <c r="BB34" s="67"/>
      <c r="BC34" s="67"/>
      <c r="BD34" s="67"/>
      <c r="BE34" s="67"/>
      <c r="BF34" s="67"/>
      <c r="BG34" s="67"/>
      <c r="BH34" s="67"/>
      <c r="BI34" s="67"/>
      <c r="BJ34" s="67"/>
      <c r="BK34" s="67"/>
      <c r="BL34" s="67"/>
      <c r="BM34" s="101"/>
      <c r="BN34" s="101"/>
      <c r="BO34" s="101"/>
      <c r="BP34" s="101"/>
      <c r="BQ34" s="101"/>
    </row>
    <row r="35" spans="1:69" ht="24.75" customHeight="1" thickBot="1">
      <c r="A35" s="202" t="str">
        <f>+IF(AGOSTO!A35=0,"",AGOSTO!A35)</f>
        <v>1130103-3</v>
      </c>
      <c r="B35" s="345" t="str">
        <f>+IF(AGOSTO!B35=0,"",AGOSTO!B35)</f>
        <v>Prestación de Servicios de salud  3o. Nivel</v>
      </c>
      <c r="C35" s="270">
        <f t="shared" ref="C35:N35" si="33">SUM(C36:C37)</f>
        <v>0</v>
      </c>
      <c r="D35" s="220">
        <f t="shared" si="33"/>
        <v>0</v>
      </c>
      <c r="E35" s="220">
        <f t="shared" si="33"/>
        <v>0</v>
      </c>
      <c r="F35" s="220">
        <f t="shared" si="33"/>
        <v>0</v>
      </c>
      <c r="G35" s="220">
        <f t="shared" si="33"/>
        <v>0</v>
      </c>
      <c r="H35" s="220">
        <f t="shared" si="33"/>
        <v>0</v>
      </c>
      <c r="I35" s="220">
        <f t="shared" si="33"/>
        <v>0</v>
      </c>
      <c r="J35" s="220">
        <f t="shared" si="33"/>
        <v>0</v>
      </c>
      <c r="K35" s="220">
        <f t="shared" si="33"/>
        <v>0</v>
      </c>
      <c r="L35" s="220">
        <f t="shared" si="33"/>
        <v>0</v>
      </c>
      <c r="M35" s="220">
        <f t="shared" si="33"/>
        <v>0</v>
      </c>
      <c r="N35" s="652">
        <f t="shared" si="33"/>
        <v>0</v>
      </c>
      <c r="O35" s="67"/>
      <c r="P35" s="346">
        <f>SUM(P36:P37)</f>
        <v>0</v>
      </c>
      <c r="Q35" s="347">
        <f>SUM(Q36:Q37)</f>
        <v>0</v>
      </c>
      <c r="R35" s="101"/>
      <c r="S35" s="257" t="str">
        <f>+IF(AGOSTO!S35=0,"",AGOSTO!S35)</f>
        <v>2.1.2.02.02.008</v>
      </c>
      <c r="T35" s="546" t="str">
        <f>+IF(AGOSTO!T35=0,"",AGOSTO!T35)</f>
        <v>Servicios Personales Indirectos</v>
      </c>
      <c r="U35" s="230">
        <f>SUM(U36:U41)</f>
        <v>12514508007</v>
      </c>
      <c r="V35" s="231">
        <f>SUM(V36:V41)</f>
        <v>3513000000</v>
      </c>
      <c r="W35" s="231">
        <f>SUM(W36:W41)</f>
        <v>865000000</v>
      </c>
      <c r="X35" s="234">
        <f>SUM(X36:X41)</f>
        <v>16892508007</v>
      </c>
      <c r="Y35" s="233">
        <f t="shared" ref="Y35:AJ35" si="34">SUM(Y36:Y41)</f>
        <v>15893036510</v>
      </c>
      <c r="Z35" s="231">
        <f t="shared" si="34"/>
        <v>0</v>
      </c>
      <c r="AA35" s="234">
        <f t="shared" si="34"/>
        <v>15893036510</v>
      </c>
      <c r="AB35" s="233">
        <f t="shared" si="34"/>
        <v>12764013639</v>
      </c>
      <c r="AC35" s="231">
        <f t="shared" si="34"/>
        <v>1365581697</v>
      </c>
      <c r="AD35" s="234">
        <f t="shared" si="34"/>
        <v>14129595336</v>
      </c>
      <c r="AE35" s="233">
        <f t="shared" si="34"/>
        <v>8737616811</v>
      </c>
      <c r="AF35" s="231">
        <f t="shared" si="34"/>
        <v>1316749372</v>
      </c>
      <c r="AG35" s="234">
        <f t="shared" si="34"/>
        <v>10054366183</v>
      </c>
      <c r="AH35" s="233">
        <f t="shared" si="34"/>
        <v>999471497</v>
      </c>
      <c r="AI35" s="231">
        <f t="shared" si="34"/>
        <v>2762912671</v>
      </c>
      <c r="AJ35" s="232">
        <f t="shared" si="34"/>
        <v>6838141824</v>
      </c>
      <c r="AK35" s="101"/>
      <c r="AL35" s="233">
        <f>SUM(AL36:AL41)</f>
        <v>0</v>
      </c>
      <c r="AM35" s="232">
        <f>SUM(AM36:AM41)</f>
        <v>0</v>
      </c>
      <c r="AN35" s="101"/>
      <c r="AO35" s="156"/>
      <c r="AP35" s="358"/>
      <c r="AQ35" s="61"/>
      <c r="AR35" s="359"/>
      <c r="AS35" s="359"/>
      <c r="AT35" s="359"/>
      <c r="AU35" s="360">
        <f>AR17-AR32</f>
        <v>72787958378</v>
      </c>
      <c r="AV35" s="361">
        <f>AS17-AR32</f>
        <v>18261571</v>
      </c>
      <c r="AW35" s="1329" t="s">
        <v>205</v>
      </c>
      <c r="AX35" s="1330"/>
      <c r="AY35" s="361" t="e">
        <f>AY17+AY32</f>
        <v>#REF!</v>
      </c>
      <c r="AZ35" s="362" t="e">
        <f>AZ17+AY32</f>
        <v>#REF!</v>
      </c>
      <c r="BA35" s="67"/>
      <c r="BB35" s="336"/>
      <c r="BC35" s="336"/>
      <c r="BD35" s="336"/>
      <c r="BE35" s="336"/>
      <c r="BF35" s="336"/>
      <c r="BG35" s="67"/>
      <c r="BH35" s="67"/>
      <c r="BI35" s="67"/>
      <c r="BJ35" s="67"/>
      <c r="BK35" s="67"/>
      <c r="BL35" s="67"/>
      <c r="BM35" s="67"/>
      <c r="BN35" s="67"/>
      <c r="BO35" s="67"/>
      <c r="BP35" s="67"/>
      <c r="BQ35" s="67"/>
    </row>
    <row r="36" spans="1:69" ht="24.75" customHeight="1" thickBot="1">
      <c r="A36" s="202" t="str">
        <f>+IF(AGOSTO!A36=0,"",AGOSTO!A36)</f>
        <v>1130103-3-1</v>
      </c>
      <c r="B36" s="331" t="str">
        <f>+CONCATENATE("Vigencia ",INSTRUCCIONES!$F$3)</f>
        <v>Vigencia 2025</v>
      </c>
      <c r="C36" s="204">
        <f>+ENERO!C36</f>
        <v>0</v>
      </c>
      <c r="D36" s="205">
        <f>AGOSTO!D36+SEPTIEMBRE!P36</f>
        <v>0</v>
      </c>
      <c r="E36" s="205">
        <f>AGOSTO!E36+SEPTIEMBRE!Q36</f>
        <v>0</v>
      </c>
      <c r="F36" s="205">
        <f t="shared" ref="F36:F41" si="35">SUM(C36:E36)</f>
        <v>0</v>
      </c>
      <c r="G36" s="205">
        <f>AGOSTO!I36</f>
        <v>0</v>
      </c>
      <c r="H36" s="208">
        <v>0</v>
      </c>
      <c r="I36" s="205">
        <f t="shared" ref="I36:I41" si="36">SUM(G36:H36)</f>
        <v>0</v>
      </c>
      <c r="J36" s="205">
        <f>AGOSTO!L36</f>
        <v>0</v>
      </c>
      <c r="K36" s="208">
        <v>0</v>
      </c>
      <c r="L36" s="205">
        <f t="shared" ref="L36:L41" si="37">SUM(J36:K36)</f>
        <v>0</v>
      </c>
      <c r="M36" s="205">
        <f t="shared" ref="M36:M41" si="38">F36-I36</f>
        <v>0</v>
      </c>
      <c r="N36" s="671">
        <f t="shared" ref="N36:N41" si="39">F36-L36</f>
        <v>0</v>
      </c>
      <c r="O36" s="101"/>
      <c r="P36" s="204">
        <v>0</v>
      </c>
      <c r="Q36" s="210">
        <v>0</v>
      </c>
      <c r="R36" s="101"/>
      <c r="S36" s="266" t="str">
        <f>+IF(AGOSTO!S36=0,"",AGOSTO!S36)</f>
        <v>2.1.2.02.02.008.802</v>
      </c>
      <c r="T36" s="267" t="str">
        <f>+IF(AGOSTO!T36=0,"",AGOSTO!T36)</f>
        <v>Servicios Personales Administrativos (Contador, Abogado, otros)</v>
      </c>
      <c r="U36" s="373">
        <f>+ENERO!U36</f>
        <v>771615965</v>
      </c>
      <c r="V36" s="220">
        <f>SUM(AGOSTO!V36+SEPTIEMBRE!AL36)</f>
        <v>450000000</v>
      </c>
      <c r="W36" s="220">
        <f>AGOSTO!W36+SEPTIEMBRE!AM36</f>
        <v>0</v>
      </c>
      <c r="X36" s="271">
        <f t="shared" ref="X36:X41" si="40">SUM(U36:W36)</f>
        <v>1221615965</v>
      </c>
      <c r="Y36" s="270">
        <f>AGOSTO!AA36</f>
        <v>1121277020</v>
      </c>
      <c r="Z36" s="208">
        <v>0</v>
      </c>
      <c r="AA36" s="271">
        <f t="shared" ref="AA36:AA41" si="41">SUM(Y36:Z36)</f>
        <v>1121277020</v>
      </c>
      <c r="AB36" s="270">
        <f>AGOSTO!AD36</f>
        <v>447670113</v>
      </c>
      <c r="AC36" s="208">
        <v>24797315</v>
      </c>
      <c r="AD36" s="271">
        <f t="shared" ref="AD36:AD41" si="42">SUM(AB36:AC36)</f>
        <v>472467428</v>
      </c>
      <c r="AE36" s="270">
        <f>AGOSTO!AG36</f>
        <v>413326978</v>
      </c>
      <c r="AF36" s="208">
        <v>21638875</v>
      </c>
      <c r="AG36" s="271">
        <f t="shared" ref="AG36:AG41" si="43">SUM(AE36:AF36)</f>
        <v>434965853</v>
      </c>
      <c r="AH36" s="270">
        <f t="shared" ref="AH36:AH41" si="44">X36-AA36</f>
        <v>100338945</v>
      </c>
      <c r="AI36" s="220">
        <f t="shared" ref="AI36:AI41" si="45">X36-AD36</f>
        <v>749148537</v>
      </c>
      <c r="AJ36" s="269">
        <f t="shared" ref="AJ36:AJ41" si="46">X36-AG36</f>
        <v>786650112</v>
      </c>
      <c r="AK36" s="101">
        <f t="shared" ref="AK36:AK40" si="47">+AA36</f>
        <v>1121277020</v>
      </c>
      <c r="AL36" s="204">
        <v>0</v>
      </c>
      <c r="AM36" s="210">
        <v>0</v>
      </c>
      <c r="AN36" s="101">
        <f>+AK36-JUNIO!AK36</f>
        <v>655270040</v>
      </c>
      <c r="AO36" s="363"/>
      <c r="AP36" s="364"/>
      <c r="AQ36" s="364"/>
      <c r="AR36" s="364"/>
      <c r="AS36" s="364"/>
      <c r="AT36" s="364"/>
      <c r="AU36" s="364"/>
      <c r="AV36" s="364"/>
      <c r="AW36" s="364"/>
      <c r="AX36" s="364"/>
      <c r="AY36" s="364"/>
      <c r="AZ36" s="365"/>
      <c r="BA36" s="67"/>
      <c r="BB36" s="336"/>
      <c r="BC36" s="336"/>
      <c r="BD36" s="336"/>
      <c r="BE36" s="336"/>
      <c r="BF36" s="336"/>
      <c r="BG36" s="67"/>
      <c r="BH36" s="67"/>
      <c r="BI36" s="67"/>
      <c r="BJ36" s="67"/>
      <c r="BK36" s="67"/>
      <c r="BL36" s="67"/>
      <c r="BM36" s="67"/>
      <c r="BN36" s="67"/>
      <c r="BO36" s="67"/>
      <c r="BP36" s="67"/>
      <c r="BQ36" s="67"/>
    </row>
    <row r="37" spans="1:69" ht="24.75" customHeight="1">
      <c r="A37" s="202" t="str">
        <f>+IF(AGOSTO!A37=0,"",AGOSTO!A37)</f>
        <v>1130103-3-2</v>
      </c>
      <c r="B37" s="331" t="str">
        <f>+IF(AGOSTO!B37=0,"",AGOSTO!B37)</f>
        <v>Vigencia Anterior</v>
      </c>
      <c r="C37" s="204">
        <f>+ENERO!C37</f>
        <v>0</v>
      </c>
      <c r="D37" s="205">
        <f>AGOSTO!D37+SEPTIEMBRE!P37</f>
        <v>0</v>
      </c>
      <c r="E37" s="205">
        <f>AGOSTO!E37+SEPTIEMBRE!Q37</f>
        <v>0</v>
      </c>
      <c r="F37" s="205">
        <f t="shared" si="35"/>
        <v>0</v>
      </c>
      <c r="G37" s="205">
        <f>AGOSTO!I37</f>
        <v>0</v>
      </c>
      <c r="H37" s="208">
        <v>0</v>
      </c>
      <c r="I37" s="205">
        <f t="shared" si="36"/>
        <v>0</v>
      </c>
      <c r="J37" s="205">
        <f>AGOSTO!L37</f>
        <v>0</v>
      </c>
      <c r="K37" s="208">
        <v>0</v>
      </c>
      <c r="L37" s="205">
        <f t="shared" si="37"/>
        <v>0</v>
      </c>
      <c r="M37" s="205">
        <f t="shared" si="38"/>
        <v>0</v>
      </c>
      <c r="N37" s="671">
        <f t="shared" si="39"/>
        <v>0</v>
      </c>
      <c r="O37" s="67"/>
      <c r="P37" s="204">
        <v>0</v>
      </c>
      <c r="Q37" s="210">
        <v>0</v>
      </c>
      <c r="R37" s="101"/>
      <c r="S37" s="266" t="str">
        <f>+IF(AGOSTO!S37=0,"",AGOSTO!S37)</f>
        <v>1010200-2</v>
      </c>
      <c r="T37" s="267" t="str">
        <f>+IF(AGOSTO!T37=0,"",AGOSTO!T37)</f>
        <v>Personal Supernumerario</v>
      </c>
      <c r="U37" s="373">
        <f>+ENERO!U37</f>
        <v>0</v>
      </c>
      <c r="V37" s="220">
        <f>SUM(AGOSTO!V37+SEPTIEMBRE!AL37)</f>
        <v>0</v>
      </c>
      <c r="W37" s="220">
        <f>AGOSTO!W37+SEPTIEMBRE!AM37</f>
        <v>0</v>
      </c>
      <c r="X37" s="271">
        <f t="shared" si="40"/>
        <v>0</v>
      </c>
      <c r="Y37" s="270">
        <f>AGOSTO!AA37</f>
        <v>0</v>
      </c>
      <c r="Z37" s="208">
        <v>0</v>
      </c>
      <c r="AA37" s="271">
        <f t="shared" si="41"/>
        <v>0</v>
      </c>
      <c r="AB37" s="270">
        <f>AGOSTO!AD37</f>
        <v>0</v>
      </c>
      <c r="AC37" s="208">
        <v>0</v>
      </c>
      <c r="AD37" s="271">
        <f t="shared" si="42"/>
        <v>0</v>
      </c>
      <c r="AE37" s="270">
        <f>AGOSTO!AG37</f>
        <v>0</v>
      </c>
      <c r="AF37" s="208">
        <v>0</v>
      </c>
      <c r="AG37" s="271">
        <f t="shared" si="43"/>
        <v>0</v>
      </c>
      <c r="AH37" s="270">
        <f t="shared" si="44"/>
        <v>0</v>
      </c>
      <c r="AI37" s="220">
        <f t="shared" si="45"/>
        <v>0</v>
      </c>
      <c r="AJ37" s="269">
        <f t="shared" si="46"/>
        <v>0</v>
      </c>
      <c r="AK37" s="101">
        <f t="shared" si="47"/>
        <v>0</v>
      </c>
      <c r="AL37" s="204">
        <v>0</v>
      </c>
      <c r="AM37" s="210">
        <v>0</v>
      </c>
      <c r="AN37" s="101">
        <f>+AK37-JUNIO!AK37</f>
        <v>0</v>
      </c>
      <c r="AO37" s="366" t="s">
        <v>209</v>
      </c>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row>
    <row r="38" spans="1:69" ht="24.75" customHeight="1">
      <c r="A38" s="367" t="str">
        <f>+IF(AGOSTO!A38=0,"",AGOSTO!A38)</f>
        <v>1130103-4</v>
      </c>
      <c r="B38" s="368" t="str">
        <f>+IF(AGOSTO!B38=0,"",AGOSTO!B38)</f>
        <v xml:space="preserve"> Aportes Patronales  1o. Nivel</v>
      </c>
      <c r="C38" s="204">
        <f>+ENERO!C38</f>
        <v>0</v>
      </c>
      <c r="D38" s="205">
        <f>AGOSTO!D38+SEPTIEMBRE!P38</f>
        <v>0</v>
      </c>
      <c r="E38" s="205">
        <f>AGOSTO!E38+SEPTIEMBRE!Q38</f>
        <v>0</v>
      </c>
      <c r="F38" s="205">
        <f t="shared" si="35"/>
        <v>0</v>
      </c>
      <c r="G38" s="205">
        <f>AGOSTO!I38</f>
        <v>0</v>
      </c>
      <c r="H38" s="208">
        <v>0</v>
      </c>
      <c r="I38" s="205">
        <f t="shared" si="36"/>
        <v>0</v>
      </c>
      <c r="J38" s="205">
        <f>AGOSTO!L38</f>
        <v>0</v>
      </c>
      <c r="K38" s="208">
        <v>0</v>
      </c>
      <c r="L38" s="205">
        <f t="shared" si="37"/>
        <v>0</v>
      </c>
      <c r="M38" s="205">
        <f t="shared" si="38"/>
        <v>0</v>
      </c>
      <c r="N38" s="671">
        <f t="shared" si="39"/>
        <v>0</v>
      </c>
      <c r="O38" s="369"/>
      <c r="P38" s="204">
        <v>0</v>
      </c>
      <c r="Q38" s="210">
        <v>0</v>
      </c>
      <c r="R38" s="101"/>
      <c r="S38" s="266" t="str">
        <f>+IF(AGOSTO!S38=0,"",AGOSTO!S38)</f>
        <v>2.1.2.02.02.008.810</v>
      </c>
      <c r="T38" s="267" t="str">
        <f>+IF(AGOSTO!T38=0,"",AGOSTO!T38)</f>
        <v>Honorarios de la Junta Directiva</v>
      </c>
      <c r="U38" s="373">
        <f>+ENERO!U38</f>
        <v>38518134</v>
      </c>
      <c r="V38" s="220">
        <f>SUM(AGOSTO!V38+SEPTIEMBRE!AL38)</f>
        <v>0</v>
      </c>
      <c r="W38" s="220">
        <f>AGOSTO!W38+SEPTIEMBRE!AM38</f>
        <v>0</v>
      </c>
      <c r="X38" s="271">
        <f t="shared" si="40"/>
        <v>38518134</v>
      </c>
      <c r="Y38" s="270">
        <f>AGOSTO!AA38</f>
        <v>17793750</v>
      </c>
      <c r="Z38" s="208">
        <v>0</v>
      </c>
      <c r="AA38" s="271">
        <f t="shared" si="41"/>
        <v>17793750</v>
      </c>
      <c r="AB38" s="270">
        <f>AGOSTO!AD38</f>
        <v>17793750</v>
      </c>
      <c r="AC38" s="208">
        <v>0</v>
      </c>
      <c r="AD38" s="271">
        <f t="shared" si="42"/>
        <v>17793750</v>
      </c>
      <c r="AE38" s="270">
        <f>AGOSTO!AG38</f>
        <v>14946750</v>
      </c>
      <c r="AF38" s="208">
        <v>2847000</v>
      </c>
      <c r="AG38" s="271">
        <f t="shared" si="43"/>
        <v>17793750</v>
      </c>
      <c r="AH38" s="270">
        <f t="shared" si="44"/>
        <v>20724384</v>
      </c>
      <c r="AI38" s="220">
        <f t="shared" si="45"/>
        <v>20724384</v>
      </c>
      <c r="AJ38" s="269">
        <f t="shared" si="46"/>
        <v>20724384</v>
      </c>
      <c r="AK38" s="101">
        <f t="shared" si="47"/>
        <v>17793750</v>
      </c>
      <c r="AL38" s="204">
        <v>0</v>
      </c>
      <c r="AM38" s="210">
        <v>0</v>
      </c>
      <c r="AN38" s="101">
        <f>+AK38-JUNIO!AK38</f>
        <v>5694000</v>
      </c>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row>
    <row r="39" spans="1:69" ht="24.75" customHeight="1">
      <c r="A39" s="367" t="str">
        <f>+IF(AGOSTO!A39=0,"",AGOSTO!A39)</f>
        <v>1130103-5</v>
      </c>
      <c r="B39" s="368" t="str">
        <f>+IF(AGOSTO!B39=0,"",AGOSTO!B39)</f>
        <v xml:space="preserve"> Aportes Patronales  2o. Nivel</v>
      </c>
      <c r="C39" s="204">
        <f>+ENERO!C39</f>
        <v>0</v>
      </c>
      <c r="D39" s="205">
        <f>AGOSTO!D39+SEPTIEMBRE!P39</f>
        <v>0</v>
      </c>
      <c r="E39" s="205">
        <f>AGOSTO!E39+SEPTIEMBRE!Q39</f>
        <v>0</v>
      </c>
      <c r="F39" s="205">
        <f t="shared" si="35"/>
        <v>0</v>
      </c>
      <c r="G39" s="205">
        <f>AGOSTO!I39</f>
        <v>0</v>
      </c>
      <c r="H39" s="208">
        <v>0</v>
      </c>
      <c r="I39" s="205">
        <f t="shared" si="36"/>
        <v>0</v>
      </c>
      <c r="J39" s="205">
        <f>AGOSTO!L39</f>
        <v>0</v>
      </c>
      <c r="K39" s="208">
        <v>0</v>
      </c>
      <c r="L39" s="205">
        <f t="shared" si="37"/>
        <v>0</v>
      </c>
      <c r="M39" s="205">
        <f t="shared" si="38"/>
        <v>0</v>
      </c>
      <c r="N39" s="671">
        <f t="shared" si="39"/>
        <v>0</v>
      </c>
      <c r="O39" s="369"/>
      <c r="P39" s="204">
        <v>0</v>
      </c>
      <c r="Q39" s="210">
        <v>0</v>
      </c>
      <c r="R39" s="101"/>
      <c r="S39" s="266" t="str">
        <f>+IF(AGOSTO!S39=0,"",AGOSTO!S39)</f>
        <v>2.1.2.02.02.009.906</v>
      </c>
      <c r="T39" s="267" t="str">
        <f>+IF(AGOSTO!T39=0,"",AGOSTO!T39)</f>
        <v>Servicios de Agremiación (administrativo)</v>
      </c>
      <c r="U39" s="373">
        <f>+ENERO!U39</f>
        <v>9849382921</v>
      </c>
      <c r="V39" s="220">
        <f>SUM(AGOSTO!V39+SEPTIEMBRE!AL39)</f>
        <v>2280000000</v>
      </c>
      <c r="W39" s="220">
        <f>AGOSTO!W39+SEPTIEMBRE!AM39</f>
        <v>865000000</v>
      </c>
      <c r="X39" s="271">
        <f t="shared" si="40"/>
        <v>12994382921</v>
      </c>
      <c r="Y39" s="270">
        <f>AGOSTO!AA39</f>
        <v>12116855306</v>
      </c>
      <c r="Z39" s="208">
        <v>0</v>
      </c>
      <c r="AA39" s="271">
        <f t="shared" si="41"/>
        <v>12116855306</v>
      </c>
      <c r="AB39" s="270">
        <f>AGOSTO!AD39</f>
        <v>9661439342</v>
      </c>
      <c r="AC39" s="208">
        <v>1340784382</v>
      </c>
      <c r="AD39" s="271">
        <f t="shared" si="42"/>
        <v>11002223724</v>
      </c>
      <c r="AE39" s="270">
        <f>AGOSTO!AG39</f>
        <v>5672232649</v>
      </c>
      <c r="AF39" s="208">
        <v>1292263497</v>
      </c>
      <c r="AG39" s="271">
        <f t="shared" si="43"/>
        <v>6964496146</v>
      </c>
      <c r="AH39" s="270">
        <f t="shared" si="44"/>
        <v>877527615</v>
      </c>
      <c r="AI39" s="220">
        <f t="shared" si="45"/>
        <v>1992159197</v>
      </c>
      <c r="AJ39" s="269">
        <f t="shared" si="46"/>
        <v>6029886775</v>
      </c>
      <c r="AK39" s="101">
        <f t="shared" si="47"/>
        <v>12116855306</v>
      </c>
      <c r="AL39" s="204">
        <v>0</v>
      </c>
      <c r="AM39" s="210">
        <v>0</v>
      </c>
      <c r="AN39" s="101">
        <f>+AK39-JUNIO!AK39</f>
        <v>4232207011</v>
      </c>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row>
    <row r="40" spans="1:69" ht="24.75" customHeight="1">
      <c r="A40" s="367" t="str">
        <f>+IF(AGOSTO!A40=0,"",AGOSTO!A40)</f>
        <v>1130103-6</v>
      </c>
      <c r="B40" s="368" t="str">
        <f>+IF(AGOSTO!B40=0,"",AGOSTO!B40)</f>
        <v xml:space="preserve"> Aportes Patronales  3er. Nivel</v>
      </c>
      <c r="C40" s="204">
        <f>+ENERO!C40</f>
        <v>0</v>
      </c>
      <c r="D40" s="205">
        <f>AGOSTO!D40+SEPTIEMBRE!P40</f>
        <v>0</v>
      </c>
      <c r="E40" s="205">
        <f>AGOSTO!E40+SEPTIEMBRE!Q40</f>
        <v>0</v>
      </c>
      <c r="F40" s="205">
        <f t="shared" si="35"/>
        <v>0</v>
      </c>
      <c r="G40" s="205">
        <f>AGOSTO!I40</f>
        <v>0</v>
      </c>
      <c r="H40" s="208">
        <v>0</v>
      </c>
      <c r="I40" s="205">
        <f t="shared" si="36"/>
        <v>0</v>
      </c>
      <c r="J40" s="205">
        <f>AGOSTO!L40</f>
        <v>0</v>
      </c>
      <c r="K40" s="208">
        <v>0</v>
      </c>
      <c r="L40" s="205">
        <f t="shared" si="37"/>
        <v>0</v>
      </c>
      <c r="M40" s="205">
        <f t="shared" si="38"/>
        <v>0</v>
      </c>
      <c r="N40" s="671">
        <f t="shared" si="39"/>
        <v>0</v>
      </c>
      <c r="O40" s="369"/>
      <c r="P40" s="204">
        <v>0</v>
      </c>
      <c r="Q40" s="210">
        <v>0</v>
      </c>
      <c r="R40" s="101"/>
      <c r="S40" s="266" t="str">
        <f>+IF(AGOSTO!S40=0,"",AGOSTO!S40)</f>
        <v/>
      </c>
      <c r="T40" s="267" t="str">
        <f>+IF(AGOSTO!T40=0,"",AGOSTO!T40)</f>
        <v>Certificación, Habilitación y Acreditación</v>
      </c>
      <c r="U40" s="373">
        <f>+ENERO!U40</f>
        <v>0</v>
      </c>
      <c r="V40" s="220">
        <f>SUM(AGOSTO!V40+SEPTIEMBRE!AL40)</f>
        <v>0</v>
      </c>
      <c r="W40" s="220">
        <f>AGOSTO!W40+SEPTIEMBRE!AM40</f>
        <v>0</v>
      </c>
      <c r="X40" s="271">
        <f t="shared" si="40"/>
        <v>0</v>
      </c>
      <c r="Y40" s="270">
        <f>AGOSTO!AA40</f>
        <v>0</v>
      </c>
      <c r="Z40" s="208">
        <v>0</v>
      </c>
      <c r="AA40" s="271">
        <f t="shared" si="41"/>
        <v>0</v>
      </c>
      <c r="AB40" s="270">
        <f>AGOSTO!AD40</f>
        <v>0</v>
      </c>
      <c r="AC40" s="208">
        <v>0</v>
      </c>
      <c r="AD40" s="271">
        <f t="shared" si="42"/>
        <v>0</v>
      </c>
      <c r="AE40" s="270">
        <f>AGOSTO!AG40</f>
        <v>0</v>
      </c>
      <c r="AF40" s="208">
        <v>0</v>
      </c>
      <c r="AG40" s="271">
        <f t="shared" si="43"/>
        <v>0</v>
      </c>
      <c r="AH40" s="270">
        <f t="shared" si="44"/>
        <v>0</v>
      </c>
      <c r="AI40" s="220">
        <f t="shared" si="45"/>
        <v>0</v>
      </c>
      <c r="AJ40" s="269">
        <f t="shared" si="46"/>
        <v>0</v>
      </c>
      <c r="AK40" s="101">
        <f t="shared" si="47"/>
        <v>0</v>
      </c>
      <c r="AL40" s="204">
        <v>0</v>
      </c>
      <c r="AM40" s="210">
        <v>0</v>
      </c>
      <c r="AN40" s="101">
        <f>+AK40-JUNIO!AK40</f>
        <v>0</v>
      </c>
      <c r="AO40" s="67"/>
      <c r="AP40" s="67"/>
      <c r="AQ40" s="67"/>
      <c r="AR40" s="67"/>
      <c r="AS40" s="67"/>
      <c r="AT40" s="67"/>
      <c r="AU40" s="67"/>
      <c r="AV40" s="67"/>
      <c r="AW40" s="67"/>
      <c r="AX40" s="67"/>
      <c r="AY40" s="67"/>
      <c r="AZ40" s="67"/>
      <c r="BA40" s="67"/>
      <c r="BB40" s="336"/>
      <c r="BC40" s="336"/>
      <c r="BD40" s="336"/>
      <c r="BE40" s="336"/>
      <c r="BF40" s="67"/>
      <c r="BG40" s="67"/>
      <c r="BH40" s="67"/>
      <c r="BI40" s="67"/>
      <c r="BJ40" s="67"/>
      <c r="BK40" s="67"/>
      <c r="BL40" s="67"/>
      <c r="BM40" s="67"/>
      <c r="BN40" s="67"/>
      <c r="BO40" s="67"/>
      <c r="BP40" s="67"/>
      <c r="BQ40" s="67"/>
    </row>
    <row r="41" spans="1:69" ht="24.75" customHeight="1">
      <c r="A41" s="286">
        <f>+IF(AGOSTO!A41=0,"",AGOSTO!A41)</f>
        <v>1130104</v>
      </c>
      <c r="B41" s="319" t="str">
        <f>+IF(AGOSTO!B41=0,"",AGOSTO!B41)</f>
        <v>SUBSIDIO A LA OFERTA- ACTIVIDADES NO POS-S</v>
      </c>
      <c r="C41" s="204">
        <f>+ENERO!C41</f>
        <v>0</v>
      </c>
      <c r="D41" s="231">
        <f>AGOSTO!D41+SEPTIEMBRE!P41</f>
        <v>0</v>
      </c>
      <c r="E41" s="231">
        <f>AGOSTO!E41+SEPTIEMBRE!Q41</f>
        <v>0</v>
      </c>
      <c r="F41" s="231">
        <f t="shared" si="35"/>
        <v>0</v>
      </c>
      <c r="G41" s="231">
        <f>AGOSTO!I41</f>
        <v>0</v>
      </c>
      <c r="H41" s="208">
        <v>0</v>
      </c>
      <c r="I41" s="231">
        <f t="shared" si="36"/>
        <v>0</v>
      </c>
      <c r="J41" s="231">
        <f>AGOSTO!L41</f>
        <v>0</v>
      </c>
      <c r="K41" s="208">
        <v>0</v>
      </c>
      <c r="L41" s="231">
        <f t="shared" si="37"/>
        <v>0</v>
      </c>
      <c r="M41" s="231">
        <f t="shared" si="38"/>
        <v>0</v>
      </c>
      <c r="N41" s="1090">
        <f t="shared" si="39"/>
        <v>0</v>
      </c>
      <c r="O41" s="67"/>
      <c r="P41" s="208">
        <v>0</v>
      </c>
      <c r="Q41" s="210">
        <v>0</v>
      </c>
      <c r="R41" s="101"/>
      <c r="S41" s="266" t="str">
        <f>+IF(AGOSTO!S41=0,"",AGOSTO!S41)</f>
        <v>2.1.2.02.02.009.99.02</v>
      </c>
      <c r="T41" s="267" t="str">
        <f>+IF(AGOSTO!T41=0,"",AGOSTO!T41)</f>
        <v>Vigencias Anteriores</v>
      </c>
      <c r="U41" s="373">
        <f>+ENERO!U41</f>
        <v>1854990987</v>
      </c>
      <c r="V41" s="220">
        <f>SUM(AGOSTO!V41+SEPTIEMBRE!AL41)</f>
        <v>783000000</v>
      </c>
      <c r="W41" s="220">
        <f>AGOSTO!W41+SEPTIEMBRE!AM41</f>
        <v>0</v>
      </c>
      <c r="X41" s="271">
        <f t="shared" si="40"/>
        <v>2637990987</v>
      </c>
      <c r="Y41" s="270">
        <f>AGOSTO!AA41</f>
        <v>2637110434</v>
      </c>
      <c r="Z41" s="208">
        <v>0</v>
      </c>
      <c r="AA41" s="271">
        <f t="shared" si="41"/>
        <v>2637110434</v>
      </c>
      <c r="AB41" s="270">
        <f>AGOSTO!AD41</f>
        <v>2637110434</v>
      </c>
      <c r="AC41" s="208">
        <v>0</v>
      </c>
      <c r="AD41" s="271">
        <f t="shared" si="42"/>
        <v>2637110434</v>
      </c>
      <c r="AE41" s="270">
        <f>AGOSTO!AG41</f>
        <v>2637110434</v>
      </c>
      <c r="AF41" s="208">
        <v>0</v>
      </c>
      <c r="AG41" s="271">
        <f t="shared" si="43"/>
        <v>2637110434</v>
      </c>
      <c r="AH41" s="270">
        <f t="shared" si="44"/>
        <v>880553</v>
      </c>
      <c r="AI41" s="220">
        <f t="shared" si="45"/>
        <v>880553</v>
      </c>
      <c r="AJ41" s="269">
        <f t="shared" si="46"/>
        <v>880553</v>
      </c>
      <c r="AK41" s="101"/>
      <c r="AL41" s="204">
        <v>0</v>
      </c>
      <c r="AM41" s="210">
        <v>0</v>
      </c>
      <c r="AN41" s="101"/>
      <c r="AO41" s="67"/>
      <c r="AP41" s="67"/>
      <c r="AQ41" s="67"/>
      <c r="AR41" s="67"/>
      <c r="AS41" s="67"/>
      <c r="AT41" s="67"/>
      <c r="AU41" s="67"/>
      <c r="AV41" s="67"/>
      <c r="AW41" s="67"/>
      <c r="AX41" s="67"/>
      <c r="AY41" s="67"/>
      <c r="AZ41" s="67"/>
      <c r="BA41" s="67"/>
      <c r="BB41" s="336"/>
      <c r="BC41" s="336"/>
      <c r="BD41" s="336"/>
      <c r="BE41" s="336"/>
      <c r="BF41" s="67"/>
      <c r="BG41" s="67"/>
      <c r="BH41" s="67"/>
      <c r="BI41" s="67"/>
      <c r="BJ41" s="67"/>
      <c r="BK41" s="67"/>
      <c r="BL41" s="67"/>
      <c r="BM41" s="336"/>
      <c r="BN41" s="336"/>
      <c r="BO41" s="336"/>
      <c r="BP41" s="336"/>
      <c r="BQ41" s="336"/>
    </row>
    <row r="42" spans="1:69" ht="24.75" customHeight="1">
      <c r="A42" s="286" t="str">
        <f>+IF(AGOSTO!A42=0,"",AGOSTO!A42)</f>
        <v>1.1.02.05.001.09.02.03</v>
      </c>
      <c r="B42" s="319" t="str">
        <f>+IF(AGOSTO!B42=0,"",AGOSTO!B42)</f>
        <v>SALUD PUBLICA - PLAN DE INTERVENCIONES COLECTIVAS</v>
      </c>
      <c r="C42" s="288">
        <f t="shared" ref="C42:N42" si="48">SUM(C43:C44)</f>
        <v>287170800</v>
      </c>
      <c r="D42" s="320">
        <f t="shared" si="48"/>
        <v>0</v>
      </c>
      <c r="E42" s="320">
        <f t="shared" si="48"/>
        <v>0</v>
      </c>
      <c r="F42" s="320">
        <f t="shared" si="48"/>
        <v>287170800</v>
      </c>
      <c r="G42" s="320">
        <f t="shared" si="48"/>
        <v>100887257</v>
      </c>
      <c r="H42" s="320">
        <f t="shared" si="48"/>
        <v>7473092</v>
      </c>
      <c r="I42" s="320">
        <f t="shared" si="48"/>
        <v>108360349</v>
      </c>
      <c r="J42" s="320">
        <f t="shared" si="48"/>
        <v>75044358</v>
      </c>
      <c r="K42" s="320">
        <f t="shared" si="48"/>
        <v>0</v>
      </c>
      <c r="L42" s="320">
        <f t="shared" si="48"/>
        <v>75044358</v>
      </c>
      <c r="M42" s="320">
        <f t="shared" si="48"/>
        <v>178810451</v>
      </c>
      <c r="N42" s="661">
        <f t="shared" si="48"/>
        <v>212126442</v>
      </c>
      <c r="O42" s="67"/>
      <c r="P42" s="288">
        <f>SUM(P43:P44)</f>
        <v>0</v>
      </c>
      <c r="Q42" s="289">
        <f>SUM(Q43:Q44)</f>
        <v>0</v>
      </c>
      <c r="R42" s="101"/>
      <c r="S42" s="189">
        <f>+IF(AGOSTO!S42=0,"",AGOSTO!S42)</f>
        <v>1130106</v>
      </c>
      <c r="T42" s="488" t="str">
        <f>+IF(AGOSTO!T42=0,"",AGOSTO!T42)</f>
        <v/>
      </c>
      <c r="U42" s="191"/>
      <c r="V42" s="191"/>
      <c r="W42" s="191"/>
      <c r="X42" s="191"/>
      <c r="Y42" s="191"/>
      <c r="Z42" s="191"/>
      <c r="AA42" s="191"/>
      <c r="AB42" s="191"/>
      <c r="AC42" s="191"/>
      <c r="AD42" s="191"/>
      <c r="AE42" s="191"/>
      <c r="AF42" s="191"/>
      <c r="AG42" s="191"/>
      <c r="AH42" s="191"/>
      <c r="AI42" s="191"/>
      <c r="AJ42" s="192"/>
      <c r="AK42" s="216"/>
      <c r="AL42" s="370"/>
      <c r="AM42" s="371"/>
      <c r="AN42" s="101"/>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row>
    <row r="43" spans="1:69" ht="24.75" customHeight="1">
      <c r="A43" s="202" t="str">
        <f>+IF(AGOSTO!A43=0,"",AGOSTO!A43)</f>
        <v>1.1.02.05.001.09.02.03</v>
      </c>
      <c r="B43" s="331" t="str">
        <f>+CONCATENATE("Vigencia ",INSTRUCCIONES!$F$3)</f>
        <v>Vigencia 2025</v>
      </c>
      <c r="C43" s="204">
        <f>+ENERO!C43</f>
        <v>0</v>
      </c>
      <c r="D43" s="205">
        <f>AGOSTO!D43+SEPTIEMBRE!P43</f>
        <v>0</v>
      </c>
      <c r="E43" s="205">
        <f>AGOSTO!E43+SEPTIEMBRE!Q43</f>
        <v>0</v>
      </c>
      <c r="F43" s="205">
        <f>SUM(C43:E43)</f>
        <v>0</v>
      </c>
      <c r="G43" s="205">
        <f>AGOSTO!I43</f>
        <v>38490025</v>
      </c>
      <c r="H43" s="208">
        <v>7473092</v>
      </c>
      <c r="I43" s="205">
        <f>SUM(G43:H43)</f>
        <v>45963117</v>
      </c>
      <c r="J43" s="205">
        <f>AGOSTO!L43</f>
        <v>12647126</v>
      </c>
      <c r="K43" s="208">
        <v>0</v>
      </c>
      <c r="L43" s="205">
        <f>SUM(J43:K43)</f>
        <v>12647126</v>
      </c>
      <c r="M43" s="205">
        <f>F43-I43</f>
        <v>-45963117</v>
      </c>
      <c r="N43" s="671">
        <f>F43-L43</f>
        <v>-12647126</v>
      </c>
      <c r="O43" s="67"/>
      <c r="P43" s="204">
        <v>0</v>
      </c>
      <c r="Q43" s="210">
        <v>0</v>
      </c>
      <c r="R43" s="101"/>
      <c r="S43" s="257">
        <f>+IF(AGOSTO!S43=0,"",AGOSTO!S43)</f>
        <v>1010300</v>
      </c>
      <c r="T43" s="546" t="str">
        <f>+IF(AGOSTO!T43=0,"",AGOSTO!T43)</f>
        <v>Contribuciones Inherentes nómina al Sector Privado</v>
      </c>
      <c r="U43" s="230">
        <f>U44+U49+U55</f>
        <v>2871199937.9625015</v>
      </c>
      <c r="V43" s="231">
        <f>V44+V49+V55</f>
        <v>0</v>
      </c>
      <c r="W43" s="231">
        <f>W44+W49+W55</f>
        <v>0</v>
      </c>
      <c r="X43" s="234">
        <f>X44+X49+X55</f>
        <v>2871199937.9625015</v>
      </c>
      <c r="Y43" s="233">
        <f t="shared" ref="Y43:AJ43" si="49">Y44+Y49+Y55</f>
        <v>1609473639</v>
      </c>
      <c r="Z43" s="231">
        <f t="shared" si="49"/>
        <v>130151375</v>
      </c>
      <c r="AA43" s="234">
        <f t="shared" si="49"/>
        <v>1739625014</v>
      </c>
      <c r="AB43" s="233">
        <f t="shared" si="49"/>
        <v>1609473639</v>
      </c>
      <c r="AC43" s="231">
        <f t="shared" si="49"/>
        <v>130151375</v>
      </c>
      <c r="AD43" s="234">
        <f t="shared" si="49"/>
        <v>1739625014</v>
      </c>
      <c r="AE43" s="233">
        <f t="shared" si="49"/>
        <v>1605210797</v>
      </c>
      <c r="AF43" s="231">
        <f t="shared" si="49"/>
        <v>119416334</v>
      </c>
      <c r="AG43" s="234">
        <f t="shared" si="49"/>
        <v>1724627131</v>
      </c>
      <c r="AH43" s="233">
        <f t="shared" si="49"/>
        <v>1131574923.9625013</v>
      </c>
      <c r="AI43" s="231">
        <f t="shared" si="49"/>
        <v>1131574923.9625013</v>
      </c>
      <c r="AJ43" s="232">
        <f t="shared" si="49"/>
        <v>1146572806.9625013</v>
      </c>
      <c r="AK43" s="101"/>
      <c r="AL43" s="233">
        <f>AL44+AL49+AL55</f>
        <v>0</v>
      </c>
      <c r="AM43" s="232">
        <f>AM44+AM49+AM55</f>
        <v>0</v>
      </c>
      <c r="AN43" s="101"/>
      <c r="AO43" s="67"/>
      <c r="AP43" s="372"/>
      <c r="AQ43" s="67"/>
      <c r="AR43" s="67"/>
      <c r="AS43" s="67"/>
      <c r="AT43" s="67"/>
      <c r="AU43" s="67"/>
      <c r="AV43" s="67"/>
      <c r="AW43" s="67"/>
      <c r="AX43" s="67"/>
      <c r="AY43" s="67"/>
      <c r="AZ43" s="67"/>
      <c r="BA43" s="67"/>
      <c r="BB43" s="336"/>
      <c r="BC43" s="336"/>
      <c r="BD43" s="336"/>
      <c r="BE43" s="336"/>
      <c r="BF43" s="67"/>
      <c r="BG43" s="67"/>
      <c r="BH43" s="67"/>
      <c r="BI43" s="67"/>
      <c r="BJ43" s="67"/>
      <c r="BK43" s="67"/>
      <c r="BL43" s="67"/>
      <c r="BM43" s="67"/>
      <c r="BN43" s="67"/>
      <c r="BO43" s="67"/>
      <c r="BP43" s="67"/>
      <c r="BQ43" s="67"/>
    </row>
    <row r="44" spans="1:69" ht="24.75" customHeight="1">
      <c r="A44" s="202" t="str">
        <f>+IF(AGOSTO!A44=0,"",AGOSTO!A44)</f>
        <v>1.1.02.05.001.09.02.03.99</v>
      </c>
      <c r="B44" s="331" t="str">
        <f>+IF(AGOSTO!B44=0,"",AGOSTO!B44)</f>
        <v>Vigencia Anterior</v>
      </c>
      <c r="C44" s="204">
        <f>+ENERO!C44</f>
        <v>287170800</v>
      </c>
      <c r="D44" s="205">
        <f>AGOSTO!D44+SEPTIEMBRE!P44</f>
        <v>0</v>
      </c>
      <c r="E44" s="205">
        <f>AGOSTO!E44+SEPTIEMBRE!Q44</f>
        <v>0</v>
      </c>
      <c r="F44" s="205">
        <f>SUM(C44:E44)</f>
        <v>287170800</v>
      </c>
      <c r="G44" s="205">
        <f>AGOSTO!I44</f>
        <v>62397232</v>
      </c>
      <c r="H44" s="208">
        <v>0</v>
      </c>
      <c r="I44" s="205">
        <f>SUM(G44:H44)</f>
        <v>62397232</v>
      </c>
      <c r="J44" s="205">
        <f>AGOSTO!L44</f>
        <v>62397232</v>
      </c>
      <c r="K44" s="208">
        <v>0</v>
      </c>
      <c r="L44" s="205">
        <f>SUM(J44:K44)</f>
        <v>62397232</v>
      </c>
      <c r="M44" s="205">
        <f>F44-I44</f>
        <v>224773568</v>
      </c>
      <c r="N44" s="671">
        <f>F44-L44</f>
        <v>224773568</v>
      </c>
      <c r="O44" s="67"/>
      <c r="P44" s="204">
        <v>0</v>
      </c>
      <c r="Q44" s="210">
        <v>0</v>
      </c>
      <c r="R44" s="101"/>
      <c r="S44" s="266">
        <f>+IF(AGOSTO!S44=0,"",AGOSTO!S44)</f>
        <v>1010301</v>
      </c>
      <c r="T44" s="267" t="str">
        <f>+IF(AGOSTO!T44=0,"",AGOSTO!T44)</f>
        <v>Contribuciones - SGP - Aportes Patronales - Cuenta Maestra</v>
      </c>
      <c r="U44" s="373">
        <f>SUM(U45:U48)</f>
        <v>0</v>
      </c>
      <c r="V44" s="220">
        <f>SUM(AGOSTO!V44+SEPTIEMBRE!AL44)</f>
        <v>0</v>
      </c>
      <c r="W44" s="220">
        <f>SUM(W45:W48)</f>
        <v>0</v>
      </c>
      <c r="X44" s="271">
        <f>SUM(X45:X48)</f>
        <v>0</v>
      </c>
      <c r="Y44" s="270">
        <f t="shared" ref="Y44:AJ44" si="50">SUM(Y45:Y48)</f>
        <v>0</v>
      </c>
      <c r="Z44" s="300">
        <f t="shared" si="50"/>
        <v>0</v>
      </c>
      <c r="AA44" s="271">
        <f t="shared" si="50"/>
        <v>0</v>
      </c>
      <c r="AB44" s="270">
        <f t="shared" si="50"/>
        <v>0</v>
      </c>
      <c r="AC44" s="300">
        <f t="shared" si="50"/>
        <v>0</v>
      </c>
      <c r="AD44" s="271">
        <f t="shared" si="50"/>
        <v>0</v>
      </c>
      <c r="AE44" s="270">
        <f t="shared" si="50"/>
        <v>0</v>
      </c>
      <c r="AF44" s="300">
        <f t="shared" si="50"/>
        <v>0</v>
      </c>
      <c r="AG44" s="271">
        <f t="shared" si="50"/>
        <v>0</v>
      </c>
      <c r="AH44" s="270">
        <f t="shared" si="50"/>
        <v>0</v>
      </c>
      <c r="AI44" s="220">
        <f t="shared" si="50"/>
        <v>0</v>
      </c>
      <c r="AJ44" s="269">
        <f t="shared" si="50"/>
        <v>0</v>
      </c>
      <c r="AK44" s="101"/>
      <c r="AL44" s="301">
        <f>SUM(AL45:AL48)</f>
        <v>0</v>
      </c>
      <c r="AM44" s="302">
        <f>SUM(AM45:AM48)</f>
        <v>0</v>
      </c>
      <c r="AN44" s="101"/>
      <c r="AO44" s="67"/>
      <c r="AP44" s="67"/>
      <c r="AQ44" s="67"/>
      <c r="AR44" s="67"/>
      <c r="AS44" s="67"/>
      <c r="AT44" s="67"/>
      <c r="AU44" s="67"/>
      <c r="AV44" s="67"/>
      <c r="AW44" s="67"/>
      <c r="AX44" s="67"/>
      <c r="AY44" s="67"/>
      <c r="AZ44" s="67"/>
      <c r="BA44" s="67"/>
      <c r="BB44" s="336"/>
      <c r="BC44" s="336"/>
      <c r="BD44" s="336"/>
      <c r="BE44" s="336"/>
      <c r="BF44" s="67"/>
      <c r="BG44" s="67"/>
      <c r="BH44" s="67"/>
      <c r="BI44" s="67"/>
      <c r="BJ44" s="67"/>
      <c r="BK44" s="67"/>
      <c r="BL44" s="67"/>
      <c r="BM44" s="67"/>
      <c r="BN44" s="67"/>
      <c r="BO44" s="67"/>
      <c r="BP44" s="67"/>
      <c r="BQ44" s="67"/>
    </row>
    <row r="45" spans="1:69" ht="24.75" customHeight="1">
      <c r="A45" s="286" t="str">
        <f>+IF(AGOSTO!A45=0,"",AGOSTO!A45)</f>
        <v>1.1.02.05.001.09.02.04</v>
      </c>
      <c r="B45" s="319" t="str">
        <f>+IF(AGOSTO!B45=0,"",AGOSTO!B45)</f>
        <v>EVENTOS CATASTROFICOS Y ACCIDENTES DE TRANSITO</v>
      </c>
      <c r="C45" s="288">
        <f t="shared" ref="C45:N45" si="51">SUM(C46:C47)</f>
        <v>1301505717</v>
      </c>
      <c r="D45" s="320">
        <f t="shared" si="51"/>
        <v>0</v>
      </c>
      <c r="E45" s="320">
        <f t="shared" si="51"/>
        <v>0</v>
      </c>
      <c r="F45" s="320">
        <f t="shared" si="51"/>
        <v>1301505717</v>
      </c>
      <c r="G45" s="320">
        <f t="shared" si="51"/>
        <v>610269522</v>
      </c>
      <c r="H45" s="320">
        <f t="shared" si="51"/>
        <v>46664248</v>
      </c>
      <c r="I45" s="320">
        <f t="shared" si="51"/>
        <v>656933770</v>
      </c>
      <c r="J45" s="320">
        <f t="shared" si="51"/>
        <v>385250405</v>
      </c>
      <c r="K45" s="320">
        <f t="shared" si="51"/>
        <v>11096747</v>
      </c>
      <c r="L45" s="320">
        <f t="shared" si="51"/>
        <v>396347152</v>
      </c>
      <c r="M45" s="320">
        <f t="shared" si="51"/>
        <v>644571947</v>
      </c>
      <c r="N45" s="661">
        <f t="shared" si="51"/>
        <v>905158565</v>
      </c>
      <c r="O45" s="67"/>
      <c r="P45" s="288">
        <f>SUM(P46:P47)</f>
        <v>0</v>
      </c>
      <c r="Q45" s="289">
        <f>SUM(Q46:Q47)</f>
        <v>0</v>
      </c>
      <c r="R45" s="101"/>
      <c r="S45" s="311" t="str">
        <f>+IF(AGOSTO!S45=0,"",AGOSTO!S45)</f>
        <v>1010301-1</v>
      </c>
      <c r="T45" s="312" t="str">
        <f>+IF(AGOSTO!T45=0,"",AGOSTO!T45)</f>
        <v>E.P.S. - Aportes cuenta maestra</v>
      </c>
      <c r="U45" s="373">
        <f>+ENERO!U45</f>
        <v>0</v>
      </c>
      <c r="V45" s="220">
        <f>SUM(AGOSTO!V45+SEPTIEMBRE!AL45)</f>
        <v>0</v>
      </c>
      <c r="W45" s="220">
        <f>AGOSTO!W45+SEPTIEMBRE!AM45</f>
        <v>0</v>
      </c>
      <c r="X45" s="271">
        <f>SUM(U45:W45)</f>
        <v>0</v>
      </c>
      <c r="Y45" s="270">
        <f>AGOSTO!AA45</f>
        <v>0</v>
      </c>
      <c r="Z45" s="208"/>
      <c r="AA45" s="271">
        <f>SUM(Y45:Z45)</f>
        <v>0</v>
      </c>
      <c r="AB45" s="270">
        <f>AGOSTO!AD45</f>
        <v>0</v>
      </c>
      <c r="AC45" s="208"/>
      <c r="AD45" s="271">
        <f>SUM(AB45:AC45)</f>
        <v>0</v>
      </c>
      <c r="AE45" s="270">
        <f>AGOSTO!AG45</f>
        <v>0</v>
      </c>
      <c r="AF45" s="208"/>
      <c r="AG45" s="271">
        <f>SUM(AE45:AF45)</f>
        <v>0</v>
      </c>
      <c r="AH45" s="270">
        <f>X45-AA45</f>
        <v>0</v>
      </c>
      <c r="AI45" s="220">
        <f>X45-AD45</f>
        <v>0</v>
      </c>
      <c r="AJ45" s="269">
        <f>X45-AG45</f>
        <v>0</v>
      </c>
      <c r="AK45" s="101"/>
      <c r="AL45" s="204">
        <v>0</v>
      </c>
      <c r="AM45" s="210">
        <v>0</v>
      </c>
      <c r="AN45" s="101"/>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row>
    <row r="46" spans="1:69" ht="24.75" customHeight="1">
      <c r="A46" s="202" t="str">
        <f>+IF(AGOSTO!A46=0,"",AGOSTO!A46)</f>
        <v>1.1.02.05.001.09.02.04</v>
      </c>
      <c r="B46" s="331" t="str">
        <f>+CONCATENATE("Vigencia ",INSTRUCCIONES!$F$3)</f>
        <v>Vigencia 2025</v>
      </c>
      <c r="C46" s="204">
        <f>+ENERO!C46</f>
        <v>795758987</v>
      </c>
      <c r="D46" s="205">
        <f>AGOSTO!D46+SEPTIEMBRE!P46</f>
        <v>0</v>
      </c>
      <c r="E46" s="205">
        <f>AGOSTO!E46+SEPTIEMBRE!Q46</f>
        <v>0</v>
      </c>
      <c r="F46" s="205">
        <f>SUM(C46:E46)</f>
        <v>795758987</v>
      </c>
      <c r="G46" s="205">
        <f>AGOSTO!I46</f>
        <v>229234504</v>
      </c>
      <c r="H46" s="208">
        <v>46500250</v>
      </c>
      <c r="I46" s="205">
        <f>SUM(G46:H46)</f>
        <v>275734754</v>
      </c>
      <c r="J46" s="205">
        <f>AGOSTO!L46</f>
        <v>4215387</v>
      </c>
      <c r="K46" s="208">
        <v>10932749</v>
      </c>
      <c r="L46" s="205">
        <f>SUM(J46:K46)</f>
        <v>15148136</v>
      </c>
      <c r="M46" s="205">
        <f>F46-I46</f>
        <v>520024233</v>
      </c>
      <c r="N46" s="671">
        <f>F46-L46</f>
        <v>780610851</v>
      </c>
      <c r="O46" s="67"/>
      <c r="P46" s="204">
        <v>0</v>
      </c>
      <c r="Q46" s="210">
        <v>0</v>
      </c>
      <c r="R46" s="101"/>
      <c r="S46" s="311" t="str">
        <f>+IF(AGOSTO!S46=0,"",AGOSTO!S46)</f>
        <v>1010301-2</v>
      </c>
      <c r="T46" s="312" t="str">
        <f>+IF(AGOSTO!T46=0,"",AGOSTO!T46)</f>
        <v>Fondos pensionales - Aportes cuenta maestra</v>
      </c>
      <c r="U46" s="373">
        <f>+ENERO!U46</f>
        <v>0</v>
      </c>
      <c r="V46" s="220">
        <f>SUM(AGOSTO!V46+SEPTIEMBRE!AL46)</f>
        <v>0</v>
      </c>
      <c r="W46" s="220">
        <f>AGOSTO!W46+SEPTIEMBRE!AM46</f>
        <v>0</v>
      </c>
      <c r="X46" s="271">
        <f>SUM(U46:W46)</f>
        <v>0</v>
      </c>
      <c r="Y46" s="270">
        <f>AGOSTO!AA46</f>
        <v>0</v>
      </c>
      <c r="Z46" s="208"/>
      <c r="AA46" s="271">
        <f>SUM(Y46:Z46)</f>
        <v>0</v>
      </c>
      <c r="AB46" s="270">
        <f>AGOSTO!AD46</f>
        <v>0</v>
      </c>
      <c r="AC46" s="208"/>
      <c r="AD46" s="271">
        <f>SUM(AB46:AC46)</f>
        <v>0</v>
      </c>
      <c r="AE46" s="270">
        <f>AGOSTO!AG46</f>
        <v>0</v>
      </c>
      <c r="AF46" s="208"/>
      <c r="AG46" s="271">
        <f>SUM(AE46:AF46)</f>
        <v>0</v>
      </c>
      <c r="AH46" s="270">
        <f>X46-AA46</f>
        <v>0</v>
      </c>
      <c r="AI46" s="220">
        <f>X46-AD46</f>
        <v>0</v>
      </c>
      <c r="AJ46" s="269">
        <f>X46-AG46</f>
        <v>0</v>
      </c>
      <c r="AK46" s="101"/>
      <c r="AL46" s="204">
        <v>0</v>
      </c>
      <c r="AM46" s="210">
        <v>0</v>
      </c>
      <c r="AN46" s="101"/>
      <c r="AO46" s="376"/>
      <c r="AP46" s="372"/>
      <c r="AQ46" s="67"/>
      <c r="AR46" s="67"/>
      <c r="AS46" s="67"/>
      <c r="AT46" s="67"/>
      <c r="AU46" s="67"/>
      <c r="AV46" s="67"/>
      <c r="AW46" s="67"/>
      <c r="AX46" s="67"/>
      <c r="AY46" s="67"/>
      <c r="AZ46" s="67"/>
      <c r="BA46" s="67"/>
      <c r="BB46" s="336"/>
      <c r="BC46" s="336"/>
      <c r="BD46" s="336"/>
      <c r="BE46" s="336"/>
      <c r="BF46" s="67"/>
      <c r="BG46" s="67"/>
      <c r="BH46" s="67"/>
      <c r="BI46" s="67"/>
      <c r="BJ46" s="67"/>
      <c r="BK46" s="67"/>
      <c r="BL46" s="67"/>
      <c r="BM46" s="336"/>
      <c r="BN46" s="336"/>
      <c r="BO46" s="336"/>
      <c r="BP46" s="336"/>
      <c r="BQ46" s="336"/>
    </row>
    <row r="47" spans="1:69" ht="24.75" customHeight="1">
      <c r="A47" s="202" t="str">
        <f>+IF(AGOSTO!A47=0,"",AGOSTO!A47)</f>
        <v>1.1.02.05.001.09.02.04.99</v>
      </c>
      <c r="B47" s="331" t="str">
        <f>+IF(AGOSTO!B47=0,"",AGOSTO!B47)</f>
        <v>Vigencia Anterior</v>
      </c>
      <c r="C47" s="204">
        <f>+ENERO!C47</f>
        <v>505746730</v>
      </c>
      <c r="D47" s="205">
        <f>AGOSTO!D47+SEPTIEMBRE!P47</f>
        <v>0</v>
      </c>
      <c r="E47" s="205">
        <f>AGOSTO!E47+SEPTIEMBRE!Q47</f>
        <v>0</v>
      </c>
      <c r="F47" s="205">
        <f>SUM(C47:E47)</f>
        <v>505746730</v>
      </c>
      <c r="G47" s="205">
        <f>AGOSTO!I47</f>
        <v>381035018</v>
      </c>
      <c r="H47" s="208">
        <v>163998</v>
      </c>
      <c r="I47" s="205">
        <f>SUM(G47:H47)</f>
        <v>381199016</v>
      </c>
      <c r="J47" s="205">
        <f>AGOSTO!L47</f>
        <v>381035018</v>
      </c>
      <c r="K47" s="208">
        <v>163998</v>
      </c>
      <c r="L47" s="205">
        <f>SUM(J47:K47)</f>
        <v>381199016</v>
      </c>
      <c r="M47" s="205">
        <f>F47-I47</f>
        <v>124547714</v>
      </c>
      <c r="N47" s="671">
        <f>F47-L47</f>
        <v>124547714</v>
      </c>
      <c r="O47" s="67"/>
      <c r="P47" s="204">
        <v>0</v>
      </c>
      <c r="Q47" s="210">
        <v>0</v>
      </c>
      <c r="R47" s="101"/>
      <c r="S47" s="311" t="str">
        <f>+IF(AGOSTO!S47=0,"",AGOSTO!S47)</f>
        <v>1010301-3</v>
      </c>
      <c r="T47" s="312" t="str">
        <f>+IF(AGOSTO!T47=0,"",AGOSTO!T47)</f>
        <v>Fondos de cesantías - Aportes cuenta maestra</v>
      </c>
      <c r="U47" s="373">
        <f>+ENERO!U47</f>
        <v>0</v>
      </c>
      <c r="V47" s="220">
        <f>SUM(AGOSTO!V47+SEPTIEMBRE!AL47)</f>
        <v>0</v>
      </c>
      <c r="W47" s="220">
        <f>AGOSTO!W47+SEPTIEMBRE!AM47</f>
        <v>0</v>
      </c>
      <c r="X47" s="271">
        <f>SUM(U47:W47)</f>
        <v>0</v>
      </c>
      <c r="Y47" s="270">
        <f>AGOSTO!AA47</f>
        <v>0</v>
      </c>
      <c r="Z47" s="208"/>
      <c r="AA47" s="271">
        <f>SUM(Y47:Z47)</f>
        <v>0</v>
      </c>
      <c r="AB47" s="270">
        <f>AGOSTO!AD47</f>
        <v>0</v>
      </c>
      <c r="AC47" s="208"/>
      <c r="AD47" s="271">
        <f>SUM(AB47:AC47)</f>
        <v>0</v>
      </c>
      <c r="AE47" s="270">
        <f>AGOSTO!AG47</f>
        <v>0</v>
      </c>
      <c r="AF47" s="208"/>
      <c r="AG47" s="271">
        <f>SUM(AE47:AF47)</f>
        <v>0</v>
      </c>
      <c r="AH47" s="270">
        <f>X47-AA47</f>
        <v>0</v>
      </c>
      <c r="AI47" s="220">
        <f>X47-AD47</f>
        <v>0</v>
      </c>
      <c r="AJ47" s="269">
        <f>X47-AG47</f>
        <v>0</v>
      </c>
      <c r="AK47" s="101"/>
      <c r="AL47" s="204">
        <v>0</v>
      </c>
      <c r="AM47" s="210">
        <v>0</v>
      </c>
      <c r="AN47" s="101"/>
      <c r="AO47" s="67"/>
      <c r="AP47" s="67"/>
      <c r="AQ47" s="67"/>
      <c r="AR47" s="67"/>
      <c r="AS47" s="67"/>
      <c r="AT47" s="67"/>
      <c r="AU47" s="67"/>
      <c r="AV47" s="67"/>
      <c r="AW47" s="67"/>
      <c r="AX47" s="67"/>
      <c r="AY47" s="67"/>
      <c r="AZ47" s="67"/>
      <c r="BA47" s="67"/>
      <c r="BB47" s="336"/>
      <c r="BC47" s="336"/>
      <c r="BD47" s="336"/>
      <c r="BE47" s="336"/>
      <c r="BF47" s="67"/>
      <c r="BG47" s="67"/>
      <c r="BH47" s="67"/>
      <c r="BI47" s="67"/>
      <c r="BJ47" s="67"/>
      <c r="BK47" s="67"/>
      <c r="BL47" s="67"/>
      <c r="BM47" s="67"/>
      <c r="BN47" s="67"/>
      <c r="BO47" s="67"/>
      <c r="BP47" s="67"/>
      <c r="BQ47" s="67"/>
    </row>
    <row r="48" spans="1:69" ht="24.75" customHeight="1">
      <c r="A48" s="286" t="str">
        <f>+IF(AGOSTO!A48=0,"",AGOSTO!A48)</f>
        <v>1.1.02.05.001.09.02.11</v>
      </c>
      <c r="B48" s="319" t="str">
        <f>+IF(AGOSTO!B48=0,"",AGOSTO!B48)</f>
        <v>Poblacion Especial</v>
      </c>
      <c r="C48" s="288">
        <f t="shared" ref="C48:N48" si="52">SUM(C49:C50)</f>
        <v>225672391</v>
      </c>
      <c r="D48" s="320">
        <f t="shared" si="52"/>
        <v>0</v>
      </c>
      <c r="E48" s="320">
        <f t="shared" si="52"/>
        <v>0</v>
      </c>
      <c r="F48" s="320">
        <f t="shared" si="52"/>
        <v>225672391</v>
      </c>
      <c r="G48" s="320">
        <f t="shared" si="52"/>
        <v>106512236</v>
      </c>
      <c r="H48" s="320">
        <f t="shared" si="52"/>
        <v>7633628</v>
      </c>
      <c r="I48" s="320">
        <f t="shared" si="52"/>
        <v>114145864</v>
      </c>
      <c r="J48" s="320">
        <f t="shared" si="52"/>
        <v>56951342</v>
      </c>
      <c r="K48" s="320">
        <f t="shared" si="52"/>
        <v>13618233</v>
      </c>
      <c r="L48" s="320">
        <f t="shared" si="52"/>
        <v>70569575</v>
      </c>
      <c r="M48" s="320">
        <f t="shared" si="52"/>
        <v>111526527</v>
      </c>
      <c r="N48" s="661">
        <f t="shared" si="52"/>
        <v>155102816</v>
      </c>
      <c r="O48" s="67"/>
      <c r="P48" s="288">
        <f>SUM(P49:P50)</f>
        <v>0</v>
      </c>
      <c r="Q48" s="289">
        <f>SUM(Q49:Q50)</f>
        <v>0</v>
      </c>
      <c r="R48" s="101"/>
      <c r="S48" s="311" t="str">
        <f>+IF(AGOSTO!S48=0,"",AGOSTO!S48)</f>
        <v>1010301-4</v>
      </c>
      <c r="T48" s="312" t="str">
        <f>+IF(AGOSTO!T48=0,"",AGOSTO!T48)</f>
        <v>Riesgos laborales - Aportes cuenta maestra</v>
      </c>
      <c r="U48" s="373">
        <f>+ENERO!U48</f>
        <v>0</v>
      </c>
      <c r="V48" s="220">
        <f>SUM(AGOSTO!V48+SEPTIEMBRE!AL48)</f>
        <v>0</v>
      </c>
      <c r="W48" s="220">
        <f>AGOSTO!W48+SEPTIEMBRE!AM48</f>
        <v>0</v>
      </c>
      <c r="X48" s="271">
        <f>SUM(U48:W48)</f>
        <v>0</v>
      </c>
      <c r="Y48" s="270">
        <f>AGOSTO!AA48</f>
        <v>0</v>
      </c>
      <c r="Z48" s="208"/>
      <c r="AA48" s="271">
        <f>SUM(Y48:Z48)</f>
        <v>0</v>
      </c>
      <c r="AB48" s="270">
        <f>AGOSTO!AD48</f>
        <v>0</v>
      </c>
      <c r="AC48" s="208"/>
      <c r="AD48" s="271">
        <f>SUM(AB48:AC48)</f>
        <v>0</v>
      </c>
      <c r="AE48" s="270">
        <f>AGOSTO!AG48</f>
        <v>0</v>
      </c>
      <c r="AF48" s="208"/>
      <c r="AG48" s="271">
        <f>SUM(AE48:AF48)</f>
        <v>0</v>
      </c>
      <c r="AH48" s="270">
        <f>X48-AA48</f>
        <v>0</v>
      </c>
      <c r="AI48" s="220">
        <f>X48-AD48</f>
        <v>0</v>
      </c>
      <c r="AJ48" s="269">
        <f>X48-AG48</f>
        <v>0</v>
      </c>
      <c r="AK48" s="101"/>
      <c r="AL48" s="204">
        <v>0</v>
      </c>
      <c r="AM48" s="210">
        <v>0</v>
      </c>
      <c r="AN48" s="101"/>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row>
    <row r="49" spans="1:39" ht="24.75" customHeight="1">
      <c r="A49" s="202" t="str">
        <f>+IF(AGOSTO!A49=0,"",AGOSTO!A49)</f>
        <v>1.1.02.05.001.09.02.11</v>
      </c>
      <c r="B49" s="331" t="str">
        <f>+CONCATENATE("Vigencia ",INSTRUCCIONES!$F$3)</f>
        <v>Vigencia 2025</v>
      </c>
      <c r="C49" s="204">
        <f>+ENERO!C49</f>
        <v>180672391</v>
      </c>
      <c r="D49" s="205">
        <f>AGOSTO!D49+SEPTIEMBRE!P49</f>
        <v>0</v>
      </c>
      <c r="E49" s="205">
        <f>AGOSTO!E49+SEPTIEMBRE!Q49</f>
        <v>0</v>
      </c>
      <c r="F49" s="205">
        <f>SUM(C49:E49)</f>
        <v>180672391</v>
      </c>
      <c r="G49" s="205">
        <f>AGOSTO!I49</f>
        <v>67309892</v>
      </c>
      <c r="H49" s="208">
        <v>7633628</v>
      </c>
      <c r="I49" s="205">
        <f>SUM(G49:H49)</f>
        <v>74943520</v>
      </c>
      <c r="J49" s="205">
        <f>AGOSTO!L49</f>
        <v>17748998</v>
      </c>
      <c r="K49" s="208">
        <v>13618233</v>
      </c>
      <c r="L49" s="205">
        <f>SUM(J49:K49)</f>
        <v>31367231</v>
      </c>
      <c r="M49" s="205">
        <f>F49-I49</f>
        <v>105728871</v>
      </c>
      <c r="N49" s="671">
        <f>F49-L49</f>
        <v>149305160</v>
      </c>
      <c r="O49" s="67"/>
      <c r="P49" s="204">
        <v>0</v>
      </c>
      <c r="Q49" s="210">
        <v>0</v>
      </c>
      <c r="R49" s="101"/>
      <c r="S49" s="266">
        <f>+IF(AGOSTO!S49=0,"",AGOSTO!S49)</f>
        <v>1010302</v>
      </c>
      <c r="T49" s="267" t="str">
        <f>+IF(AGOSTO!T49=0,"",AGOSTO!T49)</f>
        <v>Contribuciones - Otros</v>
      </c>
      <c r="U49" s="373">
        <f>SUM(U50:U54)</f>
        <v>2369058848.2960005</v>
      </c>
      <c r="V49" s="220">
        <f>SUM(AGOSTO!V49+SEPTIEMBRE!AL49)</f>
        <v>-30000000</v>
      </c>
      <c r="W49" s="220">
        <f>AGOSTO!W49+SEPTIEMBRE!AM49</f>
        <v>0</v>
      </c>
      <c r="X49" s="271">
        <f>SUM(X50:X54)</f>
        <v>2339058848.2960005</v>
      </c>
      <c r="Y49" s="270">
        <f t="shared" ref="Y49:AJ49" si="53">SUM(Y50:Y54)</f>
        <v>1085166005</v>
      </c>
      <c r="Z49" s="300">
        <f t="shared" si="53"/>
        <v>130151375</v>
      </c>
      <c r="AA49" s="271">
        <f t="shared" si="53"/>
        <v>1215317380</v>
      </c>
      <c r="AB49" s="270">
        <f t="shared" si="53"/>
        <v>1085166005</v>
      </c>
      <c r="AC49" s="300">
        <f t="shared" si="53"/>
        <v>130151375</v>
      </c>
      <c r="AD49" s="271">
        <f t="shared" si="53"/>
        <v>1215317380</v>
      </c>
      <c r="AE49" s="270">
        <f t="shared" si="53"/>
        <v>1080903163</v>
      </c>
      <c r="AF49" s="300">
        <f t="shared" si="53"/>
        <v>119416334</v>
      </c>
      <c r="AG49" s="271">
        <f t="shared" si="53"/>
        <v>1200319497</v>
      </c>
      <c r="AH49" s="270">
        <f t="shared" si="53"/>
        <v>1123741468.2960002</v>
      </c>
      <c r="AI49" s="220">
        <f t="shared" si="53"/>
        <v>1123741468.2960002</v>
      </c>
      <c r="AJ49" s="269">
        <f t="shared" si="53"/>
        <v>1138739351.2960002</v>
      </c>
      <c r="AK49" s="101"/>
      <c r="AL49" s="301">
        <f>SUM(AL50:AL54)</f>
        <v>0</v>
      </c>
      <c r="AM49" s="302">
        <f>SUM(AM50:AM54)</f>
        <v>0</v>
      </c>
    </row>
    <row r="50" spans="1:39" ht="24.75" customHeight="1">
      <c r="A50" s="202" t="str">
        <f>+IF(AGOSTO!A50=0,"",AGOSTO!A50)</f>
        <v>1.1.02.05.001.09.02.11.99</v>
      </c>
      <c r="B50" s="331" t="str">
        <f>+IF(AGOSTO!B50=0,"",AGOSTO!B50)</f>
        <v>Vigencia Anterior</v>
      </c>
      <c r="C50" s="204">
        <f>+ENERO!C50</f>
        <v>45000000</v>
      </c>
      <c r="D50" s="205">
        <f>AGOSTO!D50+SEPTIEMBRE!P50</f>
        <v>0</v>
      </c>
      <c r="E50" s="205">
        <f>AGOSTO!E50+SEPTIEMBRE!Q50</f>
        <v>0</v>
      </c>
      <c r="F50" s="205">
        <f>SUM(C50:E50)</f>
        <v>45000000</v>
      </c>
      <c r="G50" s="205">
        <f>AGOSTO!I50</f>
        <v>39202344</v>
      </c>
      <c r="H50" s="208">
        <v>0</v>
      </c>
      <c r="I50" s="205">
        <f>SUM(G50:H50)</f>
        <v>39202344</v>
      </c>
      <c r="J50" s="205">
        <f>AGOSTO!L50</f>
        <v>39202344</v>
      </c>
      <c r="K50" s="208">
        <v>0</v>
      </c>
      <c r="L50" s="205">
        <f>SUM(J50:K50)</f>
        <v>39202344</v>
      </c>
      <c r="M50" s="205">
        <f>F50-I50</f>
        <v>5797656</v>
      </c>
      <c r="N50" s="671">
        <f>F50-L50</f>
        <v>5797656</v>
      </c>
      <c r="O50" s="67"/>
      <c r="P50" s="204">
        <v>0</v>
      </c>
      <c r="Q50" s="210">
        <v>0</v>
      </c>
      <c r="R50" s="101"/>
      <c r="S50" s="311" t="str">
        <f>+IF(AGOSTO!S50=0,"",AGOSTO!S50)</f>
        <v>2.1.1.01.02.002</v>
      </c>
      <c r="T50" s="312" t="str">
        <f>+IF(AGOSTO!T50=0,"",AGOSTO!T50)</f>
        <v>Aportes a E.P.S. - recursos propios</v>
      </c>
      <c r="U50" s="373">
        <f>+ENERO!U50</f>
        <v>555207343.50000024</v>
      </c>
      <c r="V50" s="220">
        <f>SUM(AGOSTO!V50+SEPTIEMBRE!AL50)</f>
        <v>0</v>
      </c>
      <c r="W50" s="220">
        <f>AGOSTO!W50+SEPTIEMBRE!AM50</f>
        <v>0</v>
      </c>
      <c r="X50" s="271">
        <f t="shared" ref="X50:X55" si="54">SUM(U50:W50)</f>
        <v>555207343.50000024</v>
      </c>
      <c r="Y50" s="270">
        <f>AGOSTO!AA50</f>
        <v>323504378</v>
      </c>
      <c r="Z50" s="208">
        <v>36967097</v>
      </c>
      <c r="AA50" s="271">
        <f t="shared" ref="AA50:AA55" si="55">SUM(Y50:Z50)</f>
        <v>360471475</v>
      </c>
      <c r="AB50" s="270">
        <f>AGOSTO!AD50</f>
        <v>323504378</v>
      </c>
      <c r="AC50" s="208">
        <v>36967097</v>
      </c>
      <c r="AD50" s="271">
        <f t="shared" ref="AD50:AD55" si="56">SUM(AB50:AC50)</f>
        <v>360471475</v>
      </c>
      <c r="AE50" s="270">
        <f>AGOSTO!AG50</f>
        <v>323504378</v>
      </c>
      <c r="AF50" s="208">
        <v>36967097</v>
      </c>
      <c r="AG50" s="271">
        <f t="shared" ref="AG50:AG55" si="57">SUM(AE50:AF50)</f>
        <v>360471475</v>
      </c>
      <c r="AH50" s="270">
        <f t="shared" ref="AH50:AH55" si="58">X50-AA50</f>
        <v>194735868.50000024</v>
      </c>
      <c r="AI50" s="220">
        <f t="shared" ref="AI50:AI55" si="59">X50-AD50</f>
        <v>194735868.50000024</v>
      </c>
      <c r="AJ50" s="269">
        <f t="shared" ref="AJ50:AJ55" si="60">X50-AG50</f>
        <v>194735868.50000024</v>
      </c>
      <c r="AK50" s="101"/>
      <c r="AL50" s="204"/>
      <c r="AM50" s="210">
        <v>0</v>
      </c>
    </row>
    <row r="51" spans="1:39" ht="24.75" customHeight="1">
      <c r="A51" s="286" t="str">
        <f>+IF(AGOSTO!A51=0,"",AGOSTO!A51)</f>
        <v>1.1.02.05.001.09.02.16</v>
      </c>
      <c r="B51" s="319" t="str">
        <f>+IF(AGOSTO!B51=0,"",AGOSTO!B51)</f>
        <v>Fondo Nacional de la Salud personas privadas de la Libertad</v>
      </c>
      <c r="C51" s="288">
        <f t="shared" ref="C51:N51" si="61">SUM(C52:C53)</f>
        <v>168856</v>
      </c>
      <c r="D51" s="320">
        <f t="shared" si="61"/>
        <v>0</v>
      </c>
      <c r="E51" s="320">
        <f t="shared" si="61"/>
        <v>0</v>
      </c>
      <c r="F51" s="320">
        <f t="shared" si="61"/>
        <v>168856</v>
      </c>
      <c r="G51" s="320">
        <f t="shared" si="61"/>
        <v>27492607</v>
      </c>
      <c r="H51" s="320">
        <f t="shared" si="61"/>
        <v>0</v>
      </c>
      <c r="I51" s="320">
        <f t="shared" si="61"/>
        <v>27492607</v>
      </c>
      <c r="J51" s="320">
        <f t="shared" si="61"/>
        <v>0</v>
      </c>
      <c r="K51" s="320">
        <f t="shared" si="61"/>
        <v>0</v>
      </c>
      <c r="L51" s="320">
        <f t="shared" si="61"/>
        <v>0</v>
      </c>
      <c r="M51" s="320">
        <f t="shared" si="61"/>
        <v>-27323751</v>
      </c>
      <c r="N51" s="661">
        <f t="shared" si="61"/>
        <v>168856</v>
      </c>
      <c r="O51" s="67"/>
      <c r="P51" s="288">
        <f>SUM(P52:P53)</f>
        <v>0</v>
      </c>
      <c r="Q51" s="289">
        <f>SUM(Q52:Q53)</f>
        <v>0</v>
      </c>
      <c r="R51" s="101"/>
      <c r="S51" s="311" t="str">
        <f>+IF(AGOSTO!S51=0,"",AGOSTO!S51)</f>
        <v>2.1.1.01.02.001</v>
      </c>
      <c r="T51" s="312" t="str">
        <f>+IF(AGOSTO!T51=0,"",AGOSTO!T51)</f>
        <v>Aportes Fondos Pensionales - recursos propios</v>
      </c>
      <c r="U51" s="373">
        <f>+ENERO!U51</f>
        <v>783822132</v>
      </c>
      <c r="V51" s="220">
        <f>SUM(AGOSTO!V51+SEPTIEMBRE!AL51)</f>
        <v>0</v>
      </c>
      <c r="W51" s="220">
        <f>AGOSTO!W51+SEPTIEMBRE!AM51</f>
        <v>0</v>
      </c>
      <c r="X51" s="271">
        <f t="shared" si="54"/>
        <v>783822132</v>
      </c>
      <c r="Y51" s="270">
        <f>AGOSTO!AA51</f>
        <v>458709088</v>
      </c>
      <c r="Z51" s="208">
        <v>52818696</v>
      </c>
      <c r="AA51" s="271">
        <f t="shared" si="55"/>
        <v>511527784</v>
      </c>
      <c r="AB51" s="270">
        <f>AGOSTO!AD51</f>
        <v>458709088</v>
      </c>
      <c r="AC51" s="208">
        <v>52818696</v>
      </c>
      <c r="AD51" s="271">
        <f t="shared" si="56"/>
        <v>511527784</v>
      </c>
      <c r="AE51" s="270">
        <f>AGOSTO!AG51</f>
        <v>458709088</v>
      </c>
      <c r="AF51" s="208">
        <v>52818696</v>
      </c>
      <c r="AG51" s="271">
        <f t="shared" si="57"/>
        <v>511527784</v>
      </c>
      <c r="AH51" s="270">
        <f t="shared" si="58"/>
        <v>272294348</v>
      </c>
      <c r="AI51" s="220">
        <f t="shared" si="59"/>
        <v>272294348</v>
      </c>
      <c r="AJ51" s="269">
        <f t="shared" si="60"/>
        <v>272294348</v>
      </c>
      <c r="AK51" s="101"/>
      <c r="AL51" s="204"/>
      <c r="AM51" s="210">
        <v>0</v>
      </c>
    </row>
    <row r="52" spans="1:39" ht="24.75" customHeight="1">
      <c r="A52" s="202" t="str">
        <f>+IF(AGOSTO!A52=0,"",AGOSTO!A52)</f>
        <v>1.1.02.05.001.09.02.16</v>
      </c>
      <c r="B52" s="331" t="str">
        <f>+CONCATENATE("Vigencia ",INSTRUCCIONES!$F$3)</f>
        <v>Vigencia 2025</v>
      </c>
      <c r="C52" s="204">
        <f>+ENERO!C52</f>
        <v>168856</v>
      </c>
      <c r="D52" s="205">
        <f>AGOSTO!D52+SEPTIEMBRE!P52</f>
        <v>0</v>
      </c>
      <c r="E52" s="205">
        <f>AGOSTO!E52+SEPTIEMBRE!Q52</f>
        <v>0</v>
      </c>
      <c r="F52" s="205">
        <f>SUM(C52:E52)</f>
        <v>168856</v>
      </c>
      <c r="G52" s="205">
        <f>AGOSTO!I52</f>
        <v>27492607</v>
      </c>
      <c r="H52" s="208">
        <v>0</v>
      </c>
      <c r="I52" s="205">
        <f>SUM(G52:H52)</f>
        <v>27492607</v>
      </c>
      <c r="J52" s="205">
        <f>AGOSTO!L52</f>
        <v>0</v>
      </c>
      <c r="K52" s="208">
        <v>0</v>
      </c>
      <c r="L52" s="205">
        <f>SUM(J52:K52)</f>
        <v>0</v>
      </c>
      <c r="M52" s="205">
        <f>F52-I52</f>
        <v>-27323751</v>
      </c>
      <c r="N52" s="671">
        <f>F52-L52</f>
        <v>168856</v>
      </c>
      <c r="O52" s="67"/>
      <c r="P52" s="204">
        <v>0</v>
      </c>
      <c r="Q52" s="210">
        <v>0</v>
      </c>
      <c r="R52" s="101"/>
      <c r="S52" s="311" t="str">
        <f>+IF(AGOSTO!S52=0,"",AGOSTO!S52)</f>
        <v>2.1.1.01.02.003</v>
      </c>
      <c r="T52" s="312" t="str">
        <f>+IF(AGOSTO!T52=0,"",AGOSTO!T52)</f>
        <v>Aportes a Fondos de Cesantia - recursos propios</v>
      </c>
      <c r="U52" s="373">
        <f>+ENERO!U52</f>
        <v>609639436</v>
      </c>
      <c r="V52" s="220">
        <f>SUM(AGOSTO!V52+SEPTIEMBRE!AL52)</f>
        <v>-30000000</v>
      </c>
      <c r="W52" s="220">
        <f>AGOSTO!W52+SEPTIEMBRE!AM52</f>
        <v>0</v>
      </c>
      <c r="X52" s="271">
        <f t="shared" si="54"/>
        <v>579639436</v>
      </c>
      <c r="Y52" s="270">
        <f>AGOSTO!AA52</f>
        <v>80179039</v>
      </c>
      <c r="Z52" s="208">
        <v>14997882</v>
      </c>
      <c r="AA52" s="271">
        <f t="shared" si="55"/>
        <v>95176921</v>
      </c>
      <c r="AB52" s="270">
        <f>AGOSTO!AD52</f>
        <v>80179039</v>
      </c>
      <c r="AC52" s="208">
        <v>14997882</v>
      </c>
      <c r="AD52" s="271">
        <f t="shared" si="56"/>
        <v>95176921</v>
      </c>
      <c r="AE52" s="270">
        <f>AGOSTO!AG52</f>
        <v>75916197</v>
      </c>
      <c r="AF52" s="208">
        <v>4262841</v>
      </c>
      <c r="AG52" s="271">
        <f t="shared" si="57"/>
        <v>80179038</v>
      </c>
      <c r="AH52" s="270">
        <f t="shared" si="58"/>
        <v>484462515</v>
      </c>
      <c r="AI52" s="220">
        <f t="shared" si="59"/>
        <v>484462515</v>
      </c>
      <c r="AJ52" s="269">
        <f t="shared" si="60"/>
        <v>499460398</v>
      </c>
      <c r="AK52" s="101"/>
      <c r="AL52" s="204"/>
      <c r="AM52" s="210">
        <v>0</v>
      </c>
    </row>
    <row r="53" spans="1:39" ht="24.75" customHeight="1">
      <c r="A53" s="202" t="str">
        <f>+IF(AGOSTO!A53=0,"",AGOSTO!A53)</f>
        <v>1.1.02.05.001.09.02.16.99</v>
      </c>
      <c r="B53" s="331" t="str">
        <f>+IF(AGOSTO!B53=0,"",AGOSTO!B53)</f>
        <v>Vigencia Anterior</v>
      </c>
      <c r="C53" s="204">
        <f>+ENERO!C53</f>
        <v>0</v>
      </c>
      <c r="D53" s="205">
        <f>AGOSTO!D53+SEPTIEMBRE!P53</f>
        <v>0</v>
      </c>
      <c r="E53" s="205">
        <f>AGOSTO!E53+SEPTIEMBRE!Q53</f>
        <v>0</v>
      </c>
      <c r="F53" s="205">
        <f>SUM(C53:E53)</f>
        <v>0</v>
      </c>
      <c r="G53" s="205">
        <f>AGOSTO!I53</f>
        <v>0</v>
      </c>
      <c r="H53" s="208">
        <v>0</v>
      </c>
      <c r="I53" s="205">
        <f>SUM(G53:H53)</f>
        <v>0</v>
      </c>
      <c r="J53" s="205">
        <f>AGOSTO!L53</f>
        <v>0</v>
      </c>
      <c r="K53" s="208">
        <v>0</v>
      </c>
      <c r="L53" s="205">
        <f>SUM(J53:K53)</f>
        <v>0</v>
      </c>
      <c r="M53" s="205">
        <f>F53-I53</f>
        <v>0</v>
      </c>
      <c r="N53" s="671">
        <f>F53-L53</f>
        <v>0</v>
      </c>
      <c r="O53" s="67"/>
      <c r="P53" s="204">
        <v>0</v>
      </c>
      <c r="Q53" s="210">
        <v>0</v>
      </c>
      <c r="R53" s="101"/>
      <c r="S53" s="311" t="str">
        <f>+IF(AGOSTO!S53=0,"",AGOSTO!S53)</f>
        <v>2.1.1.01.02.005</v>
      </c>
      <c r="T53" s="312" t="str">
        <f>+IF(AGOSTO!T53=0,"",AGOSTO!T53)</f>
        <v>Aporte a ARL. - recursos propios</v>
      </c>
      <c r="U53" s="373">
        <f>+ENERO!U53</f>
        <v>159115892.79599997</v>
      </c>
      <c r="V53" s="220">
        <f>SUM(AGOSTO!V53+SEPTIEMBRE!AL53)</f>
        <v>0</v>
      </c>
      <c r="W53" s="220">
        <f>AGOSTO!W53+SEPTIEMBRE!AM53</f>
        <v>0</v>
      </c>
      <c r="X53" s="271">
        <f t="shared" si="54"/>
        <v>159115892.79599997</v>
      </c>
      <c r="Y53" s="270">
        <f>AGOSTO!AA53</f>
        <v>63630800</v>
      </c>
      <c r="Z53" s="208">
        <v>8069900</v>
      </c>
      <c r="AA53" s="271">
        <f t="shared" si="55"/>
        <v>71700700</v>
      </c>
      <c r="AB53" s="270">
        <f>AGOSTO!AD53</f>
        <v>63630800</v>
      </c>
      <c r="AC53" s="208">
        <v>8069900</v>
      </c>
      <c r="AD53" s="271">
        <f t="shared" si="56"/>
        <v>71700700</v>
      </c>
      <c r="AE53" s="270">
        <f>AGOSTO!AG53</f>
        <v>63630800</v>
      </c>
      <c r="AF53" s="208">
        <v>8069900</v>
      </c>
      <c r="AG53" s="271">
        <f t="shared" si="57"/>
        <v>71700700</v>
      </c>
      <c r="AH53" s="270">
        <f t="shared" si="58"/>
        <v>87415192.795999974</v>
      </c>
      <c r="AI53" s="220">
        <f t="shared" si="59"/>
        <v>87415192.795999974</v>
      </c>
      <c r="AJ53" s="269">
        <f t="shared" si="60"/>
        <v>87415192.795999974</v>
      </c>
      <c r="AK53" s="101"/>
      <c r="AL53" s="204"/>
      <c r="AM53" s="210">
        <v>0</v>
      </c>
    </row>
    <row r="54" spans="1:39" ht="24.75" customHeight="1">
      <c r="A54" s="286" t="str">
        <f>+IF(AGOSTO!A54=0,"",AGOSTO!A54)</f>
        <v>1.1.02.05.001.09.02.17</v>
      </c>
      <c r="B54" s="319" t="str">
        <f>+IF(AGOSTO!B54=0,"",AGOSTO!B54)</f>
        <v>EMPRESAS MEDICINA PREPAGADA</v>
      </c>
      <c r="C54" s="288">
        <f t="shared" ref="C54:N54" si="62">SUM(C55:C56)</f>
        <v>968592.84788797423</v>
      </c>
      <c r="D54" s="320">
        <f t="shared" si="62"/>
        <v>0</v>
      </c>
      <c r="E54" s="320">
        <f t="shared" si="62"/>
        <v>0</v>
      </c>
      <c r="F54" s="320">
        <f t="shared" si="62"/>
        <v>968592.84788797423</v>
      </c>
      <c r="G54" s="320">
        <f t="shared" si="62"/>
        <v>13073443</v>
      </c>
      <c r="H54" s="320">
        <f t="shared" si="62"/>
        <v>0</v>
      </c>
      <c r="I54" s="320">
        <f t="shared" si="62"/>
        <v>13073443</v>
      </c>
      <c r="J54" s="320">
        <f t="shared" si="62"/>
        <v>11142773</v>
      </c>
      <c r="K54" s="320">
        <f t="shared" si="62"/>
        <v>0</v>
      </c>
      <c r="L54" s="320">
        <f t="shared" si="62"/>
        <v>11142773</v>
      </c>
      <c r="M54" s="320">
        <f t="shared" si="62"/>
        <v>-12104850.152112026</v>
      </c>
      <c r="N54" s="661">
        <f t="shared" si="62"/>
        <v>-10174180.152112026</v>
      </c>
      <c r="O54" s="67"/>
      <c r="P54" s="288">
        <f>SUM(P55:P56)</f>
        <v>0</v>
      </c>
      <c r="Q54" s="289">
        <f>SUM(Q55:Q56)</f>
        <v>0</v>
      </c>
      <c r="R54" s="101"/>
      <c r="S54" s="311" t="str">
        <f>+IF(AGOSTO!S54=0,"",AGOSTO!S54)</f>
        <v>2.1.1.01.02.004</v>
      </c>
      <c r="T54" s="312" t="str">
        <f>+IF(AGOSTO!T54=0,"",AGOSTO!T54)</f>
        <v>Aporte a Caja Compensación Familiar</v>
      </c>
      <c r="U54" s="373">
        <f>+ENERO!U54</f>
        <v>261274044</v>
      </c>
      <c r="V54" s="220">
        <f>SUM(AGOSTO!V54+SEPTIEMBRE!AL54)</f>
        <v>0</v>
      </c>
      <c r="W54" s="220">
        <f>AGOSTO!W54+SEPTIEMBRE!AM54</f>
        <v>0</v>
      </c>
      <c r="X54" s="271">
        <f t="shared" si="54"/>
        <v>261274044</v>
      </c>
      <c r="Y54" s="270">
        <f>AGOSTO!AA54</f>
        <v>159142700</v>
      </c>
      <c r="Z54" s="208">
        <v>17297800</v>
      </c>
      <c r="AA54" s="271">
        <f t="shared" si="55"/>
        <v>176440500</v>
      </c>
      <c r="AB54" s="270">
        <f>AGOSTO!AD54</f>
        <v>159142700</v>
      </c>
      <c r="AC54" s="208">
        <v>17297800</v>
      </c>
      <c r="AD54" s="271">
        <f t="shared" si="56"/>
        <v>176440500</v>
      </c>
      <c r="AE54" s="270">
        <f>AGOSTO!AG54</f>
        <v>159142700</v>
      </c>
      <c r="AF54" s="208">
        <v>17297800</v>
      </c>
      <c r="AG54" s="271">
        <f t="shared" si="57"/>
        <v>176440500</v>
      </c>
      <c r="AH54" s="270">
        <f t="shared" si="58"/>
        <v>84833544</v>
      </c>
      <c r="AI54" s="220">
        <f t="shared" si="59"/>
        <v>84833544</v>
      </c>
      <c r="AJ54" s="269">
        <f t="shared" si="60"/>
        <v>84833544</v>
      </c>
      <c r="AK54" s="101"/>
      <c r="AL54" s="204"/>
      <c r="AM54" s="210">
        <v>0</v>
      </c>
    </row>
    <row r="55" spans="1:39" ht="24.75" customHeight="1">
      <c r="A55" s="202" t="str">
        <f>+IF(AGOSTO!A55=0,"",AGOSTO!A55)</f>
        <v>1.1.02.05.001.09.02.17</v>
      </c>
      <c r="B55" s="331" t="str">
        <f>+CONCATENATE("Vigencia ",INSTRUCCIONES!$F$3)</f>
        <v>Vigencia 2025</v>
      </c>
      <c r="C55" s="204">
        <f>+ENERO!C55</f>
        <v>968592.84788797423</v>
      </c>
      <c r="D55" s="205">
        <f>AGOSTO!D55+SEPTIEMBRE!P55</f>
        <v>0</v>
      </c>
      <c r="E55" s="205">
        <f>AGOSTO!E55+SEPTIEMBRE!Q55</f>
        <v>0</v>
      </c>
      <c r="F55" s="205">
        <f>SUM(C55:E55)</f>
        <v>968592.84788797423</v>
      </c>
      <c r="G55" s="205">
        <f>AGOSTO!I55</f>
        <v>2732534</v>
      </c>
      <c r="H55" s="208">
        <v>0</v>
      </c>
      <c r="I55" s="629">
        <f>SUM(G55:H55)</f>
        <v>2732534</v>
      </c>
      <c r="J55" s="205">
        <f>AGOSTO!L55</f>
        <v>801864</v>
      </c>
      <c r="K55" s="208">
        <v>0</v>
      </c>
      <c r="L55" s="320">
        <f>SUM(J55:K55)</f>
        <v>801864</v>
      </c>
      <c r="M55" s="205">
        <f>F55-I55</f>
        <v>-1763941.1521120258</v>
      </c>
      <c r="N55" s="671">
        <f>F55-L55</f>
        <v>166728.84788797423</v>
      </c>
      <c r="O55" s="67"/>
      <c r="P55" s="204">
        <v>0</v>
      </c>
      <c r="Q55" s="210">
        <v>0</v>
      </c>
      <c r="R55" s="101"/>
      <c r="S55" s="266" t="str">
        <f>+IF(AGOSTO!S55=0,"",AGOSTO!S55)</f>
        <v>2.1.1.01.02.003.99</v>
      </c>
      <c r="T55" s="267" t="str">
        <f>+IF(AGOSTO!T55=0,"",AGOSTO!T55)</f>
        <v>Vigencias Anteriores</v>
      </c>
      <c r="U55" s="373">
        <f>+ENERO!U55</f>
        <v>502141089.6665011</v>
      </c>
      <c r="V55" s="220">
        <f>SUM(AGOSTO!V55+SEPTIEMBRE!AL55)</f>
        <v>30000000</v>
      </c>
      <c r="W55" s="220">
        <f>AGOSTO!W55+SEPTIEMBRE!AM55</f>
        <v>0</v>
      </c>
      <c r="X55" s="271">
        <f t="shared" si="54"/>
        <v>532141089.6665011</v>
      </c>
      <c r="Y55" s="270">
        <f>AGOSTO!AA55</f>
        <v>524307634</v>
      </c>
      <c r="Z55" s="208">
        <v>0</v>
      </c>
      <c r="AA55" s="271">
        <f t="shared" si="55"/>
        <v>524307634</v>
      </c>
      <c r="AB55" s="270">
        <f>AGOSTO!AD55</f>
        <v>524307634</v>
      </c>
      <c r="AC55" s="208">
        <v>0</v>
      </c>
      <c r="AD55" s="271">
        <f t="shared" si="56"/>
        <v>524307634</v>
      </c>
      <c r="AE55" s="270">
        <f>AGOSTO!AG55</f>
        <v>524307634</v>
      </c>
      <c r="AF55" s="208">
        <v>0</v>
      </c>
      <c r="AG55" s="271">
        <f t="shared" si="57"/>
        <v>524307634</v>
      </c>
      <c r="AH55" s="270">
        <f t="shared" si="58"/>
        <v>7833455.6665011048</v>
      </c>
      <c r="AI55" s="220">
        <f t="shared" si="59"/>
        <v>7833455.6665011048</v>
      </c>
      <c r="AJ55" s="269">
        <f t="shared" si="60"/>
        <v>7833455.6665011048</v>
      </c>
      <c r="AK55" s="101"/>
      <c r="AL55" s="204">
        <v>0</v>
      </c>
      <c r="AM55" s="210">
        <v>0</v>
      </c>
    </row>
    <row r="56" spans="1:39" ht="24.75" customHeight="1">
      <c r="A56" s="202" t="str">
        <f>+IF(AGOSTO!A56=0,"",AGOSTO!A56)</f>
        <v>1.1.02.05.001.09.02.17.99</v>
      </c>
      <c r="B56" s="331" t="str">
        <f>+IF(AGOSTO!B56=0,"",AGOSTO!B56)</f>
        <v>Vigencia Anterior</v>
      </c>
      <c r="C56" s="204">
        <f>+ENERO!C56</f>
        <v>0</v>
      </c>
      <c r="D56" s="205">
        <f>AGOSTO!D56+SEPTIEMBRE!P56</f>
        <v>0</v>
      </c>
      <c r="E56" s="205">
        <f>AGOSTO!E56+SEPTIEMBRE!Q56</f>
        <v>0</v>
      </c>
      <c r="F56" s="205">
        <f>SUM(C56:E56)</f>
        <v>0</v>
      </c>
      <c r="G56" s="205">
        <f>AGOSTO!I56</f>
        <v>10340909</v>
      </c>
      <c r="H56" s="208">
        <v>0</v>
      </c>
      <c r="I56" s="205">
        <f>SUM(G56:H56)</f>
        <v>10340909</v>
      </c>
      <c r="J56" s="205">
        <f>AGOSTO!L56</f>
        <v>10340909</v>
      </c>
      <c r="K56" s="208">
        <v>0</v>
      </c>
      <c r="L56" s="205">
        <f>SUM(J56:K56)</f>
        <v>10340909</v>
      </c>
      <c r="M56" s="205">
        <f>F56-I56</f>
        <v>-10340909</v>
      </c>
      <c r="N56" s="671">
        <f>F56-L56</f>
        <v>-10340909</v>
      </c>
      <c r="O56" s="67"/>
      <c r="P56" s="204">
        <v>0</v>
      </c>
      <c r="Q56" s="210">
        <v>0</v>
      </c>
      <c r="R56" s="101"/>
      <c r="S56" s="189">
        <f>+IF(AGOSTO!S56=0,"",AGOSTO!S56)</f>
        <v>10340904</v>
      </c>
      <c r="T56" s="488" t="str">
        <f>+IF(AGOSTO!T56=0,"",AGOSTO!T56)</f>
        <v/>
      </c>
      <c r="U56" s="191"/>
      <c r="V56" s="191"/>
      <c r="W56" s="191"/>
      <c r="X56" s="191"/>
      <c r="Y56" s="191"/>
      <c r="Z56" s="191"/>
      <c r="AA56" s="191"/>
      <c r="AB56" s="191"/>
      <c r="AC56" s="191"/>
      <c r="AD56" s="191"/>
      <c r="AE56" s="191"/>
      <c r="AF56" s="191"/>
      <c r="AG56" s="191"/>
      <c r="AH56" s="191"/>
      <c r="AI56" s="191"/>
      <c r="AJ56" s="192"/>
      <c r="AK56" s="216"/>
      <c r="AL56" s="370"/>
      <c r="AM56" s="371"/>
    </row>
    <row r="57" spans="1:39" ht="24.75" customHeight="1">
      <c r="A57" s="286" t="str">
        <f>+IF(AGOSTO!A57=0,"",AGOSTO!A57)</f>
        <v>1.1.02.05.001.09.02.09</v>
      </c>
      <c r="B57" s="319" t="str">
        <f>+IF(AGOSTO!B57=0,"",AGOSTO!B57)</f>
        <v>IPS PRIVADAS</v>
      </c>
      <c r="C57" s="288">
        <f t="shared" ref="C57:N57" si="63">SUM(C58:C59)</f>
        <v>8042608</v>
      </c>
      <c r="D57" s="320">
        <f t="shared" si="63"/>
        <v>0</v>
      </c>
      <c r="E57" s="320">
        <f t="shared" si="63"/>
        <v>0</v>
      </c>
      <c r="F57" s="320">
        <f t="shared" si="63"/>
        <v>8042608</v>
      </c>
      <c r="G57" s="320">
        <f t="shared" si="63"/>
        <v>0</v>
      </c>
      <c r="H57" s="320">
        <f t="shared" si="63"/>
        <v>0</v>
      </c>
      <c r="I57" s="320">
        <f t="shared" si="63"/>
        <v>0</v>
      </c>
      <c r="J57" s="320">
        <f t="shared" si="63"/>
        <v>0</v>
      </c>
      <c r="K57" s="320">
        <f t="shared" si="63"/>
        <v>0</v>
      </c>
      <c r="L57" s="320">
        <f t="shared" si="63"/>
        <v>0</v>
      </c>
      <c r="M57" s="320">
        <f t="shared" si="63"/>
        <v>8042608</v>
      </c>
      <c r="N57" s="661">
        <f t="shared" si="63"/>
        <v>8042608</v>
      </c>
      <c r="O57" s="67"/>
      <c r="P57" s="288">
        <f>SUM(P58:P59)</f>
        <v>0</v>
      </c>
      <c r="Q57" s="289">
        <f>SUM(Q58:Q59)</f>
        <v>0</v>
      </c>
      <c r="R57" s="101"/>
      <c r="S57" s="257">
        <f>+IF(AGOSTO!S57=0,"",AGOSTO!S57)</f>
        <v>1010400</v>
      </c>
      <c r="T57" s="546" t="str">
        <f>+IF(AGOSTO!T57=0,"",AGOSTO!T57)</f>
        <v>Contribuciones Inherentes nómina del Sector Publico</v>
      </c>
      <c r="U57" s="230">
        <f>U58+U61</f>
        <v>326592555</v>
      </c>
      <c r="V57" s="231">
        <f>V58+V61</f>
        <v>0</v>
      </c>
      <c r="W57" s="231">
        <f>W58+W61</f>
        <v>0</v>
      </c>
      <c r="X57" s="234">
        <f>X58+X61</f>
        <v>326592555</v>
      </c>
      <c r="Y57" s="233">
        <f t="shared" ref="Y57:AJ57" si="64">Y58+Y61</f>
        <v>198973700</v>
      </c>
      <c r="Z57" s="231">
        <f t="shared" si="64"/>
        <v>21627900</v>
      </c>
      <c r="AA57" s="234">
        <f t="shared" si="64"/>
        <v>220601600</v>
      </c>
      <c r="AB57" s="233">
        <f t="shared" si="64"/>
        <v>198973700</v>
      </c>
      <c r="AC57" s="231">
        <f t="shared" si="64"/>
        <v>21627900</v>
      </c>
      <c r="AD57" s="234">
        <f t="shared" si="64"/>
        <v>220601600</v>
      </c>
      <c r="AE57" s="233">
        <f t="shared" si="64"/>
        <v>198973700</v>
      </c>
      <c r="AF57" s="231">
        <f t="shared" si="64"/>
        <v>21627900</v>
      </c>
      <c r="AG57" s="234">
        <f t="shared" si="64"/>
        <v>220601600</v>
      </c>
      <c r="AH57" s="233">
        <f t="shared" si="64"/>
        <v>105990955</v>
      </c>
      <c r="AI57" s="231">
        <f t="shared" si="64"/>
        <v>105990955</v>
      </c>
      <c r="AJ57" s="232">
        <f t="shared" si="64"/>
        <v>105990955</v>
      </c>
      <c r="AK57" s="101"/>
      <c r="AL57" s="233">
        <f>AL58+AL61</f>
        <v>0</v>
      </c>
      <c r="AM57" s="232">
        <f>AM58+AM61</f>
        <v>0</v>
      </c>
    </row>
    <row r="58" spans="1:39" ht="24.75" customHeight="1">
      <c r="A58" s="202" t="str">
        <f>+IF(AGOSTO!A58=0,"",AGOSTO!A58)</f>
        <v>1.1.02.05.001.09.02.09</v>
      </c>
      <c r="B58" s="331" t="str">
        <f>+CONCATENATE("Vigencia ",INSTRUCCIONES!$F$3)</f>
        <v>Vigencia 2025</v>
      </c>
      <c r="C58" s="204">
        <f>+ENERO!C58</f>
        <v>8042608</v>
      </c>
      <c r="D58" s="205">
        <f>AGOSTO!D58+SEPTIEMBRE!P58</f>
        <v>0</v>
      </c>
      <c r="E58" s="205">
        <f>AGOSTO!E58+SEPTIEMBRE!Q58</f>
        <v>0</v>
      </c>
      <c r="F58" s="205">
        <f>SUM(C58:E58)</f>
        <v>8042608</v>
      </c>
      <c r="G58" s="205">
        <f>AGOSTO!I58</f>
        <v>0</v>
      </c>
      <c r="H58" s="208"/>
      <c r="I58" s="205">
        <f>SUM(G58:H58)</f>
        <v>0</v>
      </c>
      <c r="J58" s="205">
        <f>AGOSTO!L58</f>
        <v>0</v>
      </c>
      <c r="K58" s="208">
        <v>0</v>
      </c>
      <c r="L58" s="205">
        <f>SUM(J58:K58)</f>
        <v>0</v>
      </c>
      <c r="M58" s="205">
        <f>F58-I58</f>
        <v>8042608</v>
      </c>
      <c r="N58" s="671">
        <f>F58-L58</f>
        <v>8042608</v>
      </c>
      <c r="O58" s="67"/>
      <c r="P58" s="204">
        <v>0</v>
      </c>
      <c r="Q58" s="210">
        <v>0</v>
      </c>
      <c r="R58" s="101"/>
      <c r="S58" s="266">
        <f>+IF(AGOSTO!S58=0,"",AGOSTO!S58)</f>
        <v>1010402</v>
      </c>
      <c r="T58" s="267" t="str">
        <f>+IF(AGOSTO!T58=0,"",AGOSTO!T58)</f>
        <v>Contribuciones - Otros</v>
      </c>
      <c r="U58" s="373">
        <f>SUM(U59:U60)</f>
        <v>326592555</v>
      </c>
      <c r="V58" s="220">
        <f>SUM(V59:V60)</f>
        <v>0</v>
      </c>
      <c r="W58" s="220">
        <f>SUM(W59:W60)</f>
        <v>0</v>
      </c>
      <c r="X58" s="271">
        <f>SUM(X59:X60)</f>
        <v>326592555</v>
      </c>
      <c r="Y58" s="270">
        <f t="shared" ref="Y58:AJ58" si="65">SUM(Y59:Y60)</f>
        <v>198973700</v>
      </c>
      <c r="Z58" s="300">
        <f t="shared" si="65"/>
        <v>21627900</v>
      </c>
      <c r="AA58" s="271">
        <f t="shared" si="65"/>
        <v>220601600</v>
      </c>
      <c r="AB58" s="270">
        <f t="shared" si="65"/>
        <v>198973700</v>
      </c>
      <c r="AC58" s="300">
        <f t="shared" si="65"/>
        <v>21627900</v>
      </c>
      <c r="AD58" s="271">
        <f t="shared" si="65"/>
        <v>220601600</v>
      </c>
      <c r="AE58" s="270">
        <f t="shared" si="65"/>
        <v>198973700</v>
      </c>
      <c r="AF58" s="300">
        <f t="shared" si="65"/>
        <v>21627900</v>
      </c>
      <c r="AG58" s="271">
        <f t="shared" si="65"/>
        <v>220601600</v>
      </c>
      <c r="AH58" s="270">
        <f t="shared" si="65"/>
        <v>105990955</v>
      </c>
      <c r="AI58" s="220">
        <f t="shared" si="65"/>
        <v>105990955</v>
      </c>
      <c r="AJ58" s="269">
        <f t="shared" si="65"/>
        <v>105990955</v>
      </c>
      <c r="AK58" s="101"/>
      <c r="AL58" s="301">
        <f>SUM(AL59:AL60)</f>
        <v>0</v>
      </c>
      <c r="AM58" s="302">
        <f>SUM(AM59:AM60)</f>
        <v>0</v>
      </c>
    </row>
    <row r="59" spans="1:39" ht="24.75" customHeight="1">
      <c r="A59" s="202" t="str">
        <f>+IF(AGOSTO!A59=0,"",AGOSTO!A59)</f>
        <v>1.1.02.05.001.09.02.09.99</v>
      </c>
      <c r="B59" s="331" t="str">
        <f>+IF(AGOSTO!B59=0,"",AGOSTO!B59)</f>
        <v>Vigencia Anterior</v>
      </c>
      <c r="C59" s="204">
        <f>+ENERO!C59</f>
        <v>0</v>
      </c>
      <c r="D59" s="205">
        <f>AGOSTO!D59+SEPTIEMBRE!P59</f>
        <v>0</v>
      </c>
      <c r="E59" s="205">
        <f>AGOSTO!E59+SEPTIEMBRE!Q59</f>
        <v>0</v>
      </c>
      <c r="F59" s="205">
        <f>SUM(C59:E59)</f>
        <v>0</v>
      </c>
      <c r="G59" s="205">
        <f>AGOSTO!I59</f>
        <v>0</v>
      </c>
      <c r="H59" s="208"/>
      <c r="I59" s="205">
        <f>SUM(G59:H59)</f>
        <v>0</v>
      </c>
      <c r="J59" s="205">
        <f>AGOSTO!L59</f>
        <v>0</v>
      </c>
      <c r="K59" s="208">
        <v>0</v>
      </c>
      <c r="L59" s="205">
        <f>SUM(J59:K59)</f>
        <v>0</v>
      </c>
      <c r="M59" s="205">
        <f>F59-I59</f>
        <v>0</v>
      </c>
      <c r="N59" s="671">
        <f>F59-L59</f>
        <v>0</v>
      </c>
      <c r="O59" s="67"/>
      <c r="P59" s="204">
        <v>0</v>
      </c>
      <c r="Q59" s="210">
        <v>0</v>
      </c>
      <c r="R59" s="101"/>
      <c r="S59" s="311" t="str">
        <f>+IF(AGOSTO!S59=0,"",AGOSTO!S59)</f>
        <v>2.1.1.01.02.006</v>
      </c>
      <c r="T59" s="312" t="str">
        <f>+IF(AGOSTO!T59=0,"",AGOSTO!T59)</f>
        <v>I.C.B.F.</v>
      </c>
      <c r="U59" s="373">
        <f>+ENERO!U59</f>
        <v>195955533</v>
      </c>
      <c r="V59" s="220">
        <f>SUM(AGOSTO!V59+SEPTIEMBRE!AL59)</f>
        <v>0</v>
      </c>
      <c r="W59" s="220">
        <f>AGOSTO!W59+SEPTIEMBRE!AM59</f>
        <v>0</v>
      </c>
      <c r="X59" s="271">
        <f>SUM(U59:W59)</f>
        <v>195955533</v>
      </c>
      <c r="Y59" s="270">
        <f>AGOSTO!AA59</f>
        <v>119371400</v>
      </c>
      <c r="Z59" s="208">
        <v>12975500</v>
      </c>
      <c r="AA59" s="271">
        <f>SUM(Y59:Z59)</f>
        <v>132346900</v>
      </c>
      <c r="AB59" s="270">
        <f>AGOSTO!AD59</f>
        <v>119371400</v>
      </c>
      <c r="AC59" s="208">
        <v>12975500</v>
      </c>
      <c r="AD59" s="271">
        <f>SUM(AB59:AC59)</f>
        <v>132346900</v>
      </c>
      <c r="AE59" s="270">
        <f>AGOSTO!AG59</f>
        <v>119371400</v>
      </c>
      <c r="AF59" s="208">
        <v>12975500</v>
      </c>
      <c r="AG59" s="271">
        <f>SUM(AE59:AF59)</f>
        <v>132346900</v>
      </c>
      <c r="AH59" s="270">
        <f>X59-AA59</f>
        <v>63608633</v>
      </c>
      <c r="AI59" s="220">
        <f>X59-AD59</f>
        <v>63608633</v>
      </c>
      <c r="AJ59" s="269">
        <f>X59-AG59</f>
        <v>63608633</v>
      </c>
      <c r="AK59" s="101"/>
      <c r="AL59" s="204">
        <v>0</v>
      </c>
      <c r="AM59" s="210">
        <v>0</v>
      </c>
    </row>
    <row r="60" spans="1:39" ht="24.75" customHeight="1">
      <c r="A60" s="286" t="str">
        <f>+IF(AGOSTO!A60=0,"",AGOSTO!A60)</f>
        <v>1.1.02.05.001.09.02.10</v>
      </c>
      <c r="B60" s="319" t="str">
        <f>+IF(AGOSTO!B60=0,"",AGOSTO!B60)</f>
        <v>IPS PUBLICAS</v>
      </c>
      <c r="C60" s="288">
        <f t="shared" ref="C60:N60" si="66">SUM(C61:C62)</f>
        <v>46623238</v>
      </c>
      <c r="D60" s="320">
        <f t="shared" si="66"/>
        <v>0</v>
      </c>
      <c r="E60" s="320">
        <f t="shared" si="66"/>
        <v>0</v>
      </c>
      <c r="F60" s="320">
        <f t="shared" si="66"/>
        <v>46623238</v>
      </c>
      <c r="G60" s="320">
        <f t="shared" si="66"/>
        <v>50864589</v>
      </c>
      <c r="H60" s="320">
        <f t="shared" si="66"/>
        <v>20859296</v>
      </c>
      <c r="I60" s="320">
        <f t="shared" si="66"/>
        <v>71723885</v>
      </c>
      <c r="J60" s="320">
        <f t="shared" si="66"/>
        <v>11194477</v>
      </c>
      <c r="K60" s="320">
        <f t="shared" si="66"/>
        <v>2007497</v>
      </c>
      <c r="L60" s="320">
        <f t="shared" si="66"/>
        <v>13201974</v>
      </c>
      <c r="M60" s="320">
        <f t="shared" si="66"/>
        <v>-25100647</v>
      </c>
      <c r="N60" s="661">
        <f t="shared" si="66"/>
        <v>33421264</v>
      </c>
      <c r="O60" s="67"/>
      <c r="P60" s="288">
        <f>SUM(P61:P62)</f>
        <v>0</v>
      </c>
      <c r="Q60" s="289">
        <f>SUM(Q61:Q62)</f>
        <v>0</v>
      </c>
      <c r="R60" s="101"/>
      <c r="S60" s="311" t="str">
        <f>+IF(AGOSTO!S60=0,"",AGOSTO!S60)</f>
        <v>2.1.1.01.02.007</v>
      </c>
      <c r="T60" s="312" t="str">
        <f>+IF(AGOSTO!T60=0,"",AGOSTO!T60)</f>
        <v>SENA</v>
      </c>
      <c r="U60" s="373">
        <f>+ENERO!U60</f>
        <v>130637022</v>
      </c>
      <c r="V60" s="220">
        <f>SUM(AGOSTO!V60+SEPTIEMBRE!AL60)</f>
        <v>0</v>
      </c>
      <c r="W60" s="220">
        <f>AGOSTO!W60+SEPTIEMBRE!AM60</f>
        <v>0</v>
      </c>
      <c r="X60" s="271">
        <f>SUM(U60:W60)</f>
        <v>130637022</v>
      </c>
      <c r="Y60" s="270">
        <f>AGOSTO!AA60</f>
        <v>79602300</v>
      </c>
      <c r="Z60" s="208">
        <v>8652400</v>
      </c>
      <c r="AA60" s="271">
        <f>SUM(Y60:Z60)</f>
        <v>88254700</v>
      </c>
      <c r="AB60" s="270">
        <f>AGOSTO!AD60</f>
        <v>79602300</v>
      </c>
      <c r="AC60" s="208">
        <v>8652400</v>
      </c>
      <c r="AD60" s="271">
        <f>SUM(AB60:AC60)</f>
        <v>88254700</v>
      </c>
      <c r="AE60" s="270">
        <f>AGOSTO!AG60</f>
        <v>79602300</v>
      </c>
      <c r="AF60" s="208">
        <v>8652400</v>
      </c>
      <c r="AG60" s="271">
        <f>SUM(AE60:AF60)</f>
        <v>88254700</v>
      </c>
      <c r="AH60" s="270">
        <f>X60-AA60</f>
        <v>42382322</v>
      </c>
      <c r="AI60" s="220">
        <f>X60-AD60</f>
        <v>42382322</v>
      </c>
      <c r="AJ60" s="269">
        <f>X60-AG60</f>
        <v>42382322</v>
      </c>
      <c r="AK60" s="101"/>
      <c r="AL60" s="204">
        <v>0</v>
      </c>
      <c r="AM60" s="210">
        <v>0</v>
      </c>
    </row>
    <row r="61" spans="1:39" ht="24.75" customHeight="1">
      <c r="A61" s="202" t="str">
        <f>+IF(AGOSTO!A61=0,"",AGOSTO!A61)</f>
        <v>1.1.02.05.001.09.02.10</v>
      </c>
      <c r="B61" s="331" t="str">
        <f>+CONCATENATE("Vigencia ",INSTRUCCIONES!$F$3)</f>
        <v>Vigencia 2025</v>
      </c>
      <c r="C61" s="204">
        <f>+ENERO!C61</f>
        <v>46623238</v>
      </c>
      <c r="D61" s="205">
        <f>AGOSTO!D61+SEPTIEMBRE!P61</f>
        <v>0</v>
      </c>
      <c r="E61" s="205">
        <f>AGOSTO!E61+SEPTIEMBRE!Q61</f>
        <v>0</v>
      </c>
      <c r="F61" s="205">
        <f>SUM(C61:E61)</f>
        <v>46623238</v>
      </c>
      <c r="G61" s="205">
        <f>AGOSTO!I61</f>
        <v>40721728</v>
      </c>
      <c r="H61" s="208">
        <v>20859296</v>
      </c>
      <c r="I61" s="205">
        <f>SUM(G61:H61)</f>
        <v>61581024</v>
      </c>
      <c r="J61" s="205">
        <f>AGOSTO!L61</f>
        <v>1051616</v>
      </c>
      <c r="K61" s="208">
        <v>2007497</v>
      </c>
      <c r="L61" s="205">
        <f>SUM(J61:K61)</f>
        <v>3059113</v>
      </c>
      <c r="M61" s="205">
        <f>F61-I61</f>
        <v>-14957786</v>
      </c>
      <c r="N61" s="671">
        <f>F61-L61</f>
        <v>43564125</v>
      </c>
      <c r="O61" s="67"/>
      <c r="P61" s="204">
        <v>0</v>
      </c>
      <c r="Q61" s="210">
        <v>0</v>
      </c>
      <c r="R61" s="101"/>
      <c r="S61" s="266">
        <f>+IF(AGOSTO!S61=0,"",AGOSTO!S61)</f>
        <v>1010499</v>
      </c>
      <c r="T61" s="267" t="str">
        <f>+IF(AGOSTO!T61=0,"",AGOSTO!T61)</f>
        <v>Vigencias Anteriores</v>
      </c>
      <c r="U61" s="373">
        <f>+ENERO!U61</f>
        <v>0</v>
      </c>
      <c r="V61" s="220">
        <f>SUM(AGOSTO!V61+SEPTIEMBRE!AL61)</f>
        <v>0</v>
      </c>
      <c r="W61" s="220">
        <f>AGOSTO!W61+SEPTIEMBRE!AM61</f>
        <v>0</v>
      </c>
      <c r="X61" s="271">
        <f>SUM(U61:W61)</f>
        <v>0</v>
      </c>
      <c r="Y61" s="270">
        <f>AGOSTO!AA61</f>
        <v>0</v>
      </c>
      <c r="Z61" s="208">
        <v>0</v>
      </c>
      <c r="AA61" s="271">
        <f>SUM(Y61:Z61)</f>
        <v>0</v>
      </c>
      <c r="AB61" s="270">
        <f>AGOSTO!AD61</f>
        <v>0</v>
      </c>
      <c r="AC61" s="208">
        <v>0</v>
      </c>
      <c r="AD61" s="271">
        <f>SUM(AB61:AC61)</f>
        <v>0</v>
      </c>
      <c r="AE61" s="270">
        <f>AGOSTO!AG61</f>
        <v>0</v>
      </c>
      <c r="AF61" s="208">
        <v>0</v>
      </c>
      <c r="AG61" s="271">
        <f>SUM(AE61:AF61)</f>
        <v>0</v>
      </c>
      <c r="AH61" s="270">
        <f>X61-AA61</f>
        <v>0</v>
      </c>
      <c r="AI61" s="220">
        <f>X61-AD61</f>
        <v>0</v>
      </c>
      <c r="AJ61" s="269">
        <f>X61-AG61</f>
        <v>0</v>
      </c>
      <c r="AK61" s="101"/>
      <c r="AL61" s="204">
        <v>0</v>
      </c>
      <c r="AM61" s="210">
        <v>0</v>
      </c>
    </row>
    <row r="62" spans="1:39" ht="24.75" customHeight="1">
      <c r="A62" s="202" t="str">
        <f>+IF(AGOSTO!A62=0,"",AGOSTO!A62)</f>
        <v>1.1.02.05.001.09.02.10.99</v>
      </c>
      <c r="B62" s="331" t="str">
        <f>+IF(AGOSTO!B62=0,"",AGOSTO!B62)</f>
        <v>Vigencia Anterior</v>
      </c>
      <c r="C62" s="204">
        <f>+ENERO!C62</f>
        <v>0</v>
      </c>
      <c r="D62" s="205">
        <f>AGOSTO!D62+SEPTIEMBRE!P62</f>
        <v>0</v>
      </c>
      <c r="E62" s="205">
        <f>AGOSTO!E62+SEPTIEMBRE!Q62</f>
        <v>0</v>
      </c>
      <c r="F62" s="205">
        <f>SUM(C62:E62)</f>
        <v>0</v>
      </c>
      <c r="G62" s="205">
        <f>AGOSTO!I62</f>
        <v>10142861</v>
      </c>
      <c r="H62" s="208">
        <v>0</v>
      </c>
      <c r="I62" s="205">
        <f>SUM(G62:H62)</f>
        <v>10142861</v>
      </c>
      <c r="J62" s="205">
        <f>AGOSTO!L62</f>
        <v>10142861</v>
      </c>
      <c r="K62" s="208">
        <v>0</v>
      </c>
      <c r="L62" s="205">
        <f>SUM(J62:K62)</f>
        <v>10142861</v>
      </c>
      <c r="M62" s="205">
        <f>F62-I62</f>
        <v>-10142861</v>
      </c>
      <c r="N62" s="671">
        <f>F62-L62</f>
        <v>-10142861</v>
      </c>
      <c r="O62" s="67"/>
      <c r="P62" s="204">
        <v>0</v>
      </c>
      <c r="Q62" s="210">
        <v>0</v>
      </c>
      <c r="R62" s="101"/>
      <c r="S62" s="189">
        <f>+IF(AGOSTO!S62=0,"",AGOSTO!S62)</f>
        <v>1174808</v>
      </c>
      <c r="T62" s="488" t="str">
        <f>+IF(AGOSTO!T62=0,"",AGOSTO!T62)</f>
        <v/>
      </c>
      <c r="U62" s="191"/>
      <c r="V62" s="191"/>
      <c r="W62" s="191"/>
      <c r="X62" s="191"/>
      <c r="Y62" s="191"/>
      <c r="Z62" s="191"/>
      <c r="AA62" s="191"/>
      <c r="AB62" s="191"/>
      <c r="AC62" s="191"/>
      <c r="AD62" s="191"/>
      <c r="AE62" s="191"/>
      <c r="AF62" s="191"/>
      <c r="AG62" s="191"/>
      <c r="AH62" s="191"/>
      <c r="AI62" s="191"/>
      <c r="AJ62" s="192"/>
      <c r="AK62" s="216"/>
      <c r="AL62" s="370"/>
      <c r="AM62" s="371"/>
    </row>
    <row r="63" spans="1:39" ht="24.75" customHeight="1">
      <c r="A63" s="286" t="str">
        <f>+IF(AGOSTO!A63=0,"",AGOSTO!A63)</f>
        <v>1.1.02.05.001.09.02.90.01</v>
      </c>
      <c r="B63" s="319" t="str">
        <f>+IF(AGOSTO!B63=0,"",AGOSTO!B63)</f>
        <v>COMPAÑIAS DE SEGUROS  - ACCIDENTES DE TRANSITO (SOAT)</v>
      </c>
      <c r="C63" s="288">
        <f t="shared" ref="C63:N63" si="67">SUM(C64:C65)</f>
        <v>2461795617.04175</v>
      </c>
      <c r="D63" s="320">
        <f t="shared" si="67"/>
        <v>0</v>
      </c>
      <c r="E63" s="320">
        <f t="shared" si="67"/>
        <v>0</v>
      </c>
      <c r="F63" s="320">
        <f t="shared" si="67"/>
        <v>2461795617.04175</v>
      </c>
      <c r="G63" s="320">
        <f t="shared" si="67"/>
        <v>1514797713</v>
      </c>
      <c r="H63" s="320">
        <f t="shared" si="67"/>
        <v>194300170</v>
      </c>
      <c r="I63" s="320">
        <f t="shared" si="67"/>
        <v>1709097883</v>
      </c>
      <c r="J63" s="320">
        <f t="shared" si="67"/>
        <v>852766312</v>
      </c>
      <c r="K63" s="320">
        <f t="shared" si="67"/>
        <v>222186854</v>
      </c>
      <c r="L63" s="320">
        <f t="shared" si="67"/>
        <v>1074953166</v>
      </c>
      <c r="M63" s="320">
        <f t="shared" si="67"/>
        <v>752697734.04174984</v>
      </c>
      <c r="N63" s="661">
        <f t="shared" si="67"/>
        <v>1386842451.04175</v>
      </c>
      <c r="O63" s="67"/>
      <c r="P63" s="288">
        <f>SUM(P64:P65)</f>
        <v>0</v>
      </c>
      <c r="Q63" s="289">
        <f>SUM(Q64:Q65)</f>
        <v>0</v>
      </c>
      <c r="R63" s="101"/>
      <c r="S63" s="228">
        <f>+IF(AGOSTO!S63=0,"",AGOSTO!S63)</f>
        <v>1020010</v>
      </c>
      <c r="T63" s="229" t="str">
        <f>+IF(AGOSTO!T63=0,"",AGOSTO!T63)</f>
        <v>Gastos de Operación</v>
      </c>
      <c r="U63" s="230">
        <f t="shared" ref="U63:AJ63" si="68">U65+U83+U90+U104</f>
        <v>64518803470</v>
      </c>
      <c r="V63" s="231">
        <f t="shared" si="68"/>
        <v>-3473000000</v>
      </c>
      <c r="W63" s="231">
        <f t="shared" si="68"/>
        <v>7490635160</v>
      </c>
      <c r="X63" s="234">
        <f t="shared" si="68"/>
        <v>68536438630</v>
      </c>
      <c r="Y63" s="233">
        <f t="shared" si="68"/>
        <v>62422527971</v>
      </c>
      <c r="Z63" s="231">
        <f t="shared" si="68"/>
        <v>14000000</v>
      </c>
      <c r="AA63" s="234">
        <f t="shared" si="68"/>
        <v>62436527971</v>
      </c>
      <c r="AB63" s="233">
        <f t="shared" si="68"/>
        <v>51234898679</v>
      </c>
      <c r="AC63" s="231">
        <f t="shared" si="68"/>
        <v>4661629839</v>
      </c>
      <c r="AD63" s="234">
        <f t="shared" si="68"/>
        <v>55896528518</v>
      </c>
      <c r="AE63" s="233">
        <f t="shared" si="68"/>
        <v>36510727047</v>
      </c>
      <c r="AF63" s="231">
        <f t="shared" si="68"/>
        <v>5051591850</v>
      </c>
      <c r="AG63" s="234">
        <f t="shared" si="68"/>
        <v>41562318897</v>
      </c>
      <c r="AH63" s="233">
        <f t="shared" si="68"/>
        <v>6099910659</v>
      </c>
      <c r="AI63" s="231">
        <f t="shared" si="68"/>
        <v>12639910112</v>
      </c>
      <c r="AJ63" s="232">
        <f t="shared" si="68"/>
        <v>26974119733</v>
      </c>
      <c r="AK63" s="101"/>
      <c r="AL63" s="233">
        <f>AL65+AL83+AL90+AL104</f>
        <v>-950000000</v>
      </c>
      <c r="AM63" s="232">
        <f>AM65+AM83+AM90+AM104</f>
        <v>0</v>
      </c>
    </row>
    <row r="64" spans="1:39" ht="24.75" customHeight="1">
      <c r="A64" s="202" t="str">
        <f>+IF(AGOSTO!A64=0,"",AGOSTO!A64)</f>
        <v>1.1.02.05.001.09.02.90.01</v>
      </c>
      <c r="B64" s="331" t="str">
        <f>+CONCATENATE("Vigencia ",INSTRUCCIONES!$F$3)</f>
        <v>Vigencia 2025</v>
      </c>
      <c r="C64" s="204">
        <f>+ENERO!C64</f>
        <v>2137731076.9417498</v>
      </c>
      <c r="D64" s="205">
        <f>AGOSTO!D64+SEPTIEMBRE!P64</f>
        <v>0</v>
      </c>
      <c r="E64" s="205">
        <f>AGOSTO!E64+SEPTIEMBRE!Q64</f>
        <v>0</v>
      </c>
      <c r="F64" s="205">
        <f>SUM(C64:E64)</f>
        <v>2137731076.9417498</v>
      </c>
      <c r="G64" s="205">
        <f>AGOSTO!I64</f>
        <v>1186105980</v>
      </c>
      <c r="H64" s="208">
        <v>136304774</v>
      </c>
      <c r="I64" s="205">
        <f>SUM(G64:H64)</f>
        <v>1322410754</v>
      </c>
      <c r="J64" s="205">
        <f>AGOSTO!L64</f>
        <v>524074579</v>
      </c>
      <c r="K64" s="208">
        <v>164191458</v>
      </c>
      <c r="L64" s="205">
        <f>SUM(J64:K64)</f>
        <v>688266037</v>
      </c>
      <c r="M64" s="205">
        <f>F64-I64</f>
        <v>815320322.94174981</v>
      </c>
      <c r="N64" s="671">
        <f>F64-L64</f>
        <v>1449465039.9417498</v>
      </c>
      <c r="O64" s="67"/>
      <c r="P64" s="204">
        <v>0</v>
      </c>
      <c r="Q64" s="210">
        <v>0</v>
      </c>
      <c r="R64" s="101"/>
      <c r="S64" s="189">
        <f>+IF(AGOSTO!S64=0,"",AGOSTO!S64)</f>
        <v>2290826</v>
      </c>
      <c r="T64" s="488" t="str">
        <f>+IF(AGOSTO!T64=0,"",AGOSTO!T64)</f>
        <v/>
      </c>
      <c r="U64" s="191"/>
      <c r="V64" s="191"/>
      <c r="W64" s="191"/>
      <c r="X64" s="191"/>
      <c r="Y64" s="191"/>
      <c r="Z64" s="191"/>
      <c r="AA64" s="191"/>
      <c r="AB64" s="191"/>
      <c r="AC64" s="191"/>
      <c r="AD64" s="191"/>
      <c r="AE64" s="191"/>
      <c r="AF64" s="191"/>
      <c r="AG64" s="191"/>
      <c r="AH64" s="191"/>
      <c r="AI64" s="191"/>
      <c r="AJ64" s="192"/>
      <c r="AK64" s="101"/>
      <c r="AL64" s="249"/>
      <c r="AM64" s="250"/>
    </row>
    <row r="65" spans="1:39" ht="24.75" customHeight="1">
      <c r="A65" s="202" t="str">
        <f>+IF(AGOSTO!A65=0,"",AGOSTO!A65)</f>
        <v>1.1.02.05.001.09.02.90.01.99</v>
      </c>
      <c r="B65" s="331" t="str">
        <f>+IF(AGOSTO!B65=0,"",AGOSTO!B65)</f>
        <v>Vigencia Anterior</v>
      </c>
      <c r="C65" s="204">
        <f>+ENERO!C65</f>
        <v>324064540.10000002</v>
      </c>
      <c r="D65" s="205">
        <f>AGOSTO!D65+SEPTIEMBRE!P65</f>
        <v>0</v>
      </c>
      <c r="E65" s="205">
        <f>AGOSTO!E65+SEPTIEMBRE!Q65</f>
        <v>0</v>
      </c>
      <c r="F65" s="205">
        <f>SUM(C65:E65)</f>
        <v>324064540.10000002</v>
      </c>
      <c r="G65" s="205">
        <f>AGOSTO!I65</f>
        <v>328691733</v>
      </c>
      <c r="H65" s="208">
        <v>57995396</v>
      </c>
      <c r="I65" s="205">
        <f>SUM(G65:H65)</f>
        <v>386687129</v>
      </c>
      <c r="J65" s="205">
        <f>AGOSTO!L65</f>
        <v>328691733</v>
      </c>
      <c r="K65" s="208">
        <v>57995396</v>
      </c>
      <c r="L65" s="205">
        <f>SUM(J65:K65)</f>
        <v>386687129</v>
      </c>
      <c r="M65" s="205">
        <f>F65-I65</f>
        <v>-62622588.899999976</v>
      </c>
      <c r="N65" s="671">
        <f>F65-L65</f>
        <v>-62622588.899999976</v>
      </c>
      <c r="O65" s="67"/>
      <c r="P65" s="204">
        <v>0</v>
      </c>
      <c r="Q65" s="210"/>
      <c r="R65" s="101"/>
      <c r="S65" s="257" t="str">
        <f>+IF(AGOSTO!S65=0,"",AGOSTO!S65)</f>
        <v>2.1.1.01.01-1</v>
      </c>
      <c r="T65" s="546" t="str">
        <f>+IF(AGOSTO!T65=0,"",AGOSTO!T65)</f>
        <v>Servicios Personales Asociados a Nómina</v>
      </c>
      <c r="U65" s="230">
        <f>SUM(U66:U69)+U81</f>
        <v>0</v>
      </c>
      <c r="V65" s="231">
        <f>SUM(V66:V69)+V81</f>
        <v>0</v>
      </c>
      <c r="W65" s="231">
        <f>SUM(W66:W69)+W81</f>
        <v>0</v>
      </c>
      <c r="X65" s="234">
        <f>SUM(X66:X69)+X81</f>
        <v>0</v>
      </c>
      <c r="Y65" s="233">
        <f t="shared" ref="Y65:AJ65" si="69">SUM(Y66:Y69)+Y81</f>
        <v>0</v>
      </c>
      <c r="Z65" s="231">
        <f t="shared" si="69"/>
        <v>0</v>
      </c>
      <c r="AA65" s="234">
        <f t="shared" si="69"/>
        <v>0</v>
      </c>
      <c r="AB65" s="233">
        <f t="shared" si="69"/>
        <v>0</v>
      </c>
      <c r="AC65" s="231">
        <f t="shared" si="69"/>
        <v>0</v>
      </c>
      <c r="AD65" s="234">
        <f t="shared" si="69"/>
        <v>0</v>
      </c>
      <c r="AE65" s="233">
        <f t="shared" si="69"/>
        <v>0</v>
      </c>
      <c r="AF65" s="231">
        <f t="shared" si="69"/>
        <v>0</v>
      </c>
      <c r="AG65" s="234">
        <f t="shared" si="69"/>
        <v>0</v>
      </c>
      <c r="AH65" s="233">
        <f t="shared" si="69"/>
        <v>0</v>
      </c>
      <c r="AI65" s="231">
        <f t="shared" si="69"/>
        <v>0</v>
      </c>
      <c r="AJ65" s="232">
        <f t="shared" si="69"/>
        <v>0</v>
      </c>
      <c r="AK65" s="101"/>
      <c r="AL65" s="233">
        <f>SUM(AL66:AL69)+AL81</f>
        <v>0</v>
      </c>
      <c r="AM65" s="232">
        <f>SUM(AM66:AM69)+AM81</f>
        <v>0</v>
      </c>
    </row>
    <row r="66" spans="1:39" ht="24.75" customHeight="1">
      <c r="A66" s="286" t="str">
        <f>+IF(AGOSTO!A66=0,"",AGOSTO!A66)</f>
        <v>1.1.02.05.001.09.02.18.01</v>
      </c>
      <c r="B66" s="319" t="str">
        <f>+IF(AGOSTO!B66=0,"",AGOSTO!B66)</f>
        <v xml:space="preserve">COMPAÑIAS DE SEGUROS  - PLANES DE SALUD </v>
      </c>
      <c r="C66" s="288">
        <f t="shared" ref="C66:N66" si="70">SUM(C67:C68)</f>
        <v>185631948</v>
      </c>
      <c r="D66" s="320">
        <f t="shared" si="70"/>
        <v>0</v>
      </c>
      <c r="E66" s="320">
        <f t="shared" si="70"/>
        <v>0</v>
      </c>
      <c r="F66" s="320">
        <f t="shared" si="70"/>
        <v>185631948</v>
      </c>
      <c r="G66" s="320">
        <f t="shared" si="70"/>
        <v>99906905</v>
      </c>
      <c r="H66" s="320">
        <f t="shared" si="70"/>
        <v>5795176</v>
      </c>
      <c r="I66" s="320">
        <f t="shared" si="70"/>
        <v>105702081</v>
      </c>
      <c r="J66" s="320">
        <f t="shared" si="70"/>
        <v>36891666</v>
      </c>
      <c r="K66" s="320">
        <f t="shared" si="70"/>
        <v>170610</v>
      </c>
      <c r="L66" s="320">
        <f t="shared" si="70"/>
        <v>37062276</v>
      </c>
      <c r="M66" s="320">
        <f t="shared" si="70"/>
        <v>79929867</v>
      </c>
      <c r="N66" s="661">
        <f t="shared" si="70"/>
        <v>148569672</v>
      </c>
      <c r="O66" s="67"/>
      <c r="P66" s="288">
        <f>SUM(P67:P68)</f>
        <v>0</v>
      </c>
      <c r="Q66" s="289">
        <f>SUM(Q67:Q68)</f>
        <v>0</v>
      </c>
      <c r="R66" s="101"/>
      <c r="S66" s="266" t="str">
        <f>+IF(AGOSTO!S66=0,"",AGOSTO!S66)</f>
        <v>2.1.1.01.01.001.01-1</v>
      </c>
      <c r="T66" s="1056" t="str">
        <f>+IF(AGOSTO!T66=0,"",AGOSTO!T66)</f>
        <v>Sueldos del Personal de nómina</v>
      </c>
      <c r="U66" s="373">
        <f>+ENERO!U66</f>
        <v>0</v>
      </c>
      <c r="V66" s="220">
        <f>SUM(AGOSTO!V66+SEPTIEMBRE!AL66)</f>
        <v>0</v>
      </c>
      <c r="W66" s="220">
        <f>AGOSTO!W66+SEPTIEMBRE!AM66</f>
        <v>0</v>
      </c>
      <c r="X66" s="271">
        <f>SUM(U66:W66)</f>
        <v>0</v>
      </c>
      <c r="Y66" s="270">
        <f>AGOSTO!AA66</f>
        <v>0</v>
      </c>
      <c r="Z66" s="208"/>
      <c r="AA66" s="271">
        <f>SUM(Y66:Z66)</f>
        <v>0</v>
      </c>
      <c r="AB66" s="270">
        <f>AGOSTO!AD66</f>
        <v>0</v>
      </c>
      <c r="AC66" s="208"/>
      <c r="AD66" s="271">
        <f>SUM(AB66:AC66)</f>
        <v>0</v>
      </c>
      <c r="AE66" s="270">
        <f>AGOSTO!AG66</f>
        <v>0</v>
      </c>
      <c r="AF66" s="208"/>
      <c r="AG66" s="271">
        <f>SUM(AE66:AF66)</f>
        <v>0</v>
      </c>
      <c r="AH66" s="270">
        <f>X66-AA66</f>
        <v>0</v>
      </c>
      <c r="AI66" s="220">
        <f>X66-AD66</f>
        <v>0</v>
      </c>
      <c r="AJ66" s="269">
        <f>X66-AG66</f>
        <v>0</v>
      </c>
      <c r="AK66" s="101"/>
      <c r="AL66" s="204">
        <v>0</v>
      </c>
      <c r="AM66" s="210">
        <v>0</v>
      </c>
    </row>
    <row r="67" spans="1:39" ht="24.75" customHeight="1">
      <c r="A67" s="202" t="str">
        <f>+IF(AGOSTO!A67=0,"",AGOSTO!A67)</f>
        <v>1.1.02.05.001.09.02.18.01</v>
      </c>
      <c r="B67" s="331" t="str">
        <f>+CONCATENATE("Vigencia ",INSTRUCCIONES!$F$3)</f>
        <v>Vigencia 2025</v>
      </c>
      <c r="C67" s="204">
        <f>+ENERO!C67</f>
        <v>111911928</v>
      </c>
      <c r="D67" s="205">
        <f>AGOSTO!D67+SEPTIEMBRE!P67</f>
        <v>0</v>
      </c>
      <c r="E67" s="205">
        <f>AGOSTO!E67+SEPTIEMBRE!Q67</f>
        <v>0</v>
      </c>
      <c r="F67" s="205">
        <f>SUM(C67:E67)</f>
        <v>111911928</v>
      </c>
      <c r="G67" s="205">
        <f>AGOSTO!I67</f>
        <v>87994060</v>
      </c>
      <c r="H67" s="208">
        <v>5795176</v>
      </c>
      <c r="I67" s="205">
        <f>SUM(G67:H67)</f>
        <v>93789236</v>
      </c>
      <c r="J67" s="205">
        <f>AGOSTO!L67</f>
        <v>24978821</v>
      </c>
      <c r="K67" s="208">
        <v>170610</v>
      </c>
      <c r="L67" s="205">
        <f>SUM(J67:K67)</f>
        <v>25149431</v>
      </c>
      <c r="M67" s="205">
        <f>F67-I67</f>
        <v>18122692</v>
      </c>
      <c r="N67" s="671">
        <f>F67-L67</f>
        <v>86762497</v>
      </c>
      <c r="O67" s="67"/>
      <c r="P67" s="204">
        <v>0</v>
      </c>
      <c r="Q67" s="210">
        <v>0</v>
      </c>
      <c r="R67" s="101"/>
      <c r="S67" s="266" t="str">
        <f>+IF(AGOSTO!S67=0,"",AGOSTO!S67)</f>
        <v>2.1.1.01.01.001.02-1</v>
      </c>
      <c r="T67" s="1056" t="str">
        <f>+IF(AGOSTO!T67=0,"",AGOSTO!T67)</f>
        <v>Horas Extras,Dominic.,Festivos y Rec. Nocturnos</v>
      </c>
      <c r="U67" s="373">
        <f>+ENERO!U67</f>
        <v>0</v>
      </c>
      <c r="V67" s="220">
        <f>SUM(AGOSTO!V67+SEPTIEMBRE!AL67)</f>
        <v>0</v>
      </c>
      <c r="W67" s="220">
        <f>AGOSTO!W67+SEPTIEMBRE!AM67</f>
        <v>0</v>
      </c>
      <c r="X67" s="271">
        <f>SUM(U67:W67)</f>
        <v>0</v>
      </c>
      <c r="Y67" s="270">
        <f>AGOSTO!AA67</f>
        <v>0</v>
      </c>
      <c r="Z67" s="208"/>
      <c r="AA67" s="271">
        <f>SUM(Y67:Z67)</f>
        <v>0</v>
      </c>
      <c r="AB67" s="270">
        <f>AGOSTO!AD67</f>
        <v>0</v>
      </c>
      <c r="AC67" s="208"/>
      <c r="AD67" s="271">
        <f>SUM(AB67:AC67)</f>
        <v>0</v>
      </c>
      <c r="AE67" s="270">
        <f>AGOSTO!AG67</f>
        <v>0</v>
      </c>
      <c r="AF67" s="208"/>
      <c r="AG67" s="271">
        <f>SUM(AE67:AF67)</f>
        <v>0</v>
      </c>
      <c r="AH67" s="270">
        <f>X67-AA67</f>
        <v>0</v>
      </c>
      <c r="AI67" s="220">
        <f>X67-AD67</f>
        <v>0</v>
      </c>
      <c r="AJ67" s="269">
        <f>X67-AG67</f>
        <v>0</v>
      </c>
      <c r="AK67" s="101"/>
      <c r="AL67" s="204">
        <v>0</v>
      </c>
      <c r="AM67" s="210">
        <v>0</v>
      </c>
    </row>
    <row r="68" spans="1:39" ht="24.75" customHeight="1">
      <c r="A68" s="202" t="str">
        <f>+IF(AGOSTO!A68=0,"",AGOSTO!A68)</f>
        <v>1.1.02.05.001.09.02.18.01.99</v>
      </c>
      <c r="B68" s="331" t="str">
        <f>+IF(AGOSTO!B68=0,"",AGOSTO!B68)</f>
        <v>Vigencia Anterior</v>
      </c>
      <c r="C68" s="204">
        <f>+ENERO!C68</f>
        <v>73720020</v>
      </c>
      <c r="D68" s="205">
        <f>AGOSTO!D68+SEPTIEMBRE!P68</f>
        <v>0</v>
      </c>
      <c r="E68" s="205">
        <f>AGOSTO!E68+SEPTIEMBRE!Q68</f>
        <v>0</v>
      </c>
      <c r="F68" s="205">
        <f>SUM(C68:E68)</f>
        <v>73720020</v>
      </c>
      <c r="G68" s="205">
        <f>AGOSTO!I68</f>
        <v>11912845</v>
      </c>
      <c r="H68" s="208">
        <v>0</v>
      </c>
      <c r="I68" s="205">
        <f>SUM(G68:H68)</f>
        <v>11912845</v>
      </c>
      <c r="J68" s="205">
        <f>AGOSTO!L68</f>
        <v>11912845</v>
      </c>
      <c r="K68" s="208">
        <v>0</v>
      </c>
      <c r="L68" s="205">
        <f>SUM(J68:K68)</f>
        <v>11912845</v>
      </c>
      <c r="M68" s="205">
        <f>F68-I68</f>
        <v>61807175</v>
      </c>
      <c r="N68" s="671">
        <f>F68-L68</f>
        <v>61807175</v>
      </c>
      <c r="O68" s="67"/>
      <c r="P68" s="204">
        <v>0</v>
      </c>
      <c r="Q68" s="210"/>
      <c r="R68" s="101"/>
      <c r="S68" s="266">
        <f>+IF(AGOSTO!S68=0,"",AGOSTO!S68)</f>
        <v>1010103</v>
      </c>
      <c r="T68" s="1056" t="str">
        <f>+IF(AGOSTO!T68=0,"",AGOSTO!T68)</f>
        <v>Prima Técnica</v>
      </c>
      <c r="U68" s="373">
        <f>+ENERO!U68</f>
        <v>0</v>
      </c>
      <c r="V68" s="220">
        <f>SUM(AGOSTO!V68+SEPTIEMBRE!AL68)</f>
        <v>0</v>
      </c>
      <c r="W68" s="220">
        <f>AGOSTO!W68+SEPTIEMBRE!AM68</f>
        <v>0</v>
      </c>
      <c r="X68" s="271">
        <f>SUM(U68:W68)</f>
        <v>0</v>
      </c>
      <c r="Y68" s="270">
        <f>AGOSTO!AA68</f>
        <v>0</v>
      </c>
      <c r="Z68" s="208"/>
      <c r="AA68" s="271">
        <f>SUM(Y68:Z68)</f>
        <v>0</v>
      </c>
      <c r="AB68" s="270">
        <f>AGOSTO!AD68</f>
        <v>0</v>
      </c>
      <c r="AC68" s="208"/>
      <c r="AD68" s="271">
        <f>SUM(AB68:AC68)</f>
        <v>0</v>
      </c>
      <c r="AE68" s="270">
        <f>AGOSTO!AG68</f>
        <v>0</v>
      </c>
      <c r="AF68" s="208"/>
      <c r="AG68" s="271">
        <f>SUM(AE68:AF68)</f>
        <v>0</v>
      </c>
      <c r="AH68" s="270">
        <f>X68-AA68</f>
        <v>0</v>
      </c>
      <c r="AI68" s="220">
        <f>X68-AD68</f>
        <v>0</v>
      </c>
      <c r="AJ68" s="269">
        <f>X68-AG68</f>
        <v>0</v>
      </c>
      <c r="AK68" s="101"/>
      <c r="AL68" s="204">
        <v>0</v>
      </c>
      <c r="AM68" s="210">
        <v>0</v>
      </c>
    </row>
    <row r="69" spans="1:39" ht="24.75" customHeight="1">
      <c r="A69" s="286" t="str">
        <f>+IF(AGOSTO!A69=0,"",AGOSTO!A69)</f>
        <v>1.1.02.05.001.09.02.90.02</v>
      </c>
      <c r="B69" s="319" t="str">
        <f>+IF(AGOSTO!B69=0,"",AGOSTO!B69)</f>
        <v>ENTIDADES DE REGIMEN ESPECIAL (Magisterio, Fuerza Pca.)</v>
      </c>
      <c r="C69" s="288">
        <f t="shared" ref="C69:N69" si="71">SUM(C70:C71)</f>
        <v>1378696551</v>
      </c>
      <c r="D69" s="320">
        <f t="shared" si="71"/>
        <v>0</v>
      </c>
      <c r="E69" s="320">
        <f t="shared" si="71"/>
        <v>0</v>
      </c>
      <c r="F69" s="320">
        <f t="shared" si="71"/>
        <v>1378696551</v>
      </c>
      <c r="G69" s="320">
        <f t="shared" si="71"/>
        <v>1870035653</v>
      </c>
      <c r="H69" s="320">
        <f t="shared" si="71"/>
        <v>108118642</v>
      </c>
      <c r="I69" s="320">
        <f t="shared" si="71"/>
        <v>1978154295</v>
      </c>
      <c r="J69" s="320">
        <f t="shared" si="71"/>
        <v>908998987</v>
      </c>
      <c r="K69" s="320">
        <f t="shared" si="71"/>
        <v>156593303</v>
      </c>
      <c r="L69" s="320">
        <f t="shared" si="71"/>
        <v>1065592290</v>
      </c>
      <c r="M69" s="320">
        <f t="shared" si="71"/>
        <v>-599457744</v>
      </c>
      <c r="N69" s="661">
        <f t="shared" si="71"/>
        <v>313104261</v>
      </c>
      <c r="O69" s="67"/>
      <c r="P69" s="288">
        <f>SUM(P70:P71)</f>
        <v>0</v>
      </c>
      <c r="Q69" s="289">
        <f>SUM(Q70:Q71)</f>
        <v>0</v>
      </c>
      <c r="R69" s="101"/>
      <c r="S69" s="266">
        <f>+IF(AGOSTO!S69=0,"",AGOSTO!S69)</f>
        <v>1010104</v>
      </c>
      <c r="T69" s="1056" t="str">
        <f>+IF(AGOSTO!T69=0,"",AGOSTO!T69)</f>
        <v>Otros</v>
      </c>
      <c r="U69" s="373">
        <f>SUM(U70:U80)</f>
        <v>0</v>
      </c>
      <c r="V69" s="220">
        <f>SUM(V70:V80)</f>
        <v>0</v>
      </c>
      <c r="W69" s="220">
        <f>SUM(W70:W80)</f>
        <v>0</v>
      </c>
      <c r="X69" s="271">
        <f>SUM(X70:X80)</f>
        <v>0</v>
      </c>
      <c r="Y69" s="270">
        <f t="shared" ref="Y69:AJ69" si="72">SUM(Y70:Y80)</f>
        <v>0</v>
      </c>
      <c r="Z69" s="300">
        <f t="shared" si="72"/>
        <v>0</v>
      </c>
      <c r="AA69" s="271">
        <f t="shared" si="72"/>
        <v>0</v>
      </c>
      <c r="AB69" s="270">
        <f t="shared" si="72"/>
        <v>0</v>
      </c>
      <c r="AC69" s="300">
        <f t="shared" si="72"/>
        <v>0</v>
      </c>
      <c r="AD69" s="271">
        <f t="shared" si="72"/>
        <v>0</v>
      </c>
      <c r="AE69" s="270">
        <f t="shared" si="72"/>
        <v>0</v>
      </c>
      <c r="AF69" s="300">
        <f t="shared" si="72"/>
        <v>0</v>
      </c>
      <c r="AG69" s="271">
        <f t="shared" si="72"/>
        <v>0</v>
      </c>
      <c r="AH69" s="270">
        <f t="shared" si="72"/>
        <v>0</v>
      </c>
      <c r="AI69" s="220">
        <f t="shared" si="72"/>
        <v>0</v>
      </c>
      <c r="AJ69" s="269">
        <f t="shared" si="72"/>
        <v>0</v>
      </c>
      <c r="AK69" s="101"/>
      <c r="AL69" s="301">
        <f>SUM(AL70:AL80)</f>
        <v>0</v>
      </c>
      <c r="AM69" s="302">
        <f>SUM(AM70:AM80)</f>
        <v>0</v>
      </c>
    </row>
    <row r="70" spans="1:39" ht="24.75" customHeight="1">
      <c r="A70" s="202" t="str">
        <f>+IF(AGOSTO!A70=0,"",AGOSTO!A70)</f>
        <v>1.1.02.05.001.09.02.90.02</v>
      </c>
      <c r="B70" s="331" t="str">
        <f>+CONCATENATE("Vigencia ",INSTRUCCIONES!$F$3)</f>
        <v>Vigencia 2025</v>
      </c>
      <c r="C70" s="204">
        <f>+ENERO!C70</f>
        <v>898696551</v>
      </c>
      <c r="D70" s="205">
        <f>AGOSTO!D70+SEPTIEMBRE!P70</f>
        <v>0</v>
      </c>
      <c r="E70" s="205">
        <f>AGOSTO!E70+SEPTIEMBRE!Q70</f>
        <v>0</v>
      </c>
      <c r="F70" s="205">
        <f>SUM(C70:E70)</f>
        <v>898696551</v>
      </c>
      <c r="G70" s="205">
        <f>AGOSTO!I70</f>
        <v>1045175657</v>
      </c>
      <c r="H70" s="208">
        <v>89802482</v>
      </c>
      <c r="I70" s="205">
        <f>SUM(G70:H70)</f>
        <v>1134978139</v>
      </c>
      <c r="J70" s="205">
        <f>AGOSTO!L70</f>
        <v>84138991</v>
      </c>
      <c r="K70" s="208">
        <v>138277143</v>
      </c>
      <c r="L70" s="205">
        <f>SUM(J70:K70)</f>
        <v>222416134</v>
      </c>
      <c r="M70" s="205">
        <f>F70-I70</f>
        <v>-236281588</v>
      </c>
      <c r="N70" s="671">
        <f>F70-L70</f>
        <v>676280417</v>
      </c>
      <c r="O70" s="67"/>
      <c r="P70" s="204">
        <v>0</v>
      </c>
      <c r="Q70" s="210">
        <v>0</v>
      </c>
      <c r="R70" s="101"/>
      <c r="S70" s="311" t="str">
        <f>+IF(AGOSTO!S70=0,"",AGOSTO!S70)</f>
        <v>2.1.1.01.01.001.08.01-1</v>
      </c>
      <c r="T70" s="1056" t="str">
        <f>+IF(AGOSTO!T70=0,"",AGOSTO!T70)</f>
        <v xml:space="preserve">Prima de Navidad </v>
      </c>
      <c r="U70" s="373">
        <f>+ENERO!U70</f>
        <v>0</v>
      </c>
      <c r="V70" s="220">
        <f>SUM(AGOSTO!V70+SEPTIEMBRE!AL70)</f>
        <v>0</v>
      </c>
      <c r="W70" s="220">
        <f>AGOSTO!W70+SEPTIEMBRE!AM70</f>
        <v>0</v>
      </c>
      <c r="X70" s="271">
        <f t="shared" ref="X70:X81" si="73">SUM(U70:W70)</f>
        <v>0</v>
      </c>
      <c r="Y70" s="270">
        <f>AGOSTO!AA70</f>
        <v>0</v>
      </c>
      <c r="Z70" s="208"/>
      <c r="AA70" s="271">
        <f t="shared" ref="AA70:AA81" si="74">SUM(Y70:Z70)</f>
        <v>0</v>
      </c>
      <c r="AB70" s="270">
        <f>AGOSTO!AD70</f>
        <v>0</v>
      </c>
      <c r="AC70" s="208"/>
      <c r="AD70" s="271">
        <f t="shared" ref="AD70:AD81" si="75">SUM(AB70:AC70)</f>
        <v>0</v>
      </c>
      <c r="AE70" s="270">
        <f>AGOSTO!AG70</f>
        <v>0</v>
      </c>
      <c r="AF70" s="208"/>
      <c r="AG70" s="271">
        <f t="shared" ref="AG70:AG81" si="76">SUM(AE70:AF70)</f>
        <v>0</v>
      </c>
      <c r="AH70" s="270">
        <f t="shared" ref="AH70:AH81" si="77">X70-AA70</f>
        <v>0</v>
      </c>
      <c r="AI70" s="220">
        <f t="shared" ref="AI70:AI81" si="78">X70-AD70</f>
        <v>0</v>
      </c>
      <c r="AJ70" s="269">
        <f t="shared" ref="AJ70:AJ81" si="79">X70-AG70</f>
        <v>0</v>
      </c>
      <c r="AK70" s="101"/>
      <c r="AL70" s="204">
        <v>0</v>
      </c>
      <c r="AM70" s="210">
        <v>0</v>
      </c>
    </row>
    <row r="71" spans="1:39" ht="24.75" customHeight="1">
      <c r="A71" s="202" t="str">
        <f>+IF(AGOSTO!A71=0,"",AGOSTO!A71)</f>
        <v>1.1.02.05.001.09.02.90.02.99</v>
      </c>
      <c r="B71" s="331" t="str">
        <f>+IF(AGOSTO!B71=0,"",AGOSTO!B71)</f>
        <v>Vigencia Anterior</v>
      </c>
      <c r="C71" s="204">
        <f>+ENERO!C71</f>
        <v>480000000</v>
      </c>
      <c r="D71" s="205">
        <f>AGOSTO!D71+SEPTIEMBRE!P71</f>
        <v>0</v>
      </c>
      <c r="E71" s="205">
        <f>AGOSTO!E71+SEPTIEMBRE!Q71</f>
        <v>0</v>
      </c>
      <c r="F71" s="205">
        <f>SUM(C71:E71)</f>
        <v>480000000</v>
      </c>
      <c r="G71" s="205">
        <f>AGOSTO!I71</f>
        <v>824859996</v>
      </c>
      <c r="H71" s="208">
        <v>18316160</v>
      </c>
      <c r="I71" s="205">
        <f>SUM(G71:H71)</f>
        <v>843176156</v>
      </c>
      <c r="J71" s="205">
        <f>AGOSTO!L71</f>
        <v>824859996</v>
      </c>
      <c r="K71" s="208">
        <v>18316160</v>
      </c>
      <c r="L71" s="205">
        <f>SUM(J71:K71)</f>
        <v>843176156</v>
      </c>
      <c r="M71" s="205">
        <f>F71-I71</f>
        <v>-363176156</v>
      </c>
      <c r="N71" s="671">
        <f>F71-L71</f>
        <v>-363176156</v>
      </c>
      <c r="O71" s="67"/>
      <c r="P71" s="204">
        <v>0</v>
      </c>
      <c r="Q71" s="210"/>
      <c r="R71" s="101"/>
      <c r="S71" s="311" t="str">
        <f>+IF(AGOSTO!S71=0,"",AGOSTO!S71)</f>
        <v>2.1.1.01.01.001.08.02-1</v>
      </c>
      <c r="T71" s="1056" t="str">
        <f>+IF(AGOSTO!T71=0,"",AGOSTO!T71)</f>
        <v>Prima de Vacaciones</v>
      </c>
      <c r="U71" s="373">
        <f>+ENERO!U71</f>
        <v>0</v>
      </c>
      <c r="V71" s="220">
        <f>SUM(AGOSTO!V71+SEPTIEMBRE!AL71)</f>
        <v>0</v>
      </c>
      <c r="W71" s="220">
        <f>AGOSTO!W71+SEPTIEMBRE!AM71</f>
        <v>0</v>
      </c>
      <c r="X71" s="271">
        <f t="shared" si="73"/>
        <v>0</v>
      </c>
      <c r="Y71" s="270">
        <f>AGOSTO!AA71</f>
        <v>0</v>
      </c>
      <c r="Z71" s="208"/>
      <c r="AA71" s="271">
        <f t="shared" si="74"/>
        <v>0</v>
      </c>
      <c r="AB71" s="270">
        <f>AGOSTO!AD71</f>
        <v>0</v>
      </c>
      <c r="AC71" s="208"/>
      <c r="AD71" s="271">
        <f t="shared" si="75"/>
        <v>0</v>
      </c>
      <c r="AE71" s="270">
        <f>AGOSTO!AG71</f>
        <v>0</v>
      </c>
      <c r="AF71" s="208"/>
      <c r="AG71" s="271">
        <f t="shared" si="76"/>
        <v>0</v>
      </c>
      <c r="AH71" s="270">
        <f t="shared" si="77"/>
        <v>0</v>
      </c>
      <c r="AI71" s="220">
        <f t="shared" si="78"/>
        <v>0</v>
      </c>
      <c r="AJ71" s="269">
        <f t="shared" si="79"/>
        <v>0</v>
      </c>
      <c r="AK71" s="101"/>
      <c r="AL71" s="204">
        <v>0</v>
      </c>
      <c r="AM71" s="210">
        <v>0</v>
      </c>
    </row>
    <row r="72" spans="1:39" ht="24.75" customHeight="1">
      <c r="A72" s="286" t="str">
        <f>+IF(AGOSTO!A72=0,"",AGOSTO!A72)</f>
        <v>1.1.02.05.001.09.02.06</v>
      </c>
      <c r="B72" s="319" t="str">
        <f>+IF(AGOSTO!B72=0,"",AGOSTO!B72)</f>
        <v>ADMINISTRADORAS DE RIESGOS LABORALES</v>
      </c>
      <c r="C72" s="288">
        <f t="shared" ref="C72:N72" si="80">SUM(C73:C74)</f>
        <v>374950682</v>
      </c>
      <c r="D72" s="320">
        <f t="shared" si="80"/>
        <v>0</v>
      </c>
      <c r="E72" s="320">
        <f t="shared" si="80"/>
        <v>0</v>
      </c>
      <c r="F72" s="320">
        <f t="shared" si="80"/>
        <v>374950682</v>
      </c>
      <c r="G72" s="320">
        <f t="shared" si="80"/>
        <v>279125513</v>
      </c>
      <c r="H72" s="320">
        <f t="shared" si="80"/>
        <v>40606164</v>
      </c>
      <c r="I72" s="320">
        <f t="shared" si="80"/>
        <v>319731677</v>
      </c>
      <c r="J72" s="320">
        <f t="shared" si="80"/>
        <v>215392438</v>
      </c>
      <c r="K72" s="320">
        <f t="shared" si="80"/>
        <v>27733368</v>
      </c>
      <c r="L72" s="320">
        <f t="shared" si="80"/>
        <v>243125806</v>
      </c>
      <c r="M72" s="320">
        <f t="shared" si="80"/>
        <v>55219005</v>
      </c>
      <c r="N72" s="661">
        <f t="shared" si="80"/>
        <v>131824876</v>
      </c>
      <c r="O72" s="67"/>
      <c r="P72" s="288">
        <f>SUM(P73:P74)</f>
        <v>0</v>
      </c>
      <c r="Q72" s="289">
        <f>SUM(Q73:Q74)</f>
        <v>0</v>
      </c>
      <c r="R72" s="101"/>
      <c r="S72" s="311" t="str">
        <f>+IF(AGOSTO!S72=0,"",AGOSTO!S72)</f>
        <v>2.1.1.01.01.001.07-1</v>
      </c>
      <c r="T72" s="1056" t="str">
        <f>+IF(AGOSTO!T72=0,"",AGOSTO!T72)</f>
        <v>Bonificación  por servicios prestados</v>
      </c>
      <c r="U72" s="373">
        <f>+ENERO!U72</f>
        <v>0</v>
      </c>
      <c r="V72" s="220">
        <f>SUM(AGOSTO!V72+SEPTIEMBRE!AL72)</f>
        <v>0</v>
      </c>
      <c r="W72" s="220">
        <f>AGOSTO!W72+SEPTIEMBRE!AM72</f>
        <v>0</v>
      </c>
      <c r="X72" s="271">
        <f t="shared" si="73"/>
        <v>0</v>
      </c>
      <c r="Y72" s="270">
        <f>AGOSTO!AA72</f>
        <v>0</v>
      </c>
      <c r="Z72" s="208"/>
      <c r="AA72" s="271">
        <f t="shared" si="74"/>
        <v>0</v>
      </c>
      <c r="AB72" s="270">
        <f>AGOSTO!AD72</f>
        <v>0</v>
      </c>
      <c r="AC72" s="208"/>
      <c r="AD72" s="271">
        <f t="shared" si="75"/>
        <v>0</v>
      </c>
      <c r="AE72" s="270">
        <f>AGOSTO!AG72</f>
        <v>0</v>
      </c>
      <c r="AF72" s="208"/>
      <c r="AG72" s="271">
        <f t="shared" si="76"/>
        <v>0</v>
      </c>
      <c r="AH72" s="270">
        <f t="shared" si="77"/>
        <v>0</v>
      </c>
      <c r="AI72" s="220">
        <f t="shared" si="78"/>
        <v>0</v>
      </c>
      <c r="AJ72" s="269">
        <f t="shared" si="79"/>
        <v>0</v>
      </c>
      <c r="AK72" s="101"/>
      <c r="AL72" s="204">
        <v>0</v>
      </c>
      <c r="AM72" s="210">
        <v>0</v>
      </c>
    </row>
    <row r="73" spans="1:39" ht="24.75" customHeight="1">
      <c r="A73" s="202" t="str">
        <f>+IF(AGOSTO!A73=0,"",AGOSTO!A73)</f>
        <v>1.1.02.05.001.09.02.06</v>
      </c>
      <c r="B73" s="331" t="str">
        <f>+CONCATENATE("Vigencia ",INSTRUCCIONES!$F$3)</f>
        <v>Vigencia 2025</v>
      </c>
      <c r="C73" s="204">
        <f>+ENERO!C73</f>
        <v>337999834</v>
      </c>
      <c r="D73" s="205">
        <f>AGOSTO!D73+SEPTIEMBRE!P73</f>
        <v>0</v>
      </c>
      <c r="E73" s="205">
        <f>AGOSTO!E73+SEPTIEMBRE!Q73</f>
        <v>0</v>
      </c>
      <c r="F73" s="205">
        <f>SUM(C73:E73)</f>
        <v>337999834</v>
      </c>
      <c r="G73" s="205">
        <f>AGOSTO!I73</f>
        <v>222473121</v>
      </c>
      <c r="H73" s="208">
        <v>40606164</v>
      </c>
      <c r="I73" s="205">
        <f>SUM(G73:H73)</f>
        <v>263079285</v>
      </c>
      <c r="J73" s="205">
        <f>AGOSTO!L73</f>
        <v>158740046</v>
      </c>
      <c r="K73" s="208">
        <v>27733368</v>
      </c>
      <c r="L73" s="205">
        <f>SUM(J73:K73)</f>
        <v>186473414</v>
      </c>
      <c r="M73" s="205">
        <f>F73-I73</f>
        <v>74920549</v>
      </c>
      <c r="N73" s="671">
        <f>F73-L73</f>
        <v>151526420</v>
      </c>
      <c r="O73" s="67"/>
      <c r="P73" s="204">
        <v>0</v>
      </c>
      <c r="Q73" s="210">
        <v>0</v>
      </c>
      <c r="R73" s="101"/>
      <c r="S73" s="311" t="str">
        <f>+IF(AGOSTO!S73=0,"",AGOSTO!S73)</f>
        <v>2.1.1.01.01.001.06-1</v>
      </c>
      <c r="T73" s="1056" t="str">
        <f>+IF(AGOSTO!T73=0,"",AGOSTO!T73)</f>
        <v>Prima de Servicios</v>
      </c>
      <c r="U73" s="373">
        <f>+ENERO!U73</f>
        <v>0</v>
      </c>
      <c r="V73" s="220">
        <f>SUM(AGOSTO!V73+SEPTIEMBRE!AL73)</f>
        <v>0</v>
      </c>
      <c r="W73" s="220">
        <f>AGOSTO!W73+SEPTIEMBRE!AM73</f>
        <v>0</v>
      </c>
      <c r="X73" s="271">
        <f t="shared" si="73"/>
        <v>0</v>
      </c>
      <c r="Y73" s="270">
        <f>AGOSTO!AA73</f>
        <v>0</v>
      </c>
      <c r="Z73" s="208"/>
      <c r="AA73" s="271">
        <f t="shared" si="74"/>
        <v>0</v>
      </c>
      <c r="AB73" s="270">
        <f>AGOSTO!AD73</f>
        <v>0</v>
      </c>
      <c r="AC73" s="208"/>
      <c r="AD73" s="271">
        <f t="shared" si="75"/>
        <v>0</v>
      </c>
      <c r="AE73" s="270">
        <f>AGOSTO!AG73</f>
        <v>0</v>
      </c>
      <c r="AF73" s="208"/>
      <c r="AG73" s="271">
        <f t="shared" si="76"/>
        <v>0</v>
      </c>
      <c r="AH73" s="270">
        <f t="shared" si="77"/>
        <v>0</v>
      </c>
      <c r="AI73" s="220">
        <f t="shared" si="78"/>
        <v>0</v>
      </c>
      <c r="AJ73" s="269">
        <f t="shared" si="79"/>
        <v>0</v>
      </c>
      <c r="AK73" s="101"/>
      <c r="AL73" s="204">
        <v>0</v>
      </c>
      <c r="AM73" s="210">
        <v>0</v>
      </c>
    </row>
    <row r="74" spans="1:39" ht="24.75" customHeight="1">
      <c r="A74" s="202" t="str">
        <f>+IF(AGOSTO!A74=0,"",AGOSTO!A74)</f>
        <v>1.1.02.05.001.09.02.06.99</v>
      </c>
      <c r="B74" s="331" t="str">
        <f>+IF(AGOSTO!B74=0,"",AGOSTO!B74)</f>
        <v>Vigencia Anterior</v>
      </c>
      <c r="C74" s="204">
        <f>+ENERO!C74</f>
        <v>36950848</v>
      </c>
      <c r="D74" s="205">
        <f>AGOSTO!D74+SEPTIEMBRE!P74</f>
        <v>0</v>
      </c>
      <c r="E74" s="205">
        <f>AGOSTO!E74+SEPTIEMBRE!Q74</f>
        <v>0</v>
      </c>
      <c r="F74" s="205">
        <f>SUM(C74:E74)</f>
        <v>36950848</v>
      </c>
      <c r="G74" s="205">
        <f>AGOSTO!I74</f>
        <v>56652392</v>
      </c>
      <c r="H74" s="208">
        <v>0</v>
      </c>
      <c r="I74" s="205">
        <f>SUM(G74:H74)</f>
        <v>56652392</v>
      </c>
      <c r="J74" s="205">
        <f>AGOSTO!L74</f>
        <v>56652392</v>
      </c>
      <c r="K74" s="208">
        <v>0</v>
      </c>
      <c r="L74" s="205">
        <f>SUM(J74:K74)</f>
        <v>56652392</v>
      </c>
      <c r="M74" s="205">
        <f>F74-I74</f>
        <v>-19701544</v>
      </c>
      <c r="N74" s="671">
        <f>F74-L74</f>
        <v>-19701544</v>
      </c>
      <c r="O74" s="67"/>
      <c r="P74" s="204">
        <v>0</v>
      </c>
      <c r="Q74" s="210">
        <v>0</v>
      </c>
      <c r="R74" s="101"/>
      <c r="S74" s="311" t="str">
        <f>+IF(AGOSTO!S74=0,"",AGOSTO!S74)</f>
        <v>1010104-5</v>
      </c>
      <c r="T74" s="1056" t="str">
        <f>+IF(AGOSTO!T74=0,"",AGOSTO!T74)</f>
        <v>Bonificación Convencional</v>
      </c>
      <c r="U74" s="373">
        <f>+ENERO!U74</f>
        <v>0</v>
      </c>
      <c r="V74" s="220">
        <f>SUM(AGOSTO!V74+SEPTIEMBRE!AL74)</f>
        <v>0</v>
      </c>
      <c r="W74" s="220">
        <f>AGOSTO!W74+SEPTIEMBRE!AM74</f>
        <v>0</v>
      </c>
      <c r="X74" s="271">
        <f t="shared" si="73"/>
        <v>0</v>
      </c>
      <c r="Y74" s="270">
        <f>AGOSTO!AA74</f>
        <v>0</v>
      </c>
      <c r="Z74" s="208"/>
      <c r="AA74" s="271">
        <f t="shared" si="74"/>
        <v>0</v>
      </c>
      <c r="AB74" s="270">
        <f>AGOSTO!AD74</f>
        <v>0</v>
      </c>
      <c r="AC74" s="208"/>
      <c r="AD74" s="271">
        <f t="shared" si="75"/>
        <v>0</v>
      </c>
      <c r="AE74" s="270">
        <f>AGOSTO!AG74</f>
        <v>0</v>
      </c>
      <c r="AF74" s="208"/>
      <c r="AG74" s="271">
        <f t="shared" si="76"/>
        <v>0</v>
      </c>
      <c r="AH74" s="270">
        <f t="shared" si="77"/>
        <v>0</v>
      </c>
      <c r="AI74" s="220">
        <f t="shared" si="78"/>
        <v>0</v>
      </c>
      <c r="AJ74" s="269">
        <f t="shared" si="79"/>
        <v>0</v>
      </c>
      <c r="AK74" s="101"/>
      <c r="AL74" s="204">
        <v>0</v>
      </c>
      <c r="AM74" s="210">
        <v>0</v>
      </c>
    </row>
    <row r="75" spans="1:39" ht="24.75" customHeight="1">
      <c r="A75" s="286" t="str">
        <f>+IF(AGOSTO!A75=0,"",AGOSTO!A75)</f>
        <v>1.1.02.05.001.09.02.07</v>
      </c>
      <c r="B75" s="319" t="str">
        <f>+IF(AGOSTO!B75=0,"",AGOSTO!B75)</f>
        <v>FUERZAS MILITARES</v>
      </c>
      <c r="C75" s="288">
        <f t="shared" ref="C75:N75" si="81">SUM(C76:C77)</f>
        <v>448721976</v>
      </c>
      <c r="D75" s="320">
        <f t="shared" si="81"/>
        <v>0</v>
      </c>
      <c r="E75" s="320">
        <f t="shared" si="81"/>
        <v>0</v>
      </c>
      <c r="F75" s="320">
        <f t="shared" si="81"/>
        <v>448721976</v>
      </c>
      <c r="G75" s="320">
        <f t="shared" si="81"/>
        <v>140837067</v>
      </c>
      <c r="H75" s="320">
        <f t="shared" si="81"/>
        <v>259006429</v>
      </c>
      <c r="I75" s="320">
        <f t="shared" si="81"/>
        <v>399843496</v>
      </c>
      <c r="J75" s="320">
        <f t="shared" si="81"/>
        <v>21577579</v>
      </c>
      <c r="K75" s="320">
        <f t="shared" si="81"/>
        <v>249771719</v>
      </c>
      <c r="L75" s="320">
        <f t="shared" si="81"/>
        <v>271349298</v>
      </c>
      <c r="M75" s="320">
        <f t="shared" si="81"/>
        <v>48878480</v>
      </c>
      <c r="N75" s="661">
        <f t="shared" si="81"/>
        <v>177372678</v>
      </c>
      <c r="O75" s="67"/>
      <c r="P75" s="288">
        <f>SUM(P76:P77)</f>
        <v>0</v>
      </c>
      <c r="Q75" s="289">
        <f>SUM(Q76:Q77)</f>
        <v>0</v>
      </c>
      <c r="R75" s="101"/>
      <c r="S75" s="311" t="str">
        <f>+IF(AGOSTO!S75=0,"",AGOSTO!S75)</f>
        <v>2.1.1.01.01.001.05-1</v>
      </c>
      <c r="T75" s="1056" t="str">
        <f>+IF(AGOSTO!T75=0,"",AGOSTO!T75)</f>
        <v>Auxilio de Transporte</v>
      </c>
      <c r="U75" s="373">
        <f>+ENERO!U75</f>
        <v>0</v>
      </c>
      <c r="V75" s="220">
        <f>SUM(AGOSTO!V75+SEPTIEMBRE!AL75)</f>
        <v>0</v>
      </c>
      <c r="W75" s="220">
        <f>AGOSTO!W75+SEPTIEMBRE!AM75</f>
        <v>0</v>
      </c>
      <c r="X75" s="271">
        <f t="shared" si="73"/>
        <v>0</v>
      </c>
      <c r="Y75" s="270">
        <f>AGOSTO!AA75</f>
        <v>0</v>
      </c>
      <c r="Z75" s="208"/>
      <c r="AA75" s="271">
        <f t="shared" si="74"/>
        <v>0</v>
      </c>
      <c r="AB75" s="270">
        <f>AGOSTO!AD75</f>
        <v>0</v>
      </c>
      <c r="AC75" s="208"/>
      <c r="AD75" s="271">
        <f t="shared" si="75"/>
        <v>0</v>
      </c>
      <c r="AE75" s="270">
        <f>AGOSTO!AG75</f>
        <v>0</v>
      </c>
      <c r="AF75" s="208"/>
      <c r="AG75" s="271">
        <f t="shared" si="76"/>
        <v>0</v>
      </c>
      <c r="AH75" s="270">
        <f t="shared" si="77"/>
        <v>0</v>
      </c>
      <c r="AI75" s="220">
        <f t="shared" si="78"/>
        <v>0</v>
      </c>
      <c r="AJ75" s="269">
        <f t="shared" si="79"/>
        <v>0</v>
      </c>
      <c r="AK75" s="101"/>
      <c r="AL75" s="204">
        <v>0</v>
      </c>
      <c r="AM75" s="210">
        <v>0</v>
      </c>
    </row>
    <row r="76" spans="1:39" ht="24.75" customHeight="1">
      <c r="A76" s="202" t="str">
        <f>+IF(AGOSTO!A76=0,"",AGOSTO!A76)</f>
        <v>1.1.02.05.001.09.02.07</v>
      </c>
      <c r="B76" s="331" t="str">
        <f>+CONCATENATE("Vigencia ",INSTRUCCIONES!$F$3)</f>
        <v>Vigencia 2025</v>
      </c>
      <c r="C76" s="204">
        <f>+ENERO!C76</f>
        <v>341067989</v>
      </c>
      <c r="D76" s="205">
        <f>AGOSTO!D76+SEPTIEMBRE!P76</f>
        <v>0</v>
      </c>
      <c r="E76" s="205">
        <f>AGOSTO!E76+SEPTIEMBRE!Q76</f>
        <v>0</v>
      </c>
      <c r="F76" s="205">
        <f>SUM(C76:E76)</f>
        <v>341067989</v>
      </c>
      <c r="G76" s="205">
        <f>AGOSTO!I76</f>
        <v>119431788</v>
      </c>
      <c r="H76" s="208">
        <v>9234710</v>
      </c>
      <c r="I76" s="205">
        <f>SUM(G76:H76)</f>
        <v>128666498</v>
      </c>
      <c r="J76" s="205">
        <f>AGOSTO!L76</f>
        <v>172300</v>
      </c>
      <c r="K76" s="208">
        <v>0</v>
      </c>
      <c r="L76" s="205">
        <f>SUM(J76:K76)</f>
        <v>172300</v>
      </c>
      <c r="M76" s="205">
        <f>F76-I76</f>
        <v>212401491</v>
      </c>
      <c r="N76" s="671">
        <f>F76-L76</f>
        <v>340895689</v>
      </c>
      <c r="O76" s="67"/>
      <c r="P76" s="204">
        <v>0</v>
      </c>
      <c r="Q76" s="210">
        <v>0</v>
      </c>
      <c r="R76" s="101"/>
      <c r="S76" s="311" t="str">
        <f>+IF(AGOSTO!S76=0,"",AGOSTO!S76)</f>
        <v>2.1.1.01.01.001.04-1</v>
      </c>
      <c r="T76" s="1056" t="str">
        <f>+IF(AGOSTO!T76=0,"",AGOSTO!T76)</f>
        <v>Auxilio de Alimentación</v>
      </c>
      <c r="U76" s="373">
        <f>+ENERO!U76</f>
        <v>0</v>
      </c>
      <c r="V76" s="220">
        <f>SUM(AGOSTO!V76+SEPTIEMBRE!AL76)</f>
        <v>0</v>
      </c>
      <c r="W76" s="220">
        <f>AGOSTO!W76+SEPTIEMBRE!AM76</f>
        <v>0</v>
      </c>
      <c r="X76" s="271">
        <f t="shared" si="73"/>
        <v>0</v>
      </c>
      <c r="Y76" s="270">
        <f>AGOSTO!AA76</f>
        <v>0</v>
      </c>
      <c r="Z76" s="208"/>
      <c r="AA76" s="271">
        <f t="shared" si="74"/>
        <v>0</v>
      </c>
      <c r="AB76" s="270">
        <f>AGOSTO!AD76</f>
        <v>0</v>
      </c>
      <c r="AC76" s="208"/>
      <c r="AD76" s="271">
        <f t="shared" si="75"/>
        <v>0</v>
      </c>
      <c r="AE76" s="270">
        <f>AGOSTO!AG76</f>
        <v>0</v>
      </c>
      <c r="AF76" s="208"/>
      <c r="AG76" s="271">
        <f t="shared" si="76"/>
        <v>0</v>
      </c>
      <c r="AH76" s="270">
        <f t="shared" si="77"/>
        <v>0</v>
      </c>
      <c r="AI76" s="220">
        <f t="shared" si="78"/>
        <v>0</v>
      </c>
      <c r="AJ76" s="269">
        <f t="shared" si="79"/>
        <v>0</v>
      </c>
      <c r="AK76" s="101"/>
      <c r="AL76" s="204">
        <v>0</v>
      </c>
      <c r="AM76" s="210">
        <v>0</v>
      </c>
    </row>
    <row r="77" spans="1:39" ht="24.75" customHeight="1">
      <c r="A77" s="202" t="str">
        <f>+IF(AGOSTO!A77=0,"",AGOSTO!A77)</f>
        <v>1.1.02.05.001.09.02.07.99</v>
      </c>
      <c r="B77" s="331" t="str">
        <f>+IF(AGOSTO!B77=0,"",AGOSTO!B77)</f>
        <v>Vigencia Anterior</v>
      </c>
      <c r="C77" s="204">
        <f>+ENERO!C77</f>
        <v>107653987</v>
      </c>
      <c r="D77" s="205">
        <f>AGOSTO!D77+SEPTIEMBRE!P77</f>
        <v>0</v>
      </c>
      <c r="E77" s="205">
        <f>AGOSTO!E77+SEPTIEMBRE!Q77</f>
        <v>0</v>
      </c>
      <c r="F77" s="205">
        <f>SUM(C77:E77)</f>
        <v>107653987</v>
      </c>
      <c r="G77" s="205">
        <f>AGOSTO!I77</f>
        <v>21405279</v>
      </c>
      <c r="H77" s="208">
        <v>249771719</v>
      </c>
      <c r="I77" s="205">
        <f>SUM(G77:H77)</f>
        <v>271176998</v>
      </c>
      <c r="J77" s="205">
        <f>AGOSTO!L77</f>
        <v>21405279</v>
      </c>
      <c r="K77" s="208">
        <v>249771719</v>
      </c>
      <c r="L77" s="205">
        <f>SUM(J77:K77)</f>
        <v>271176998</v>
      </c>
      <c r="M77" s="205">
        <f>F77-I77</f>
        <v>-163523011</v>
      </c>
      <c r="N77" s="671">
        <f>F77-L77</f>
        <v>-163523011</v>
      </c>
      <c r="O77" s="67"/>
      <c r="P77" s="204">
        <v>0</v>
      </c>
      <c r="Q77" s="210">
        <v>0</v>
      </c>
      <c r="R77" s="101"/>
      <c r="S77" s="311" t="str">
        <f>+IF(AGOSTO!S77=0,"",AGOSTO!S77)</f>
        <v>1010104-8</v>
      </c>
      <c r="T77" s="1056" t="str">
        <f>+IF(AGOSTO!T77=0,"",AGOSTO!T77)</f>
        <v>Indemnizaciones por Vacaciones o Supresión de Cargos por Reestructuración</v>
      </c>
      <c r="U77" s="373">
        <f>+ENERO!U77</f>
        <v>0</v>
      </c>
      <c r="V77" s="220">
        <f>SUM(AGOSTO!V77+SEPTIEMBRE!AL77)</f>
        <v>0</v>
      </c>
      <c r="W77" s="220">
        <f>AGOSTO!W77+SEPTIEMBRE!AM77</f>
        <v>0</v>
      </c>
      <c r="X77" s="271">
        <f t="shared" si="73"/>
        <v>0</v>
      </c>
      <c r="Y77" s="270">
        <f>AGOSTO!AA77</f>
        <v>0</v>
      </c>
      <c r="Z77" s="208"/>
      <c r="AA77" s="271">
        <f t="shared" si="74"/>
        <v>0</v>
      </c>
      <c r="AB77" s="270">
        <f>AGOSTO!AD77</f>
        <v>0</v>
      </c>
      <c r="AC77" s="208"/>
      <c r="AD77" s="271">
        <f t="shared" si="75"/>
        <v>0</v>
      </c>
      <c r="AE77" s="270">
        <f>AGOSTO!AG77</f>
        <v>0</v>
      </c>
      <c r="AF77" s="208"/>
      <c r="AG77" s="271">
        <f t="shared" si="76"/>
        <v>0</v>
      </c>
      <c r="AH77" s="270">
        <f t="shared" si="77"/>
        <v>0</v>
      </c>
      <c r="AI77" s="220">
        <f t="shared" si="78"/>
        <v>0</v>
      </c>
      <c r="AJ77" s="269">
        <f t="shared" si="79"/>
        <v>0</v>
      </c>
      <c r="AK77" s="101"/>
      <c r="AL77" s="204">
        <v>0</v>
      </c>
      <c r="AM77" s="210">
        <v>0</v>
      </c>
    </row>
    <row r="78" spans="1:39" ht="24.75" customHeight="1">
      <c r="A78" s="286" t="str">
        <f>+IF(AGOSTO!A78=0,"",AGOSTO!A78)</f>
        <v>1.1.02.05.001.09.02.13-1</v>
      </c>
      <c r="B78" s="319" t="str">
        <f>+IF(AGOSTO!B78=0,"",AGOSTO!B78)</f>
        <v>PARTICULARES   (Venta de Contado)</v>
      </c>
      <c r="C78" s="288">
        <f>SUM(C79:C80)</f>
        <v>681131551</v>
      </c>
      <c r="D78" s="320">
        <f>SUM(D79:D80)</f>
        <v>0</v>
      </c>
      <c r="E78" s="320">
        <f>SUM(E79:E80)</f>
        <v>0</v>
      </c>
      <c r="F78" s="320">
        <f>SUM(C78:E78)</f>
        <v>681131551</v>
      </c>
      <c r="G78" s="320">
        <f>SUM(G79:G80)</f>
        <v>251269739</v>
      </c>
      <c r="H78" s="320">
        <f>SUM(H79:H80)</f>
        <v>6416700</v>
      </c>
      <c r="I78" s="320">
        <f>SUM(G78:H78)</f>
        <v>257686439</v>
      </c>
      <c r="J78" s="320">
        <f>SUM(J79:J80)</f>
        <v>79865647</v>
      </c>
      <c r="K78" s="320">
        <f>SUM(K79:K80)</f>
        <v>20508831</v>
      </c>
      <c r="L78" s="320">
        <f>SUM(J78:K78)</f>
        <v>100374478</v>
      </c>
      <c r="M78" s="320">
        <f>F78-I78</f>
        <v>423445112</v>
      </c>
      <c r="N78" s="661">
        <f>F78-L78</f>
        <v>580757073</v>
      </c>
      <c r="O78" s="67"/>
      <c r="P78" s="288">
        <f>SUM(P79:P80)</f>
        <v>0</v>
      </c>
      <c r="Q78" s="289">
        <f>SUM(Q79:Q80)</f>
        <v>0</v>
      </c>
      <c r="R78" s="101"/>
      <c r="S78" s="311" t="str">
        <f>+IF(AGOSTO!S78=0,"",AGOSTO!S78)</f>
        <v>1010104-9</v>
      </c>
      <c r="T78" s="1056" t="str">
        <f>+IF(AGOSTO!T78=0,"",AGOSTO!T78)</f>
        <v/>
      </c>
      <c r="U78" s="373">
        <f>+ENERO!U78</f>
        <v>0</v>
      </c>
      <c r="V78" s="220">
        <f>SUM(AGOSTO!V78+SEPTIEMBRE!AL78)</f>
        <v>0</v>
      </c>
      <c r="W78" s="220">
        <f>AGOSTO!W78+SEPTIEMBRE!AM78</f>
        <v>0</v>
      </c>
      <c r="X78" s="271">
        <f t="shared" si="73"/>
        <v>0</v>
      </c>
      <c r="Y78" s="270">
        <f>AGOSTO!AA78</f>
        <v>0</v>
      </c>
      <c r="Z78" s="208"/>
      <c r="AA78" s="271">
        <f t="shared" si="74"/>
        <v>0</v>
      </c>
      <c r="AB78" s="270">
        <f>AGOSTO!AD78</f>
        <v>0</v>
      </c>
      <c r="AC78" s="208"/>
      <c r="AD78" s="271">
        <f t="shared" si="75"/>
        <v>0</v>
      </c>
      <c r="AE78" s="270">
        <f>AGOSTO!AG78</f>
        <v>0</v>
      </c>
      <c r="AF78" s="208"/>
      <c r="AG78" s="271">
        <f t="shared" si="76"/>
        <v>0</v>
      </c>
      <c r="AH78" s="270">
        <f t="shared" si="77"/>
        <v>0</v>
      </c>
      <c r="AI78" s="220">
        <f t="shared" si="78"/>
        <v>0</v>
      </c>
      <c r="AJ78" s="269">
        <f t="shared" si="79"/>
        <v>0</v>
      </c>
      <c r="AK78" s="101"/>
      <c r="AL78" s="204">
        <v>0</v>
      </c>
      <c r="AM78" s="210">
        <v>0</v>
      </c>
    </row>
    <row r="79" spans="1:39" ht="24.75" customHeight="1">
      <c r="A79" s="202" t="str">
        <f>+IF(AGOSTO!A79=0,"",AGOSTO!A79)</f>
        <v>1.1.02.05.001.09.02.13-1</v>
      </c>
      <c r="B79" s="331" t="str">
        <f>+CONCATENATE("Vigencia ",INSTRUCCIONES!$F$3)</f>
        <v>Vigencia 2025</v>
      </c>
      <c r="C79" s="204">
        <f>+ENERO!C79</f>
        <v>531131551</v>
      </c>
      <c r="D79" s="205">
        <f>AGOSTO!D79+SEPTIEMBRE!P79</f>
        <v>0</v>
      </c>
      <c r="E79" s="205">
        <f>AGOSTO!E79+SEPTIEMBRE!Q79</f>
        <v>0</v>
      </c>
      <c r="F79" s="205">
        <f>SUM(C79:E79)</f>
        <v>531131551</v>
      </c>
      <c r="G79" s="205">
        <f>AGOSTO!I79</f>
        <v>229950939</v>
      </c>
      <c r="H79" s="208">
        <v>0</v>
      </c>
      <c r="I79" s="205">
        <f>SUM(G79:H79)</f>
        <v>229950939</v>
      </c>
      <c r="J79" s="205">
        <f>AGOSTO!L79</f>
        <v>58546847</v>
      </c>
      <c r="K79" s="208">
        <v>14092131</v>
      </c>
      <c r="L79" s="205">
        <f>SUM(J79:K79)</f>
        <v>72638978</v>
      </c>
      <c r="M79" s="205">
        <f>F79-I79</f>
        <v>301180612</v>
      </c>
      <c r="N79" s="671">
        <f>F79-L79</f>
        <v>458492573</v>
      </c>
      <c r="O79" s="67"/>
      <c r="P79" s="204">
        <v>0</v>
      </c>
      <c r="Q79" s="210">
        <v>0</v>
      </c>
      <c r="R79" s="101"/>
      <c r="S79" s="311" t="str">
        <f>+IF(AGOSTO!S79=0,"",AGOSTO!S79)</f>
        <v>2.1.1.01.03.001.03-1</v>
      </c>
      <c r="T79" s="312" t="str">
        <f>+IF(AGOSTO!T79=0,"",AGOSTO!T79)</f>
        <v>Bonificación Especial por Recreación</v>
      </c>
      <c r="U79" s="373">
        <f>+ENERO!U79</f>
        <v>0</v>
      </c>
      <c r="V79" s="220">
        <f>SUM(AGOSTO!V79+SEPTIEMBRE!AL79)</f>
        <v>0</v>
      </c>
      <c r="W79" s="220">
        <f>AGOSTO!W79+SEPTIEMBRE!AM79</f>
        <v>0</v>
      </c>
      <c r="X79" s="271">
        <f t="shared" si="73"/>
        <v>0</v>
      </c>
      <c r="Y79" s="270">
        <f>AGOSTO!AA79</f>
        <v>0</v>
      </c>
      <c r="Z79" s="208"/>
      <c r="AA79" s="271">
        <f t="shared" si="74"/>
        <v>0</v>
      </c>
      <c r="AB79" s="270">
        <f>AGOSTO!AD79</f>
        <v>0</v>
      </c>
      <c r="AC79" s="208"/>
      <c r="AD79" s="271">
        <f t="shared" si="75"/>
        <v>0</v>
      </c>
      <c r="AE79" s="270">
        <f>AGOSTO!AG79</f>
        <v>0</v>
      </c>
      <c r="AF79" s="208"/>
      <c r="AG79" s="271">
        <f t="shared" si="76"/>
        <v>0</v>
      </c>
      <c r="AH79" s="270">
        <f t="shared" si="77"/>
        <v>0</v>
      </c>
      <c r="AI79" s="220">
        <f t="shared" si="78"/>
        <v>0</v>
      </c>
      <c r="AJ79" s="269">
        <f t="shared" si="79"/>
        <v>0</v>
      </c>
      <c r="AK79" s="101"/>
      <c r="AL79" s="204">
        <v>0</v>
      </c>
      <c r="AM79" s="210">
        <v>0</v>
      </c>
    </row>
    <row r="80" spans="1:39" ht="24.75" customHeight="1">
      <c r="A80" s="202" t="str">
        <f>+IF(AGOSTO!A80=0,"",AGOSTO!A80)</f>
        <v>1.1.02.05.001.09.02.13.99-1</v>
      </c>
      <c r="B80" s="331" t="str">
        <f>+IF(AGOSTO!B80=0,"",AGOSTO!B80)</f>
        <v>Vigencia Anterior</v>
      </c>
      <c r="C80" s="204">
        <f>+ENERO!C80</f>
        <v>150000000</v>
      </c>
      <c r="D80" s="205">
        <f>AGOSTO!D80+SEPTIEMBRE!P80</f>
        <v>0</v>
      </c>
      <c r="E80" s="205">
        <f>AGOSTO!E80+SEPTIEMBRE!Q80</f>
        <v>0</v>
      </c>
      <c r="F80" s="205">
        <f>SUM(C80:E80)</f>
        <v>150000000</v>
      </c>
      <c r="G80" s="205">
        <f>AGOSTO!I80</f>
        <v>21318800</v>
      </c>
      <c r="H80" s="208">
        <v>6416700</v>
      </c>
      <c r="I80" s="205">
        <f>SUM(G80:H80)</f>
        <v>27735500</v>
      </c>
      <c r="J80" s="205">
        <f>AGOSTO!L80</f>
        <v>21318800</v>
      </c>
      <c r="K80" s="208">
        <v>6416700</v>
      </c>
      <c r="L80" s="205">
        <f>SUM(J80:K80)</f>
        <v>27735500</v>
      </c>
      <c r="M80" s="205">
        <f>F80-I80</f>
        <v>122264500</v>
      </c>
      <c r="N80" s="671">
        <f>F80-L80</f>
        <v>122264500</v>
      </c>
      <c r="O80" s="67"/>
      <c r="P80" s="204">
        <v>0</v>
      </c>
      <c r="Q80" s="210">
        <v>0</v>
      </c>
      <c r="R80" s="101"/>
      <c r="S80" s="311" t="str">
        <f>+IF(AGOSTO!S80=0,"",AGOSTO!S80)</f>
        <v>2.1.1.01.03.001.01-1</v>
      </c>
      <c r="T80" s="312" t="str">
        <f>+IF(AGOSTO!T80=0,"",AGOSTO!T80)</f>
        <v>Vacaciones</v>
      </c>
      <c r="U80" s="373">
        <f>+ENERO!U80</f>
        <v>0</v>
      </c>
      <c r="V80" s="220">
        <f>SUM(AGOSTO!V80+SEPTIEMBRE!AL80)</f>
        <v>0</v>
      </c>
      <c r="W80" s="220">
        <f>AGOSTO!W80+SEPTIEMBRE!AM80</f>
        <v>0</v>
      </c>
      <c r="X80" s="271">
        <f t="shared" si="73"/>
        <v>0</v>
      </c>
      <c r="Y80" s="270">
        <f>AGOSTO!AA80</f>
        <v>0</v>
      </c>
      <c r="Z80" s="208"/>
      <c r="AA80" s="271">
        <f t="shared" si="74"/>
        <v>0</v>
      </c>
      <c r="AB80" s="270">
        <f>AGOSTO!AD80</f>
        <v>0</v>
      </c>
      <c r="AC80" s="208"/>
      <c r="AD80" s="271">
        <f t="shared" si="75"/>
        <v>0</v>
      </c>
      <c r="AE80" s="270">
        <f>AGOSTO!AG80</f>
        <v>0</v>
      </c>
      <c r="AF80" s="208"/>
      <c r="AG80" s="271">
        <f t="shared" si="76"/>
        <v>0</v>
      </c>
      <c r="AH80" s="270">
        <f t="shared" si="77"/>
        <v>0</v>
      </c>
      <c r="AI80" s="220">
        <f t="shared" si="78"/>
        <v>0</v>
      </c>
      <c r="AJ80" s="269">
        <f t="shared" si="79"/>
        <v>0</v>
      </c>
      <c r="AK80" s="101"/>
      <c r="AL80" s="204">
        <v>0</v>
      </c>
      <c r="AM80" s="210">
        <v>0</v>
      </c>
    </row>
    <row r="81" spans="1:40" ht="24.75" customHeight="1">
      <c r="A81" s="286" t="str">
        <f>+IF(AGOSTO!A81=0,"",AGOSTO!A81)</f>
        <v>1.1.02.05.001.09.02.08</v>
      </c>
      <c r="B81" s="319" t="str">
        <f>+IF(AGOSTO!B81=0,"",AGOSTO!B81)</f>
        <v>POLICIA NACIONAL</v>
      </c>
      <c r="C81" s="288">
        <f>ENERO!C81</f>
        <v>386698320</v>
      </c>
      <c r="D81" s="320">
        <f t="shared" ref="D81:N81" si="82">SUM(D82:D83)</f>
        <v>0</v>
      </c>
      <c r="E81" s="320">
        <f t="shared" si="82"/>
        <v>0</v>
      </c>
      <c r="F81" s="320">
        <f t="shared" si="82"/>
        <v>386698320</v>
      </c>
      <c r="G81" s="320">
        <f t="shared" si="82"/>
        <v>216926175</v>
      </c>
      <c r="H81" s="320">
        <f t="shared" si="82"/>
        <v>103826485</v>
      </c>
      <c r="I81" s="320">
        <f t="shared" si="82"/>
        <v>320752660</v>
      </c>
      <c r="J81" s="320">
        <f t="shared" si="82"/>
        <v>163909579</v>
      </c>
      <c r="K81" s="320">
        <f t="shared" si="82"/>
        <v>90210991</v>
      </c>
      <c r="L81" s="320">
        <f t="shared" si="82"/>
        <v>254120570</v>
      </c>
      <c r="M81" s="320">
        <f t="shared" si="82"/>
        <v>65945660</v>
      </c>
      <c r="N81" s="661">
        <f t="shared" si="82"/>
        <v>132577750</v>
      </c>
      <c r="O81" s="67"/>
      <c r="P81" s="288">
        <f>SUM(P82:P83)</f>
        <v>0</v>
      </c>
      <c r="Q81" s="289">
        <f>SUM(Q82:Q83)</f>
        <v>0</v>
      </c>
      <c r="R81" s="101"/>
      <c r="S81" s="266" t="str">
        <f>+IF(AGOSTO!S81=0,"",AGOSTO!S81)</f>
        <v>2.1.2.02.02.009.902.99</v>
      </c>
      <c r="T81" s="267" t="str">
        <f>+IF(AGOSTO!T81=0,"",AGOSTO!T81)</f>
        <v>Vigencias Anteriores</v>
      </c>
      <c r="U81" s="373">
        <f>+ENERO!U81</f>
        <v>0</v>
      </c>
      <c r="V81" s="220">
        <f>SUM(AGOSTO!V81+SEPTIEMBRE!AL81)</f>
        <v>0</v>
      </c>
      <c r="W81" s="220">
        <f>AGOSTO!W81+SEPTIEMBRE!AM81</f>
        <v>0</v>
      </c>
      <c r="X81" s="271">
        <f t="shared" si="73"/>
        <v>0</v>
      </c>
      <c r="Y81" s="270">
        <f>AGOSTO!AA81</f>
        <v>0</v>
      </c>
      <c r="Z81" s="208"/>
      <c r="AA81" s="271">
        <f t="shared" si="74"/>
        <v>0</v>
      </c>
      <c r="AB81" s="270">
        <f>AGOSTO!AD81</f>
        <v>0</v>
      </c>
      <c r="AC81" s="208"/>
      <c r="AD81" s="271">
        <f t="shared" si="75"/>
        <v>0</v>
      </c>
      <c r="AE81" s="270">
        <f>AGOSTO!AG81</f>
        <v>0</v>
      </c>
      <c r="AF81" s="208"/>
      <c r="AG81" s="271">
        <f t="shared" si="76"/>
        <v>0</v>
      </c>
      <c r="AH81" s="270">
        <f t="shared" si="77"/>
        <v>0</v>
      </c>
      <c r="AI81" s="220">
        <f t="shared" si="78"/>
        <v>0</v>
      </c>
      <c r="AJ81" s="269">
        <f t="shared" si="79"/>
        <v>0</v>
      </c>
      <c r="AK81" s="101"/>
      <c r="AL81" s="204"/>
      <c r="AM81" s="210"/>
    </row>
    <row r="82" spans="1:40" ht="24.75" customHeight="1">
      <c r="A82" s="202" t="str">
        <f>+IF(AGOSTO!A82=0,"",AGOSTO!A82)</f>
        <v>1.1.02.05.001.09.02.08</v>
      </c>
      <c r="B82" s="331" t="str">
        <f>+CONCATENATE("Vigencia ",INSTRUCCIONES!$F$3)</f>
        <v>Vigencia 2025</v>
      </c>
      <c r="C82" s="204">
        <f>+ENERO!C82</f>
        <v>376911385</v>
      </c>
      <c r="D82" s="205">
        <f>AGOSTO!D82+SEPTIEMBRE!P82</f>
        <v>0</v>
      </c>
      <c r="E82" s="205">
        <f>AGOSTO!E82+SEPTIEMBRE!Q82</f>
        <v>0</v>
      </c>
      <c r="F82" s="205">
        <f>SUM(C82:E82)</f>
        <v>376911385</v>
      </c>
      <c r="G82" s="205">
        <f>AGOSTO!I82</f>
        <v>160244042</v>
      </c>
      <c r="H82" s="208">
        <v>18389475</v>
      </c>
      <c r="I82" s="205">
        <f>SUM(G82:H82)</f>
        <v>178633517</v>
      </c>
      <c r="J82" s="205">
        <f>AGOSTO!L82</f>
        <v>107227446</v>
      </c>
      <c r="K82" s="208">
        <v>4773981</v>
      </c>
      <c r="L82" s="205">
        <f>SUM(J82:K82)</f>
        <v>112001427</v>
      </c>
      <c r="M82" s="205">
        <f>F82-I82</f>
        <v>198277868</v>
      </c>
      <c r="N82" s="671">
        <f>F82-L82</f>
        <v>264909958</v>
      </c>
      <c r="O82" s="67"/>
      <c r="P82" s="204">
        <v>0</v>
      </c>
      <c r="Q82" s="210">
        <v>0</v>
      </c>
      <c r="R82" s="101"/>
      <c r="S82" s="189" t="str">
        <f>+IF(AGOSTO!S82=0,"",AGOSTO!S82)</f>
        <v/>
      </c>
      <c r="T82" s="488" t="str">
        <f>+IF(AGOSTO!T82=0,"",AGOSTO!T82)</f>
        <v/>
      </c>
      <c r="U82" s="191"/>
      <c r="V82" s="191"/>
      <c r="W82" s="191"/>
      <c r="X82" s="191"/>
      <c r="Y82" s="191"/>
      <c r="Z82" s="191"/>
      <c r="AA82" s="191"/>
      <c r="AB82" s="191"/>
      <c r="AC82" s="191"/>
      <c r="AD82" s="191"/>
      <c r="AE82" s="191"/>
      <c r="AF82" s="191"/>
      <c r="AG82" s="191"/>
      <c r="AH82" s="191"/>
      <c r="AI82" s="191"/>
      <c r="AJ82" s="192"/>
      <c r="AK82" s="101"/>
      <c r="AL82" s="370"/>
      <c r="AM82" s="371"/>
    </row>
    <row r="83" spans="1:40" ht="24.75" customHeight="1" thickBot="1">
      <c r="A83" s="202" t="str">
        <f>+IF(AGOSTO!A83=0,"",AGOSTO!A83)</f>
        <v>1.1.02.05.001.09.02.08,99</v>
      </c>
      <c r="B83" s="377" t="str">
        <f>+IF(AGOSTO!B83=0,"",AGOSTO!B83)</f>
        <v>Vigencia Anterior</v>
      </c>
      <c r="C83" s="242">
        <f>+ENERO!C83</f>
        <v>9786935</v>
      </c>
      <c r="D83" s="243">
        <f>AGOSTO!D83+SEPTIEMBRE!P83</f>
        <v>0</v>
      </c>
      <c r="E83" s="243">
        <f>AGOSTO!E83+SEPTIEMBRE!Q83</f>
        <v>0</v>
      </c>
      <c r="F83" s="243">
        <f>SUM(C83:E83)</f>
        <v>9786935</v>
      </c>
      <c r="G83" s="243">
        <f>AGOSTO!I83</f>
        <v>56682133</v>
      </c>
      <c r="H83" s="246">
        <v>85437010</v>
      </c>
      <c r="I83" s="243">
        <f>SUM(G83:H83)</f>
        <v>142119143</v>
      </c>
      <c r="J83" s="243">
        <f>AGOSTO!L83</f>
        <v>56682133</v>
      </c>
      <c r="K83" s="246">
        <v>85437010</v>
      </c>
      <c r="L83" s="243">
        <f>SUM(J83:K83)</f>
        <v>142119143</v>
      </c>
      <c r="M83" s="243">
        <f>F83-I83</f>
        <v>-132332208</v>
      </c>
      <c r="N83" s="673">
        <f>F83-L83</f>
        <v>-132332208</v>
      </c>
      <c r="O83" s="67"/>
      <c r="P83" s="204">
        <v>0</v>
      </c>
      <c r="Q83" s="210">
        <v>0</v>
      </c>
      <c r="R83" s="101"/>
      <c r="S83" s="257">
        <f>+IF(AGOSTO!S83=0,"",AGOSTO!S83)</f>
        <v>1020200</v>
      </c>
      <c r="T83" s="546" t="str">
        <f>+IF(AGOSTO!T83=0,"",AGOSTO!T83)</f>
        <v>Servicios Personales Indirectos</v>
      </c>
      <c r="U83" s="230">
        <f>SUM(U84:U88)</f>
        <v>64518803470</v>
      </c>
      <c r="V83" s="231">
        <f>SUM(V84:V88)</f>
        <v>-3473000000</v>
      </c>
      <c r="W83" s="231">
        <f>SUM(W84:W88)</f>
        <v>7470635160</v>
      </c>
      <c r="X83" s="234">
        <f>SUM(X84:X88)</f>
        <v>68516438630</v>
      </c>
      <c r="Y83" s="233">
        <f t="shared" ref="Y83:AJ83" si="83">SUM(Y84:Y88)</f>
        <v>62404266400</v>
      </c>
      <c r="Z83" s="231">
        <f t="shared" si="83"/>
        <v>14000000</v>
      </c>
      <c r="AA83" s="234">
        <f t="shared" si="83"/>
        <v>62418266400</v>
      </c>
      <c r="AB83" s="233">
        <f t="shared" si="83"/>
        <v>51216637108</v>
      </c>
      <c r="AC83" s="231">
        <f t="shared" si="83"/>
        <v>4661629839</v>
      </c>
      <c r="AD83" s="234">
        <f t="shared" si="83"/>
        <v>55878266947</v>
      </c>
      <c r="AE83" s="233">
        <f t="shared" si="83"/>
        <v>36492465476</v>
      </c>
      <c r="AF83" s="231">
        <f t="shared" si="83"/>
        <v>5051591850</v>
      </c>
      <c r="AG83" s="234">
        <f t="shared" si="83"/>
        <v>41544057326</v>
      </c>
      <c r="AH83" s="233">
        <f t="shared" si="83"/>
        <v>6098172230</v>
      </c>
      <c r="AI83" s="231">
        <f t="shared" si="83"/>
        <v>12638171683</v>
      </c>
      <c r="AJ83" s="232">
        <f t="shared" si="83"/>
        <v>26972381304</v>
      </c>
      <c r="AK83" s="101"/>
      <c r="AL83" s="233">
        <f>SUM(AL84:AL88)</f>
        <v>-950000000</v>
      </c>
      <c r="AM83" s="232">
        <f>SUM(AM84:AM88)</f>
        <v>0</v>
      </c>
    </row>
    <row r="84" spans="1:40" ht="24.75" customHeight="1" thickBot="1">
      <c r="A84" s="378" t="str">
        <f>+IF(AGOSTO!A84=0,"",AGOSTO!A84)</f>
        <v/>
      </c>
      <c r="B84" s="379" t="str">
        <f>+IF(AGOSTO!B84=0,"",AGOSTO!B84)</f>
        <v/>
      </c>
      <c r="C84" s="67"/>
      <c r="D84" s="67"/>
      <c r="E84" s="67"/>
      <c r="F84" s="67"/>
      <c r="G84" s="67"/>
      <c r="H84" s="67"/>
      <c r="I84" s="67"/>
      <c r="J84" s="67"/>
      <c r="K84" s="67"/>
      <c r="L84" s="67"/>
      <c r="M84" s="67"/>
      <c r="N84" s="1091"/>
      <c r="O84" s="369"/>
      <c r="P84" s="380"/>
      <c r="Q84" s="254"/>
      <c r="R84" s="101"/>
      <c r="S84" s="266" t="str">
        <f>+IF(AGOSTO!S84=0,"",AGOSTO!S84)</f>
        <v>2.1.2.02.02.009.902</v>
      </c>
      <c r="T84" s="267" t="str">
        <f>+IF(AGOSTO!T84=0,"",AGOSTO!T84)</f>
        <v>Servicios Personales (Personal Asistencial)</v>
      </c>
      <c r="U84" s="373">
        <f>+ENERO!U84</f>
        <v>55683487770</v>
      </c>
      <c r="V84" s="220">
        <f>SUM(AGOSTO!V84+SEPTIEMBRE!AL84)</f>
        <v>-5535698533</v>
      </c>
      <c r="W84" s="220">
        <f>AGOSTO!W84+SEPTIEMBRE!AM84</f>
        <v>4562452399</v>
      </c>
      <c r="X84" s="271">
        <f>SUM(U84:W84)</f>
        <v>54710241636</v>
      </c>
      <c r="Y84" s="270">
        <f>AGOSTO!AA84</f>
        <v>48600750950</v>
      </c>
      <c r="Z84" s="208">
        <v>14000000</v>
      </c>
      <c r="AA84" s="271">
        <f>SUM(Y84:Z84)</f>
        <v>48614750950</v>
      </c>
      <c r="AB84" s="270">
        <f>AGOSTO!AD84</f>
        <v>37413121658</v>
      </c>
      <c r="AC84" s="208">
        <v>4661629839</v>
      </c>
      <c r="AD84" s="271">
        <f>SUM(AB84:AC84)</f>
        <v>42074751497</v>
      </c>
      <c r="AE84" s="270">
        <f>AGOSTO!AG84</f>
        <v>22688950026</v>
      </c>
      <c r="AF84" s="208">
        <v>5051591850</v>
      </c>
      <c r="AG84" s="271">
        <f>SUM(AE84:AF84)</f>
        <v>27740541876</v>
      </c>
      <c r="AH84" s="270">
        <f>X84-AA84</f>
        <v>6095490686</v>
      </c>
      <c r="AI84" s="220">
        <f>X84-AD84</f>
        <v>12635490139</v>
      </c>
      <c r="AJ84" s="269">
        <f>X84-AG84</f>
        <v>26969699760</v>
      </c>
      <c r="AK84" s="101">
        <f>+AA84</f>
        <v>48614750950</v>
      </c>
      <c r="AL84" s="204">
        <v>-950000000</v>
      </c>
      <c r="AM84" s="210">
        <v>0</v>
      </c>
      <c r="AN84" s="101">
        <f>+AK84-JUNIO!AK84</f>
        <v>15236943250</v>
      </c>
    </row>
    <row r="85" spans="1:40" ht="24.75" customHeight="1">
      <c r="A85" s="381" t="str">
        <f>+IF(AGOSTO!A85=0,"",AGOSTO!A85)</f>
        <v>1.1.02.05.001.09.02.90</v>
      </c>
      <c r="B85" s="382" t="str">
        <f>+IF(AGOSTO!B85=0,"",AGOSTO!B85)</f>
        <v>Otras Ventas de Servicios de Salud</v>
      </c>
      <c r="C85" s="383">
        <f t="shared" ref="C85:N85" si="84">SUM(C86:C92)</f>
        <v>0</v>
      </c>
      <c r="D85" s="384">
        <f t="shared" si="84"/>
        <v>0</v>
      </c>
      <c r="E85" s="384">
        <f t="shared" si="84"/>
        <v>21574720366</v>
      </c>
      <c r="F85" s="384">
        <f t="shared" si="84"/>
        <v>21574720366</v>
      </c>
      <c r="G85" s="384">
        <f t="shared" si="84"/>
        <v>13991337983</v>
      </c>
      <c r="H85" s="384">
        <f t="shared" si="84"/>
        <v>3369232694</v>
      </c>
      <c r="I85" s="384">
        <f t="shared" si="84"/>
        <v>17360570677</v>
      </c>
      <c r="J85" s="384">
        <f t="shared" si="84"/>
        <v>9334529080</v>
      </c>
      <c r="K85" s="384">
        <f t="shared" si="84"/>
        <v>3035899367</v>
      </c>
      <c r="L85" s="384">
        <f t="shared" si="84"/>
        <v>12370428447</v>
      </c>
      <c r="M85" s="384">
        <f t="shared" si="84"/>
        <v>4214149689</v>
      </c>
      <c r="N85" s="1092">
        <f t="shared" si="84"/>
        <v>9204291919</v>
      </c>
      <c r="O85" s="67"/>
      <c r="P85" s="288">
        <f>SUM(P86:P92)</f>
        <v>0</v>
      </c>
      <c r="Q85" s="289">
        <f>SUM(Q86:Q92)</f>
        <v>0</v>
      </c>
      <c r="R85" s="101"/>
      <c r="S85" s="266" t="str">
        <f>+IF(AGOSTO!S85=0,"",AGOSTO!S85)</f>
        <v>1020200-2</v>
      </c>
      <c r="T85" s="267" t="str">
        <f>+IF(AGOSTO!T85=0,"",AGOSTO!T85)</f>
        <v>Personal Supernumerario</v>
      </c>
      <c r="U85" s="373">
        <f>+ENERO!U85</f>
        <v>0</v>
      </c>
      <c r="V85" s="220">
        <f>SUM(AGOSTO!V85+SEPTIEMBRE!AL85)</f>
        <v>0</v>
      </c>
      <c r="W85" s="220">
        <f>AGOSTO!W85+SEPTIEMBRE!AM85</f>
        <v>0</v>
      </c>
      <c r="X85" s="271">
        <f>SUM(U85:W85)</f>
        <v>0</v>
      </c>
      <c r="Y85" s="270">
        <f>AGOSTO!AA85</f>
        <v>0</v>
      </c>
      <c r="Z85" s="208"/>
      <c r="AA85" s="271">
        <f>SUM(Y85:Z85)</f>
        <v>0</v>
      </c>
      <c r="AB85" s="270">
        <f>AGOSTO!AD85</f>
        <v>0</v>
      </c>
      <c r="AC85" s="208"/>
      <c r="AD85" s="271">
        <f>SUM(AB85:AC85)</f>
        <v>0</v>
      </c>
      <c r="AE85" s="270">
        <f>AGOSTO!AG85</f>
        <v>0</v>
      </c>
      <c r="AF85" s="208"/>
      <c r="AG85" s="271">
        <f>SUM(AE85:AF85)</f>
        <v>0</v>
      </c>
      <c r="AH85" s="270">
        <f>X85-AA85</f>
        <v>0</v>
      </c>
      <c r="AI85" s="220">
        <f>X85-AD85</f>
        <v>0</v>
      </c>
      <c r="AJ85" s="269">
        <f>X85-AG85</f>
        <v>0</v>
      </c>
      <c r="AK85" s="101"/>
      <c r="AL85" s="204">
        <v>0</v>
      </c>
      <c r="AM85" s="210">
        <v>0</v>
      </c>
      <c r="AN85" s="101">
        <f>+AK85-JUNIO!AK85</f>
        <v>0</v>
      </c>
    </row>
    <row r="86" spans="1:40" ht="24.75" customHeight="1">
      <c r="A86" s="386" t="str">
        <f>+IF(AGOSTO!A86=0,"",AGOSTO!A86)</f>
        <v>1.1.02.05.001.09.02.90.05.99</v>
      </c>
      <c r="B86" s="387" t="str">
        <f>+IF(AGOSTO!B86=0,"",AGOSTO!B86)</f>
        <v>Agendamiento y aplicación de la vacuna COVID 19(Res.166/2021) INSTITUCIONAL</v>
      </c>
      <c r="C86" s="268">
        <f>+ENERO!C86</f>
        <v>0</v>
      </c>
      <c r="D86" s="205">
        <f>AGOSTO!D86+SEPTIEMBRE!P86</f>
        <v>0</v>
      </c>
      <c r="E86" s="205">
        <f>AGOSTO!E86+SEPTIEMBRE!Q86</f>
        <v>0</v>
      </c>
      <c r="F86" s="205">
        <f t="shared" ref="F86:F92" si="85">SUM(C86:E86)</f>
        <v>0</v>
      </c>
      <c r="G86" s="205">
        <f>AGOSTO!I86</f>
        <v>0</v>
      </c>
      <c r="H86" s="208"/>
      <c r="I86" s="205">
        <f t="shared" ref="I86:I92" si="86">SUM(G86:H86)</f>
        <v>0</v>
      </c>
      <c r="J86" s="205">
        <f>AGOSTO!L86</f>
        <v>0</v>
      </c>
      <c r="K86" s="208"/>
      <c r="L86" s="205">
        <f t="shared" ref="L86:L92" si="87">SUM(J86:K86)</f>
        <v>0</v>
      </c>
      <c r="M86" s="205">
        <f t="shared" ref="M86:M92" si="88">F86-I86</f>
        <v>0</v>
      </c>
      <c r="N86" s="671">
        <f t="shared" ref="N86:N92" si="89">F86-L86</f>
        <v>0</v>
      </c>
      <c r="O86" s="67"/>
      <c r="P86" s="204">
        <v>0</v>
      </c>
      <c r="Q86" s="210"/>
      <c r="R86" s="101">
        <v>0</v>
      </c>
      <c r="S86" s="266" t="str">
        <f>+IF(AGOSTO!S86=0,"",AGOSTO!S86)</f>
        <v>1020200-3</v>
      </c>
      <c r="T86" s="267" t="str">
        <f>+IF(AGOSTO!T86=0,"",AGOSTO!T86)</f>
        <v>Otros Honorarios</v>
      </c>
      <c r="U86" s="373">
        <f>+ENERO!U86</f>
        <v>0</v>
      </c>
      <c r="V86" s="220">
        <f>SUM(AGOSTO!V86+SEPTIEMBRE!AL86)</f>
        <v>0</v>
      </c>
      <c r="W86" s="220">
        <f>AGOSTO!W86+SEPTIEMBRE!AM86</f>
        <v>0</v>
      </c>
      <c r="X86" s="271">
        <f>SUM(U86:W86)</f>
        <v>0</v>
      </c>
      <c r="Y86" s="270">
        <f>AGOSTO!AA86</f>
        <v>0</v>
      </c>
      <c r="Z86" s="208"/>
      <c r="AA86" s="271">
        <f>SUM(Y86:Z86)</f>
        <v>0</v>
      </c>
      <c r="AB86" s="270">
        <f>AGOSTO!AD86</f>
        <v>0</v>
      </c>
      <c r="AC86" s="208"/>
      <c r="AD86" s="271">
        <f>SUM(AB86:AC86)</f>
        <v>0</v>
      </c>
      <c r="AE86" s="270">
        <f>AGOSTO!AG86</f>
        <v>0</v>
      </c>
      <c r="AF86" s="208"/>
      <c r="AG86" s="271">
        <f>SUM(AE86:AF86)</f>
        <v>0</v>
      </c>
      <c r="AH86" s="270">
        <f>X86-AA86</f>
        <v>0</v>
      </c>
      <c r="AI86" s="220">
        <f>X86-AD86</f>
        <v>0</v>
      </c>
      <c r="AJ86" s="269">
        <f>X86-AG86</f>
        <v>0</v>
      </c>
      <c r="AK86" s="101"/>
      <c r="AL86" s="204">
        <v>0</v>
      </c>
      <c r="AM86" s="210">
        <v>0</v>
      </c>
      <c r="AN86" s="101">
        <f>+AK86-JUNIO!AK86</f>
        <v>0</v>
      </c>
    </row>
    <row r="87" spans="1:40" ht="24.75" customHeight="1">
      <c r="A87" s="386">
        <f>+IF(AGOSTO!A87=0,"",AGOSTO!A87)</f>
        <v>1130202</v>
      </c>
      <c r="B87" s="387">
        <f>+IF(AGOSTO!B87=0,"",AGOSTO!B87)</f>
        <v>1130202</v>
      </c>
      <c r="C87" s="268">
        <f>+ENERO!C87</f>
        <v>0</v>
      </c>
      <c r="D87" s="205">
        <f>AGOSTO!D87+SEPTIEMBRE!P87</f>
        <v>0</v>
      </c>
      <c r="E87" s="205">
        <f>AGOSTO!E87+SEPTIEMBRE!Q87</f>
        <v>0</v>
      </c>
      <c r="F87" s="205">
        <f t="shared" si="85"/>
        <v>0</v>
      </c>
      <c r="G87" s="205">
        <f>AGOSTO!I87</f>
        <v>0</v>
      </c>
      <c r="H87" s="208"/>
      <c r="I87" s="205">
        <f t="shared" si="86"/>
        <v>0</v>
      </c>
      <c r="J87" s="205">
        <f>AGOSTO!L87</f>
        <v>0</v>
      </c>
      <c r="K87" s="208"/>
      <c r="L87" s="205">
        <f t="shared" si="87"/>
        <v>0</v>
      </c>
      <c r="M87" s="205">
        <f t="shared" si="88"/>
        <v>0</v>
      </c>
      <c r="N87" s="671">
        <f t="shared" si="89"/>
        <v>0</v>
      </c>
      <c r="O87" s="67"/>
      <c r="P87" s="204">
        <v>0</v>
      </c>
      <c r="Q87" s="210">
        <v>0</v>
      </c>
      <c r="R87" s="101"/>
      <c r="S87" s="266" t="str">
        <f>+IF(AGOSTO!S87=0,"",AGOSTO!S87)</f>
        <v>1020200-4</v>
      </c>
      <c r="T87" s="267" t="str">
        <f>+IF(AGOSTO!T87=0,"",AGOSTO!T87)</f>
        <v>Otros Honorarios</v>
      </c>
      <c r="U87" s="373">
        <f>+ENERO!U87</f>
        <v>0</v>
      </c>
      <c r="V87" s="220">
        <f>SUM(AGOSTO!V87+SEPTIEMBRE!AL87)</f>
        <v>0</v>
      </c>
      <c r="W87" s="220">
        <f>AGOSTO!W87+SEPTIEMBRE!AM87</f>
        <v>0</v>
      </c>
      <c r="X87" s="271">
        <f>SUM(U87:W87)</f>
        <v>0</v>
      </c>
      <c r="Y87" s="270">
        <f>AGOSTO!AA87</f>
        <v>0</v>
      </c>
      <c r="Z87" s="208"/>
      <c r="AA87" s="271">
        <f>SUM(Y87:Z87)</f>
        <v>0</v>
      </c>
      <c r="AB87" s="270">
        <f>AGOSTO!AD87</f>
        <v>0</v>
      </c>
      <c r="AC87" s="208"/>
      <c r="AD87" s="271">
        <f>SUM(AB87:AC87)</f>
        <v>0</v>
      </c>
      <c r="AE87" s="270">
        <f>AGOSTO!AG87</f>
        <v>0</v>
      </c>
      <c r="AF87" s="208"/>
      <c r="AG87" s="271">
        <f>SUM(AE87:AF87)</f>
        <v>0</v>
      </c>
      <c r="AH87" s="270">
        <f>X87-AA87</f>
        <v>0</v>
      </c>
      <c r="AI87" s="220">
        <f>X87-AD87</f>
        <v>0</v>
      </c>
      <c r="AJ87" s="269">
        <f>X87-AG87</f>
        <v>0</v>
      </c>
      <c r="AK87" s="101"/>
      <c r="AL87" s="204">
        <v>0</v>
      </c>
      <c r="AM87" s="210">
        <v>0</v>
      </c>
      <c r="AN87" s="101">
        <f>+AK87-JUNIO!AK87</f>
        <v>0</v>
      </c>
    </row>
    <row r="88" spans="1:40" ht="24.75" customHeight="1">
      <c r="A88" s="386" t="str">
        <f>+IF(AGOSTO!A88=0,"",AGOSTO!A88)</f>
        <v>1.1.02.05.001.08</v>
      </c>
      <c r="B88" s="388" t="str">
        <f>+IF(AGOSTO!B88=0,"",AGOSTO!B88)</f>
        <v>Servicios Prestados a las empresas y servicios de produccion</v>
      </c>
      <c r="C88" s="268">
        <f>+ENERO!C88</f>
        <v>0</v>
      </c>
      <c r="D88" s="205">
        <f>AGOSTO!D88+SEPTIEMBRE!P88</f>
        <v>0</v>
      </c>
      <c r="E88" s="205">
        <f>AGOSTO!E88+SEPTIEMBRE!Q88</f>
        <v>2337265046</v>
      </c>
      <c r="F88" s="205">
        <f t="shared" si="85"/>
        <v>2337265046</v>
      </c>
      <c r="G88" s="205">
        <f>AGOSTO!I88</f>
        <v>2337265046</v>
      </c>
      <c r="H88" s="208">
        <v>0</v>
      </c>
      <c r="I88" s="205">
        <f t="shared" si="86"/>
        <v>2337265046</v>
      </c>
      <c r="J88" s="205">
        <f>AGOSTO!L88</f>
        <v>2278833420</v>
      </c>
      <c r="K88" s="208">
        <v>0</v>
      </c>
      <c r="L88" s="205">
        <f t="shared" si="87"/>
        <v>2278833420</v>
      </c>
      <c r="M88" s="205">
        <f t="shared" si="88"/>
        <v>0</v>
      </c>
      <c r="N88" s="671">
        <f t="shared" si="89"/>
        <v>58431626</v>
      </c>
      <c r="O88" s="67"/>
      <c r="P88" s="204">
        <v>0</v>
      </c>
      <c r="Q88" s="210">
        <v>0</v>
      </c>
      <c r="R88" s="101"/>
      <c r="S88" s="266" t="str">
        <f>+IF(AGOSTO!S88=0,"",AGOSTO!S88)</f>
        <v>2.1.2.02.02.009.99.01</v>
      </c>
      <c r="T88" s="267" t="str">
        <f>+IF(AGOSTO!T88=0,"",AGOSTO!T88)</f>
        <v>Vigencias Anteriores</v>
      </c>
      <c r="U88" s="373">
        <f>+ENERO!U88</f>
        <v>8835315700</v>
      </c>
      <c r="V88" s="220">
        <f>SUM(AGOSTO!V88+SEPTIEMBRE!AL88)</f>
        <v>2062698533</v>
      </c>
      <c r="W88" s="220">
        <f>AGOSTO!W88+SEPTIEMBRE!AM88</f>
        <v>2908182761</v>
      </c>
      <c r="X88" s="271">
        <f>SUM(U88:W88)</f>
        <v>13806196994</v>
      </c>
      <c r="Y88" s="270">
        <f>AGOSTO!AA88</f>
        <v>13803515450</v>
      </c>
      <c r="Z88" s="208"/>
      <c r="AA88" s="271">
        <f>SUM(Y88:Z88)</f>
        <v>13803515450</v>
      </c>
      <c r="AB88" s="270">
        <f>AGOSTO!AD88</f>
        <v>13803515450</v>
      </c>
      <c r="AC88" s="208"/>
      <c r="AD88" s="271">
        <f>SUM(AB88:AC88)</f>
        <v>13803515450</v>
      </c>
      <c r="AE88" s="270">
        <f>AGOSTO!AG88</f>
        <v>13803515450</v>
      </c>
      <c r="AF88" s="208"/>
      <c r="AG88" s="271">
        <f>SUM(AE88:AF88)</f>
        <v>13803515450</v>
      </c>
      <c r="AH88" s="270">
        <f>X88-AA88</f>
        <v>2681544</v>
      </c>
      <c r="AI88" s="220">
        <f>X88-AD88</f>
        <v>2681544</v>
      </c>
      <c r="AJ88" s="269">
        <f>X88-AG88</f>
        <v>2681544</v>
      </c>
      <c r="AK88" s="101"/>
      <c r="AL88" s="204">
        <v>0</v>
      </c>
      <c r="AM88" s="210">
        <v>0</v>
      </c>
      <c r="AN88" s="101">
        <f>+AK88-JUNIO!AK88</f>
        <v>0</v>
      </c>
    </row>
    <row r="89" spans="1:40" ht="24.75" customHeight="1">
      <c r="A89" s="386" t="str">
        <f>+IF(AGOSTO!A89=0,"",AGOSTO!A89)</f>
        <v>1.1.02.05.001.09.02.90.04</v>
      </c>
      <c r="B89" s="388" t="str">
        <f>+IF(AGOSTO!B89=0,"",AGOSTO!B89)</f>
        <v>CONVENIOS CON EL DEPARTAMENTO LIGADOS A LA VENTA SERVICIOS</v>
      </c>
      <c r="C89" s="268">
        <f>+ENERO!C89</f>
        <v>0</v>
      </c>
      <c r="D89" s="205">
        <f>AGOSTO!D89+SEPTIEMBRE!P89</f>
        <v>0</v>
      </c>
      <c r="E89" s="205">
        <f>AGOSTO!E89+SEPTIEMBRE!Q89</f>
        <v>9574697797</v>
      </c>
      <c r="F89" s="205">
        <f t="shared" si="85"/>
        <v>9574697797</v>
      </c>
      <c r="G89" s="205">
        <f>AGOSTO!I89</f>
        <v>4732832951</v>
      </c>
      <c r="H89" s="208">
        <v>2051046034</v>
      </c>
      <c r="I89" s="205">
        <f t="shared" si="86"/>
        <v>6783878985</v>
      </c>
      <c r="J89" s="205">
        <f>AGOSTO!L89</f>
        <v>4708111447</v>
      </c>
      <c r="K89" s="208">
        <v>2051046034</v>
      </c>
      <c r="L89" s="205">
        <f t="shared" si="87"/>
        <v>6759157481</v>
      </c>
      <c r="M89" s="205">
        <f t="shared" si="88"/>
        <v>2790818812</v>
      </c>
      <c r="N89" s="671">
        <f t="shared" si="89"/>
        <v>2815540316</v>
      </c>
      <c r="O89" s="67"/>
      <c r="P89" s="204">
        <v>0</v>
      </c>
      <c r="Q89" s="210">
        <v>0</v>
      </c>
      <c r="R89" s="101"/>
      <c r="S89" s="189" t="str">
        <f>+IF(AGOSTO!S89=0,"",AGOSTO!S89)</f>
        <v/>
      </c>
      <c r="T89" s="488" t="str">
        <f>+IF(AGOSTO!T89=0,"",AGOSTO!T89)</f>
        <v/>
      </c>
      <c r="U89" s="191"/>
      <c r="V89" s="191"/>
      <c r="W89" s="191"/>
      <c r="X89" s="191"/>
      <c r="Y89" s="191"/>
      <c r="Z89" s="191"/>
      <c r="AA89" s="191"/>
      <c r="AB89" s="191"/>
      <c r="AC89" s="191"/>
      <c r="AD89" s="191"/>
      <c r="AE89" s="191"/>
      <c r="AF89" s="191"/>
      <c r="AG89" s="191"/>
      <c r="AH89" s="191"/>
      <c r="AI89" s="191"/>
      <c r="AJ89" s="192"/>
      <c r="AK89" s="101"/>
      <c r="AL89" s="370"/>
      <c r="AM89" s="371"/>
      <c r="AN89" s="1190">
        <f>SUM(AN36:AN88)</f>
        <v>20130114301</v>
      </c>
    </row>
    <row r="90" spans="1:40" ht="24.75" customHeight="1">
      <c r="A90" s="386" t="str">
        <f>+IF(AGOSTO!A90=0,"",AGOSTO!A90)</f>
        <v>1.1.02.05.001.09.02.18.03</v>
      </c>
      <c r="B90" s="388" t="str">
        <f>+IF(AGOSTO!B90=0,"",AGOSTO!B90)</f>
        <v xml:space="preserve">CONVENIOS CON EL MUNICIPIO LIGADOS A LA VENTA DE SERVICIOS </v>
      </c>
      <c r="C90" s="268">
        <f>+ENERO!C90</f>
        <v>0</v>
      </c>
      <c r="D90" s="205">
        <f>AGOSTO!D90+SEPTIEMBRE!P90</f>
        <v>0</v>
      </c>
      <c r="E90" s="205">
        <f>AGOSTO!E90+SEPTIEMBRE!Q90</f>
        <v>9662757523</v>
      </c>
      <c r="F90" s="205">
        <f t="shared" si="85"/>
        <v>9662757523</v>
      </c>
      <c r="G90" s="205">
        <f>AGOSTO!I90</f>
        <v>6921239986</v>
      </c>
      <c r="H90" s="208">
        <f>800000000+351520000+166666660</f>
        <v>1318186660</v>
      </c>
      <c r="I90" s="205">
        <f t="shared" si="86"/>
        <v>8239426646</v>
      </c>
      <c r="J90" s="205">
        <f>AGOSTO!L90</f>
        <v>2347584213</v>
      </c>
      <c r="K90" s="208">
        <f>550000000+351520000+83333333</f>
        <v>984853333</v>
      </c>
      <c r="L90" s="205">
        <f t="shared" si="87"/>
        <v>3332437546</v>
      </c>
      <c r="M90" s="205">
        <f t="shared" si="88"/>
        <v>1423330877</v>
      </c>
      <c r="N90" s="671">
        <f t="shared" si="89"/>
        <v>6330319977</v>
      </c>
      <c r="O90" s="67"/>
      <c r="P90" s="204">
        <v>0</v>
      </c>
      <c r="Q90" s="210">
        <v>0</v>
      </c>
      <c r="R90" s="389"/>
      <c r="S90" s="257">
        <f>+IF(AGOSTO!S90=0,"",AGOSTO!S90)</f>
        <v>1020300</v>
      </c>
      <c r="T90" s="546" t="str">
        <f>+IF(AGOSTO!T90=0,"",AGOSTO!T90)</f>
        <v>Contribuciones Inherentes nómina al Sector Privado</v>
      </c>
      <c r="U90" s="230">
        <f>U91+U96+U102</f>
        <v>0</v>
      </c>
      <c r="V90" s="231">
        <f>V91+V96+V102</f>
        <v>0</v>
      </c>
      <c r="W90" s="231">
        <f>W91+W96+W102</f>
        <v>0</v>
      </c>
      <c r="X90" s="234">
        <f>X91+X96+X102</f>
        <v>0</v>
      </c>
      <c r="Y90" s="233">
        <f t="shared" ref="Y90:AJ90" si="90">Y91+Y96+Y102</f>
        <v>0</v>
      </c>
      <c r="Z90" s="231">
        <f t="shared" si="90"/>
        <v>0</v>
      </c>
      <c r="AA90" s="234">
        <f t="shared" si="90"/>
        <v>0</v>
      </c>
      <c r="AB90" s="233">
        <f t="shared" si="90"/>
        <v>0</v>
      </c>
      <c r="AC90" s="231">
        <f t="shared" si="90"/>
        <v>0</v>
      </c>
      <c r="AD90" s="234">
        <f t="shared" si="90"/>
        <v>0</v>
      </c>
      <c r="AE90" s="233">
        <f t="shared" si="90"/>
        <v>0</v>
      </c>
      <c r="AF90" s="231">
        <f t="shared" si="90"/>
        <v>0</v>
      </c>
      <c r="AG90" s="234">
        <f t="shared" si="90"/>
        <v>0</v>
      </c>
      <c r="AH90" s="233">
        <f t="shared" si="90"/>
        <v>0</v>
      </c>
      <c r="AI90" s="231">
        <f t="shared" si="90"/>
        <v>0</v>
      </c>
      <c r="AJ90" s="232">
        <f t="shared" si="90"/>
        <v>0</v>
      </c>
      <c r="AK90" s="101"/>
      <c r="AL90" s="233">
        <f>AL91+AL96+AL102</f>
        <v>0</v>
      </c>
      <c r="AM90" s="232">
        <f>AM91+AM96+AM102</f>
        <v>0</v>
      </c>
    </row>
    <row r="91" spans="1:40" ht="24.75" customHeight="1">
      <c r="A91" s="386">
        <f>+IF(AGOSTO!A91=0,"",AGOSTO!A91)</f>
        <v>1130206</v>
      </c>
      <c r="B91" s="388" t="str">
        <f>+IF(AGOSTO!B91=0,"",AGOSTO!B91)</f>
        <v>OTROS CONVENIOS LIGADOS A LA VENTA DE SERVICIOS</v>
      </c>
      <c r="C91" s="268">
        <f>+ENERO!C91</f>
        <v>0</v>
      </c>
      <c r="D91" s="205">
        <f>AGOSTO!D91+SEPTIEMBRE!P91</f>
        <v>0</v>
      </c>
      <c r="E91" s="205">
        <f>AGOSTO!E91+SEPTIEMBRE!Q91</f>
        <v>0</v>
      </c>
      <c r="F91" s="205">
        <f t="shared" si="85"/>
        <v>0</v>
      </c>
      <c r="G91" s="205">
        <f>AGOSTO!I91</f>
        <v>0</v>
      </c>
      <c r="H91" s="208"/>
      <c r="I91" s="205">
        <f t="shared" si="86"/>
        <v>0</v>
      </c>
      <c r="J91" s="205">
        <f>AGOSTO!L91</f>
        <v>0</v>
      </c>
      <c r="K91" s="208"/>
      <c r="L91" s="205">
        <f t="shared" si="87"/>
        <v>0</v>
      </c>
      <c r="M91" s="205">
        <f t="shared" si="88"/>
        <v>0</v>
      </c>
      <c r="N91" s="671">
        <f t="shared" si="89"/>
        <v>0</v>
      </c>
      <c r="O91" s="67"/>
      <c r="P91" s="204">
        <v>0</v>
      </c>
      <c r="Q91" s="210">
        <v>0</v>
      </c>
      <c r="R91" s="389"/>
      <c r="S91" s="266">
        <f>+IF(AGOSTO!S91=0,"",AGOSTO!S91)</f>
        <v>1020301</v>
      </c>
      <c r="T91" s="267" t="str">
        <f>+IF(AGOSTO!T91=0,"",AGOSTO!T91)</f>
        <v>Contribuciones - SGP - Aportes Patronales - Cuenta Maestra</v>
      </c>
      <c r="U91" s="373">
        <f>SUM(U92:U95)</f>
        <v>0</v>
      </c>
      <c r="V91" s="220">
        <f>SUM(AGOSTO!V91+SEPTIEMBRE!AL91)</f>
        <v>0</v>
      </c>
      <c r="W91" s="220">
        <f>AGOSTO!W91+SEPTIEMBRE!AM91</f>
        <v>0</v>
      </c>
      <c r="X91" s="271">
        <f>SUM(X92:X95)</f>
        <v>0</v>
      </c>
      <c r="Y91" s="270">
        <f t="shared" ref="Y91:AJ91" si="91">SUM(Y92:Y95)</f>
        <v>0</v>
      </c>
      <c r="Z91" s="300">
        <f t="shared" si="91"/>
        <v>0</v>
      </c>
      <c r="AA91" s="271">
        <f t="shared" si="91"/>
        <v>0</v>
      </c>
      <c r="AB91" s="270">
        <f t="shared" si="91"/>
        <v>0</v>
      </c>
      <c r="AC91" s="300">
        <f t="shared" si="91"/>
        <v>0</v>
      </c>
      <c r="AD91" s="271">
        <f t="shared" si="91"/>
        <v>0</v>
      </c>
      <c r="AE91" s="270">
        <f t="shared" si="91"/>
        <v>0</v>
      </c>
      <c r="AF91" s="300">
        <f t="shared" si="91"/>
        <v>0</v>
      </c>
      <c r="AG91" s="271">
        <f t="shared" si="91"/>
        <v>0</v>
      </c>
      <c r="AH91" s="270">
        <f t="shared" si="91"/>
        <v>0</v>
      </c>
      <c r="AI91" s="220">
        <f t="shared" si="91"/>
        <v>0</v>
      </c>
      <c r="AJ91" s="269">
        <f t="shared" si="91"/>
        <v>0</v>
      </c>
      <c r="AK91" s="101"/>
      <c r="AL91" s="301">
        <f>SUM(AL92:AL95)</f>
        <v>0</v>
      </c>
      <c r="AM91" s="302">
        <f>SUM(AM92:AM95)</f>
        <v>0</v>
      </c>
    </row>
    <row r="92" spans="1:40" ht="24.75" customHeight="1" thickBot="1">
      <c r="A92" s="386" t="str">
        <f>+IF(AGOSTO!A92=0,"",AGOSTO!A92)</f>
        <v>1.1.02.05.001.09.02.90.05.99</v>
      </c>
      <c r="B92" s="390" t="str">
        <f>+IF(AGOSTO!B92=0,"",AGOSTO!B92)</f>
        <v>Vigencia Anterior de Otros Convenios de Salud Nacionales (vacunacion covid-19 agendamiento y aplicación)</v>
      </c>
      <c r="C92" s="391">
        <f>+ENERO!C92</f>
        <v>0</v>
      </c>
      <c r="D92" s="243">
        <f>AGOSTO!D92+SEPTIEMBRE!P92</f>
        <v>0</v>
      </c>
      <c r="E92" s="243">
        <f>AGOSTO!E92+SEPTIEMBRE!Q92</f>
        <v>0</v>
      </c>
      <c r="F92" s="243">
        <f t="shared" si="85"/>
        <v>0</v>
      </c>
      <c r="G92" s="243">
        <f>AGOSTO!I92</f>
        <v>0</v>
      </c>
      <c r="H92" s="246"/>
      <c r="I92" s="243">
        <f t="shared" si="86"/>
        <v>0</v>
      </c>
      <c r="J92" s="243">
        <f>AGOSTO!L92</f>
        <v>0</v>
      </c>
      <c r="K92" s="246"/>
      <c r="L92" s="243">
        <f t="shared" si="87"/>
        <v>0</v>
      </c>
      <c r="M92" s="243">
        <f t="shared" si="88"/>
        <v>0</v>
      </c>
      <c r="N92" s="673">
        <f t="shared" si="89"/>
        <v>0</v>
      </c>
      <c r="O92" s="67"/>
      <c r="P92" s="204">
        <v>0</v>
      </c>
      <c r="Q92" s="210">
        <v>0</v>
      </c>
      <c r="R92" s="389"/>
      <c r="S92" s="311" t="str">
        <f>+IF(AGOSTO!S92=0,"",AGOSTO!S92)</f>
        <v>1020301-1</v>
      </c>
      <c r="T92" s="312" t="str">
        <f>+IF(AGOSTO!T92=0,"",AGOSTO!T92)</f>
        <v>E.P.S. - Aportes cuenta maestra</v>
      </c>
      <c r="U92" s="373">
        <f>+ENERO!U92</f>
        <v>0</v>
      </c>
      <c r="V92" s="220">
        <f>SUM(AGOSTO!V92+SEPTIEMBRE!AL92)</f>
        <v>0</v>
      </c>
      <c r="W92" s="220">
        <f>AGOSTO!W92+SEPTIEMBRE!AM92</f>
        <v>0</v>
      </c>
      <c r="X92" s="271">
        <f>SUM(U92:W92)</f>
        <v>0</v>
      </c>
      <c r="Y92" s="270">
        <f>AGOSTO!AA92</f>
        <v>0</v>
      </c>
      <c r="Z92" s="208"/>
      <c r="AA92" s="271">
        <f>SUM(Y92:Z92)</f>
        <v>0</v>
      </c>
      <c r="AB92" s="270">
        <f>AGOSTO!AD92</f>
        <v>0</v>
      </c>
      <c r="AC92" s="208"/>
      <c r="AD92" s="271">
        <f>SUM(AB92:AC92)</f>
        <v>0</v>
      </c>
      <c r="AE92" s="270">
        <f>AGOSTO!AG92</f>
        <v>0</v>
      </c>
      <c r="AF92" s="208"/>
      <c r="AG92" s="271">
        <f>SUM(AE92:AF92)</f>
        <v>0</v>
      </c>
      <c r="AH92" s="270">
        <f>X92-AA92</f>
        <v>0</v>
      </c>
      <c r="AI92" s="220">
        <f>X92-AD92</f>
        <v>0</v>
      </c>
      <c r="AJ92" s="269">
        <f>X92-AG92</f>
        <v>0</v>
      </c>
      <c r="AK92" s="101"/>
      <c r="AL92" s="204">
        <v>0</v>
      </c>
      <c r="AM92" s="210">
        <v>0</v>
      </c>
    </row>
    <row r="93" spans="1:40" ht="24.75" customHeight="1" thickBot="1">
      <c r="A93" s="378" t="str">
        <f>+IF(AGOSTO!A93=0,"",AGOSTO!A93)</f>
        <v/>
      </c>
      <c r="B93" s="379" t="str">
        <f>+IF(AGOSTO!B93=0,"",AGOSTO!B93)</f>
        <v/>
      </c>
      <c r="C93" s="67"/>
      <c r="D93" s="67"/>
      <c r="E93" s="67"/>
      <c r="F93" s="67"/>
      <c r="G93" s="67"/>
      <c r="H93" s="67"/>
      <c r="I93" s="67"/>
      <c r="J93" s="67"/>
      <c r="K93" s="67"/>
      <c r="L93" s="67"/>
      <c r="M93" s="67"/>
      <c r="N93" s="1091"/>
      <c r="O93" s="369"/>
      <c r="P93" s="380"/>
      <c r="Q93" s="254"/>
      <c r="R93" s="389"/>
      <c r="S93" s="311" t="str">
        <f>+IF(AGOSTO!S93=0,"",AGOSTO!S93)</f>
        <v>1020301-2</v>
      </c>
      <c r="T93" s="312" t="str">
        <f>+IF(AGOSTO!T93=0,"",AGOSTO!T93)</f>
        <v>Fondos pensionales - Aportes cuenta maestra</v>
      </c>
      <c r="U93" s="373">
        <f>+ENERO!U93</f>
        <v>0</v>
      </c>
      <c r="V93" s="220">
        <f>SUM(AGOSTO!V93+SEPTIEMBRE!AL93)</f>
        <v>0</v>
      </c>
      <c r="W93" s="220">
        <f>AGOSTO!W93+SEPTIEMBRE!AM93</f>
        <v>0</v>
      </c>
      <c r="X93" s="271">
        <f>SUM(U93:W93)</f>
        <v>0</v>
      </c>
      <c r="Y93" s="270">
        <f>AGOSTO!AA93</f>
        <v>0</v>
      </c>
      <c r="Z93" s="208"/>
      <c r="AA93" s="271">
        <f>SUM(Y93:Z93)</f>
        <v>0</v>
      </c>
      <c r="AB93" s="270">
        <f>AGOSTO!AD93</f>
        <v>0</v>
      </c>
      <c r="AC93" s="208"/>
      <c r="AD93" s="271">
        <f>SUM(AB93:AC93)</f>
        <v>0</v>
      </c>
      <c r="AE93" s="270">
        <f>AGOSTO!AG93</f>
        <v>0</v>
      </c>
      <c r="AF93" s="208"/>
      <c r="AG93" s="271">
        <f>SUM(AE93:AF93)</f>
        <v>0</v>
      </c>
      <c r="AH93" s="270">
        <f>X93-AA93</f>
        <v>0</v>
      </c>
      <c r="AI93" s="220">
        <f>X93-AD93</f>
        <v>0</v>
      </c>
      <c r="AJ93" s="269">
        <f>X93-AG93</f>
        <v>0</v>
      </c>
      <c r="AK93" s="101"/>
      <c r="AL93" s="204">
        <v>0</v>
      </c>
      <c r="AM93" s="210">
        <v>0</v>
      </c>
    </row>
    <row r="94" spans="1:40" ht="39.75" customHeight="1">
      <c r="A94" s="392" t="str">
        <f>+IF(AGOSTO!A94=0,"",AGOSTO!A94)</f>
        <v>1.1.02.06.006.06</v>
      </c>
      <c r="B94" s="393" t="str">
        <f>+IF(AGOSTO!B94=0,"",AGOSTO!B94)</f>
        <v>Aportes (No ligados a la venta de servicios de salud)</v>
      </c>
      <c r="C94" s="383">
        <f t="shared" ref="C94:N94" si="92">SUM(C95:C102)</f>
        <v>650000000</v>
      </c>
      <c r="D94" s="384">
        <f t="shared" si="92"/>
        <v>0</v>
      </c>
      <c r="E94" s="384">
        <f t="shared" si="92"/>
        <v>657553400</v>
      </c>
      <c r="F94" s="384">
        <f t="shared" si="92"/>
        <v>1307553400</v>
      </c>
      <c r="G94" s="384">
        <f t="shared" si="92"/>
        <v>1513880037</v>
      </c>
      <c r="H94" s="384">
        <f t="shared" si="92"/>
        <v>0</v>
      </c>
      <c r="I94" s="384">
        <f t="shared" si="92"/>
        <v>1513880037</v>
      </c>
      <c r="J94" s="384">
        <f t="shared" si="92"/>
        <v>1513880037</v>
      </c>
      <c r="K94" s="384">
        <f t="shared" si="92"/>
        <v>0</v>
      </c>
      <c r="L94" s="384">
        <f t="shared" si="92"/>
        <v>1513880037</v>
      </c>
      <c r="M94" s="384">
        <f t="shared" si="92"/>
        <v>-206326637</v>
      </c>
      <c r="N94" s="1092">
        <f t="shared" si="92"/>
        <v>-206326637</v>
      </c>
      <c r="O94" s="67"/>
      <c r="P94" s="288">
        <f>SUM(P95:P102)</f>
        <v>0</v>
      </c>
      <c r="Q94" s="289">
        <f>SUM(Q95:Q102)</f>
        <v>0</v>
      </c>
      <c r="R94" s="389"/>
      <c r="S94" s="311" t="str">
        <f>+IF(AGOSTO!S94=0,"",AGOSTO!S94)</f>
        <v>1020301-3</v>
      </c>
      <c r="T94" s="312" t="str">
        <f>+IF(AGOSTO!T94=0,"",AGOSTO!T94)</f>
        <v>Fondos de cesantías - Aportes cuenta maestra</v>
      </c>
      <c r="U94" s="373">
        <f>+ENERO!U94</f>
        <v>0</v>
      </c>
      <c r="V94" s="220">
        <f>SUM(AGOSTO!V94+SEPTIEMBRE!AL94)</f>
        <v>0</v>
      </c>
      <c r="W94" s="220">
        <f>AGOSTO!W94+SEPTIEMBRE!AM94</f>
        <v>0</v>
      </c>
      <c r="X94" s="271">
        <f>SUM(U94:W94)</f>
        <v>0</v>
      </c>
      <c r="Y94" s="270">
        <f>AGOSTO!AA94</f>
        <v>0</v>
      </c>
      <c r="Z94" s="208"/>
      <c r="AA94" s="271">
        <f>SUM(Y94:Z94)</f>
        <v>0</v>
      </c>
      <c r="AB94" s="270">
        <f>AGOSTO!AD94</f>
        <v>0</v>
      </c>
      <c r="AC94" s="208"/>
      <c r="AD94" s="271">
        <f>SUM(AB94:AC94)</f>
        <v>0</v>
      </c>
      <c r="AE94" s="270">
        <f>AGOSTO!AG94</f>
        <v>0</v>
      </c>
      <c r="AF94" s="208"/>
      <c r="AG94" s="271">
        <f>SUM(AE94:AF94)</f>
        <v>0</v>
      </c>
      <c r="AH94" s="270">
        <f>X94-AA94</f>
        <v>0</v>
      </c>
      <c r="AI94" s="220">
        <f>X94-AD94</f>
        <v>0</v>
      </c>
      <c r="AJ94" s="269">
        <f>X94-AG94</f>
        <v>0</v>
      </c>
      <c r="AK94" s="101"/>
      <c r="AL94" s="204">
        <v>0</v>
      </c>
      <c r="AM94" s="210">
        <v>0</v>
      </c>
    </row>
    <row r="95" spans="1:40" ht="24.75" customHeight="1">
      <c r="A95" s="394" t="str">
        <f>+IF(AGOSTO!A95=0,"",AGOSTO!A95)</f>
        <v>1.2.08.06.002</v>
      </c>
      <c r="B95" s="397" t="str">
        <f>+IF(AGOSTO!B95=0,"",AGOSTO!B95)</f>
        <v>Condicionadas a la adquisicion de un activo</v>
      </c>
      <c r="C95" s="268">
        <f>+ENERO!C95</f>
        <v>0</v>
      </c>
      <c r="D95" s="205">
        <f>AGOSTO!D95+SEPTIEMBRE!P95</f>
        <v>0</v>
      </c>
      <c r="E95" s="205">
        <f>AGOSTO!E95+SEPTIEMBRE!Q95</f>
        <v>0</v>
      </c>
      <c r="F95" s="205">
        <f>SUM(C95:E95)</f>
        <v>0</v>
      </c>
      <c r="G95" s="205">
        <f>AGOSTO!I95</f>
        <v>0</v>
      </c>
      <c r="H95" s="208">
        <v>0</v>
      </c>
      <c r="I95" s="205">
        <f t="shared" ref="I95:I102" si="93">SUM(G95:H95)</f>
        <v>0</v>
      </c>
      <c r="J95" s="205">
        <f>AGOSTO!L95</f>
        <v>0</v>
      </c>
      <c r="K95" s="208"/>
      <c r="L95" s="205">
        <f>SUM(J95:K95)</f>
        <v>0</v>
      </c>
      <c r="M95" s="205">
        <f t="shared" ref="M95:M102" si="94">F95-I95</f>
        <v>0</v>
      </c>
      <c r="N95" s="671">
        <f t="shared" ref="N95:N102" si="95">F95-L95</f>
        <v>0</v>
      </c>
      <c r="O95" s="67"/>
      <c r="P95" s="204">
        <v>0</v>
      </c>
      <c r="Q95" s="210">
        <v>0</v>
      </c>
      <c r="R95" s="389">
        <v>0</v>
      </c>
      <c r="S95" s="311" t="str">
        <f>+IF(AGOSTO!S95=0,"",AGOSTO!S95)</f>
        <v>1020301-4</v>
      </c>
      <c r="T95" s="312" t="str">
        <f>+IF(AGOSTO!T95=0,"",AGOSTO!T95)</f>
        <v>Riesgos laborales - Aportes cuenta maestra</v>
      </c>
      <c r="U95" s="373">
        <f>+ENERO!U95</f>
        <v>0</v>
      </c>
      <c r="V95" s="220">
        <f>SUM(AGOSTO!V95+SEPTIEMBRE!AL95)</f>
        <v>0</v>
      </c>
      <c r="W95" s="220">
        <f>AGOSTO!W95+SEPTIEMBRE!AM95</f>
        <v>0</v>
      </c>
      <c r="X95" s="271">
        <f>SUM(U95:W95)</f>
        <v>0</v>
      </c>
      <c r="Y95" s="270">
        <f>AGOSTO!AA95</f>
        <v>0</v>
      </c>
      <c r="Z95" s="208"/>
      <c r="AA95" s="271">
        <f>SUM(Y95:Z95)</f>
        <v>0</v>
      </c>
      <c r="AB95" s="270">
        <f>AGOSTO!AD95</f>
        <v>0</v>
      </c>
      <c r="AC95" s="208"/>
      <c r="AD95" s="271">
        <f>SUM(AB95:AC95)</f>
        <v>0</v>
      </c>
      <c r="AE95" s="270">
        <f>AGOSTO!AG95</f>
        <v>0</v>
      </c>
      <c r="AF95" s="208"/>
      <c r="AG95" s="271">
        <f>SUM(AE95:AF95)</f>
        <v>0</v>
      </c>
      <c r="AH95" s="270">
        <f>X95-AA95</f>
        <v>0</v>
      </c>
      <c r="AI95" s="220">
        <f>X95-AD95</f>
        <v>0</v>
      </c>
      <c r="AJ95" s="269">
        <f>X95-AG95</f>
        <v>0</v>
      </c>
      <c r="AK95" s="101"/>
      <c r="AL95" s="204">
        <v>0</v>
      </c>
      <c r="AM95" s="210">
        <v>0</v>
      </c>
    </row>
    <row r="96" spans="1:40" ht="24.75" customHeight="1">
      <c r="A96" s="394" t="str">
        <f>+IF(AGOSTO!A96=0,"",AGOSTO!A96)</f>
        <v>1.2.08.06.002</v>
      </c>
      <c r="B96" s="397" t="str">
        <f>+IF(AGOSTO!B96=0,"",AGOSTO!B96)</f>
        <v>Condicionados a la adquisición de un activo (DSSA)</v>
      </c>
      <c r="C96" s="268">
        <f>+ENERO!C96</f>
        <v>0</v>
      </c>
      <c r="D96" s="205">
        <f>AGOSTO!D96+SEPTIEMBRE!P96</f>
        <v>0</v>
      </c>
      <c r="E96" s="205">
        <f>AGOSTO!E96+SEPTIEMBRE!Q96</f>
        <v>0</v>
      </c>
      <c r="F96" s="205">
        <f t="shared" ref="F96:F102" si="96">SUM(C96:E96)</f>
        <v>0</v>
      </c>
      <c r="G96" s="205">
        <f>AGOSTO!I96</f>
        <v>0</v>
      </c>
      <c r="H96" s="208"/>
      <c r="I96" s="205">
        <f t="shared" si="93"/>
        <v>0</v>
      </c>
      <c r="J96" s="205">
        <f>AGOSTO!L96</f>
        <v>0</v>
      </c>
      <c r="K96" s="208"/>
      <c r="L96" s="205">
        <f t="shared" ref="L96:L102" si="97">SUM(J96:K96)</f>
        <v>0</v>
      </c>
      <c r="M96" s="205">
        <f t="shared" si="94"/>
        <v>0</v>
      </c>
      <c r="N96" s="671">
        <f t="shared" si="95"/>
        <v>0</v>
      </c>
      <c r="O96" s="67"/>
      <c r="P96" s="204">
        <v>0</v>
      </c>
      <c r="Q96" s="210"/>
      <c r="R96" s="389"/>
      <c r="S96" s="266">
        <f>+IF(AGOSTO!S96=0,"",AGOSTO!S96)</f>
        <v>1020302</v>
      </c>
      <c r="T96" s="267" t="str">
        <f>+IF(AGOSTO!T96=0,"",AGOSTO!T96)</f>
        <v>Contribuciones - Otros</v>
      </c>
      <c r="U96" s="373">
        <f>SUM(U97:U101)</f>
        <v>0</v>
      </c>
      <c r="V96" s="220">
        <f>SUM(AGOSTO!V96+SEPTIEMBRE!AL96)</f>
        <v>0</v>
      </c>
      <c r="W96" s="220">
        <f>SUM(W97:W101)</f>
        <v>0</v>
      </c>
      <c r="X96" s="271">
        <f>SUM(X97:X101)</f>
        <v>0</v>
      </c>
      <c r="Y96" s="270">
        <f t="shared" ref="Y96:AJ96" si="98">SUM(Y97:Y101)</f>
        <v>0</v>
      </c>
      <c r="Z96" s="300">
        <f t="shared" si="98"/>
        <v>0</v>
      </c>
      <c r="AA96" s="271">
        <f t="shared" si="98"/>
        <v>0</v>
      </c>
      <c r="AB96" s="270">
        <f t="shared" si="98"/>
        <v>0</v>
      </c>
      <c r="AC96" s="300">
        <f t="shared" si="98"/>
        <v>0</v>
      </c>
      <c r="AD96" s="271">
        <f t="shared" si="98"/>
        <v>0</v>
      </c>
      <c r="AE96" s="270">
        <f t="shared" si="98"/>
        <v>0</v>
      </c>
      <c r="AF96" s="300">
        <f t="shared" si="98"/>
        <v>0</v>
      </c>
      <c r="AG96" s="271">
        <f t="shared" si="98"/>
        <v>0</v>
      </c>
      <c r="AH96" s="270">
        <f t="shared" si="98"/>
        <v>0</v>
      </c>
      <c r="AI96" s="220">
        <f t="shared" si="98"/>
        <v>0</v>
      </c>
      <c r="AJ96" s="269">
        <f t="shared" si="98"/>
        <v>0</v>
      </c>
      <c r="AK96" s="389"/>
      <c r="AL96" s="395">
        <f>SUM(AL97:AL101)</f>
        <v>0</v>
      </c>
      <c r="AM96" s="396">
        <f>SUM(AM97:AM101)</f>
        <v>0</v>
      </c>
    </row>
    <row r="97" spans="1:39" ht="24.75" customHeight="1">
      <c r="A97" s="394" t="str">
        <f>+IF(AGOSTO!A97=0,"",AGOSTO!A97)</f>
        <v>1.2.08.02</v>
      </c>
      <c r="B97" s="397" t="str">
        <f>+IF(AGOSTO!B97=0,"",AGOSTO!B97)</f>
        <v>Indemnizaciones Relacionadas con seguros No de vida</v>
      </c>
      <c r="C97" s="268">
        <f>+ENERO!C97</f>
        <v>0</v>
      </c>
      <c r="D97" s="205">
        <f>AGOSTO!D97+SEPTIEMBRE!P97</f>
        <v>0</v>
      </c>
      <c r="E97" s="205">
        <f>AGOSTO!E97+SEPTIEMBRE!Q97</f>
        <v>0</v>
      </c>
      <c r="F97" s="205">
        <f t="shared" si="96"/>
        <v>0</v>
      </c>
      <c r="G97" s="205">
        <f>AGOSTO!I97</f>
        <v>0</v>
      </c>
      <c r="H97" s="208"/>
      <c r="I97" s="205">
        <f t="shared" si="93"/>
        <v>0</v>
      </c>
      <c r="J97" s="205">
        <f>AGOSTO!L97</f>
        <v>0</v>
      </c>
      <c r="K97" s="208"/>
      <c r="L97" s="205">
        <f t="shared" si="97"/>
        <v>0</v>
      </c>
      <c r="M97" s="205">
        <f t="shared" si="94"/>
        <v>0</v>
      </c>
      <c r="N97" s="206">
        <f t="shared" si="95"/>
        <v>0</v>
      </c>
      <c r="O97" s="67"/>
      <c r="P97" s="204">
        <v>0</v>
      </c>
      <c r="Q97" s="210">
        <v>0</v>
      </c>
      <c r="R97" s="389"/>
      <c r="S97" s="311" t="str">
        <f>+IF(AGOSTO!S97=0,"",AGOSTO!S97)</f>
        <v>2.1.1.01.02.002-1</v>
      </c>
      <c r="T97" s="312" t="str">
        <f>+IF(AGOSTO!T97=0,"",AGOSTO!T97)</f>
        <v>Aportes a E.P.S. - recursos propios</v>
      </c>
      <c r="U97" s="373">
        <f>+ENERO!U97</f>
        <v>0</v>
      </c>
      <c r="V97" s="220">
        <f>SUM(AGOSTO!V97+SEPTIEMBRE!AL97)</f>
        <v>0</v>
      </c>
      <c r="W97" s="220">
        <f>AGOSTO!W97+SEPTIEMBRE!AM97</f>
        <v>0</v>
      </c>
      <c r="X97" s="271">
        <f t="shared" ref="X97:X102" si="99">SUM(U97:W97)</f>
        <v>0</v>
      </c>
      <c r="Y97" s="270">
        <f>AGOSTO!AA97</f>
        <v>0</v>
      </c>
      <c r="Z97" s="208"/>
      <c r="AA97" s="271">
        <f t="shared" ref="AA97:AA102" si="100">SUM(Y97:Z97)</f>
        <v>0</v>
      </c>
      <c r="AB97" s="270">
        <f>AGOSTO!AD97</f>
        <v>0</v>
      </c>
      <c r="AC97" s="208"/>
      <c r="AD97" s="271">
        <f t="shared" ref="AD97:AD102" si="101">SUM(AB97:AC97)</f>
        <v>0</v>
      </c>
      <c r="AE97" s="270">
        <f>AGOSTO!AG97</f>
        <v>0</v>
      </c>
      <c r="AF97" s="208"/>
      <c r="AG97" s="271">
        <f t="shared" ref="AG97:AG102" si="102">SUM(AE97:AF97)</f>
        <v>0</v>
      </c>
      <c r="AH97" s="270">
        <f t="shared" ref="AH97:AH102" si="103">X97-AA97</f>
        <v>0</v>
      </c>
      <c r="AI97" s="220">
        <f t="shared" ref="AI97:AI102" si="104">X97-AD97</f>
        <v>0</v>
      </c>
      <c r="AJ97" s="269">
        <f t="shared" ref="AJ97:AJ102" si="105">X97-AG97</f>
        <v>0</v>
      </c>
      <c r="AK97" s="389"/>
      <c r="AL97" s="204">
        <v>0</v>
      </c>
      <c r="AM97" s="210">
        <v>0</v>
      </c>
    </row>
    <row r="98" spans="1:39" ht="24.75" customHeight="1">
      <c r="A98" s="394" t="str">
        <f>+IF(AGOSTO!A98=0,"",AGOSTO!A98)</f>
        <v>1.1.02.06.007.02.08</v>
      </c>
      <c r="B98" s="397" t="str">
        <f>+IF(AGOSTO!B98=0,"",AGOSTO!B98)</f>
        <v>Transferencias para las Empresas Sociales del Estado</v>
      </c>
      <c r="C98" s="268">
        <f>+ENERO!C98</f>
        <v>0</v>
      </c>
      <c r="D98" s="205">
        <f>AGOSTO!D98+SEPTIEMBRE!P98</f>
        <v>0</v>
      </c>
      <c r="E98" s="205">
        <f>AGOSTO!E98+SEPTIEMBRE!Q98</f>
        <v>657553400</v>
      </c>
      <c r="F98" s="205">
        <f t="shared" si="96"/>
        <v>657553400</v>
      </c>
      <c r="G98" s="205">
        <f>AGOSTO!I98</f>
        <v>657553400</v>
      </c>
      <c r="H98" s="208"/>
      <c r="I98" s="205">
        <f t="shared" si="93"/>
        <v>657553400</v>
      </c>
      <c r="J98" s="205">
        <f>AGOSTO!L98</f>
        <v>657553400</v>
      </c>
      <c r="K98" s="208"/>
      <c r="L98" s="205">
        <f t="shared" si="97"/>
        <v>657553400</v>
      </c>
      <c r="M98" s="205">
        <f t="shared" si="94"/>
        <v>0</v>
      </c>
      <c r="N98" s="206">
        <f t="shared" si="95"/>
        <v>0</v>
      </c>
      <c r="O98" s="67"/>
      <c r="P98" s="204">
        <v>0</v>
      </c>
      <c r="Q98" s="210">
        <v>0</v>
      </c>
      <c r="R98" s="389"/>
      <c r="S98" s="311" t="str">
        <f>+IF(AGOSTO!S98=0,"",AGOSTO!S98)</f>
        <v>2.1.1.01.02.001-1</v>
      </c>
      <c r="T98" s="312" t="str">
        <f>+IF(AGOSTO!T98=0,"",AGOSTO!T98)</f>
        <v>Aportes Fondos Pensionales - recursos propios</v>
      </c>
      <c r="U98" s="373">
        <f>+ENERO!U98</f>
        <v>0</v>
      </c>
      <c r="V98" s="220">
        <f>SUM(AGOSTO!V98+SEPTIEMBRE!AL98)</f>
        <v>0</v>
      </c>
      <c r="W98" s="220">
        <f>AGOSTO!W98+SEPTIEMBRE!AM98</f>
        <v>0</v>
      </c>
      <c r="X98" s="271">
        <f t="shared" si="99"/>
        <v>0</v>
      </c>
      <c r="Y98" s="270">
        <f>AGOSTO!AA98</f>
        <v>0</v>
      </c>
      <c r="Z98" s="208"/>
      <c r="AA98" s="271">
        <f t="shared" si="100"/>
        <v>0</v>
      </c>
      <c r="AB98" s="270">
        <f>AGOSTO!AD98</f>
        <v>0</v>
      </c>
      <c r="AC98" s="208"/>
      <c r="AD98" s="271">
        <f t="shared" si="101"/>
        <v>0</v>
      </c>
      <c r="AE98" s="270">
        <f>AGOSTO!AG98</f>
        <v>0</v>
      </c>
      <c r="AF98" s="208"/>
      <c r="AG98" s="271">
        <f t="shared" si="102"/>
        <v>0</v>
      </c>
      <c r="AH98" s="270">
        <f t="shared" si="103"/>
        <v>0</v>
      </c>
      <c r="AI98" s="220">
        <f t="shared" si="104"/>
        <v>0</v>
      </c>
      <c r="AJ98" s="269">
        <f t="shared" si="105"/>
        <v>0</v>
      </c>
      <c r="AK98" s="389"/>
      <c r="AL98" s="204">
        <v>0</v>
      </c>
      <c r="AM98" s="210">
        <v>0</v>
      </c>
    </row>
    <row r="99" spans="1:39" ht="24.75" customHeight="1">
      <c r="A99" s="394" t="str">
        <f>+IF(AGOSTO!A99=0,"",AGOSTO!A99)</f>
        <v>11303-5</v>
      </c>
      <c r="B99" s="397" t="str">
        <f>+IF(AGOSTO!B99=0,"",AGOSTO!B99)</f>
        <v>RECURSOS PARA PROGRAMA DE SANEAMIENTO FINANCIERO</v>
      </c>
      <c r="C99" s="268">
        <f>+ENERO!C99</f>
        <v>0</v>
      </c>
      <c r="D99" s="205">
        <f>AGOSTO!D99+SEPTIEMBRE!P99</f>
        <v>0</v>
      </c>
      <c r="E99" s="205">
        <f>AGOSTO!E99+SEPTIEMBRE!Q99</f>
        <v>0</v>
      </c>
      <c r="F99" s="205">
        <f t="shared" si="96"/>
        <v>0</v>
      </c>
      <c r="G99" s="205">
        <f>AGOSTO!I99</f>
        <v>0</v>
      </c>
      <c r="H99" s="208"/>
      <c r="I99" s="205">
        <f t="shared" si="93"/>
        <v>0</v>
      </c>
      <c r="J99" s="205">
        <f>AGOSTO!L99</f>
        <v>0</v>
      </c>
      <c r="K99" s="208"/>
      <c r="L99" s="205">
        <f t="shared" si="97"/>
        <v>0</v>
      </c>
      <c r="M99" s="205">
        <f t="shared" si="94"/>
        <v>0</v>
      </c>
      <c r="N99" s="206">
        <f t="shared" si="95"/>
        <v>0</v>
      </c>
      <c r="O99" s="67"/>
      <c r="P99" s="204">
        <v>0</v>
      </c>
      <c r="Q99" s="210">
        <v>0</v>
      </c>
      <c r="R99" s="389"/>
      <c r="S99" s="311" t="str">
        <f>+IF(AGOSTO!S99=0,"",AGOSTO!S99)</f>
        <v>2.1.1.01.02.003-1</v>
      </c>
      <c r="T99" s="312" t="str">
        <f>+IF(AGOSTO!T99=0,"",AGOSTO!T99)</f>
        <v>Aportes a Fondos de Cesantia - recursos propios</v>
      </c>
      <c r="U99" s="373">
        <f>+ENERO!U99</f>
        <v>0</v>
      </c>
      <c r="V99" s="220">
        <f>SUM(AGOSTO!V99+SEPTIEMBRE!AL99)</f>
        <v>0</v>
      </c>
      <c r="W99" s="220">
        <f>AGOSTO!W99+SEPTIEMBRE!AM99</f>
        <v>0</v>
      </c>
      <c r="X99" s="271">
        <f t="shared" si="99"/>
        <v>0</v>
      </c>
      <c r="Y99" s="270">
        <f>AGOSTO!AA99</f>
        <v>0</v>
      </c>
      <c r="Z99" s="208"/>
      <c r="AA99" s="271">
        <f t="shared" si="100"/>
        <v>0</v>
      </c>
      <c r="AB99" s="270">
        <f>AGOSTO!AD99</f>
        <v>0</v>
      </c>
      <c r="AC99" s="208"/>
      <c r="AD99" s="271">
        <f t="shared" si="101"/>
        <v>0</v>
      </c>
      <c r="AE99" s="270">
        <f>AGOSTO!AG99</f>
        <v>0</v>
      </c>
      <c r="AF99" s="208"/>
      <c r="AG99" s="271">
        <f t="shared" si="102"/>
        <v>0</v>
      </c>
      <c r="AH99" s="270">
        <f t="shared" si="103"/>
        <v>0</v>
      </c>
      <c r="AI99" s="220">
        <f t="shared" si="104"/>
        <v>0</v>
      </c>
      <c r="AJ99" s="269">
        <f t="shared" si="105"/>
        <v>0</v>
      </c>
      <c r="AK99" s="389"/>
      <c r="AL99" s="204">
        <v>0</v>
      </c>
      <c r="AM99" s="210">
        <v>0</v>
      </c>
    </row>
    <row r="100" spans="1:39" ht="24.75" customHeight="1">
      <c r="A100" s="394" t="str">
        <f>+IF(AGOSTO!A100=0,"",AGOSTO!A100)</f>
        <v>1.1.02.06.006.07</v>
      </c>
      <c r="B100" s="397" t="str">
        <f>+IF(AGOSTO!B100=0,"",AGOSTO!B100)</f>
        <v>ESTAMPILLA PROHOSPITALES</v>
      </c>
      <c r="C100" s="268">
        <f>+ENERO!C100</f>
        <v>650000000</v>
      </c>
      <c r="D100" s="205">
        <f>AGOSTO!D100+SEPTIEMBRE!P100</f>
        <v>0</v>
      </c>
      <c r="E100" s="205">
        <f>AGOSTO!E100+SEPTIEMBRE!Q100</f>
        <v>0</v>
      </c>
      <c r="F100" s="205">
        <f t="shared" si="96"/>
        <v>650000000</v>
      </c>
      <c r="G100" s="205">
        <f>AGOSTO!I100</f>
        <v>856326637</v>
      </c>
      <c r="H100" s="208"/>
      <c r="I100" s="205">
        <f t="shared" si="93"/>
        <v>856326637</v>
      </c>
      <c r="J100" s="205">
        <f>AGOSTO!L100</f>
        <v>856326637</v>
      </c>
      <c r="K100" s="208"/>
      <c r="L100" s="205">
        <f t="shared" si="97"/>
        <v>856326637</v>
      </c>
      <c r="M100" s="205">
        <f t="shared" si="94"/>
        <v>-206326637</v>
      </c>
      <c r="N100" s="206">
        <f t="shared" si="95"/>
        <v>-206326637</v>
      </c>
      <c r="O100" s="67"/>
      <c r="P100" s="204">
        <v>0</v>
      </c>
      <c r="Q100" s="210">
        <v>0</v>
      </c>
      <c r="R100" s="101"/>
      <c r="S100" s="311" t="str">
        <f>+IF(AGOSTO!S100=0,"",AGOSTO!S100)</f>
        <v>2.1.1.01.02.005-1</v>
      </c>
      <c r="T100" s="312" t="str">
        <f>+IF(AGOSTO!T100=0,"",AGOSTO!T100)</f>
        <v>Aporte a ARL. - recursos propios</v>
      </c>
      <c r="U100" s="373">
        <f>+ENERO!U100</f>
        <v>0</v>
      </c>
      <c r="V100" s="220">
        <f>SUM(AGOSTO!V100+SEPTIEMBRE!AL100)</f>
        <v>0</v>
      </c>
      <c r="W100" s="220">
        <f>AGOSTO!W100+SEPTIEMBRE!AM100</f>
        <v>0</v>
      </c>
      <c r="X100" s="271">
        <f t="shared" si="99"/>
        <v>0</v>
      </c>
      <c r="Y100" s="270">
        <f>AGOSTO!AA100</f>
        <v>0</v>
      </c>
      <c r="Z100" s="208"/>
      <c r="AA100" s="271">
        <f t="shared" si="100"/>
        <v>0</v>
      </c>
      <c r="AB100" s="270">
        <f>AGOSTO!AD100</f>
        <v>0</v>
      </c>
      <c r="AC100" s="208"/>
      <c r="AD100" s="271">
        <f t="shared" si="101"/>
        <v>0</v>
      </c>
      <c r="AE100" s="270">
        <f>AGOSTO!AG100</f>
        <v>0</v>
      </c>
      <c r="AF100" s="208"/>
      <c r="AG100" s="271">
        <f t="shared" si="102"/>
        <v>0</v>
      </c>
      <c r="AH100" s="270">
        <f t="shared" si="103"/>
        <v>0</v>
      </c>
      <c r="AI100" s="220">
        <f t="shared" si="104"/>
        <v>0</v>
      </c>
      <c r="AJ100" s="269">
        <f t="shared" si="105"/>
        <v>0</v>
      </c>
      <c r="AK100" s="389"/>
      <c r="AL100" s="204">
        <v>0</v>
      </c>
      <c r="AM100" s="210">
        <v>0</v>
      </c>
    </row>
    <row r="101" spans="1:39" ht="24.75" customHeight="1">
      <c r="A101" s="394" t="str">
        <f>+IF(AGOSTO!A101=0,"",AGOSTO!A101)</f>
        <v>11303-7</v>
      </c>
      <c r="B101" s="397" t="str">
        <f>+IF(AGOSTO!B101=0,"",AGOSTO!B101)</f>
        <v>SUBSIDIO A LA OFERTA (ART. 2.4.2.6 DECRETO 268 DE 2020)</v>
      </c>
      <c r="C101" s="268">
        <f>+ENERO!C101</f>
        <v>0</v>
      </c>
      <c r="D101" s="205">
        <f>AGOSTO!D101+SEPTIEMBRE!P101</f>
        <v>0</v>
      </c>
      <c r="E101" s="205">
        <f>AGOSTO!E101+SEPTIEMBRE!Q101</f>
        <v>0</v>
      </c>
      <c r="F101" s="205">
        <f t="shared" si="96"/>
        <v>0</v>
      </c>
      <c r="G101" s="205">
        <f>AGOSTO!I101</f>
        <v>0</v>
      </c>
      <c r="H101" s="208"/>
      <c r="I101" s="205">
        <f t="shared" si="93"/>
        <v>0</v>
      </c>
      <c r="J101" s="205">
        <f>AGOSTO!L101</f>
        <v>0</v>
      </c>
      <c r="K101" s="208"/>
      <c r="L101" s="205">
        <f t="shared" si="97"/>
        <v>0</v>
      </c>
      <c r="M101" s="205">
        <f t="shared" si="94"/>
        <v>0</v>
      </c>
      <c r="N101" s="206">
        <f t="shared" si="95"/>
        <v>0</v>
      </c>
      <c r="O101" s="67"/>
      <c r="P101" s="204">
        <v>0</v>
      </c>
      <c r="Q101" s="210">
        <v>0</v>
      </c>
      <c r="R101" s="101"/>
      <c r="S101" s="311" t="str">
        <f>+IF(AGOSTO!S101=0,"",AGOSTO!S101)</f>
        <v>2.1.1.01.02.004-1</v>
      </c>
      <c r="T101" s="312" t="str">
        <f>+IF(AGOSTO!T101=0,"",AGOSTO!T101)</f>
        <v>Aporte a Caja Compensación Familiar</v>
      </c>
      <c r="U101" s="373">
        <f>+ENERO!U101</f>
        <v>0</v>
      </c>
      <c r="V101" s="220">
        <f>SUM(AGOSTO!V101+SEPTIEMBRE!AL101)</f>
        <v>0</v>
      </c>
      <c r="W101" s="220">
        <f>AGOSTO!W101+SEPTIEMBRE!AM101</f>
        <v>0</v>
      </c>
      <c r="X101" s="271">
        <f t="shared" si="99"/>
        <v>0</v>
      </c>
      <c r="Y101" s="270">
        <f>AGOSTO!AA101</f>
        <v>0</v>
      </c>
      <c r="Z101" s="208"/>
      <c r="AA101" s="271">
        <f t="shared" si="100"/>
        <v>0</v>
      </c>
      <c r="AB101" s="270">
        <f>AGOSTO!AD101</f>
        <v>0</v>
      </c>
      <c r="AC101" s="208"/>
      <c r="AD101" s="271">
        <f t="shared" si="101"/>
        <v>0</v>
      </c>
      <c r="AE101" s="270">
        <f>AGOSTO!AG101</f>
        <v>0</v>
      </c>
      <c r="AF101" s="208"/>
      <c r="AG101" s="271">
        <f t="shared" si="102"/>
        <v>0</v>
      </c>
      <c r="AH101" s="270">
        <f t="shared" si="103"/>
        <v>0</v>
      </c>
      <c r="AI101" s="220">
        <f t="shared" si="104"/>
        <v>0</v>
      </c>
      <c r="AJ101" s="269">
        <f t="shared" si="105"/>
        <v>0</v>
      </c>
      <c r="AK101" s="389"/>
      <c r="AL101" s="204">
        <v>0</v>
      </c>
      <c r="AM101" s="210">
        <v>0</v>
      </c>
    </row>
    <row r="102" spans="1:39" ht="24.75" customHeight="1" thickBot="1">
      <c r="A102" s="394" t="str">
        <f>+IF(AGOSTO!A102=0,"",AGOSTO!A102)</f>
        <v>1.1.02.06.006.07.99</v>
      </c>
      <c r="B102" s="390" t="str">
        <f>+IF(AGOSTO!B102=0,"",AGOSTO!B102)</f>
        <v>Vigencia Anterior estampilla</v>
      </c>
      <c r="C102" s="391">
        <f>+ENERO!C102</f>
        <v>0</v>
      </c>
      <c r="D102" s="243">
        <f>AGOSTO!D102+SEPTIEMBRE!P102</f>
        <v>0</v>
      </c>
      <c r="E102" s="243">
        <f>AGOSTO!E102+SEPTIEMBRE!Q102</f>
        <v>0</v>
      </c>
      <c r="F102" s="243">
        <f t="shared" si="96"/>
        <v>0</v>
      </c>
      <c r="G102" s="243">
        <f>AGOSTO!I102</f>
        <v>0</v>
      </c>
      <c r="H102" s="246"/>
      <c r="I102" s="243">
        <f t="shared" si="93"/>
        <v>0</v>
      </c>
      <c r="J102" s="243">
        <f>AGOSTO!L102</f>
        <v>0</v>
      </c>
      <c r="K102" s="246"/>
      <c r="L102" s="243">
        <f t="shared" si="97"/>
        <v>0</v>
      </c>
      <c r="M102" s="243">
        <f t="shared" si="94"/>
        <v>0</v>
      </c>
      <c r="N102" s="244">
        <f t="shared" si="95"/>
        <v>0</v>
      </c>
      <c r="O102" s="67"/>
      <c r="P102" s="204">
        <v>0</v>
      </c>
      <c r="Q102" s="210">
        <v>0</v>
      </c>
      <c r="R102" s="101"/>
      <c r="S102" s="266">
        <f>+IF(AGOSTO!S102=0,"",AGOSTO!S102)</f>
        <v>1020399</v>
      </c>
      <c r="T102" s="267" t="str">
        <f>+IF(AGOSTO!T102=0,"",AGOSTO!T102)</f>
        <v>Vigencias Anteriores</v>
      </c>
      <c r="U102" s="373">
        <f>+ENERO!U102</f>
        <v>0</v>
      </c>
      <c r="V102" s="220">
        <f>SUM(AGOSTO!V102+SEPTIEMBRE!AL102)</f>
        <v>0</v>
      </c>
      <c r="W102" s="220">
        <f>AGOSTO!W102+SEPTIEMBRE!AM102</f>
        <v>0</v>
      </c>
      <c r="X102" s="271">
        <f t="shared" si="99"/>
        <v>0</v>
      </c>
      <c r="Y102" s="270">
        <f>AGOSTO!AA102</f>
        <v>0</v>
      </c>
      <c r="Z102" s="208"/>
      <c r="AA102" s="271">
        <f t="shared" si="100"/>
        <v>0</v>
      </c>
      <c r="AB102" s="270">
        <f>AGOSTO!AD102</f>
        <v>0</v>
      </c>
      <c r="AC102" s="208"/>
      <c r="AD102" s="271">
        <f t="shared" si="101"/>
        <v>0</v>
      </c>
      <c r="AE102" s="270">
        <f>AGOSTO!AG102</f>
        <v>0</v>
      </c>
      <c r="AF102" s="208"/>
      <c r="AG102" s="271">
        <f t="shared" si="102"/>
        <v>0</v>
      </c>
      <c r="AH102" s="270">
        <f t="shared" si="103"/>
        <v>0</v>
      </c>
      <c r="AI102" s="220">
        <f t="shared" si="104"/>
        <v>0</v>
      </c>
      <c r="AJ102" s="269">
        <f t="shared" si="105"/>
        <v>0</v>
      </c>
      <c r="AK102" s="101"/>
      <c r="AL102" s="204">
        <v>0</v>
      </c>
      <c r="AM102" s="210">
        <v>0</v>
      </c>
    </row>
    <row r="103" spans="1:39" ht="24.75" customHeight="1" thickBot="1">
      <c r="R103" s="101"/>
      <c r="AK103" s="216"/>
      <c r="AL103" s="370"/>
      <c r="AM103" s="371"/>
    </row>
    <row r="104" spans="1:39" ht="24.75" customHeight="1" thickBot="1">
      <c r="A104" s="392">
        <f>+IF(JULIO!A104=0,"",JULIO!A104)</f>
        <v>11304</v>
      </c>
      <c r="B104" s="393" t="str">
        <f>+IF(JULIO!B104=0,"",JULIO!B104)</f>
        <v>Otros ingresos corrientes</v>
      </c>
      <c r="C104" s="384">
        <f t="shared" ref="C104:M104" si="106">SUM(C105:C111)</f>
        <v>235000000</v>
      </c>
      <c r="D104" s="384">
        <f t="shared" si="106"/>
        <v>0</v>
      </c>
      <c r="E104" s="384">
        <f t="shared" si="106"/>
        <v>46961679</v>
      </c>
      <c r="F104" s="384">
        <f t="shared" si="106"/>
        <v>281961679</v>
      </c>
      <c r="G104" s="384">
        <f t="shared" si="106"/>
        <v>322898234</v>
      </c>
      <c r="H104" s="384">
        <f t="shared" si="106"/>
        <v>30375323</v>
      </c>
      <c r="I104" s="384">
        <f t="shared" si="106"/>
        <v>353273557</v>
      </c>
      <c r="J104" s="384">
        <f t="shared" si="106"/>
        <v>286855774</v>
      </c>
      <c r="K104" s="384">
        <f t="shared" si="106"/>
        <v>27290965</v>
      </c>
      <c r="L104" s="385">
        <f t="shared" si="106"/>
        <v>314146739</v>
      </c>
      <c r="M104" s="385">
        <f t="shared" si="106"/>
        <v>-71311878</v>
      </c>
      <c r="N104" s="288">
        <f>SUM(N105:N111)</f>
        <v>-32185060</v>
      </c>
      <c r="O104" s="289">
        <f>SUM(O105:O111)</f>
        <v>0</v>
      </c>
      <c r="P104" s="999">
        <f>SUM(P150:P156)</f>
        <v>0</v>
      </c>
      <c r="Q104" s="289">
        <f>SUM(Q150:Q156)</f>
        <v>0</v>
      </c>
      <c r="R104" s="101"/>
      <c r="S104" s="257">
        <f>+IF(JULIO!S104=0,"",JULIO!S104)</f>
        <v>1020400</v>
      </c>
      <c r="T104" s="546" t="str">
        <f>+IF(JULIO!T104=0,"",JULIO!T104)</f>
        <v>Contribuciones Inherentes nómina del Sector Publico</v>
      </c>
      <c r="U104" s="230">
        <f t="shared" ref="U104:AJ104" si="107">U105+U108</f>
        <v>0</v>
      </c>
      <c r="V104" s="231">
        <f t="shared" si="107"/>
        <v>0</v>
      </c>
      <c r="W104" s="231">
        <f t="shared" si="107"/>
        <v>20000000</v>
      </c>
      <c r="X104" s="234">
        <f t="shared" si="107"/>
        <v>20000000</v>
      </c>
      <c r="Y104" s="233">
        <f t="shared" si="107"/>
        <v>18261571</v>
      </c>
      <c r="Z104" s="231">
        <f t="shared" si="107"/>
        <v>0</v>
      </c>
      <c r="AA104" s="234">
        <f t="shared" si="107"/>
        <v>18261571</v>
      </c>
      <c r="AB104" s="233">
        <f t="shared" si="107"/>
        <v>18261571</v>
      </c>
      <c r="AC104" s="231">
        <f t="shared" si="107"/>
        <v>0</v>
      </c>
      <c r="AD104" s="234">
        <f t="shared" si="107"/>
        <v>18261571</v>
      </c>
      <c r="AE104" s="233">
        <f t="shared" si="107"/>
        <v>18261571</v>
      </c>
      <c r="AF104" s="231">
        <f t="shared" si="107"/>
        <v>0</v>
      </c>
      <c r="AG104" s="234">
        <f t="shared" si="107"/>
        <v>18261571</v>
      </c>
      <c r="AH104" s="233">
        <f t="shared" si="107"/>
        <v>1738429</v>
      </c>
      <c r="AI104" s="231">
        <f t="shared" si="107"/>
        <v>1738429</v>
      </c>
      <c r="AJ104" s="232">
        <f t="shared" si="107"/>
        <v>1738429</v>
      </c>
      <c r="AK104" s="101"/>
      <c r="AL104" s="233">
        <f>AL105+AL108</f>
        <v>0</v>
      </c>
      <c r="AM104" s="232">
        <f>AM105+AM108</f>
        <v>0</v>
      </c>
    </row>
    <row r="105" spans="1:39" ht="24.75" customHeight="1" thickBot="1">
      <c r="A105" s="1005" t="str">
        <f>+IF(AGOSTO!A105=0,"",AGOSTO!A105)</f>
        <v>1.1.02.05.002.07</v>
      </c>
      <c r="B105" s="1000" t="str">
        <f>+IF(AGOSTO!B105=0,"",AGOSTO!B105)</f>
        <v>Servicios financieros y servicios conexos, servicios inmobiliarios y servicios de leasing (ARRENDAMIENTOS)</v>
      </c>
      <c r="C105" s="1001">
        <f>+ENERO!C105</f>
        <v>235000000</v>
      </c>
      <c r="D105" s="1002">
        <f>AGOSTO!D105+SEPTIEMBRE!P107</f>
        <v>0</v>
      </c>
      <c r="E105" s="1002">
        <f>AGOSTO!E105+SEPTIEMBRE!Q107</f>
        <v>0</v>
      </c>
      <c r="F105" s="1002">
        <f t="shared" ref="F105:F111" si="108">SUM(C105:E105)</f>
        <v>235000000</v>
      </c>
      <c r="G105" s="1002">
        <f>AGOSTO!I105</f>
        <v>219360587</v>
      </c>
      <c r="H105" s="208">
        <v>28569391</v>
      </c>
      <c r="I105" s="1002">
        <f t="shared" ref="I105:I111" si="109">SUM(G105:H105)</f>
        <v>247929978</v>
      </c>
      <c r="J105" s="1002">
        <f>AGOSTO!L105</f>
        <v>189831031</v>
      </c>
      <c r="K105" s="208">
        <v>26277810</v>
      </c>
      <c r="L105" s="1002">
        <f t="shared" ref="L105:L111" si="110">SUM(J105:K105)</f>
        <v>216108841</v>
      </c>
      <c r="M105" s="1002">
        <f t="shared" ref="M105:M111" si="111">F105-I105</f>
        <v>-12929978</v>
      </c>
      <c r="N105" s="1057">
        <f t="shared" ref="N105:N111" si="112">F105-L105</f>
        <v>18891159</v>
      </c>
      <c r="O105" s="1002"/>
      <c r="P105" s="1001">
        <v>0</v>
      </c>
      <c r="Q105" s="698">
        <v>0</v>
      </c>
      <c r="R105" s="101"/>
      <c r="S105" s="266">
        <f>+IF(JULIO!S105=0,"",JULIO!S105)</f>
        <v>1020402</v>
      </c>
      <c r="T105" s="267" t="str">
        <f>+IF(JULIO!T105=0,"",JULIO!T105)</f>
        <v>Contribuciones - Otros</v>
      </c>
      <c r="U105" s="373">
        <f t="shared" ref="U105:AJ105" si="113">SUM(U106:U107)</f>
        <v>0</v>
      </c>
      <c r="V105" s="220">
        <f>SUM(AGOSTO!V105+SEPTIEMBRE!AL105)</f>
        <v>0</v>
      </c>
      <c r="W105" s="220">
        <f>AGOSTO!W105+SEPTIEMBRE!AM105</f>
        <v>0</v>
      </c>
      <c r="X105" s="271">
        <f t="shared" si="113"/>
        <v>0</v>
      </c>
      <c r="Y105" s="270">
        <f t="shared" si="113"/>
        <v>0</v>
      </c>
      <c r="Z105" s="300">
        <f t="shared" si="113"/>
        <v>0</v>
      </c>
      <c r="AA105" s="271">
        <f t="shared" si="113"/>
        <v>0</v>
      </c>
      <c r="AB105" s="270">
        <f t="shared" si="113"/>
        <v>0</v>
      </c>
      <c r="AC105" s="300">
        <f t="shared" si="113"/>
        <v>0</v>
      </c>
      <c r="AD105" s="271">
        <f t="shared" si="113"/>
        <v>0</v>
      </c>
      <c r="AE105" s="270">
        <f t="shared" si="113"/>
        <v>0</v>
      </c>
      <c r="AF105" s="300">
        <f t="shared" si="113"/>
        <v>0</v>
      </c>
      <c r="AG105" s="271">
        <f t="shared" si="113"/>
        <v>0</v>
      </c>
      <c r="AH105" s="270">
        <f t="shared" si="113"/>
        <v>0</v>
      </c>
      <c r="AI105" s="220">
        <f t="shared" si="113"/>
        <v>0</v>
      </c>
      <c r="AJ105" s="269">
        <f t="shared" si="113"/>
        <v>0</v>
      </c>
      <c r="AK105" s="101"/>
      <c r="AL105" s="301">
        <f>SUM(AL106:AL107)</f>
        <v>0</v>
      </c>
      <c r="AM105" s="302">
        <f>SUM(AM106:AM107)</f>
        <v>0</v>
      </c>
    </row>
    <row r="106" spans="1:39" ht="24.75" customHeight="1">
      <c r="A106" s="1005">
        <f>+IF(JUNIO!A106=0,"",JUNIO!A106)</f>
        <v>1020402</v>
      </c>
      <c r="B106" s="1003" t="str">
        <f>+IF(JUNIO!B106=0,"",JUNIO!B106)</f>
        <v/>
      </c>
      <c r="C106" s="1001">
        <f>+ENERO!C106</f>
        <v>0</v>
      </c>
      <c r="D106" s="1002">
        <f>JULIO!D106+AGOSTO!P106</f>
        <v>0</v>
      </c>
      <c r="E106" s="1002">
        <f>JULIO!E106+AGOSTO!Q106</f>
        <v>0</v>
      </c>
      <c r="F106" s="1002">
        <f t="shared" si="108"/>
        <v>0</v>
      </c>
      <c r="G106" s="1002">
        <f>AGOSTO!I106</f>
        <v>0</v>
      </c>
      <c r="H106" s="208">
        <v>0</v>
      </c>
      <c r="I106" s="1002">
        <f t="shared" si="109"/>
        <v>0</v>
      </c>
      <c r="J106" s="1002">
        <f>AGOSTO!L106</f>
        <v>0</v>
      </c>
      <c r="K106" s="208">
        <v>0</v>
      </c>
      <c r="L106" s="1002">
        <f t="shared" si="110"/>
        <v>0</v>
      </c>
      <c r="M106" s="1002">
        <f t="shared" si="111"/>
        <v>0</v>
      </c>
      <c r="N106" s="1002">
        <f t="shared" si="112"/>
        <v>0</v>
      </c>
      <c r="O106" s="1002"/>
      <c r="P106" s="1001">
        <v>0</v>
      </c>
      <c r="Q106" s="563"/>
      <c r="R106" s="101"/>
      <c r="S106" s="311" t="str">
        <f>+IF(JULIO!S106=0,"",JULIO!S106)</f>
        <v>2.1.1.01.02.007-1</v>
      </c>
      <c r="T106" s="267" t="str">
        <f>+IF(JULIO!T106=0,"",JULIO!T106)</f>
        <v>S.E.N.A.</v>
      </c>
      <c r="U106" s="373">
        <f>+ENERO!U106</f>
        <v>0</v>
      </c>
      <c r="V106" s="220">
        <f>SUM(AGOSTO!V106+SEPTIEMBRE!AL106)</f>
        <v>0</v>
      </c>
      <c r="W106" s="220">
        <f>AGOSTO!W106+SEPTIEMBRE!AM106</f>
        <v>0</v>
      </c>
      <c r="X106" s="271">
        <f>SUM(U106:W106)</f>
        <v>0</v>
      </c>
      <c r="Y106" s="270">
        <f>AGOSTO!AA106</f>
        <v>0</v>
      </c>
      <c r="Z106" s="208">
        <v>0</v>
      </c>
      <c r="AA106" s="271">
        <f>SUM(Y106:Z106)</f>
        <v>0</v>
      </c>
      <c r="AB106" s="270">
        <f>AGOSTO!AD106</f>
        <v>0</v>
      </c>
      <c r="AC106" s="208">
        <v>0</v>
      </c>
      <c r="AD106" s="271">
        <f>SUM(AB106:AC106)</f>
        <v>0</v>
      </c>
      <c r="AE106" s="270">
        <f>AGOSTO!AG106</f>
        <v>0</v>
      </c>
      <c r="AF106" s="208">
        <v>0</v>
      </c>
      <c r="AG106" s="271">
        <f>SUM(AE106:AF106)</f>
        <v>0</v>
      </c>
      <c r="AH106" s="270">
        <f>X106-AA106</f>
        <v>0</v>
      </c>
      <c r="AI106" s="220">
        <f>X106-AD106</f>
        <v>0</v>
      </c>
      <c r="AJ106" s="269">
        <f>X106-AG106</f>
        <v>0</v>
      </c>
      <c r="AK106" s="101"/>
      <c r="AL106" s="204">
        <v>0</v>
      </c>
      <c r="AM106" s="210">
        <v>0</v>
      </c>
    </row>
    <row r="107" spans="1:39" ht="24.75" customHeight="1">
      <c r="A107" s="1005" t="str">
        <f>+IF(AGOSTO!A107=0,"",AGOSTO!A107)</f>
        <v/>
      </c>
      <c r="B107" s="1000" t="str">
        <f>+IF(AGOSTO!B107=0,"",AGOSTO!B107)</f>
        <v/>
      </c>
      <c r="C107" s="1001">
        <f>+ENERO!C107</f>
        <v>0</v>
      </c>
      <c r="D107" s="1002">
        <f>AGOSTO!D107+SEPTIEMBRE!P109</f>
        <v>0</v>
      </c>
      <c r="E107" s="1002">
        <f>AGOSTO!E107+SEPTIEMBRE!Q109</f>
        <v>0</v>
      </c>
      <c r="F107" s="1002">
        <f t="shared" si="108"/>
        <v>0</v>
      </c>
      <c r="G107" s="1002">
        <f>AGOSTO!I107</f>
        <v>0</v>
      </c>
      <c r="H107" s="1001"/>
      <c r="I107" s="1002">
        <f t="shared" si="109"/>
        <v>0</v>
      </c>
      <c r="J107" s="1002">
        <f>AGOSTO!L107</f>
        <v>0</v>
      </c>
      <c r="K107" s="1001"/>
      <c r="L107" s="1002">
        <f t="shared" si="110"/>
        <v>0</v>
      </c>
      <c r="M107" s="1002">
        <f t="shared" si="111"/>
        <v>0</v>
      </c>
      <c r="N107" s="1002">
        <f t="shared" si="112"/>
        <v>0</v>
      </c>
      <c r="O107" s="1002"/>
      <c r="P107" s="1001">
        <v>0</v>
      </c>
      <c r="Q107" s="563">
        <v>0</v>
      </c>
      <c r="R107" s="101"/>
      <c r="S107" s="311" t="str">
        <f>+IF(JULIO!S107=0,"",JULIO!S107)</f>
        <v>2.1.1.01.02.006-1</v>
      </c>
      <c r="T107" s="267" t="str">
        <f>+IF(JULIO!T107=0,"",JULIO!T107)</f>
        <v>I.C.B.F.</v>
      </c>
      <c r="U107" s="373">
        <f>+ENERO!U107</f>
        <v>0</v>
      </c>
      <c r="V107" s="220">
        <f>SUM(AGOSTO!V107+SEPTIEMBRE!AL107)</f>
        <v>0</v>
      </c>
      <c r="W107" s="220">
        <f>AGOSTO!W107+SEPTIEMBRE!AM107</f>
        <v>0</v>
      </c>
      <c r="X107" s="271">
        <f>SUM(U107:W107)</f>
        <v>0</v>
      </c>
      <c r="Y107" s="270">
        <f>AGOSTO!AA107</f>
        <v>0</v>
      </c>
      <c r="Z107" s="208">
        <v>0</v>
      </c>
      <c r="AA107" s="271">
        <f>SUM(Y107:Z107)</f>
        <v>0</v>
      </c>
      <c r="AB107" s="270">
        <f>AGOSTO!AD107</f>
        <v>0</v>
      </c>
      <c r="AC107" s="208">
        <v>0</v>
      </c>
      <c r="AD107" s="271">
        <f>SUM(AB107:AC107)</f>
        <v>0</v>
      </c>
      <c r="AE107" s="270">
        <f>AGOSTO!AG107</f>
        <v>0</v>
      </c>
      <c r="AF107" s="208">
        <v>0</v>
      </c>
      <c r="AG107" s="271">
        <f>SUM(AE107:AF107)</f>
        <v>0</v>
      </c>
      <c r="AH107" s="270">
        <f>X107-AA107</f>
        <v>0</v>
      </c>
      <c r="AI107" s="220">
        <f>X107-AD107</f>
        <v>0</v>
      </c>
      <c r="AJ107" s="269">
        <f>X107-AG107</f>
        <v>0</v>
      </c>
      <c r="AK107" s="216"/>
      <c r="AL107" s="204">
        <v>0</v>
      </c>
      <c r="AM107" s="210">
        <v>0</v>
      </c>
    </row>
    <row r="108" spans="1:39" ht="24.75" customHeight="1">
      <c r="A108" s="1005" t="str">
        <f>+IF(AGOSTO!A108=0,"",AGOSTO!A108)</f>
        <v/>
      </c>
      <c r="B108" s="1000" t="str">
        <f>+IF(AGOSTO!B108=0,"",AGOSTO!B108)</f>
        <v/>
      </c>
      <c r="C108" s="1001">
        <f>+ENERO!C108</f>
        <v>0</v>
      </c>
      <c r="D108" s="1002">
        <f>AGOSTO!D108+SEPTIEMBRE!P110</f>
        <v>0</v>
      </c>
      <c r="E108" s="1002">
        <f>AGOSTO!E108+SEPTIEMBRE!Q110</f>
        <v>0</v>
      </c>
      <c r="F108" s="1002">
        <f t="shared" si="108"/>
        <v>0</v>
      </c>
      <c r="G108" s="1002">
        <f>AGOSTO!I108</f>
        <v>0</v>
      </c>
      <c r="H108" s="1001"/>
      <c r="I108" s="1002">
        <f t="shared" si="109"/>
        <v>0</v>
      </c>
      <c r="J108" s="1002">
        <f>AGOSTO!L108</f>
        <v>0</v>
      </c>
      <c r="K108" s="1001"/>
      <c r="L108" s="1002">
        <f t="shared" si="110"/>
        <v>0</v>
      </c>
      <c r="M108" s="1002">
        <f t="shared" si="111"/>
        <v>0</v>
      </c>
      <c r="N108" s="1002">
        <f t="shared" si="112"/>
        <v>0</v>
      </c>
      <c r="O108" s="1002"/>
      <c r="P108" s="1001">
        <v>0</v>
      </c>
      <c r="Q108" s="563">
        <v>0</v>
      </c>
      <c r="R108" s="101"/>
      <c r="S108" s="266" t="str">
        <f>+IF(JULIO!S108=0,"",JULIO!S108)</f>
        <v>2.1.2.02.02.008.99.04</v>
      </c>
      <c r="T108" s="267" t="str">
        <f>+IF(JULIO!T108=0,"",JULIO!T108)</f>
        <v>Vigencias Anteriores Servicios personales administrativos</v>
      </c>
      <c r="U108" s="373">
        <f>+ENERO!U108</f>
        <v>0</v>
      </c>
      <c r="V108" s="220">
        <f>SUM(AGOSTO!V108+SEPTIEMBRE!AL108)</f>
        <v>0</v>
      </c>
      <c r="W108" s="220">
        <f>AGOSTO!W108+SEPTIEMBRE!AM108</f>
        <v>20000000</v>
      </c>
      <c r="X108" s="271">
        <f>SUM(U108:W108)</f>
        <v>20000000</v>
      </c>
      <c r="Y108" s="270">
        <f>AGOSTO!AA108</f>
        <v>18261571</v>
      </c>
      <c r="Z108" s="208">
        <v>0</v>
      </c>
      <c r="AA108" s="271">
        <f>SUM(Y108:Z108)</f>
        <v>18261571</v>
      </c>
      <c r="AB108" s="270">
        <f>AGOSTO!AD108</f>
        <v>18261571</v>
      </c>
      <c r="AC108" s="208">
        <v>0</v>
      </c>
      <c r="AD108" s="271">
        <f>SUM(AB108:AC108)</f>
        <v>18261571</v>
      </c>
      <c r="AE108" s="270">
        <f>AGOSTO!AG108</f>
        <v>18261571</v>
      </c>
      <c r="AF108" s="208">
        <v>0</v>
      </c>
      <c r="AG108" s="271">
        <f>SUM(AE108:AF108)</f>
        <v>18261571</v>
      </c>
      <c r="AH108" s="270">
        <f>X108-AA108</f>
        <v>1738429</v>
      </c>
      <c r="AI108" s="220">
        <f>X108-AD108</f>
        <v>1738429</v>
      </c>
      <c r="AJ108" s="269">
        <f>X108-AG108</f>
        <v>1738429</v>
      </c>
      <c r="AK108" s="216"/>
      <c r="AL108" s="204">
        <v>0</v>
      </c>
      <c r="AM108" s="210">
        <v>0</v>
      </c>
    </row>
    <row r="109" spans="1:39" ht="24.75" customHeight="1">
      <c r="A109" s="1005" t="str">
        <f>+IF(AGOSTO!A109=0,"",AGOSTO!A109)</f>
        <v>1.1.02.05.002.08</v>
      </c>
      <c r="B109" s="1000" t="str">
        <f>+IF(AGOSTO!B109=0,"",AGOSTO!B109)</f>
        <v>Servicios prestados a las empresas y servicios de producción(APROVECHAMIENTOS)</v>
      </c>
      <c r="C109" s="1001">
        <f>+ENERO!C109</f>
        <v>0</v>
      </c>
      <c r="D109" s="1002">
        <f>AGOSTO!D109+SEPTIEMBRE!P111</f>
        <v>0</v>
      </c>
      <c r="E109" s="1002">
        <f>AGOSTO!E109+SEPTIEMBRE!Q111</f>
        <v>27224890</v>
      </c>
      <c r="F109" s="1002">
        <f t="shared" si="108"/>
        <v>27224890</v>
      </c>
      <c r="G109" s="1002">
        <f>AGOSTO!I109</f>
        <v>83800858</v>
      </c>
      <c r="H109" s="208">
        <v>1805932</v>
      </c>
      <c r="I109" s="1002">
        <f t="shared" si="109"/>
        <v>85606790</v>
      </c>
      <c r="J109" s="1002">
        <f>AGOSTO!L109</f>
        <v>77287954</v>
      </c>
      <c r="K109" s="208">
        <v>1013155</v>
      </c>
      <c r="L109" s="1002">
        <f t="shared" si="110"/>
        <v>78301109</v>
      </c>
      <c r="M109" s="1002">
        <f t="shared" si="111"/>
        <v>-58381900</v>
      </c>
      <c r="N109" s="1002">
        <f t="shared" si="112"/>
        <v>-51076219</v>
      </c>
      <c r="O109" s="1002"/>
      <c r="P109" s="1001">
        <v>0</v>
      </c>
      <c r="Q109" s="563">
        <v>0</v>
      </c>
      <c r="R109" s="101"/>
      <c r="S109" s="699">
        <f>+IF(AGOSTO!S109=0,"",AGOSTO!S109)</f>
        <v>23625024</v>
      </c>
      <c r="T109" s="700" t="str">
        <f>+IF(AGOSTO!T109=0,"",AGOSTO!T109)</f>
        <v/>
      </c>
      <c r="U109" s="373"/>
      <c r="V109" s="220"/>
      <c r="W109" s="220"/>
      <c r="X109" s="271"/>
      <c r="Y109" s="703"/>
      <c r="Z109" s="701"/>
      <c r="AA109" s="702"/>
      <c r="AB109" s="703"/>
      <c r="AC109" s="701"/>
      <c r="AD109" s="702"/>
      <c r="AE109" s="703"/>
      <c r="AF109" s="701"/>
      <c r="AG109" s="702"/>
      <c r="AH109" s="703"/>
      <c r="AI109" s="701"/>
      <c r="AJ109" s="704"/>
      <c r="AK109" s="101"/>
      <c r="AL109" s="370"/>
      <c r="AM109" s="371"/>
    </row>
    <row r="110" spans="1:39" ht="24.75" customHeight="1">
      <c r="A110" s="1005" t="str">
        <f>+IF(AGOSTO!A110=0,"",AGOSTO!A110)</f>
        <v>1.1.02.05.002.09</v>
      </c>
      <c r="B110" s="1000" t="str">
        <f>+IF(AGOSTO!B110=0,"",AGOSTO!B110)</f>
        <v>Convenio Docencia Servicio</v>
      </c>
      <c r="C110" s="1001">
        <f>+ENERO!C110</f>
        <v>0</v>
      </c>
      <c r="D110" s="1002">
        <f>AGOSTO!D110+SEPTIEMBRE!P138</f>
        <v>0</v>
      </c>
      <c r="E110" s="1002">
        <f>AGOSTO!E110+SEPTIEMBRE!Q138</f>
        <v>0</v>
      </c>
      <c r="F110" s="1002">
        <f t="shared" si="108"/>
        <v>0</v>
      </c>
      <c r="G110" s="1002">
        <f>AGOSTO!I110</f>
        <v>0</v>
      </c>
      <c r="H110" s="208">
        <v>0</v>
      </c>
      <c r="I110" s="1002">
        <f t="shared" si="109"/>
        <v>0</v>
      </c>
      <c r="J110" s="1002">
        <f>AGOSTO!L110</f>
        <v>0</v>
      </c>
      <c r="K110" s="208">
        <v>0</v>
      </c>
      <c r="L110" s="1002">
        <f t="shared" si="110"/>
        <v>0</v>
      </c>
      <c r="M110" s="1002">
        <f t="shared" si="111"/>
        <v>0</v>
      </c>
      <c r="N110" s="1057">
        <f t="shared" si="112"/>
        <v>0</v>
      </c>
      <c r="O110" s="1002"/>
      <c r="P110" s="1001">
        <v>0</v>
      </c>
      <c r="Q110" s="563">
        <v>0</v>
      </c>
      <c r="R110" s="101"/>
      <c r="S110" s="228">
        <f>+IF(AGOSTO!S110=0,"",AGOSTO!S110)</f>
        <v>2000000</v>
      </c>
      <c r="T110" s="404" t="str">
        <f>+IF(AGOSTO!T110=0,"",AGOSTO!T110)</f>
        <v>GASTOS GENERALES</v>
      </c>
      <c r="U110" s="405">
        <f t="shared" ref="U110:AJ110" si="114">U112+U145</f>
        <v>21968169670.620834</v>
      </c>
      <c r="V110" s="406">
        <f t="shared" si="114"/>
        <v>414937870</v>
      </c>
      <c r="W110" s="406">
        <f t="shared" si="114"/>
        <v>1593508020</v>
      </c>
      <c r="X110" s="407">
        <f t="shared" si="114"/>
        <v>23976615560.620831</v>
      </c>
      <c r="Y110" s="217">
        <f t="shared" si="114"/>
        <v>13884002343</v>
      </c>
      <c r="Z110" s="406">
        <f t="shared" si="114"/>
        <v>849071611</v>
      </c>
      <c r="AA110" s="407">
        <f t="shared" si="114"/>
        <v>14733073954</v>
      </c>
      <c r="AB110" s="217">
        <f t="shared" si="114"/>
        <v>11177879701</v>
      </c>
      <c r="AC110" s="406">
        <f t="shared" si="114"/>
        <v>1213431850</v>
      </c>
      <c r="AD110" s="407">
        <f t="shared" si="114"/>
        <v>12391311551</v>
      </c>
      <c r="AE110" s="217">
        <f t="shared" si="114"/>
        <v>8138909310</v>
      </c>
      <c r="AF110" s="406">
        <f t="shared" si="114"/>
        <v>1150905707</v>
      </c>
      <c r="AG110" s="407">
        <f t="shared" si="114"/>
        <v>9289815017</v>
      </c>
      <c r="AH110" s="217">
        <f t="shared" si="114"/>
        <v>9243541606.6208324</v>
      </c>
      <c r="AI110" s="406">
        <f t="shared" si="114"/>
        <v>11585304009.620832</v>
      </c>
      <c r="AJ110" s="218">
        <f t="shared" si="114"/>
        <v>14686800543.620832</v>
      </c>
      <c r="AK110" s="216"/>
      <c r="AL110" s="233">
        <f>AL112+AL145</f>
        <v>950000000</v>
      </c>
      <c r="AM110" s="232">
        <f>AM112+AM145</f>
        <v>0</v>
      </c>
    </row>
    <row r="111" spans="1:39" ht="24.75" customHeight="1">
      <c r="A111" s="1005" t="str">
        <f>+IF(AGOSTO!A111=0,"",AGOSTO!A111)</f>
        <v>1.1.02.05.002.07.99</v>
      </c>
      <c r="B111" s="1004" t="str">
        <f>+IF(AGOSTO!B111=0,"",AGOSTO!B111)</f>
        <v>Vigencia anterior Servicios financieros y servicios conexos, servicios inmobiliarios y servicios de leasing (ARRENDAMIENTOS)</v>
      </c>
      <c r="C111" s="1001">
        <f>+ENERO!C111</f>
        <v>0</v>
      </c>
      <c r="D111" s="1002">
        <f>AGOSTO!D111+SEPTIEMBRE!P139</f>
        <v>0</v>
      </c>
      <c r="E111" s="1002">
        <f>AGOSTO!E111+SEPTIEMBRE!Q139</f>
        <v>19736789</v>
      </c>
      <c r="F111" s="1002">
        <f t="shared" si="108"/>
        <v>19736789</v>
      </c>
      <c r="G111" s="1002">
        <f>AGOSTO!I111</f>
        <v>19736789</v>
      </c>
      <c r="H111" s="1001"/>
      <c r="I111" s="1002">
        <f t="shared" si="109"/>
        <v>19736789</v>
      </c>
      <c r="J111" s="1002">
        <f>AGOSTO!L111</f>
        <v>19736789</v>
      </c>
      <c r="K111" s="1001"/>
      <c r="L111" s="1002">
        <f t="shared" si="110"/>
        <v>19736789</v>
      </c>
      <c r="M111" s="1002">
        <f t="shared" si="111"/>
        <v>0</v>
      </c>
      <c r="N111" s="1002">
        <f t="shared" si="112"/>
        <v>0</v>
      </c>
      <c r="O111" s="1002"/>
      <c r="P111" s="1001">
        <v>0</v>
      </c>
      <c r="Q111" s="563">
        <v>0</v>
      </c>
      <c r="R111" s="101"/>
      <c r="S111" s="189">
        <f>+IF(AGOSTO!S111=0,"",AGOSTO!S111)</f>
        <v>18355520</v>
      </c>
      <c r="T111" s="488" t="str">
        <f>+IF(AGOSTO!T111=0,"",AGOSTO!T111)</f>
        <v/>
      </c>
      <c r="U111" s="191"/>
      <c r="V111" s="191"/>
      <c r="W111" s="191"/>
      <c r="X111" s="191"/>
      <c r="Y111" s="191"/>
      <c r="Z111" s="191"/>
      <c r="AA111" s="191"/>
      <c r="AB111" s="191"/>
      <c r="AC111" s="191"/>
      <c r="AD111" s="191"/>
      <c r="AE111" s="191"/>
      <c r="AF111" s="191"/>
      <c r="AG111" s="191"/>
      <c r="AH111" s="191"/>
      <c r="AI111" s="191"/>
      <c r="AJ111" s="192"/>
      <c r="AK111" s="101"/>
      <c r="AL111" s="194"/>
      <c r="AM111" s="195"/>
    </row>
    <row r="112" spans="1:39" ht="24.75" customHeight="1" thickBot="1">
      <c r="R112" s="101"/>
      <c r="S112" s="228">
        <f>+IF(JULIO!S112=0,"",JULIO!S112)</f>
        <v>2010000</v>
      </c>
      <c r="T112" s="229" t="str">
        <f>+IF(JULIO!T112=0,"",JULIO!T112)</f>
        <v>Gastos de Administración</v>
      </c>
      <c r="U112" s="230">
        <f t="shared" ref="U112:AJ112" si="115">U114+U123+U141</f>
        <v>10075238362.444445</v>
      </c>
      <c r="V112" s="231">
        <f t="shared" si="115"/>
        <v>59937870</v>
      </c>
      <c r="W112" s="231">
        <f t="shared" si="115"/>
        <v>169879991</v>
      </c>
      <c r="X112" s="234">
        <f t="shared" si="115"/>
        <v>10305056223.444443</v>
      </c>
      <c r="Y112" s="233">
        <f t="shared" si="115"/>
        <v>7518692129</v>
      </c>
      <c r="Z112" s="231">
        <f t="shared" si="115"/>
        <v>413474387</v>
      </c>
      <c r="AA112" s="234">
        <f t="shared" si="115"/>
        <v>7932166516</v>
      </c>
      <c r="AB112" s="233">
        <f t="shared" si="115"/>
        <v>6160778931</v>
      </c>
      <c r="AC112" s="231">
        <f t="shared" si="115"/>
        <v>644582128</v>
      </c>
      <c r="AD112" s="234">
        <f t="shared" si="115"/>
        <v>6805361059</v>
      </c>
      <c r="AE112" s="233">
        <f t="shared" si="115"/>
        <v>5339206876</v>
      </c>
      <c r="AF112" s="231">
        <f t="shared" si="115"/>
        <v>693633795</v>
      </c>
      <c r="AG112" s="234">
        <f t="shared" si="115"/>
        <v>6032840671</v>
      </c>
      <c r="AH112" s="233">
        <f t="shared" si="115"/>
        <v>2372889707.4444442</v>
      </c>
      <c r="AI112" s="231">
        <f t="shared" si="115"/>
        <v>3499695164.4444442</v>
      </c>
      <c r="AJ112" s="232">
        <f t="shared" si="115"/>
        <v>4272215552.4444442</v>
      </c>
      <c r="AK112" s="101"/>
      <c r="AL112" s="233">
        <f>AL114+AL123+AL141</f>
        <v>790000000</v>
      </c>
      <c r="AM112" s="232">
        <f>AM114+AM123+AM141</f>
        <v>0</v>
      </c>
    </row>
    <row r="113" spans="1:40" ht="24.75" customHeight="1" thickBot="1">
      <c r="A113" s="286">
        <f>+IF(AGOSTO!A113=0,"",AGOSTO!A113)</f>
        <v>2000</v>
      </c>
      <c r="B113" s="695" t="str">
        <f>+IF(AGOSTO!B113=0,"",AGOSTO!B113)</f>
        <v>INGRESOS DE CAPITAL</v>
      </c>
      <c r="C113" s="409">
        <f t="shared" ref="C113:N113" si="116">SUM(C115:C124)</f>
        <v>0</v>
      </c>
      <c r="D113" s="410">
        <f t="shared" si="116"/>
        <v>0</v>
      </c>
      <c r="E113" s="410">
        <f t="shared" si="116"/>
        <v>0</v>
      </c>
      <c r="F113" s="410">
        <f t="shared" si="116"/>
        <v>0</v>
      </c>
      <c r="G113" s="410">
        <f t="shared" si="116"/>
        <v>0</v>
      </c>
      <c r="H113" s="410">
        <f t="shared" si="116"/>
        <v>0</v>
      </c>
      <c r="I113" s="410">
        <f t="shared" si="116"/>
        <v>0</v>
      </c>
      <c r="J113" s="410">
        <f t="shared" si="116"/>
        <v>0</v>
      </c>
      <c r="K113" s="410">
        <f t="shared" si="116"/>
        <v>0</v>
      </c>
      <c r="L113" s="410">
        <f t="shared" si="116"/>
        <v>0</v>
      </c>
      <c r="M113" s="410">
        <f t="shared" si="116"/>
        <v>0</v>
      </c>
      <c r="N113" s="411">
        <f t="shared" si="116"/>
        <v>0</v>
      </c>
      <c r="O113" s="369"/>
      <c r="P113" s="171">
        <f>SUM(P115:P124)</f>
        <v>0</v>
      </c>
      <c r="Q113" s="173">
        <f>SUM(Q115:Q124)</f>
        <v>0</v>
      </c>
      <c r="R113" s="101"/>
      <c r="AL113" s="194"/>
      <c r="AM113" s="195"/>
      <c r="AN113" s="101"/>
    </row>
    <row r="114" spans="1:40" ht="24.75" customHeight="1">
      <c r="R114" s="101"/>
      <c r="S114" s="1014">
        <f>+IF(JULIO!S114=0,"",JULIO!S114)</f>
        <v>2010100</v>
      </c>
      <c r="T114" s="1015" t="str">
        <f>+IF(JULIO!T114=0,"",JULIO!T114)</f>
        <v>Adquisición de bienes</v>
      </c>
      <c r="U114" s="546">
        <f>+IF(JULIO!U114=0,"",JULIO!U114)</f>
        <v>1246863273.1666665</v>
      </c>
      <c r="V114" s="230">
        <f t="shared" ref="V114:AK114" si="117">SUM(V115:V121)</f>
        <v>0</v>
      </c>
      <c r="W114" s="231">
        <f t="shared" si="117"/>
        <v>0</v>
      </c>
      <c r="X114" s="231">
        <f t="shared" si="117"/>
        <v>1246863273.1666665</v>
      </c>
      <c r="Y114" s="234">
        <f t="shared" si="117"/>
        <v>416687318</v>
      </c>
      <c r="Z114" s="233">
        <f t="shared" si="117"/>
        <v>25937932</v>
      </c>
      <c r="AA114" s="231">
        <f t="shared" si="117"/>
        <v>442625250</v>
      </c>
      <c r="AB114" s="234">
        <f t="shared" si="117"/>
        <v>366136660</v>
      </c>
      <c r="AC114" s="233">
        <f t="shared" si="117"/>
        <v>21031497</v>
      </c>
      <c r="AD114" s="231">
        <f>SUM(AD115:AD121)</f>
        <v>387168157</v>
      </c>
      <c r="AE114" s="234">
        <f t="shared" si="117"/>
        <v>244381844</v>
      </c>
      <c r="AF114" s="233">
        <f t="shared" si="117"/>
        <v>59125061</v>
      </c>
      <c r="AG114" s="231">
        <f t="shared" si="117"/>
        <v>303506905</v>
      </c>
      <c r="AH114" s="234">
        <f t="shared" si="117"/>
        <v>804238023.16666663</v>
      </c>
      <c r="AI114" s="233">
        <f t="shared" si="117"/>
        <v>859695116.16666663</v>
      </c>
      <c r="AJ114" s="231">
        <f t="shared" si="117"/>
        <v>943356368.16666663</v>
      </c>
      <c r="AK114" s="232">
        <f t="shared" si="117"/>
        <v>0</v>
      </c>
      <c r="AL114" s="233">
        <f>SUM(AL115:AL121)</f>
        <v>0</v>
      </c>
      <c r="AM114" s="232">
        <f>SUM(AM115:AM121)</f>
        <v>0</v>
      </c>
      <c r="AN114" s="232">
        <f>SUM(AN115:AN121)</f>
        <v>0</v>
      </c>
    </row>
    <row r="115" spans="1:40" ht="24.75" customHeight="1">
      <c r="A115" s="412">
        <f>+IF(JULIO!A115=0,"",JULIO!A115)</f>
        <v>2100</v>
      </c>
      <c r="B115" s="387" t="str">
        <f>+IF(JULIO!B115=0,"",JULIO!B115)</f>
        <v>CREDITO INTERNO</v>
      </c>
      <c r="C115" s="204">
        <f>+ENERO!C115</f>
        <v>0</v>
      </c>
      <c r="D115" s="413">
        <f>JULIO!D115+AGOSTO!P115</f>
        <v>0</v>
      </c>
      <c r="E115" s="413">
        <f>JULIO!E115+AGOSTO!Q115</f>
        <v>0</v>
      </c>
      <c r="F115" s="414">
        <f t="shared" ref="F115:F124" si="118">SUM(C115:E115)</f>
        <v>0</v>
      </c>
      <c r="G115" s="415">
        <f>JULIO!I115</f>
        <v>0</v>
      </c>
      <c r="H115" s="208">
        <v>0</v>
      </c>
      <c r="I115" s="414">
        <f t="shared" ref="I115:I124" si="119">SUM(G115:H115)</f>
        <v>0</v>
      </c>
      <c r="J115" s="415">
        <f>JULIO!L115</f>
        <v>0</v>
      </c>
      <c r="K115" s="208">
        <v>0</v>
      </c>
      <c r="L115" s="416">
        <f t="shared" ref="L115:L124" si="120">SUM(J115:K115)</f>
        <v>0</v>
      </c>
      <c r="M115" s="417">
        <f t="shared" ref="M115:M124" si="121">F115-I115</f>
        <v>0</v>
      </c>
      <c r="N115" s="416">
        <f t="shared" ref="N115:N124" si="122">F115-L115</f>
        <v>0</v>
      </c>
      <c r="O115" s="369"/>
      <c r="P115" s="204">
        <v>0</v>
      </c>
      <c r="Q115" s="210">
        <v>0</v>
      </c>
      <c r="R115" s="101"/>
      <c r="S115" s="1016" t="str">
        <f>+IF(AGOSTO!S115=0,"",AGOSTO!S115)</f>
        <v>2.1.2.02.01.003.302</v>
      </c>
      <c r="T115" s="1013" t="str">
        <f>+IF(AGOSTO!T115=0,"",AGOSTO!T115)</f>
        <v>Papeleria</v>
      </c>
      <c r="U115" s="373">
        <f>+ENERO!U115</f>
        <v>252782338.5</v>
      </c>
      <c r="V115" s="220">
        <f>SUM(AGOSTO!V115+SEPTIEMBRE!AL115)</f>
        <v>0</v>
      </c>
      <c r="W115" s="220">
        <f>AGOSTO!W115+SEPTIEMBRE!AM115</f>
        <v>0</v>
      </c>
      <c r="X115" s="271">
        <f t="shared" ref="X115:X121" si="123">SUM(U115:W115)</f>
        <v>252782338.5</v>
      </c>
      <c r="Y115" s="270">
        <f>AGOSTO!AA115</f>
        <v>178698362</v>
      </c>
      <c r="Z115" s="208">
        <v>18295957</v>
      </c>
      <c r="AA115" s="271">
        <f t="shared" ref="AA115:AA121" si="124">SUM(Y115:Z115)</f>
        <v>196994319</v>
      </c>
      <c r="AB115" s="270">
        <f>AGOSTO!AD115</f>
        <v>162916363</v>
      </c>
      <c r="AC115" s="208">
        <v>11033592</v>
      </c>
      <c r="AD115" s="271">
        <f t="shared" ref="AD115:AD121" si="125">SUM(AB115:AC115)</f>
        <v>173949955</v>
      </c>
      <c r="AE115" s="270">
        <f>AGOSTO!AG115</f>
        <v>52434889</v>
      </c>
      <c r="AF115" s="208">
        <v>51960084</v>
      </c>
      <c r="AG115" s="271">
        <f t="shared" ref="AG115:AG121" si="126">SUM(AE115:AF115)</f>
        <v>104394973</v>
      </c>
      <c r="AH115" s="270">
        <f t="shared" ref="AH115:AH121" si="127">X115-AA115</f>
        <v>55788019.5</v>
      </c>
      <c r="AI115" s="220">
        <f t="shared" ref="AI115:AI121" si="128">X115-AD115</f>
        <v>78832383.5</v>
      </c>
      <c r="AJ115" s="269">
        <f t="shared" ref="AJ115:AJ121" si="129">X115-AG115</f>
        <v>148387365.5</v>
      </c>
      <c r="AK115" s="101"/>
      <c r="AL115" s="204">
        <v>0</v>
      </c>
      <c r="AM115" s="210">
        <v>0</v>
      </c>
      <c r="AN115" s="101"/>
    </row>
    <row r="116" spans="1:40" ht="24.75" customHeight="1">
      <c r="A116" s="412" t="str">
        <f>+IF(JULIO!A116=0,"",JULIO!A116)</f>
        <v>2100-1</v>
      </c>
      <c r="B116" s="388" t="str">
        <f>+IF(JULIO!B116=0,"",JULIO!B116)</f>
        <v>Vigencia Anterior</v>
      </c>
      <c r="C116" s="204">
        <f>+ENERO!C116</f>
        <v>0</v>
      </c>
      <c r="D116" s="413">
        <f>JULIO!D116+AGOSTO!P116</f>
        <v>0</v>
      </c>
      <c r="E116" s="413">
        <f>JULIO!E116+AGOSTO!Q116</f>
        <v>0</v>
      </c>
      <c r="F116" s="414">
        <f t="shared" si="118"/>
        <v>0</v>
      </c>
      <c r="G116" s="415">
        <f>JULIO!I116</f>
        <v>0</v>
      </c>
      <c r="H116" s="208">
        <v>0</v>
      </c>
      <c r="I116" s="414">
        <f t="shared" si="119"/>
        <v>0</v>
      </c>
      <c r="J116" s="415">
        <f>JULIO!L116</f>
        <v>0</v>
      </c>
      <c r="K116" s="208">
        <v>0</v>
      </c>
      <c r="L116" s="416">
        <f t="shared" si="120"/>
        <v>0</v>
      </c>
      <c r="M116" s="417">
        <f t="shared" si="121"/>
        <v>0</v>
      </c>
      <c r="N116" s="416">
        <f t="shared" si="122"/>
        <v>0</v>
      </c>
      <c r="O116" s="369"/>
      <c r="P116" s="204">
        <v>0</v>
      </c>
      <c r="Q116" s="210">
        <v>0</v>
      </c>
      <c r="R116" s="101"/>
      <c r="S116" s="1016" t="str">
        <f>+IF(AGOSTO!S116=0,"",AGOSTO!S116)</f>
        <v>2.1.2.02.01.003.301</v>
      </c>
      <c r="T116" s="1013" t="str">
        <f>+IF(AGOSTO!T116=0,"",AGOSTO!T116)</f>
        <v>Combustible</v>
      </c>
      <c r="U116" s="373">
        <f>+ENERO!U116</f>
        <v>77916666.666666657</v>
      </c>
      <c r="V116" s="220">
        <f>SUM(AGOSTO!V116+SEPTIEMBRE!AL116)</f>
        <v>0</v>
      </c>
      <c r="W116" s="220">
        <f>AGOSTO!W116+SEPTIEMBRE!AM116</f>
        <v>0</v>
      </c>
      <c r="X116" s="271">
        <f t="shared" si="123"/>
        <v>77916666.666666657</v>
      </c>
      <c r="Y116" s="270">
        <f>AGOSTO!AA116</f>
        <v>60000000</v>
      </c>
      <c r="Z116" s="208">
        <v>0</v>
      </c>
      <c r="AA116" s="271">
        <f t="shared" si="124"/>
        <v>60000000</v>
      </c>
      <c r="AB116" s="270">
        <f>AGOSTO!AD116</f>
        <v>26073861</v>
      </c>
      <c r="AC116" s="208">
        <v>3439712</v>
      </c>
      <c r="AD116" s="271">
        <f t="shared" si="125"/>
        <v>29513573</v>
      </c>
      <c r="AE116" s="270">
        <f>AGOSTO!AG116</f>
        <v>18236049</v>
      </c>
      <c r="AF116" s="208">
        <v>6322457</v>
      </c>
      <c r="AG116" s="271">
        <f t="shared" si="126"/>
        <v>24558506</v>
      </c>
      <c r="AH116" s="270">
        <f t="shared" si="127"/>
        <v>17916666.666666657</v>
      </c>
      <c r="AI116" s="220">
        <f t="shared" si="128"/>
        <v>48403093.666666657</v>
      </c>
      <c r="AJ116" s="269">
        <f t="shared" si="129"/>
        <v>53358160.666666657</v>
      </c>
      <c r="AK116" s="101"/>
      <c r="AL116" s="204">
        <v>0</v>
      </c>
      <c r="AM116" s="210">
        <v>0</v>
      </c>
      <c r="AN116" s="101"/>
    </row>
    <row r="117" spans="1:40" ht="24.75" customHeight="1">
      <c r="A117" s="412">
        <f>+IF(JULIO!A117=0,"",JULIO!A117)</f>
        <v>2200</v>
      </c>
      <c r="B117" s="387" t="str">
        <f>+IF(JULIO!B117=0,"",JULIO!B117)</f>
        <v>CREDITO EXTERNO</v>
      </c>
      <c r="C117" s="204">
        <f>+ENERO!C117</f>
        <v>0</v>
      </c>
      <c r="D117" s="413">
        <f>JULIO!D117+AGOSTO!P117</f>
        <v>0</v>
      </c>
      <c r="E117" s="413">
        <f>JULIO!E117+AGOSTO!Q117</f>
        <v>0</v>
      </c>
      <c r="F117" s="414">
        <f t="shared" si="118"/>
        <v>0</v>
      </c>
      <c r="G117" s="415">
        <f>JULIO!I117</f>
        <v>0</v>
      </c>
      <c r="H117" s="208">
        <v>0</v>
      </c>
      <c r="I117" s="414">
        <f t="shared" si="119"/>
        <v>0</v>
      </c>
      <c r="J117" s="415">
        <f>JULIO!L117</f>
        <v>0</v>
      </c>
      <c r="K117" s="208">
        <v>0</v>
      </c>
      <c r="L117" s="416">
        <f t="shared" si="120"/>
        <v>0</v>
      </c>
      <c r="M117" s="417">
        <f t="shared" si="121"/>
        <v>0</v>
      </c>
      <c r="N117" s="416">
        <f t="shared" si="122"/>
        <v>0</v>
      </c>
      <c r="O117" s="369"/>
      <c r="P117" s="204">
        <v>0</v>
      </c>
      <c r="Q117" s="210">
        <v>0</v>
      </c>
      <c r="R117" s="101"/>
      <c r="S117" s="1016" t="str">
        <f>+IF(AGOSTO!S117=0,"",AGOSTO!S117)</f>
        <v>2.1.3.07.02.031</v>
      </c>
      <c r="T117" s="1013" t="str">
        <f>+IF(AGOSTO!T117=0,"",AGOSTO!T117)</f>
        <v>Programa de Salud Ocupacional</v>
      </c>
      <c r="U117" s="373">
        <f>+ENERO!U117</f>
        <v>20000000</v>
      </c>
      <c r="V117" s="220">
        <f>SUM(AGOSTO!V117+SEPTIEMBRE!AL117)</f>
        <v>0</v>
      </c>
      <c r="W117" s="220">
        <f>AGOSTO!W117+SEPTIEMBRE!AM117</f>
        <v>0</v>
      </c>
      <c r="X117" s="271">
        <f t="shared" si="123"/>
        <v>20000000</v>
      </c>
      <c r="Y117" s="270">
        <f>AGOSTO!AA117</f>
        <v>4278050</v>
      </c>
      <c r="Z117" s="208">
        <v>0</v>
      </c>
      <c r="AA117" s="271">
        <f t="shared" si="124"/>
        <v>4278050</v>
      </c>
      <c r="AB117" s="270">
        <f>AGOSTO!AD117</f>
        <v>3435530</v>
      </c>
      <c r="AC117" s="208">
        <v>842520</v>
      </c>
      <c r="AD117" s="271">
        <f t="shared" si="125"/>
        <v>4278050</v>
      </c>
      <c r="AE117" s="270">
        <f>AGOSTO!AG117</f>
        <v>0</v>
      </c>
      <c r="AF117" s="208">
        <v>842520</v>
      </c>
      <c r="AG117" s="271">
        <f t="shared" si="126"/>
        <v>842520</v>
      </c>
      <c r="AH117" s="270">
        <f t="shared" si="127"/>
        <v>15721950</v>
      </c>
      <c r="AI117" s="220">
        <f t="shared" si="128"/>
        <v>15721950</v>
      </c>
      <c r="AJ117" s="269">
        <f t="shared" si="129"/>
        <v>19157480</v>
      </c>
      <c r="AK117" s="101"/>
      <c r="AL117" s="204">
        <v>0</v>
      </c>
      <c r="AM117" s="210">
        <v>0</v>
      </c>
      <c r="AN117" s="101"/>
    </row>
    <row r="118" spans="1:40" ht="24.75" customHeight="1">
      <c r="A118" s="412" t="str">
        <f>+IF(JULIO!A118=0,"",JULIO!A118)</f>
        <v>2200-1</v>
      </c>
      <c r="B118" s="388" t="str">
        <f>+IF(JULIO!B118=0,"",JULIO!B118)</f>
        <v>Vigencia Anterior</v>
      </c>
      <c r="C118" s="204">
        <f>+ENERO!C118</f>
        <v>0</v>
      </c>
      <c r="D118" s="413">
        <f>JULIO!D118+AGOSTO!P118</f>
        <v>0</v>
      </c>
      <c r="E118" s="413">
        <f>JULIO!E118+AGOSTO!Q118</f>
        <v>0</v>
      </c>
      <c r="F118" s="414">
        <f t="shared" si="118"/>
        <v>0</v>
      </c>
      <c r="G118" s="415">
        <f>JULIO!I118</f>
        <v>0</v>
      </c>
      <c r="H118" s="208">
        <v>0</v>
      </c>
      <c r="I118" s="414">
        <f t="shared" si="119"/>
        <v>0</v>
      </c>
      <c r="J118" s="415">
        <f>JULIO!L118</f>
        <v>0</v>
      </c>
      <c r="K118" s="208">
        <v>0</v>
      </c>
      <c r="L118" s="416">
        <f t="shared" si="120"/>
        <v>0</v>
      </c>
      <c r="M118" s="417">
        <f t="shared" si="121"/>
        <v>0</v>
      </c>
      <c r="N118" s="416">
        <f t="shared" si="122"/>
        <v>0</v>
      </c>
      <c r="O118" s="369"/>
      <c r="P118" s="204">
        <v>0</v>
      </c>
      <c r="Q118" s="210">
        <v>0</v>
      </c>
      <c r="R118" s="101"/>
      <c r="S118" s="1016" t="str">
        <f>+IF(AGOSTO!S118=0,"",AGOSTO!S118)</f>
        <v>2.1.2.02.01.003.307</v>
      </c>
      <c r="T118" s="1013" t="str">
        <f>+IF(AGOSTO!T118=0,"",AGOSTO!T118)</f>
        <v>Mantenimiento - Bienes Ambiental y Sanitaria</v>
      </c>
      <c r="U118" s="373">
        <f>+ENERO!U118</f>
        <v>15180000</v>
      </c>
      <c r="V118" s="220">
        <f>SUM(AGOSTO!V118+SEPTIEMBRE!AL118)</f>
        <v>0</v>
      </c>
      <c r="W118" s="220">
        <f>AGOSTO!W118+SEPTIEMBRE!AM118</f>
        <v>0</v>
      </c>
      <c r="X118" s="271">
        <f t="shared" si="123"/>
        <v>15180000</v>
      </c>
      <c r="Y118" s="270">
        <f>AGOSTO!AA118</f>
        <v>0</v>
      </c>
      <c r="Z118" s="208">
        <v>7641975</v>
      </c>
      <c r="AA118" s="271">
        <f t="shared" si="124"/>
        <v>7641975</v>
      </c>
      <c r="AB118" s="270">
        <f>AGOSTO!AD118</f>
        <v>0</v>
      </c>
      <c r="AC118" s="208">
        <v>5715673</v>
      </c>
      <c r="AD118" s="271">
        <f t="shared" si="125"/>
        <v>5715673</v>
      </c>
      <c r="AE118" s="270">
        <f>AGOSTO!AG118</f>
        <v>0</v>
      </c>
      <c r="AF118" s="208">
        <v>0</v>
      </c>
      <c r="AG118" s="271">
        <f t="shared" si="126"/>
        <v>0</v>
      </c>
      <c r="AH118" s="270">
        <f t="shared" si="127"/>
        <v>7538025</v>
      </c>
      <c r="AI118" s="220">
        <f t="shared" si="128"/>
        <v>9464327</v>
      </c>
      <c r="AJ118" s="269">
        <f t="shared" si="129"/>
        <v>15180000</v>
      </c>
      <c r="AK118" s="101"/>
      <c r="AL118" s="204">
        <v>0</v>
      </c>
      <c r="AM118" s="210">
        <v>0</v>
      </c>
      <c r="AN118" s="101"/>
    </row>
    <row r="119" spans="1:40" ht="24.75" customHeight="1">
      <c r="A119" s="412" t="str">
        <f>+IF(JULIO!A119=0,"",JULIO!A119)</f>
        <v>1.2.05.02</v>
      </c>
      <c r="B119" s="387" t="str">
        <f>+IF(JULIO!B119=0,"",JULIO!B119)</f>
        <v>Depositos (RENDIMIENTOS FINANCIEROS)</v>
      </c>
      <c r="C119" s="204">
        <f>+ENERO!C119</f>
        <v>0</v>
      </c>
      <c r="D119" s="413">
        <f>JULIO!D119+AGOSTO!P119</f>
        <v>0</v>
      </c>
      <c r="E119" s="413">
        <f>JULIO!E119+AGOSTO!Q119</f>
        <v>0</v>
      </c>
      <c r="F119" s="414">
        <f t="shared" si="118"/>
        <v>0</v>
      </c>
      <c r="G119" s="207">
        <f>AGOSTO!I119</f>
        <v>0</v>
      </c>
      <c r="H119" s="208">
        <v>0</v>
      </c>
      <c r="I119" s="419">
        <f t="shared" si="119"/>
        <v>0</v>
      </c>
      <c r="J119" s="207">
        <f>AGOSTO!L119</f>
        <v>0</v>
      </c>
      <c r="K119" s="208">
        <v>0</v>
      </c>
      <c r="L119" s="206">
        <f t="shared" si="120"/>
        <v>0</v>
      </c>
      <c r="M119" s="420">
        <f t="shared" si="121"/>
        <v>0</v>
      </c>
      <c r="N119" s="206">
        <f t="shared" si="122"/>
        <v>0</v>
      </c>
      <c r="O119" s="369"/>
      <c r="P119" s="204">
        <v>0</v>
      </c>
      <c r="Q119" s="210">
        <v>0</v>
      </c>
      <c r="R119" s="101"/>
      <c r="S119" s="1016" t="str">
        <f>+IF(AGOSTO!S119=0,"",AGOSTO!S119)</f>
        <v>2.1.2.02.01.003.305</v>
      </c>
      <c r="T119" s="1013" t="str">
        <f>+IF(AGOSTO!T119=0,"",AGOSTO!T119)</f>
        <v>Mantenimiento -  Partes, accesorios, herramientas</v>
      </c>
      <c r="U119" s="373">
        <f>+ENERO!U119</f>
        <v>0</v>
      </c>
      <c r="V119" s="220">
        <f>SUM(AGOSTO!V119+SEPTIEMBRE!AL119)</f>
        <v>0</v>
      </c>
      <c r="W119" s="220">
        <f>AGOSTO!W119+SEPTIEMBRE!AM119</f>
        <v>0</v>
      </c>
      <c r="X119" s="271">
        <f t="shared" si="123"/>
        <v>0</v>
      </c>
      <c r="Y119" s="270">
        <f>AGOSTO!AA119</f>
        <v>0</v>
      </c>
      <c r="Z119" s="208">
        <v>0</v>
      </c>
      <c r="AA119" s="271">
        <f t="shared" si="124"/>
        <v>0</v>
      </c>
      <c r="AB119" s="270">
        <f>AGOSTO!AD119</f>
        <v>0</v>
      </c>
      <c r="AC119" s="208">
        <v>0</v>
      </c>
      <c r="AD119" s="271">
        <f t="shared" si="125"/>
        <v>0</v>
      </c>
      <c r="AE119" s="270">
        <f>AGOSTO!AG119</f>
        <v>0</v>
      </c>
      <c r="AF119" s="208">
        <v>0</v>
      </c>
      <c r="AG119" s="271">
        <f t="shared" si="126"/>
        <v>0</v>
      </c>
      <c r="AH119" s="270">
        <f t="shared" si="127"/>
        <v>0</v>
      </c>
      <c r="AI119" s="220">
        <f t="shared" si="128"/>
        <v>0</v>
      </c>
      <c r="AJ119" s="269">
        <f t="shared" si="129"/>
        <v>0</v>
      </c>
      <c r="AK119" s="101"/>
      <c r="AL119" s="204">
        <v>0</v>
      </c>
      <c r="AM119" s="210">
        <v>0</v>
      </c>
      <c r="AN119" s="101"/>
    </row>
    <row r="120" spans="1:40" ht="24.75" customHeight="1">
      <c r="A120" s="421">
        <f>+IF(JULIO!A120=0,"",JULIO!A120)</f>
        <v>2400</v>
      </c>
      <c r="B120" s="388" t="str">
        <f>+IF(JULIO!B120=0,"",JULIO!B120)</f>
        <v>VENTA DE ACTIVOS</v>
      </c>
      <c r="C120" s="204">
        <f>+ENERO!C120</f>
        <v>0</v>
      </c>
      <c r="D120" s="413">
        <f>JULIO!D120+AGOSTO!P120</f>
        <v>0</v>
      </c>
      <c r="E120" s="413">
        <f>JULIO!E120+AGOSTO!Q120</f>
        <v>0</v>
      </c>
      <c r="F120" s="414">
        <f t="shared" si="118"/>
        <v>0</v>
      </c>
      <c r="G120" s="207">
        <f>AGOSTO!I120</f>
        <v>0</v>
      </c>
      <c r="H120" s="208">
        <v>0</v>
      </c>
      <c r="I120" s="419">
        <f t="shared" si="119"/>
        <v>0</v>
      </c>
      <c r="J120" s="207">
        <f>AGOSTO!L120</f>
        <v>0</v>
      </c>
      <c r="K120" s="208">
        <v>0</v>
      </c>
      <c r="L120" s="206">
        <f t="shared" si="120"/>
        <v>0</v>
      </c>
      <c r="M120" s="420">
        <f t="shared" si="121"/>
        <v>0</v>
      </c>
      <c r="N120" s="206">
        <f t="shared" si="122"/>
        <v>0</v>
      </c>
      <c r="O120" s="67"/>
      <c r="P120" s="204">
        <v>0</v>
      </c>
      <c r="Q120" s="210">
        <v>0</v>
      </c>
      <c r="R120" s="101"/>
      <c r="S120" s="1016" t="str">
        <f>+IF(AGOSTO!S120=0,"",AGOSTO!S120)</f>
        <v>2.1.2.02.01.003.308</v>
      </c>
      <c r="T120" s="1013" t="str">
        <f>+IF(AGOSTO!T120=0,"",AGOSTO!T120)</f>
        <v>Mantenimiento - Bienes Adecuaciones locativas</v>
      </c>
      <c r="U120" s="373">
        <f>+ENERO!U120</f>
        <v>704984268</v>
      </c>
      <c r="V120" s="220">
        <f>SUM(AGOSTO!V120+SEPTIEMBRE!AL120)</f>
        <v>0</v>
      </c>
      <c r="W120" s="220">
        <f>AGOSTO!W120+SEPTIEMBRE!AM120</f>
        <v>0</v>
      </c>
      <c r="X120" s="271">
        <f t="shared" si="123"/>
        <v>704984268</v>
      </c>
      <c r="Y120" s="270">
        <f>AGOSTO!AA120</f>
        <v>0</v>
      </c>
      <c r="Z120" s="208">
        <v>0</v>
      </c>
      <c r="AA120" s="271">
        <f t="shared" si="124"/>
        <v>0</v>
      </c>
      <c r="AB120" s="270">
        <f>AGOSTO!AD120</f>
        <v>0</v>
      </c>
      <c r="AC120" s="208">
        <v>0</v>
      </c>
      <c r="AD120" s="271">
        <f t="shared" si="125"/>
        <v>0</v>
      </c>
      <c r="AE120" s="270">
        <f>AGOSTO!AG120</f>
        <v>0</v>
      </c>
      <c r="AF120" s="208">
        <v>0</v>
      </c>
      <c r="AG120" s="271">
        <f t="shared" si="126"/>
        <v>0</v>
      </c>
      <c r="AH120" s="270">
        <f t="shared" si="127"/>
        <v>704984268</v>
      </c>
      <c r="AI120" s="220">
        <f t="shared" si="128"/>
        <v>704984268</v>
      </c>
      <c r="AJ120" s="269">
        <f t="shared" si="129"/>
        <v>704984268</v>
      </c>
      <c r="AK120" s="101"/>
      <c r="AL120" s="204">
        <v>0</v>
      </c>
      <c r="AM120" s="210">
        <v>0</v>
      </c>
      <c r="AN120" s="101"/>
    </row>
    <row r="121" spans="1:40" ht="24.75" customHeight="1">
      <c r="A121" s="421">
        <f>+IF(JULIO!A121=0,"",JULIO!A121)</f>
        <v>2500</v>
      </c>
      <c r="B121" s="388" t="str">
        <f>+IF(JULIO!B121=0,"",JULIO!B121)</f>
        <v>DONACIONES</v>
      </c>
      <c r="C121" s="204">
        <f>+ENERO!C121</f>
        <v>0</v>
      </c>
      <c r="D121" s="413">
        <f>JULIO!D121+AGOSTO!P121</f>
        <v>0</v>
      </c>
      <c r="E121" s="413">
        <f>JULIO!E121+AGOSTO!Q121</f>
        <v>0</v>
      </c>
      <c r="F121" s="414">
        <f t="shared" si="118"/>
        <v>0</v>
      </c>
      <c r="G121" s="207">
        <f>AGOSTO!I121</f>
        <v>0</v>
      </c>
      <c r="H121" s="208">
        <v>0</v>
      </c>
      <c r="I121" s="419">
        <f t="shared" si="119"/>
        <v>0</v>
      </c>
      <c r="J121" s="207">
        <f>AGOSTO!L121</f>
        <v>0</v>
      </c>
      <c r="K121" s="208">
        <v>0</v>
      </c>
      <c r="L121" s="206">
        <f t="shared" si="120"/>
        <v>0</v>
      </c>
      <c r="M121" s="420">
        <f t="shared" si="121"/>
        <v>0</v>
      </c>
      <c r="N121" s="206">
        <f t="shared" si="122"/>
        <v>0</v>
      </c>
      <c r="O121" s="67"/>
      <c r="P121" s="204">
        <v>0</v>
      </c>
      <c r="Q121" s="210">
        <v>0</v>
      </c>
      <c r="R121" s="101"/>
      <c r="S121" s="1016" t="str">
        <f>+IF(AGOSTO!S121=0,"",AGOSTO!S121)</f>
        <v>2.1.2.02.02.008.99.02</v>
      </c>
      <c r="T121" s="1013" t="str">
        <f>+IF(AGOSTO!T121=0,"",AGOSTO!T121)</f>
        <v>Vigencias Anteriores</v>
      </c>
      <c r="U121" s="373">
        <f>+ENERO!U121</f>
        <v>176000000</v>
      </c>
      <c r="V121" s="220">
        <f>SUM(AGOSTO!V121+SEPTIEMBRE!AL121)</f>
        <v>0</v>
      </c>
      <c r="W121" s="220">
        <f>AGOSTO!W121+SEPTIEMBRE!AM121</f>
        <v>0</v>
      </c>
      <c r="X121" s="271">
        <f t="shared" si="123"/>
        <v>176000000</v>
      </c>
      <c r="Y121" s="270">
        <f>AGOSTO!AA121</f>
        <v>173710906</v>
      </c>
      <c r="Z121" s="208">
        <v>0</v>
      </c>
      <c r="AA121" s="271">
        <f t="shared" si="124"/>
        <v>173710906</v>
      </c>
      <c r="AB121" s="270">
        <f>AGOSTO!AD121</f>
        <v>173710906</v>
      </c>
      <c r="AC121" s="208">
        <v>0</v>
      </c>
      <c r="AD121" s="271">
        <f t="shared" si="125"/>
        <v>173710906</v>
      </c>
      <c r="AE121" s="270">
        <f>AGOSTO!AG121</f>
        <v>173710906</v>
      </c>
      <c r="AF121" s="208">
        <v>0</v>
      </c>
      <c r="AG121" s="271">
        <f t="shared" si="126"/>
        <v>173710906</v>
      </c>
      <c r="AH121" s="270">
        <f t="shared" si="127"/>
        <v>2289094</v>
      </c>
      <c r="AI121" s="220">
        <f t="shared" si="128"/>
        <v>2289094</v>
      </c>
      <c r="AJ121" s="269">
        <f t="shared" si="129"/>
        <v>2289094</v>
      </c>
      <c r="AK121" s="101"/>
      <c r="AL121" s="204">
        <v>0</v>
      </c>
      <c r="AM121" s="210">
        <v>0</v>
      </c>
      <c r="AN121" s="101"/>
    </row>
    <row r="122" spans="1:40" ht="24.75" customHeight="1">
      <c r="A122" s="421">
        <f>+IF(JULIO!A122=0,"",JULIO!A122)</f>
        <v>2600</v>
      </c>
      <c r="B122" s="388" t="str">
        <f>+IF(JULIO!B122=0,"",JULIO!B122)</f>
        <v>RECUPERACIÓN DE CARTERA (AÑO 2023 Y ANTERIORES)</v>
      </c>
      <c r="C122" s="204">
        <f>+ENERO!C122</f>
        <v>0</v>
      </c>
      <c r="D122" s="413">
        <f>JULIO!D122+AGOSTO!P122</f>
        <v>0</v>
      </c>
      <c r="E122" s="413">
        <f>JULIO!E122+AGOSTO!Q122</f>
        <v>0</v>
      </c>
      <c r="F122" s="414">
        <f t="shared" si="118"/>
        <v>0</v>
      </c>
      <c r="G122" s="207">
        <f>AGOSTO!I122</f>
        <v>0</v>
      </c>
      <c r="H122" s="208">
        <v>0</v>
      </c>
      <c r="I122" s="419">
        <f t="shared" si="119"/>
        <v>0</v>
      </c>
      <c r="J122" s="207">
        <f>AGOSTO!L122</f>
        <v>0</v>
      </c>
      <c r="K122" s="208">
        <v>0</v>
      </c>
      <c r="L122" s="206">
        <f t="shared" si="120"/>
        <v>0</v>
      </c>
      <c r="M122" s="420">
        <f t="shared" si="121"/>
        <v>0</v>
      </c>
      <c r="N122" s="206">
        <f t="shared" si="122"/>
        <v>0</v>
      </c>
      <c r="O122" s="67"/>
      <c r="P122" s="204">
        <v>0</v>
      </c>
      <c r="Q122" s="210">
        <v>0</v>
      </c>
      <c r="R122" s="101"/>
      <c r="S122" s="1017" t="str">
        <f>+IF(AGOSTO!S122=0,"",AGOSTO!S122)</f>
        <v/>
      </c>
      <c r="T122" s="1006" t="str">
        <f>+IF(AGOSTO!T122=0,"",AGOSTO!T122)</f>
        <v/>
      </c>
      <c r="U122" s="1007"/>
      <c r="V122" s="1008"/>
      <c r="W122" s="1008"/>
      <c r="X122" s="1009"/>
      <c r="Y122" s="1010"/>
      <c r="Z122" s="1011"/>
      <c r="AA122" s="1012"/>
      <c r="AB122" s="1010"/>
      <c r="AC122" s="1011"/>
      <c r="AD122" s="1012"/>
      <c r="AE122" s="1010"/>
      <c r="AF122" s="1011"/>
      <c r="AG122" s="1012"/>
      <c r="AH122" s="1010"/>
      <c r="AI122" s="1011"/>
      <c r="AJ122" s="1018"/>
      <c r="AK122" s="101"/>
      <c r="AL122" s="370"/>
      <c r="AM122" s="371"/>
      <c r="AN122" s="101"/>
    </row>
    <row r="123" spans="1:40" ht="24.75" customHeight="1">
      <c r="A123" s="421">
        <f>+IF(JULIO!A123=0,"",JULIO!A123)</f>
        <v>2700</v>
      </c>
      <c r="B123" s="388" t="str">
        <f>+IF(JULIO!B123=0,"",JULIO!B123)</f>
        <v>OTROS INGRESOS DE CAPITAL</v>
      </c>
      <c r="C123" s="204">
        <f>+ENERO!C123</f>
        <v>0</v>
      </c>
      <c r="D123" s="413">
        <f>JULIO!D123+AGOSTO!P123</f>
        <v>0</v>
      </c>
      <c r="E123" s="413">
        <f>JULIO!E123+AGOSTO!Q123</f>
        <v>0</v>
      </c>
      <c r="F123" s="414">
        <f t="shared" si="118"/>
        <v>0</v>
      </c>
      <c r="G123" s="207">
        <f>AGOSTO!I123</f>
        <v>0</v>
      </c>
      <c r="H123" s="208">
        <v>0</v>
      </c>
      <c r="I123" s="419">
        <f t="shared" si="119"/>
        <v>0</v>
      </c>
      <c r="J123" s="207">
        <f>AGOSTO!L123</f>
        <v>0</v>
      </c>
      <c r="K123" s="208">
        <v>0</v>
      </c>
      <c r="L123" s="206">
        <f t="shared" si="120"/>
        <v>0</v>
      </c>
      <c r="M123" s="420">
        <f t="shared" si="121"/>
        <v>0</v>
      </c>
      <c r="N123" s="206">
        <f t="shared" si="122"/>
        <v>0</v>
      </c>
      <c r="O123" s="67"/>
      <c r="P123" s="204">
        <v>0</v>
      </c>
      <c r="Q123" s="210">
        <v>0</v>
      </c>
      <c r="R123" s="101"/>
      <c r="S123" s="1019">
        <f>+IF(AGOSTO!S123=0,"",AGOSTO!S123)</f>
        <v>2010200</v>
      </c>
      <c r="T123" s="546" t="str">
        <f>+IF(AGOSTO!T123=0,"",AGOSTO!T123)</f>
        <v>Adquisición de Servicios</v>
      </c>
      <c r="U123" s="230">
        <f t="shared" ref="U123:AJ123" si="130">SUM(U124:U139)</f>
        <v>8280375089.2777777</v>
      </c>
      <c r="V123" s="231">
        <f t="shared" si="130"/>
        <v>59937870</v>
      </c>
      <c r="W123" s="231">
        <f t="shared" si="130"/>
        <v>169879991</v>
      </c>
      <c r="X123" s="234">
        <f t="shared" si="130"/>
        <v>8510192950.2777767</v>
      </c>
      <c r="Y123" s="233">
        <f t="shared" si="130"/>
        <v>6847688053</v>
      </c>
      <c r="Z123" s="231">
        <f t="shared" si="130"/>
        <v>320419263</v>
      </c>
      <c r="AA123" s="234">
        <f t="shared" si="130"/>
        <v>7168107316</v>
      </c>
      <c r="AB123" s="233">
        <f t="shared" si="130"/>
        <v>5540325513</v>
      </c>
      <c r="AC123" s="231">
        <f t="shared" si="130"/>
        <v>556433439</v>
      </c>
      <c r="AD123" s="234">
        <f t="shared" si="130"/>
        <v>6096758952</v>
      </c>
      <c r="AE123" s="233">
        <f t="shared" si="130"/>
        <v>4840508274</v>
      </c>
      <c r="AF123" s="231">
        <f t="shared" si="130"/>
        <v>567391542</v>
      </c>
      <c r="AG123" s="234">
        <f t="shared" si="130"/>
        <v>5407899816</v>
      </c>
      <c r="AH123" s="233">
        <f t="shared" si="130"/>
        <v>1342085634.2777774</v>
      </c>
      <c r="AI123" s="231">
        <f t="shared" si="130"/>
        <v>2413433998.2777777</v>
      </c>
      <c r="AJ123" s="232">
        <f t="shared" si="130"/>
        <v>3102293134.2777777</v>
      </c>
      <c r="AK123" s="101"/>
      <c r="AL123" s="233">
        <f>SUM(AL124:AL139)</f>
        <v>790000000</v>
      </c>
      <c r="AM123" s="232">
        <f>SUM(AM124:AM139)</f>
        <v>0</v>
      </c>
      <c r="AN123" s="101"/>
    </row>
    <row r="124" spans="1:40" ht="24.75" customHeight="1" thickBot="1">
      <c r="A124" s="428">
        <f>+IF(JULIO!A124=0,"",JULIO!A124)</f>
        <v>2800</v>
      </c>
      <c r="B124" s="390" t="str">
        <f>+IF(JULIO!B124=0,"",JULIO!B124)</f>
        <v/>
      </c>
      <c r="C124" s="242">
        <f>+ENERO!C124</f>
        <v>0</v>
      </c>
      <c r="D124" s="429">
        <f>JULIO!D124+AGOSTO!P124</f>
        <v>0</v>
      </c>
      <c r="E124" s="429">
        <f>JULIO!E124+AGOSTO!Q124</f>
        <v>0</v>
      </c>
      <c r="F124" s="430">
        <f t="shared" si="118"/>
        <v>0</v>
      </c>
      <c r="G124" s="207">
        <f>AGOSTO!I124</f>
        <v>0</v>
      </c>
      <c r="H124" s="246">
        <v>0</v>
      </c>
      <c r="I124" s="431">
        <f t="shared" si="119"/>
        <v>0</v>
      </c>
      <c r="J124" s="207">
        <f>AGOSTO!L124</f>
        <v>0</v>
      </c>
      <c r="K124" s="246">
        <v>0</v>
      </c>
      <c r="L124" s="244">
        <f t="shared" si="120"/>
        <v>0</v>
      </c>
      <c r="M124" s="432">
        <f t="shared" si="121"/>
        <v>0</v>
      </c>
      <c r="N124" s="244">
        <f t="shared" si="122"/>
        <v>0</v>
      </c>
      <c r="O124" s="67"/>
      <c r="P124" s="242">
        <v>0</v>
      </c>
      <c r="Q124" s="248">
        <v>0</v>
      </c>
      <c r="R124" s="101"/>
      <c r="S124" s="1021" t="str">
        <f>+IF(AGOSTO!S124=0,"",AGOSTO!S124)</f>
        <v>2.1.2.02.02.007.702</v>
      </c>
      <c r="T124" s="267" t="str">
        <f>+IF(AGOSTO!T124=0,"",AGOSTO!T124)</f>
        <v>Seguros</v>
      </c>
      <c r="U124" s="373">
        <f>+ENERO!U124</f>
        <v>1040000000</v>
      </c>
      <c r="V124" s="220">
        <f>SUM(AGOSTO!V124+SEPTIEMBRE!AL124)</f>
        <v>-75000000</v>
      </c>
      <c r="W124" s="220">
        <f>AGOSTO!W124+SEPTIEMBRE!AM124</f>
        <v>0</v>
      </c>
      <c r="X124" s="271">
        <f>SUM(U124:W124)</f>
        <v>965000000</v>
      </c>
      <c r="Y124" s="270">
        <f>AGOSTO!AA124</f>
        <v>881018227</v>
      </c>
      <c r="Z124" s="208">
        <v>1026045</v>
      </c>
      <c r="AA124" s="271">
        <f>SUM(Y124:Z124)</f>
        <v>882044272</v>
      </c>
      <c r="AB124" s="270">
        <f>AGOSTO!AD124</f>
        <v>880699574</v>
      </c>
      <c r="AC124" s="208">
        <v>0</v>
      </c>
      <c r="AD124" s="271">
        <f>SUM(AB124:AC124)</f>
        <v>880699574</v>
      </c>
      <c r="AE124" s="270">
        <f>AGOSTO!AG124</f>
        <v>879928668</v>
      </c>
      <c r="AF124" s="208">
        <v>0</v>
      </c>
      <c r="AG124" s="271">
        <f>SUM(AE124:AF124)</f>
        <v>879928668</v>
      </c>
      <c r="AH124" s="270">
        <f>X124-AA124</f>
        <v>82955728</v>
      </c>
      <c r="AI124" s="220">
        <f>X124-AD124</f>
        <v>84300426</v>
      </c>
      <c r="AJ124" s="1022">
        <f>X124-AG124</f>
        <v>85071332</v>
      </c>
      <c r="AK124" s="101"/>
      <c r="AL124" s="204">
        <v>0</v>
      </c>
      <c r="AM124" s="210">
        <v>0</v>
      </c>
      <c r="AN124" s="101"/>
    </row>
    <row r="125" spans="1:40" ht="24.75" customHeight="1" thickBot="1">
      <c r="R125" s="101"/>
      <c r="S125" s="1021" t="str">
        <f>+IF(AGOSTO!S125=0,"",AGOSTO!S125)</f>
        <v>2.1.2.02.02.007.703</v>
      </c>
      <c r="T125" s="267" t="str">
        <f>+IF(AGOSTO!T125=0,"",AGOSTO!T125)</f>
        <v>Arrendamientos</v>
      </c>
      <c r="U125" s="373">
        <f>+ENERO!U125</f>
        <v>75000000</v>
      </c>
      <c r="V125" s="220">
        <f>SUM(AGOSTO!V125+SEPTIEMBRE!AL125)</f>
        <v>10000000</v>
      </c>
      <c r="W125" s="220">
        <f>AGOSTO!W125+SEPTIEMBRE!AM125</f>
        <v>0</v>
      </c>
      <c r="X125" s="271">
        <f t="shared" ref="X125:X139" si="131">SUM(U125:W125)</f>
        <v>85000000</v>
      </c>
      <c r="Y125" s="270">
        <f>AGOSTO!AA125</f>
        <v>80000000</v>
      </c>
      <c r="Z125" s="208">
        <v>0</v>
      </c>
      <c r="AA125" s="271">
        <f t="shared" ref="AA125:AA139" si="132">SUM(Y125:Z125)</f>
        <v>80000000</v>
      </c>
      <c r="AB125" s="270">
        <f>AGOSTO!AD125</f>
        <v>45000000</v>
      </c>
      <c r="AC125" s="208">
        <v>5109900</v>
      </c>
      <c r="AD125" s="271">
        <f t="shared" ref="AD125:AD139" si="133">SUM(AB125:AC125)</f>
        <v>50109900</v>
      </c>
      <c r="AE125" s="270">
        <f>AGOSTO!AG125</f>
        <v>40000000</v>
      </c>
      <c r="AF125" s="208">
        <v>0</v>
      </c>
      <c r="AG125" s="271">
        <f t="shared" ref="AG125:AG139" si="134">SUM(AE125:AF125)</f>
        <v>40000000</v>
      </c>
      <c r="AH125" s="270">
        <f t="shared" ref="AH125:AH139" si="135">X125-AA125</f>
        <v>5000000</v>
      </c>
      <c r="AI125" s="220">
        <f t="shared" ref="AI125:AI139" si="136">X125-AD125</f>
        <v>34890100</v>
      </c>
      <c r="AJ125" s="1022">
        <f t="shared" ref="AJ125:AJ139" si="137">X125-AG125</f>
        <v>45000000</v>
      </c>
      <c r="AK125" s="101"/>
      <c r="AL125" s="204">
        <v>0</v>
      </c>
      <c r="AM125" s="210">
        <v>0</v>
      </c>
      <c r="AN125" s="101"/>
    </row>
    <row r="126" spans="1:40" ht="24.75" customHeight="1" thickBot="1">
      <c r="A126" s="566" t="s">
        <v>278</v>
      </c>
      <c r="B126" s="567"/>
      <c r="C126" s="435">
        <f t="shared" ref="C126:N126" si="138">C8-C128</f>
        <v>138960268668.37653</v>
      </c>
      <c r="D126" s="435">
        <f t="shared" si="138"/>
        <v>0</v>
      </c>
      <c r="E126" s="435">
        <f t="shared" si="138"/>
        <v>23438975921</v>
      </c>
      <c r="F126" s="435">
        <f t="shared" si="138"/>
        <v>162399244589.37653</v>
      </c>
      <c r="G126" s="435">
        <f t="shared" si="138"/>
        <v>120095303963</v>
      </c>
      <c r="H126" s="435">
        <f t="shared" si="138"/>
        <v>16818862579</v>
      </c>
      <c r="I126" s="435">
        <f t="shared" si="138"/>
        <v>136894429753</v>
      </c>
      <c r="J126" s="435">
        <f t="shared" si="138"/>
        <v>51277919615</v>
      </c>
      <c r="K126" s="435">
        <f t="shared" si="138"/>
        <v>12866550120</v>
      </c>
      <c r="L126" s="435">
        <f t="shared" si="138"/>
        <v>64124732946</v>
      </c>
      <c r="M126" s="435">
        <f t="shared" si="138"/>
        <v>25504814836.376514</v>
      </c>
      <c r="N126" s="436">
        <f t="shared" si="138"/>
        <v>98274511643.376511</v>
      </c>
      <c r="O126" s="67"/>
      <c r="P126" s="437">
        <f>P8-P128</f>
        <v>0</v>
      </c>
      <c r="Q126" s="438">
        <f>Q8-Q128</f>
        <v>0</v>
      </c>
      <c r="R126" s="101"/>
      <c r="S126" s="1021" t="str">
        <f>+IF(AGOSTO!S126=0,"",AGOSTO!S126)</f>
        <v>2.1.2.02.02.008.801</v>
      </c>
      <c r="T126" s="267" t="str">
        <f>+IF(AGOSTO!T126=0,"",AGOSTO!T126)</f>
        <v>Servicios Publicos (energia, Gas, Agua, Internet, Telefonia Fija y Movil)</v>
      </c>
      <c r="U126" s="373">
        <f>+ENERO!U126</f>
        <v>2804022659</v>
      </c>
      <c r="V126" s="220">
        <f>SUM(AGOSTO!V126+SEPTIEMBRE!AL126)</f>
        <v>520000000</v>
      </c>
      <c r="W126" s="220">
        <f>AGOSTO!W126+SEPTIEMBRE!AM126</f>
        <v>0</v>
      </c>
      <c r="X126" s="271">
        <f t="shared" si="131"/>
        <v>3324022659</v>
      </c>
      <c r="Y126" s="270">
        <f>AGOSTO!AA126</f>
        <v>2296112618</v>
      </c>
      <c r="Z126" s="208">
        <v>303589219</v>
      </c>
      <c r="AA126" s="271">
        <f t="shared" si="132"/>
        <v>2599701837</v>
      </c>
      <c r="AB126" s="270">
        <f>AGOSTO!AD126</f>
        <v>2068457089</v>
      </c>
      <c r="AC126" s="208">
        <v>303589217</v>
      </c>
      <c r="AD126" s="271">
        <f t="shared" si="133"/>
        <v>2372046306</v>
      </c>
      <c r="AE126" s="270">
        <f>AGOSTO!AG126</f>
        <v>1999865254</v>
      </c>
      <c r="AF126" s="208">
        <v>307151674</v>
      </c>
      <c r="AG126" s="271">
        <f t="shared" si="134"/>
        <v>2307016928</v>
      </c>
      <c r="AH126" s="270">
        <f t="shared" si="135"/>
        <v>724320822</v>
      </c>
      <c r="AI126" s="220">
        <f t="shared" si="136"/>
        <v>951976353</v>
      </c>
      <c r="AJ126" s="1022">
        <f t="shared" si="137"/>
        <v>1017005731</v>
      </c>
      <c r="AK126" s="101"/>
      <c r="AL126" s="204">
        <v>700000000</v>
      </c>
      <c r="AM126" s="210">
        <v>0</v>
      </c>
      <c r="AN126" s="101"/>
    </row>
    <row r="127" spans="1:40" ht="24.75" customHeight="1" thickBot="1">
      <c r="A127" s="568"/>
      <c r="B127" s="569"/>
      <c r="C127" s="400"/>
      <c r="D127" s="400"/>
      <c r="E127" s="400"/>
      <c r="F127" s="400"/>
      <c r="G127" s="400"/>
      <c r="H127" s="400"/>
      <c r="I127" s="400"/>
      <c r="J127" s="400"/>
      <c r="K127" s="400"/>
      <c r="L127" s="400"/>
      <c r="M127" s="400"/>
      <c r="N127" s="401"/>
      <c r="O127" s="67"/>
      <c r="P127" s="402"/>
      <c r="Q127" s="401"/>
      <c r="R127" s="101"/>
      <c r="S127" s="1021" t="str">
        <f>+IF(AGOSTO!S127=0,"",AGOSTO!S127)</f>
        <v>2.1.2.02.02.006.603</v>
      </c>
      <c r="T127" s="267" t="str">
        <f>+IF(AGOSTO!T127=0,"",AGOSTO!T127)</f>
        <v>Comunicaciones y Transportes</v>
      </c>
      <c r="U127" s="373">
        <f>+ENERO!U127</f>
        <v>341244561.11111116</v>
      </c>
      <c r="V127" s="220">
        <f>SUM(AGOSTO!V127+SEPTIEMBRE!AL127)</f>
        <v>0</v>
      </c>
      <c r="W127" s="220">
        <f>AGOSTO!W127+SEPTIEMBRE!AM127</f>
        <v>0</v>
      </c>
      <c r="X127" s="271">
        <f t="shared" si="131"/>
        <v>341244561.11111116</v>
      </c>
      <c r="Y127" s="270">
        <f>AGOSTO!AA127</f>
        <v>213926450</v>
      </c>
      <c r="Z127" s="208">
        <v>1369700</v>
      </c>
      <c r="AA127" s="271">
        <f t="shared" si="132"/>
        <v>215296150</v>
      </c>
      <c r="AB127" s="270">
        <f>AGOSTO!AD127</f>
        <v>123383294</v>
      </c>
      <c r="AC127" s="208">
        <v>14072017</v>
      </c>
      <c r="AD127" s="271">
        <f t="shared" si="133"/>
        <v>137455311</v>
      </c>
      <c r="AE127" s="270">
        <f>AGOSTO!AG127</f>
        <v>84802646</v>
      </c>
      <c r="AF127" s="208">
        <v>27930694</v>
      </c>
      <c r="AG127" s="271">
        <f t="shared" si="134"/>
        <v>112733340</v>
      </c>
      <c r="AH127" s="270">
        <f t="shared" si="135"/>
        <v>125948411.11111116</v>
      </c>
      <c r="AI127" s="220">
        <f t="shared" si="136"/>
        <v>203789250.11111116</v>
      </c>
      <c r="AJ127" s="1022">
        <f t="shared" si="137"/>
        <v>228511221.11111116</v>
      </c>
      <c r="AK127" s="101"/>
      <c r="AL127" s="204">
        <v>0</v>
      </c>
      <c r="AM127" s="210">
        <v>0</v>
      </c>
      <c r="AN127" s="101"/>
    </row>
    <row r="128" spans="1:40" ht="24.75" customHeight="1" thickBot="1">
      <c r="A128" s="570" t="s">
        <v>280</v>
      </c>
      <c r="B128" s="571"/>
      <c r="C128" s="876">
        <f>SUM(C124+C111+C102+C92+C83+C80+C77+C74+C71+C68+C65+C62+C59+C56+C53+C50+C47+C44+C37+C34+C31+C27+C24)</f>
        <v>19182884469.099998</v>
      </c>
      <c r="D128" s="876">
        <f>SUMIF($B8:$B$122,$B$24,D8:D122)+D122</f>
        <v>0</v>
      </c>
      <c r="E128" s="876">
        <f>SUM(E124+E111+E102+E92+E83+E80+E77+E74+E71+E68+E65+E62+E59+E56+E53+E50+E47+E44+E37+E34+E31+E27+E24)</f>
        <v>26177223554</v>
      </c>
      <c r="F128" s="876">
        <f>SUM(F124+F111+F102+F92+F83+F80+F77+F74+F71+F68+F65+F62+F59+F56+F53+F50+F47+F44+F37+F34+F31+F27+F24)</f>
        <v>45360108023.099998</v>
      </c>
      <c r="G128" s="876">
        <f>SUMIF($B8:$B$122,$B$24,G8:G122)+G122</f>
        <v>47775317135</v>
      </c>
      <c r="H128" s="876">
        <f>SUM(H124+H111+H102+H92+H83+H80+H77+H74+H71+H68+H65+H62+H59+H56+H53+H50+H47+H44+H37+H34+H31+H27+H24)</f>
        <v>1781857923</v>
      </c>
      <c r="I128" s="876">
        <f>SUM(I124+I111+I102+I92+I83+I80+I77+I74+I71+I68+I65+I62+I59+I56+I53+I50+I47+I44+I37+I34+I31+I27+I24)</f>
        <v>49576911847</v>
      </c>
      <c r="J128" s="876">
        <f>SUMIF($B8:$B$122,$B$24,J8:J122)+J1211</f>
        <v>47775317135</v>
      </c>
      <c r="K128" s="876">
        <f>SUM(K124+K111+K102+K92+K83+K80+K77+K74+K71+K68+K65+K62+K59+K56+K53+K50+K47+K44+K37+K34+K31+K27+K24)</f>
        <v>1781857923</v>
      </c>
      <c r="L128" s="876">
        <f>SUM(L124+L111+L102+L92+L83+L80+L77+L74+L71+L68+L65+L62+L59+L56+L53+L50+L47+L44+L37+L34+L31+L27+L24)</f>
        <v>49576911847</v>
      </c>
      <c r="M128" s="876">
        <f>SUMIF($B8:$B$122,$B$24,M8:M122)+M12</f>
        <v>-4216803823.9000001</v>
      </c>
      <c r="N128" s="442">
        <f>SUMIF($B8:$B$122,$B$24,N8:N122)+N122</f>
        <v>-4216803823.9000001</v>
      </c>
      <c r="O128" s="369"/>
      <c r="P128" s="441">
        <f>SUMIF($B8:$B$122,$B$24,P8:P122)+P122</f>
        <v>0</v>
      </c>
      <c r="Q128" s="443">
        <f>SUMIF($B8:$B$122,$B$24,Q8:Q122)+Q122</f>
        <v>0</v>
      </c>
      <c r="R128" s="101"/>
      <c r="S128" s="1021" t="str">
        <f>+IF(AGOSTO!S128=0,"",AGOSTO!S128)</f>
        <v>2.1.2.02.02.006.604</v>
      </c>
      <c r="T128" s="267" t="str">
        <f>+IF(AGOSTO!T128=0,"",AGOSTO!T128)</f>
        <v>Impresos y Publicaciones</v>
      </c>
      <c r="U128" s="373">
        <f>+ENERO!U128</f>
        <v>327220927.08333331</v>
      </c>
      <c r="V128" s="220">
        <f>SUM(AGOSTO!V128+SEPTIEMBRE!AL128)</f>
        <v>105000000</v>
      </c>
      <c r="W128" s="220">
        <f>AGOSTO!W128+SEPTIEMBRE!AM128</f>
        <v>0</v>
      </c>
      <c r="X128" s="271">
        <f t="shared" si="131"/>
        <v>432220927.08333331</v>
      </c>
      <c r="Y128" s="270">
        <f>AGOSTO!AA128</f>
        <v>350783205</v>
      </c>
      <c r="Z128" s="208">
        <v>0</v>
      </c>
      <c r="AA128" s="271">
        <f t="shared" si="132"/>
        <v>350783205</v>
      </c>
      <c r="AB128" s="270">
        <f>AGOSTO!AD128</f>
        <v>253391055</v>
      </c>
      <c r="AC128" s="208">
        <v>28260560</v>
      </c>
      <c r="AD128" s="271">
        <f t="shared" si="133"/>
        <v>281651615</v>
      </c>
      <c r="AE128" s="270">
        <f>AGOSTO!AG128</f>
        <v>90598071</v>
      </c>
      <c r="AF128" s="208">
        <v>31687403</v>
      </c>
      <c r="AG128" s="271">
        <f t="shared" si="134"/>
        <v>122285474</v>
      </c>
      <c r="AH128" s="270">
        <f t="shared" si="135"/>
        <v>81437722.083333313</v>
      </c>
      <c r="AI128" s="220">
        <f t="shared" si="136"/>
        <v>150569312.08333331</v>
      </c>
      <c r="AJ128" s="1022">
        <f t="shared" si="137"/>
        <v>309935453.08333331</v>
      </c>
      <c r="AK128" s="101"/>
      <c r="AL128" s="204">
        <v>80000000</v>
      </c>
      <c r="AM128" s="210">
        <v>0</v>
      </c>
      <c r="AN128" s="101"/>
    </row>
    <row r="129" spans="1:40" ht="24.75" customHeight="1" thickBot="1">
      <c r="A129" s="568"/>
      <c r="B129" s="569"/>
      <c r="C129" s="400"/>
      <c r="D129" s="400"/>
      <c r="E129" s="400"/>
      <c r="F129" s="400"/>
      <c r="G129" s="400"/>
      <c r="H129" s="400"/>
      <c r="I129" s="400"/>
      <c r="J129" s="400"/>
      <c r="K129" s="400"/>
      <c r="L129" s="400"/>
      <c r="M129" s="400"/>
      <c r="N129" s="401"/>
      <c r="O129" s="67"/>
      <c r="P129" s="402"/>
      <c r="Q129" s="401"/>
      <c r="R129" s="101"/>
      <c r="S129" s="1021" t="str">
        <f>+IF(AGOSTO!S129=0,"",AGOSTO!S129)</f>
        <v>2.1.2.02.02.009.905</v>
      </c>
      <c r="T129" s="267" t="str">
        <f>+IF(AGOSTO!T129=0,"",AGOSTO!T129)</f>
        <v>Servicios de Capacitacion</v>
      </c>
      <c r="U129" s="373">
        <f>+ENERO!U129</f>
        <v>41029431.25</v>
      </c>
      <c r="V129" s="220">
        <f>SUM(AGOSTO!V129+SEPTIEMBRE!AL129)</f>
        <v>0</v>
      </c>
      <c r="W129" s="220">
        <f>AGOSTO!W129+SEPTIEMBRE!AM129</f>
        <v>0</v>
      </c>
      <c r="X129" s="271">
        <f t="shared" si="131"/>
        <v>41029431.25</v>
      </c>
      <c r="Y129" s="270">
        <f>AGOSTO!AA129</f>
        <v>8356972</v>
      </c>
      <c r="Z129" s="208">
        <v>0</v>
      </c>
      <c r="AA129" s="271">
        <f t="shared" si="132"/>
        <v>8356972</v>
      </c>
      <c r="AB129" s="270">
        <f>AGOSTO!AD129</f>
        <v>8356972</v>
      </c>
      <c r="AC129" s="208">
        <v>0</v>
      </c>
      <c r="AD129" s="271">
        <f t="shared" si="133"/>
        <v>8356972</v>
      </c>
      <c r="AE129" s="270">
        <f>AGOSTO!AG129</f>
        <v>0</v>
      </c>
      <c r="AF129" s="208">
        <v>0</v>
      </c>
      <c r="AG129" s="271">
        <f t="shared" si="134"/>
        <v>0</v>
      </c>
      <c r="AH129" s="270">
        <f t="shared" si="135"/>
        <v>32672459.25</v>
      </c>
      <c r="AI129" s="220">
        <f t="shared" si="136"/>
        <v>32672459.25</v>
      </c>
      <c r="AJ129" s="1022">
        <f t="shared" si="137"/>
        <v>41029431.25</v>
      </c>
      <c r="AK129" s="101"/>
      <c r="AL129" s="204">
        <v>0</v>
      </c>
      <c r="AM129" s="210">
        <v>0</v>
      </c>
      <c r="AN129" s="101"/>
    </row>
    <row r="130" spans="1:40" ht="24.75" customHeight="1" thickBot="1">
      <c r="A130" s="572" t="s">
        <v>282</v>
      </c>
      <c r="B130" s="573"/>
      <c r="C130" s="446">
        <f t="shared" ref="C130:N130" si="139">C128+C126</f>
        <v>158143153137.47653</v>
      </c>
      <c r="D130" s="447">
        <f t="shared" si="139"/>
        <v>0</v>
      </c>
      <c r="E130" s="447">
        <f t="shared" si="139"/>
        <v>49616199475</v>
      </c>
      <c r="F130" s="448">
        <f t="shared" si="139"/>
        <v>207759352612.47653</v>
      </c>
      <c r="G130" s="446">
        <f t="shared" si="139"/>
        <v>167870621098</v>
      </c>
      <c r="H130" s="447">
        <f t="shared" si="139"/>
        <v>18600720502</v>
      </c>
      <c r="I130" s="448">
        <f t="shared" si="139"/>
        <v>186471341600</v>
      </c>
      <c r="J130" s="446">
        <f t="shared" si="139"/>
        <v>99053236750</v>
      </c>
      <c r="K130" s="447">
        <f t="shared" si="139"/>
        <v>14648408043</v>
      </c>
      <c r="L130" s="448">
        <f t="shared" si="139"/>
        <v>113701644793</v>
      </c>
      <c r="M130" s="446">
        <f t="shared" si="139"/>
        <v>21288011012.476513</v>
      </c>
      <c r="N130" s="448">
        <f t="shared" si="139"/>
        <v>94057707819.476517</v>
      </c>
      <c r="O130" s="67"/>
      <c r="P130" s="437">
        <f>P128+P126</f>
        <v>0</v>
      </c>
      <c r="Q130" s="438">
        <f>Q128+Q126</f>
        <v>0</v>
      </c>
      <c r="R130" s="101"/>
      <c r="S130" s="1021" t="str">
        <f>+IF(AGOSTO!S130=0,"",AGOSTO!S130)</f>
        <v>2.1.2.02.02.008.804</v>
      </c>
      <c r="T130" s="267" t="str">
        <f>+IF(AGOSTO!T130=0,"",AGOSTO!T130)</f>
        <v xml:space="preserve">Vigilancia </v>
      </c>
      <c r="U130" s="373">
        <f>+ENERO!U130</f>
        <v>2929064955.833333</v>
      </c>
      <c r="V130" s="220">
        <f>SUM(AGOSTO!V130+SEPTIEMBRE!AL130)</f>
        <v>-566000000</v>
      </c>
      <c r="W130" s="220">
        <f>AGOSTO!W130+SEPTIEMBRE!AM130</f>
        <v>0</v>
      </c>
      <c r="X130" s="271">
        <f t="shared" si="131"/>
        <v>2363064955.833333</v>
      </c>
      <c r="Y130" s="270">
        <f>AGOSTO!AA130</f>
        <v>2320627096</v>
      </c>
      <c r="Z130" s="208">
        <v>0</v>
      </c>
      <c r="AA130" s="271">
        <f t="shared" si="132"/>
        <v>2320627096</v>
      </c>
      <c r="AB130" s="270">
        <f>AGOSTO!AD130</f>
        <v>1540141957</v>
      </c>
      <c r="AC130" s="208">
        <v>194423556</v>
      </c>
      <c r="AD130" s="271">
        <f t="shared" si="133"/>
        <v>1734565513</v>
      </c>
      <c r="AE130" s="270">
        <f>AGOSTO!AG130</f>
        <v>1340695960</v>
      </c>
      <c r="AF130" s="208">
        <v>194423556</v>
      </c>
      <c r="AG130" s="271">
        <f t="shared" si="134"/>
        <v>1535119516</v>
      </c>
      <c r="AH130" s="270">
        <f t="shared" si="135"/>
        <v>42437859.833333015</v>
      </c>
      <c r="AI130" s="220">
        <f t="shared" si="136"/>
        <v>628499442.83333302</v>
      </c>
      <c r="AJ130" s="1022">
        <f t="shared" si="137"/>
        <v>827945439.83333302</v>
      </c>
      <c r="AK130" s="101"/>
      <c r="AL130" s="204">
        <v>0</v>
      </c>
      <c r="AM130" s="210">
        <v>0</v>
      </c>
      <c r="AN130" s="101"/>
    </row>
    <row r="131" spans="1:40" ht="24.75" customHeight="1">
      <c r="A131" s="542"/>
      <c r="B131" s="453"/>
      <c r="C131" s="67"/>
      <c r="D131" s="67"/>
      <c r="E131" s="67"/>
      <c r="F131" s="67"/>
      <c r="G131" s="67"/>
      <c r="H131" s="67"/>
      <c r="I131" s="67"/>
      <c r="J131" s="67"/>
      <c r="K131" s="67"/>
      <c r="L131" s="67"/>
      <c r="M131" s="67"/>
      <c r="N131" s="101"/>
      <c r="O131" s="67"/>
      <c r="P131" s="67"/>
      <c r="Q131" s="67"/>
      <c r="R131" s="101"/>
      <c r="S131" s="1021" t="str">
        <f>+IF(AGOSTO!S131=0,"",AGOSTO!S131)</f>
        <v>2.1.2.02.02.009.908</v>
      </c>
      <c r="T131" s="267" t="str">
        <f>+IF(AGOSTO!T131=0,"",AGOSTO!T131)</f>
        <v>Bienestar Social</v>
      </c>
      <c r="U131" s="373">
        <f>+ENERO!U131</f>
        <v>326592555</v>
      </c>
      <c r="V131" s="220">
        <f>SUM(AGOSTO!V131+SEPTIEMBRE!AL131)</f>
        <v>45937870</v>
      </c>
      <c r="W131" s="220">
        <f>AGOSTO!W131+SEPTIEMBRE!AM131</f>
        <v>169879991</v>
      </c>
      <c r="X131" s="271">
        <f t="shared" si="131"/>
        <v>542410416</v>
      </c>
      <c r="Y131" s="270">
        <f>AGOSTO!AA131</f>
        <v>457687364</v>
      </c>
      <c r="Z131" s="208">
        <v>11870734</v>
      </c>
      <c r="AA131" s="271">
        <f t="shared" si="132"/>
        <v>469558098</v>
      </c>
      <c r="AB131" s="270">
        <f>AGOSTO!AD131</f>
        <v>382405241</v>
      </c>
      <c r="AC131" s="208">
        <v>8414624</v>
      </c>
      <c r="AD131" s="271">
        <f t="shared" si="133"/>
        <v>390819865</v>
      </c>
      <c r="AE131" s="270">
        <f>AGOSTO!AG131</f>
        <v>166127344</v>
      </c>
      <c r="AF131" s="208">
        <v>3634650</v>
      </c>
      <c r="AG131" s="271">
        <f t="shared" si="134"/>
        <v>169761994</v>
      </c>
      <c r="AH131" s="270">
        <f t="shared" si="135"/>
        <v>72852318</v>
      </c>
      <c r="AI131" s="220">
        <f t="shared" si="136"/>
        <v>151590551</v>
      </c>
      <c r="AJ131" s="1022">
        <f t="shared" si="137"/>
        <v>372648422</v>
      </c>
      <c r="AK131" s="101"/>
      <c r="AL131" s="204">
        <v>0</v>
      </c>
      <c r="AM131" s="210">
        <v>0</v>
      </c>
      <c r="AN131" s="101"/>
    </row>
    <row r="132" spans="1:40" ht="24.75" customHeight="1">
      <c r="R132" s="101"/>
      <c r="S132" s="1021" t="str">
        <f>+IF(AGOSTO!S132=0,"",AGOSTO!S132)</f>
        <v>2.1.2.02.02.010</v>
      </c>
      <c r="T132" s="267" t="str">
        <f>+IF(AGOSTO!T132=0,"",AGOSTO!T132)</f>
        <v>Viáticos de los funcionarios en comisión</v>
      </c>
      <c r="U132" s="373">
        <f>+ENERO!U132</f>
        <v>3000000</v>
      </c>
      <c r="V132" s="220">
        <f>SUM(AGOSTO!V132+SEPTIEMBRE!AL132)</f>
        <v>20000000</v>
      </c>
      <c r="W132" s="220">
        <f>AGOSTO!W132+SEPTIEMBRE!AM132</f>
        <v>0</v>
      </c>
      <c r="X132" s="271">
        <f t="shared" si="131"/>
        <v>23000000</v>
      </c>
      <c r="Y132" s="270">
        <f>AGOSTO!AA132</f>
        <v>4731686</v>
      </c>
      <c r="Z132" s="208">
        <v>2563565</v>
      </c>
      <c r="AA132" s="271">
        <f t="shared" si="132"/>
        <v>7295251</v>
      </c>
      <c r="AB132" s="270">
        <f>AGOSTO!AD132</f>
        <v>4045896</v>
      </c>
      <c r="AC132" s="208">
        <v>2563565</v>
      </c>
      <c r="AD132" s="271">
        <f t="shared" si="133"/>
        <v>6609461</v>
      </c>
      <c r="AE132" s="270">
        <f>AGOSTO!AG132</f>
        <v>4045896</v>
      </c>
      <c r="AF132" s="208">
        <v>2563565</v>
      </c>
      <c r="AG132" s="271">
        <f t="shared" si="134"/>
        <v>6609461</v>
      </c>
      <c r="AH132" s="270">
        <f t="shared" si="135"/>
        <v>15704749</v>
      </c>
      <c r="AI132" s="220">
        <f t="shared" si="136"/>
        <v>16390539</v>
      </c>
      <c r="AJ132" s="1022">
        <f t="shared" si="137"/>
        <v>16390539</v>
      </c>
      <c r="AK132" s="101"/>
      <c r="AL132" s="204">
        <v>10000000</v>
      </c>
      <c r="AM132" s="210">
        <v>0</v>
      </c>
      <c r="AN132" s="101"/>
    </row>
    <row r="133" spans="1:40" ht="24.75" customHeight="1">
      <c r="R133" s="101"/>
      <c r="S133" s="1021" t="str">
        <f>+IF(AGOSTO!S133=0,"",AGOSTO!S133)</f>
        <v>2.1.2.02.02.009.903</v>
      </c>
      <c r="T133" s="267" t="str">
        <f>+IF(AGOSTO!T133=0,"",AGOSTO!T133)</f>
        <v>Servicios prestados por IPS</v>
      </c>
      <c r="U133" s="373">
        <f>+ENERO!U133</f>
        <v>5000000</v>
      </c>
      <c r="V133" s="220">
        <f>SUM(AGOSTO!V133+SEPTIEMBRE!AL133)</f>
        <v>0</v>
      </c>
      <c r="W133" s="220">
        <f>AGOSTO!W133+SEPTIEMBRE!AM133</f>
        <v>0</v>
      </c>
      <c r="X133" s="271">
        <f t="shared" si="131"/>
        <v>5000000</v>
      </c>
      <c r="Y133" s="270">
        <f>AGOSTO!AA133</f>
        <v>0</v>
      </c>
      <c r="Z133" s="208">
        <v>0</v>
      </c>
      <c r="AA133" s="271">
        <f t="shared" si="132"/>
        <v>0</v>
      </c>
      <c r="AB133" s="270">
        <f>AGOSTO!AD133</f>
        <v>0</v>
      </c>
      <c r="AC133" s="208">
        <v>0</v>
      </c>
      <c r="AD133" s="271">
        <f t="shared" si="133"/>
        <v>0</v>
      </c>
      <c r="AE133" s="270">
        <f>AGOSTO!AG133</f>
        <v>0</v>
      </c>
      <c r="AF133" s="208">
        <v>0</v>
      </c>
      <c r="AG133" s="271">
        <f t="shared" si="134"/>
        <v>0</v>
      </c>
      <c r="AH133" s="270">
        <f t="shared" si="135"/>
        <v>5000000</v>
      </c>
      <c r="AI133" s="220">
        <f t="shared" si="136"/>
        <v>5000000</v>
      </c>
      <c r="AJ133" s="1022">
        <f t="shared" si="137"/>
        <v>5000000</v>
      </c>
      <c r="AK133" s="101"/>
      <c r="AL133" s="204">
        <v>0</v>
      </c>
      <c r="AM133" s="210">
        <v>0</v>
      </c>
      <c r="AN133" s="101"/>
    </row>
    <row r="134" spans="1:40" ht="24.75" customHeight="1">
      <c r="R134" s="101"/>
      <c r="S134" s="1021" t="str">
        <f>+IF(AGOSTO!S134=0,"",AGOSTO!S134)</f>
        <v>2010200-11</v>
      </c>
      <c r="T134" s="267" t="str">
        <f>+IF(AGOSTO!T134=0,"",AGOSTO!T134)</f>
        <v>Gastos Bancarios</v>
      </c>
      <c r="U134" s="373">
        <f>+ENERO!U134</f>
        <v>0</v>
      </c>
      <c r="V134" s="220">
        <f>SUM(AGOSTO!V134+SEPTIEMBRE!AL134)</f>
        <v>0</v>
      </c>
      <c r="W134" s="220">
        <f>AGOSTO!W134+SEPTIEMBRE!AM134</f>
        <v>0</v>
      </c>
      <c r="X134" s="271">
        <f t="shared" si="131"/>
        <v>0</v>
      </c>
      <c r="Y134" s="270">
        <f>AGOSTO!AA134</f>
        <v>0</v>
      </c>
      <c r="Z134" s="208">
        <v>0</v>
      </c>
      <c r="AA134" s="271">
        <f t="shared" si="132"/>
        <v>0</v>
      </c>
      <c r="AB134" s="270">
        <f>AGOSTO!AD134</f>
        <v>0</v>
      </c>
      <c r="AC134" s="208">
        <v>0</v>
      </c>
      <c r="AD134" s="271">
        <f t="shared" si="133"/>
        <v>0</v>
      </c>
      <c r="AE134" s="270">
        <f>AGOSTO!AG134</f>
        <v>0</v>
      </c>
      <c r="AF134" s="208">
        <v>0</v>
      </c>
      <c r="AG134" s="271">
        <f t="shared" si="134"/>
        <v>0</v>
      </c>
      <c r="AH134" s="270">
        <f t="shared" si="135"/>
        <v>0</v>
      </c>
      <c r="AI134" s="220">
        <f t="shared" si="136"/>
        <v>0</v>
      </c>
      <c r="AJ134" s="1022">
        <f t="shared" si="137"/>
        <v>0</v>
      </c>
      <c r="AK134" s="101"/>
      <c r="AL134" s="204">
        <v>0</v>
      </c>
      <c r="AM134" s="210">
        <v>0</v>
      </c>
      <c r="AN134" s="101"/>
    </row>
    <row r="135" spans="1:40" ht="24.75" customHeight="1">
      <c r="R135" s="101"/>
      <c r="S135" s="1021" t="str">
        <f>+IF(AGOSTO!S135=0,"",AGOSTO!S135)</f>
        <v>2.1.2.02.02.009.909</v>
      </c>
      <c r="T135" s="267" t="str">
        <f>+IF(AGOSTO!T135=0,"",AGOSTO!T135)</f>
        <v>Convenio Docencia Servicios</v>
      </c>
      <c r="U135" s="373">
        <f>+ENERO!U135</f>
        <v>20000000</v>
      </c>
      <c r="V135" s="220">
        <f>SUM(AGOSTO!V135+SEPTIEMBRE!AL135)</f>
        <v>0</v>
      </c>
      <c r="W135" s="220">
        <f>AGOSTO!W135+SEPTIEMBRE!AM135</f>
        <v>0</v>
      </c>
      <c r="X135" s="271">
        <f t="shared" si="131"/>
        <v>20000000</v>
      </c>
      <c r="Y135" s="270">
        <f>AGOSTO!AA135</f>
        <v>0</v>
      </c>
      <c r="Z135" s="208">
        <v>0</v>
      </c>
      <c r="AA135" s="271">
        <f t="shared" si="132"/>
        <v>0</v>
      </c>
      <c r="AB135" s="270">
        <f>AGOSTO!AD135</f>
        <v>0</v>
      </c>
      <c r="AC135" s="208">
        <v>0</v>
      </c>
      <c r="AD135" s="271">
        <f t="shared" si="133"/>
        <v>0</v>
      </c>
      <c r="AE135" s="270">
        <f>AGOSTO!AG135</f>
        <v>0</v>
      </c>
      <c r="AF135" s="208">
        <v>0</v>
      </c>
      <c r="AG135" s="271">
        <f t="shared" si="134"/>
        <v>0</v>
      </c>
      <c r="AH135" s="270">
        <f t="shared" si="135"/>
        <v>20000000</v>
      </c>
      <c r="AI135" s="220">
        <f t="shared" si="136"/>
        <v>20000000</v>
      </c>
      <c r="AJ135" s="1022">
        <f t="shared" si="137"/>
        <v>20000000</v>
      </c>
      <c r="AK135" s="101"/>
      <c r="AL135" s="204">
        <v>0</v>
      </c>
      <c r="AM135" s="210">
        <v>0</v>
      </c>
      <c r="AN135" s="101"/>
    </row>
    <row r="136" spans="1:40" ht="24.75" customHeight="1">
      <c r="R136" s="101"/>
      <c r="S136" s="1021" t="str">
        <f>+IF(AGOSTO!S136=0,"",AGOSTO!S136)</f>
        <v>2.1.2.02.02.008.809</v>
      </c>
      <c r="T136" s="267" t="str">
        <f>+IF(AGOSTO!T136=0,"",AGOSTO!T136)</f>
        <v>Publicidad</v>
      </c>
      <c r="U136" s="373">
        <f>+ENERO!U136</f>
        <v>0</v>
      </c>
      <c r="V136" s="220">
        <f>SUM(AGOSTO!V136+SEPTIEMBRE!AL136)</f>
        <v>0</v>
      </c>
      <c r="W136" s="220">
        <f>AGOSTO!W136+SEPTIEMBRE!AM136</f>
        <v>0</v>
      </c>
      <c r="X136" s="271">
        <f t="shared" si="131"/>
        <v>0</v>
      </c>
      <c r="Y136" s="270">
        <f>AGOSTO!AA136</f>
        <v>0</v>
      </c>
      <c r="Z136" s="208">
        <v>0</v>
      </c>
      <c r="AA136" s="271">
        <f t="shared" si="132"/>
        <v>0</v>
      </c>
      <c r="AB136" s="270">
        <f>AGOSTO!AD136</f>
        <v>0</v>
      </c>
      <c r="AC136" s="208">
        <v>0</v>
      </c>
      <c r="AD136" s="271">
        <f t="shared" si="133"/>
        <v>0</v>
      </c>
      <c r="AE136" s="270">
        <f>AGOSTO!AG136</f>
        <v>0</v>
      </c>
      <c r="AF136" s="208">
        <v>0</v>
      </c>
      <c r="AG136" s="271">
        <f t="shared" si="134"/>
        <v>0</v>
      </c>
      <c r="AH136" s="270">
        <f t="shared" si="135"/>
        <v>0</v>
      </c>
      <c r="AI136" s="220">
        <f t="shared" si="136"/>
        <v>0</v>
      </c>
      <c r="AJ136" s="1022">
        <f t="shared" si="137"/>
        <v>0</v>
      </c>
      <c r="AK136" s="101"/>
      <c r="AL136" s="204">
        <v>0</v>
      </c>
      <c r="AM136" s="210">
        <v>0</v>
      </c>
      <c r="AN136" s="101"/>
    </row>
    <row r="137" spans="1:40" ht="24.75" customHeight="1">
      <c r="R137" s="101"/>
      <c r="S137" s="1021" t="str">
        <f>+IF(AGOSTO!S137=0,"",AGOSTO!S137)</f>
        <v/>
      </c>
      <c r="T137" s="267" t="str">
        <f>+IF(AGOSTO!T137=0,"",AGOSTO!T137)</f>
        <v/>
      </c>
      <c r="U137" s="373">
        <f>+ENERO!U137</f>
        <v>0</v>
      </c>
      <c r="V137" s="220">
        <f>SUM(AGOSTO!V137+SEPTIEMBRE!AL137)</f>
        <v>0</v>
      </c>
      <c r="W137" s="220">
        <f>AGOSTO!W137+SEPTIEMBRE!AM137</f>
        <v>0</v>
      </c>
      <c r="X137" s="271">
        <f t="shared" si="131"/>
        <v>0</v>
      </c>
      <c r="Y137" s="270">
        <f>AGOSTO!AA137</f>
        <v>0</v>
      </c>
      <c r="Z137" s="208">
        <v>0</v>
      </c>
      <c r="AA137" s="271">
        <f t="shared" si="132"/>
        <v>0</v>
      </c>
      <c r="AB137" s="270">
        <f>AGOSTO!AD137</f>
        <v>0</v>
      </c>
      <c r="AC137" s="208">
        <v>0</v>
      </c>
      <c r="AD137" s="271">
        <f t="shared" si="133"/>
        <v>0</v>
      </c>
      <c r="AE137" s="270">
        <f>AGOSTO!AG137</f>
        <v>0</v>
      </c>
      <c r="AF137" s="208">
        <v>0</v>
      </c>
      <c r="AG137" s="271">
        <f t="shared" si="134"/>
        <v>0</v>
      </c>
      <c r="AH137" s="270">
        <f t="shared" si="135"/>
        <v>0</v>
      </c>
      <c r="AI137" s="220">
        <f t="shared" si="136"/>
        <v>0</v>
      </c>
      <c r="AJ137" s="1022">
        <f t="shared" si="137"/>
        <v>0</v>
      </c>
      <c r="AK137" s="101"/>
      <c r="AL137" s="204">
        <v>0</v>
      </c>
      <c r="AM137" s="210">
        <v>0</v>
      </c>
      <c r="AN137" s="101"/>
    </row>
    <row r="138" spans="1:40" ht="24.75" customHeight="1">
      <c r="A138" s="989"/>
      <c r="B138" s="990"/>
      <c r="C138" s="991"/>
      <c r="D138" s="992"/>
      <c r="E138" s="992"/>
      <c r="F138" s="992"/>
      <c r="G138" s="992"/>
      <c r="H138" s="991"/>
      <c r="I138" s="992"/>
      <c r="J138" s="992"/>
      <c r="K138" s="991"/>
      <c r="L138" s="992"/>
      <c r="M138" s="992"/>
      <c r="N138" s="992"/>
      <c r="O138" s="992"/>
      <c r="P138" s="991"/>
      <c r="Q138" s="991"/>
      <c r="R138" s="101"/>
      <c r="S138" s="1021" t="str">
        <f>+IF(AGOSTO!S138=0,"",AGOSTO!S138)</f>
        <v/>
      </c>
      <c r="T138" s="267" t="str">
        <f>+IF(AGOSTO!T138=0,"",AGOSTO!T138)</f>
        <v/>
      </c>
      <c r="U138" s="373">
        <f>+ENERO!U138</f>
        <v>0</v>
      </c>
      <c r="V138" s="220">
        <f>SUM(AGOSTO!V138+SEPTIEMBRE!AL138)</f>
        <v>0</v>
      </c>
      <c r="W138" s="220">
        <f>AGOSTO!W138+SEPTIEMBRE!AM138</f>
        <v>0</v>
      </c>
      <c r="X138" s="271">
        <f t="shared" si="131"/>
        <v>0</v>
      </c>
      <c r="Y138" s="270">
        <f>AGOSTO!AA138</f>
        <v>0</v>
      </c>
      <c r="Z138" s="208"/>
      <c r="AA138" s="271">
        <f t="shared" si="132"/>
        <v>0</v>
      </c>
      <c r="AB138" s="270">
        <f>AGOSTO!AD138</f>
        <v>0</v>
      </c>
      <c r="AC138" s="208"/>
      <c r="AD138" s="271">
        <f t="shared" si="133"/>
        <v>0</v>
      </c>
      <c r="AE138" s="270">
        <f>AGOSTO!AG138</f>
        <v>0</v>
      </c>
      <c r="AF138" s="208"/>
      <c r="AG138" s="271">
        <f t="shared" si="134"/>
        <v>0</v>
      </c>
      <c r="AH138" s="270">
        <f t="shared" si="135"/>
        <v>0</v>
      </c>
      <c r="AI138" s="220">
        <f t="shared" si="136"/>
        <v>0</v>
      </c>
      <c r="AJ138" s="1022">
        <f t="shared" si="137"/>
        <v>0</v>
      </c>
      <c r="AK138" s="216"/>
      <c r="AL138" s="204">
        <v>0</v>
      </c>
      <c r="AM138" s="210">
        <v>0</v>
      </c>
      <c r="AN138" s="101"/>
    </row>
    <row r="139" spans="1:40" ht="24.75" customHeight="1">
      <c r="A139" s="989"/>
      <c r="B139" s="993"/>
      <c r="C139" s="991"/>
      <c r="D139" s="992"/>
      <c r="E139" s="992"/>
      <c r="F139" s="992"/>
      <c r="G139" s="992"/>
      <c r="H139" s="991"/>
      <c r="I139" s="992"/>
      <c r="J139" s="992"/>
      <c r="K139" s="991"/>
      <c r="L139" s="992"/>
      <c r="M139" s="992"/>
      <c r="N139" s="992"/>
      <c r="O139" s="992"/>
      <c r="P139" s="991"/>
      <c r="Q139" s="991"/>
      <c r="R139" s="101"/>
      <c r="S139" s="1021" t="str">
        <f>+IF(AGOSTO!S139=0,"",AGOSTO!S139)</f>
        <v>2.1.2.02.02.008.99.01</v>
      </c>
      <c r="T139" s="267" t="str">
        <f>+IF(AGOSTO!T139=0,"",AGOSTO!T139)</f>
        <v>Vigencias Anteriores</v>
      </c>
      <c r="U139" s="373">
        <f>+ENERO!U139</f>
        <v>368200000</v>
      </c>
      <c r="V139" s="220">
        <f>SUM(AGOSTO!V139+SEPTIEMBRE!AL139)</f>
        <v>0</v>
      </c>
      <c r="W139" s="220">
        <f>AGOSTO!W139+SEPTIEMBRE!AM139</f>
        <v>0</v>
      </c>
      <c r="X139" s="271">
        <f t="shared" si="131"/>
        <v>368200000</v>
      </c>
      <c r="Y139" s="270">
        <f>AGOSTO!AA139</f>
        <v>234444435</v>
      </c>
      <c r="Z139" s="208"/>
      <c r="AA139" s="271">
        <f t="shared" si="132"/>
        <v>234444435</v>
      </c>
      <c r="AB139" s="270">
        <f>AGOSTO!AD139</f>
        <v>234444435</v>
      </c>
      <c r="AC139" s="208"/>
      <c r="AD139" s="271">
        <f t="shared" si="133"/>
        <v>234444435</v>
      </c>
      <c r="AE139" s="270">
        <f>AGOSTO!AG139</f>
        <v>234444435</v>
      </c>
      <c r="AF139" s="208"/>
      <c r="AG139" s="271">
        <f t="shared" si="134"/>
        <v>234444435</v>
      </c>
      <c r="AH139" s="270">
        <f t="shared" si="135"/>
        <v>133755565</v>
      </c>
      <c r="AI139" s="220">
        <f t="shared" si="136"/>
        <v>133755565</v>
      </c>
      <c r="AJ139" s="1022">
        <f t="shared" si="137"/>
        <v>133755565</v>
      </c>
      <c r="AK139" s="216"/>
      <c r="AL139" s="204">
        <v>0</v>
      </c>
      <c r="AM139" s="210">
        <v>0</v>
      </c>
      <c r="AN139" s="101"/>
    </row>
    <row r="140" spans="1:40" ht="24.75" customHeight="1">
      <c r="A140" s="989"/>
      <c r="B140" s="990"/>
      <c r="C140" s="991"/>
      <c r="D140" s="992"/>
      <c r="E140" s="992"/>
      <c r="F140" s="992"/>
      <c r="G140" s="992"/>
      <c r="H140" s="991"/>
      <c r="I140" s="992"/>
      <c r="J140" s="992"/>
      <c r="K140" s="991"/>
      <c r="L140" s="992"/>
      <c r="M140" s="992"/>
      <c r="N140" s="992"/>
      <c r="O140" s="992"/>
      <c r="P140" s="991"/>
      <c r="Q140" s="991"/>
      <c r="R140" s="101"/>
      <c r="S140" s="1023">
        <f>+IF(AGOSTO!S140=0,"",AGOSTO!S140)</f>
        <v>233459072</v>
      </c>
      <c r="T140" s="488" t="str">
        <f>+IF(AGOSTO!T140=0,"",AGOSTO!T140)</f>
        <v/>
      </c>
      <c r="U140" s="191"/>
      <c r="V140" s="191"/>
      <c r="W140" s="191"/>
      <c r="X140" s="191"/>
      <c r="Y140" s="191"/>
      <c r="Z140" s="191"/>
      <c r="AA140" s="191"/>
      <c r="AB140" s="191"/>
      <c r="AC140" s="191"/>
      <c r="AD140" s="191"/>
      <c r="AE140" s="191"/>
      <c r="AF140" s="191"/>
      <c r="AG140" s="191"/>
      <c r="AH140" s="191"/>
      <c r="AI140" s="191"/>
      <c r="AJ140" s="1024"/>
      <c r="AK140" s="101"/>
      <c r="AL140" s="370"/>
      <c r="AM140" s="371"/>
      <c r="AN140" s="101"/>
    </row>
    <row r="141" spans="1:40" ht="24.75" customHeight="1">
      <c r="A141" s="989"/>
      <c r="B141" s="993"/>
      <c r="C141" s="991"/>
      <c r="D141" s="992"/>
      <c r="E141" s="992"/>
      <c r="F141" s="992"/>
      <c r="G141" s="992"/>
      <c r="H141" s="991"/>
      <c r="I141" s="992"/>
      <c r="J141" s="992"/>
      <c r="K141" s="991"/>
      <c r="L141" s="992"/>
      <c r="M141" s="992"/>
      <c r="N141" s="992"/>
      <c r="O141" s="992"/>
      <c r="P141" s="991"/>
      <c r="Q141" s="991"/>
      <c r="R141" s="101"/>
      <c r="S141" s="1019" t="str">
        <f>+IF(AGOSTO!S141=0,"",AGOSTO!S141)</f>
        <v>2.1.8.01</v>
      </c>
      <c r="T141" s="546" t="str">
        <f>+IF(AGOSTO!T141=0,"",AGOSTO!T141)</f>
        <v>Impuestos y Multas</v>
      </c>
      <c r="U141" s="883">
        <f>U142+U143</f>
        <v>548000000</v>
      </c>
      <c r="V141" s="231">
        <f>V142+V143</f>
        <v>0</v>
      </c>
      <c r="W141" s="231">
        <f>W142+W143</f>
        <v>0</v>
      </c>
      <c r="X141" s="234">
        <f>X142+X143</f>
        <v>548000000</v>
      </c>
      <c r="Y141" s="233">
        <f t="shared" ref="Y141:AJ141" si="140">Y142+Y143</f>
        <v>254316758</v>
      </c>
      <c r="Z141" s="231">
        <f t="shared" si="140"/>
        <v>67117192</v>
      </c>
      <c r="AA141" s="234">
        <f t="shared" si="140"/>
        <v>321433950</v>
      </c>
      <c r="AB141" s="233">
        <f t="shared" si="140"/>
        <v>254316758</v>
      </c>
      <c r="AC141" s="231">
        <f t="shared" si="140"/>
        <v>67117192</v>
      </c>
      <c r="AD141" s="234">
        <f t="shared" si="140"/>
        <v>321433950</v>
      </c>
      <c r="AE141" s="233">
        <f t="shared" si="140"/>
        <v>254316758</v>
      </c>
      <c r="AF141" s="231">
        <f t="shared" si="140"/>
        <v>67117192</v>
      </c>
      <c r="AG141" s="234">
        <f t="shared" si="140"/>
        <v>321433950</v>
      </c>
      <c r="AH141" s="233">
        <f t="shared" si="140"/>
        <v>226566050</v>
      </c>
      <c r="AI141" s="231">
        <f t="shared" si="140"/>
        <v>226566050</v>
      </c>
      <c r="AJ141" s="1020">
        <f t="shared" si="140"/>
        <v>226566050</v>
      </c>
      <c r="AK141" s="101"/>
      <c r="AL141" s="233">
        <f>AL142+AL143</f>
        <v>0</v>
      </c>
      <c r="AM141" s="232">
        <f>AM142+AM143</f>
        <v>0</v>
      </c>
      <c r="AN141" s="101"/>
    </row>
    <row r="142" spans="1:40" ht="24.75" customHeight="1">
      <c r="A142" s="989"/>
      <c r="B142" s="990"/>
      <c r="C142" s="991"/>
      <c r="D142" s="992"/>
      <c r="E142" s="992"/>
      <c r="F142" s="992"/>
      <c r="G142" s="994"/>
      <c r="H142" s="991"/>
      <c r="I142" s="994"/>
      <c r="J142" s="994"/>
      <c r="K142" s="991"/>
      <c r="L142" s="994"/>
      <c r="M142" s="994"/>
      <c r="N142" s="994"/>
      <c r="O142" s="992"/>
      <c r="P142" s="991"/>
      <c r="Q142" s="991"/>
      <c r="R142" s="101"/>
      <c r="S142" s="1021" t="str">
        <f>+IF(AGOSTO!S142=0,"",AGOSTO!S142)</f>
        <v>2.1.8.01.52</v>
      </c>
      <c r="T142" s="267" t="str">
        <f>+IF(AGOSTO!T142=0,"",AGOSTO!T142)</f>
        <v>IMPUESTO PREDIAL UNIFICADO</v>
      </c>
      <c r="U142" s="884">
        <f>+ENERO!U142</f>
        <v>148000000</v>
      </c>
      <c r="V142" s="220">
        <f>SUM(AGOSTO!V142+SEPTIEMBRE!AL142)</f>
        <v>0</v>
      </c>
      <c r="W142" s="220">
        <f>AGOSTO!W142+SEPTIEMBRE!AM142</f>
        <v>0</v>
      </c>
      <c r="X142" s="271">
        <f>SUM(U142:W142)</f>
        <v>148000000</v>
      </c>
      <c r="Y142" s="270">
        <f>AGOSTO!AA142</f>
        <v>103516700</v>
      </c>
      <c r="Z142" s="208">
        <v>0</v>
      </c>
      <c r="AA142" s="271">
        <f>SUM(Y142:Z142)</f>
        <v>103516700</v>
      </c>
      <c r="AB142" s="270">
        <f>AGOSTO!AD142</f>
        <v>103516700</v>
      </c>
      <c r="AC142" s="208">
        <v>0</v>
      </c>
      <c r="AD142" s="271">
        <f>SUM(AB142:AC142)</f>
        <v>103516700</v>
      </c>
      <c r="AE142" s="270">
        <f>AGOSTO!AG142</f>
        <v>103516700</v>
      </c>
      <c r="AF142" s="208">
        <v>0</v>
      </c>
      <c r="AG142" s="271">
        <f>SUM(AE142:AF142)</f>
        <v>103516700</v>
      </c>
      <c r="AH142" s="270">
        <f>X142-AA142</f>
        <v>44483300</v>
      </c>
      <c r="AI142" s="220">
        <f>X142-AD142</f>
        <v>44483300</v>
      </c>
      <c r="AJ142" s="1022">
        <f>X142-AG142</f>
        <v>44483300</v>
      </c>
      <c r="AK142" s="101"/>
      <c r="AL142" s="204">
        <v>0</v>
      </c>
      <c r="AM142" s="210">
        <v>0</v>
      </c>
      <c r="AN142" s="101"/>
    </row>
    <row r="143" spans="1:40" ht="24.75" customHeight="1">
      <c r="A143" s="995"/>
      <c r="B143" s="993"/>
      <c r="C143" s="991"/>
      <c r="D143" s="992"/>
      <c r="E143" s="992"/>
      <c r="F143" s="992"/>
      <c r="G143" s="994"/>
      <c r="H143" s="991"/>
      <c r="I143" s="994"/>
      <c r="J143" s="994"/>
      <c r="K143" s="991"/>
      <c r="L143" s="994"/>
      <c r="M143" s="994"/>
      <c r="N143" s="994"/>
      <c r="O143" s="994"/>
      <c r="P143" s="991"/>
      <c r="Q143" s="991"/>
      <c r="R143" s="101"/>
      <c r="S143" s="1021" t="str">
        <f>+IF(AGOSTO!S143=0,"",AGOSTO!S143)</f>
        <v>2.1.8.01.54</v>
      </c>
      <c r="T143" s="267" t="str">
        <f>+IF(AGOSTO!T143=0,"",AGOSTO!T143)</f>
        <v>Impuesto de Industria y comercio</v>
      </c>
      <c r="U143" s="884">
        <f>+ENERO!U143</f>
        <v>400000000</v>
      </c>
      <c r="V143" s="220">
        <f>SUM(AGOSTO!V143+SEPTIEMBRE!AL143)</f>
        <v>0</v>
      </c>
      <c r="W143" s="220">
        <f>AGOSTO!W143+SEPTIEMBRE!AM143</f>
        <v>0</v>
      </c>
      <c r="X143" s="271">
        <f>SUM(U143:W143)</f>
        <v>400000000</v>
      </c>
      <c r="Y143" s="270">
        <f>AGOSTO!AA143</f>
        <v>150800058</v>
      </c>
      <c r="Z143" s="208">
        <v>67117192</v>
      </c>
      <c r="AA143" s="271">
        <f>SUM(Y143:Z143)</f>
        <v>217917250</v>
      </c>
      <c r="AB143" s="270">
        <f>AGOSTO!AD143</f>
        <v>150800058</v>
      </c>
      <c r="AC143" s="208">
        <v>67117192</v>
      </c>
      <c r="AD143" s="271">
        <f>SUM(AB143:AC143)</f>
        <v>217917250</v>
      </c>
      <c r="AE143" s="270">
        <f>AGOSTO!AG143</f>
        <v>150800058</v>
      </c>
      <c r="AF143" s="208">
        <v>67117192</v>
      </c>
      <c r="AG143" s="271">
        <f>SUM(AE143:AF143)</f>
        <v>217917250</v>
      </c>
      <c r="AH143" s="270">
        <f>X143-AA143</f>
        <v>182082750</v>
      </c>
      <c r="AI143" s="220">
        <f>X143-AD143</f>
        <v>182082750</v>
      </c>
      <c r="AJ143" s="1022">
        <f>X143-AG143</f>
        <v>182082750</v>
      </c>
      <c r="AK143" s="216"/>
      <c r="AL143" s="204">
        <v>0</v>
      </c>
      <c r="AM143" s="210">
        <v>0</v>
      </c>
      <c r="AN143" s="101"/>
    </row>
    <row r="144" spans="1:40" ht="24.75" customHeight="1">
      <c r="A144" s="995"/>
      <c r="B144" s="993"/>
      <c r="C144" s="991"/>
      <c r="D144" s="992"/>
      <c r="E144" s="992"/>
      <c r="F144" s="992"/>
      <c r="G144" s="994"/>
      <c r="H144" s="991"/>
      <c r="I144" s="994"/>
      <c r="J144" s="994"/>
      <c r="K144" s="991"/>
      <c r="L144" s="994"/>
      <c r="M144" s="994"/>
      <c r="N144" s="994"/>
      <c r="O144" s="994"/>
      <c r="P144" s="991"/>
      <c r="Q144" s="991"/>
      <c r="R144" s="101"/>
      <c r="S144" s="1023">
        <f>+IF(AGOSTO!S144=0,"",AGOSTO!S144)</f>
        <v>8880056</v>
      </c>
      <c r="T144" s="488" t="str">
        <f>+IF(AGOSTO!T144=0,"",AGOSTO!T144)</f>
        <v/>
      </c>
      <c r="U144" s="191"/>
      <c r="V144" s="191"/>
      <c r="W144" s="191"/>
      <c r="X144" s="191"/>
      <c r="Y144" s="191"/>
      <c r="Z144" s="191"/>
      <c r="AA144" s="191"/>
      <c r="AB144" s="191"/>
      <c r="AC144" s="191"/>
      <c r="AD144" s="191"/>
      <c r="AE144" s="191"/>
      <c r="AF144" s="191"/>
      <c r="AG144" s="191"/>
      <c r="AH144" s="191"/>
      <c r="AI144" s="191"/>
      <c r="AJ144" s="1024"/>
      <c r="AK144" s="101"/>
      <c r="AL144" s="370"/>
      <c r="AM144" s="371"/>
      <c r="AN144" s="101"/>
    </row>
    <row r="145" spans="1:40" ht="24.75" customHeight="1">
      <c r="A145" s="995"/>
      <c r="B145" s="993"/>
      <c r="C145" s="991"/>
      <c r="D145" s="992"/>
      <c r="E145" s="992"/>
      <c r="F145" s="992"/>
      <c r="G145" s="994"/>
      <c r="H145" s="991"/>
      <c r="I145" s="994"/>
      <c r="J145" s="994"/>
      <c r="K145" s="991"/>
      <c r="L145" s="994"/>
      <c r="M145" s="994"/>
      <c r="N145" s="994"/>
      <c r="O145" s="994"/>
      <c r="P145" s="991"/>
      <c r="Q145" s="991"/>
      <c r="R145" s="101"/>
      <c r="S145" s="1025">
        <f>+IF(AGOSTO!S145=0,"",AGOSTO!S145)</f>
        <v>2020010</v>
      </c>
      <c r="T145" s="229" t="str">
        <f>+IF(AGOSTO!T145=0,"",AGOSTO!T145)</f>
        <v>Gastos de Operación</v>
      </c>
      <c r="U145" s="883">
        <f>U147+U155</f>
        <v>11892931308.176388</v>
      </c>
      <c r="V145" s="231">
        <f>V147+V155</f>
        <v>355000000</v>
      </c>
      <c r="W145" s="231">
        <f>W147+W155</f>
        <v>1423628029</v>
      </c>
      <c r="X145" s="234">
        <f>X147+X155</f>
        <v>13671559337.176388</v>
      </c>
      <c r="Y145" s="233">
        <f t="shared" ref="Y145:AJ145" si="141">Y147+Y155</f>
        <v>6365310214</v>
      </c>
      <c r="Z145" s="231">
        <f t="shared" si="141"/>
        <v>435597224</v>
      </c>
      <c r="AA145" s="234">
        <f t="shared" si="141"/>
        <v>6800907438</v>
      </c>
      <c r="AB145" s="233">
        <f t="shared" si="141"/>
        <v>5017100770</v>
      </c>
      <c r="AC145" s="231">
        <f t="shared" si="141"/>
        <v>568849722</v>
      </c>
      <c r="AD145" s="234">
        <f t="shared" si="141"/>
        <v>5585950492</v>
      </c>
      <c r="AE145" s="233">
        <f t="shared" si="141"/>
        <v>2799702434</v>
      </c>
      <c r="AF145" s="231">
        <f t="shared" si="141"/>
        <v>457271912</v>
      </c>
      <c r="AG145" s="234">
        <f t="shared" si="141"/>
        <v>3256974346</v>
      </c>
      <c r="AH145" s="233">
        <f t="shared" si="141"/>
        <v>6870651899.1763887</v>
      </c>
      <c r="AI145" s="231">
        <f t="shared" si="141"/>
        <v>8085608845.1763887</v>
      </c>
      <c r="AJ145" s="1020">
        <f t="shared" si="141"/>
        <v>10414584991.176388</v>
      </c>
      <c r="AK145" s="101"/>
      <c r="AL145" s="233">
        <f>AL147+AL155</f>
        <v>160000000</v>
      </c>
      <c r="AM145" s="232">
        <f>AM147+AM155</f>
        <v>0</v>
      </c>
      <c r="AN145" s="101"/>
    </row>
    <row r="146" spans="1:40" ht="24.75" customHeight="1">
      <c r="A146" s="995"/>
      <c r="B146" s="993"/>
      <c r="C146" s="991"/>
      <c r="D146" s="992"/>
      <c r="E146" s="992"/>
      <c r="F146" s="992"/>
      <c r="G146" s="994"/>
      <c r="H146" s="991"/>
      <c r="I146" s="994"/>
      <c r="J146" s="994"/>
      <c r="K146" s="991"/>
      <c r="L146" s="994"/>
      <c r="M146" s="994"/>
      <c r="N146" s="994"/>
      <c r="O146" s="994"/>
      <c r="P146" s="991"/>
      <c r="Q146" s="991"/>
      <c r="R146" s="101"/>
      <c r="S146" s="1026">
        <f>+IF(AGOSTO!S146=0,"",AGOSTO!S146)</f>
        <v>2020010</v>
      </c>
      <c r="T146" s="312" t="str">
        <f>+IF(AGOSTO!T146=0,"",AGOSTO!T146)</f>
        <v/>
      </c>
      <c r="U146" s="1027"/>
      <c r="V146" s="220"/>
      <c r="W146" s="220"/>
      <c r="X146" s="271"/>
      <c r="Y146" s="270"/>
      <c r="Z146" s="220"/>
      <c r="AA146" s="271"/>
      <c r="AB146" s="270"/>
      <c r="AC146" s="220"/>
      <c r="AD146" s="271"/>
      <c r="AE146" s="270"/>
      <c r="AF146" s="220"/>
      <c r="AG146" s="271"/>
      <c r="AH146" s="270"/>
      <c r="AI146" s="220"/>
      <c r="AJ146" s="1022"/>
      <c r="AK146" s="101"/>
      <c r="AL146" s="370"/>
      <c r="AM146" s="371"/>
      <c r="AN146" s="101"/>
    </row>
    <row r="147" spans="1:40" ht="24.75" customHeight="1">
      <c r="A147" s="995"/>
      <c r="B147" s="993"/>
      <c r="C147" s="991"/>
      <c r="D147" s="992"/>
      <c r="E147" s="992"/>
      <c r="F147" s="992"/>
      <c r="G147" s="994"/>
      <c r="H147" s="991"/>
      <c r="I147" s="994"/>
      <c r="J147" s="994"/>
      <c r="K147" s="991"/>
      <c r="L147" s="994"/>
      <c r="M147" s="994"/>
      <c r="N147" s="994"/>
      <c r="O147" s="994"/>
      <c r="P147" s="991"/>
      <c r="Q147" s="991"/>
      <c r="R147" s="101"/>
      <c r="S147" s="1019" t="str">
        <f>+IF(AGOSTO!S147=0,"",AGOSTO!S147)</f>
        <v>2.1.2</v>
      </c>
      <c r="T147" s="546" t="str">
        <f>+IF(AGOSTO!T147=0,"",AGOSTO!T147)</f>
        <v>Adquisición de bienes</v>
      </c>
      <c r="U147" s="883">
        <f>SUM(U148:U149)+U153</f>
        <v>3776193053.9541664</v>
      </c>
      <c r="V147" s="231">
        <f>SUM(V148:V149)+V153</f>
        <v>355000000</v>
      </c>
      <c r="W147" s="231">
        <f>SUM(W148:W149)+W153</f>
        <v>1264813284</v>
      </c>
      <c r="X147" s="234">
        <f>SUM(X148:X149)+X153</f>
        <v>5396006337.9541664</v>
      </c>
      <c r="Y147" s="233">
        <f t="shared" ref="Y147:AJ147" si="142">SUM(Y148:Y149)+Y153</f>
        <v>2528532675</v>
      </c>
      <c r="Z147" s="231">
        <f t="shared" si="142"/>
        <v>304704479</v>
      </c>
      <c r="AA147" s="234">
        <f t="shared" si="142"/>
        <v>2833237154</v>
      </c>
      <c r="AB147" s="233">
        <f t="shared" si="142"/>
        <v>2181826998</v>
      </c>
      <c r="AC147" s="231">
        <f t="shared" si="142"/>
        <v>335060282</v>
      </c>
      <c r="AD147" s="234">
        <f t="shared" si="142"/>
        <v>2516887280</v>
      </c>
      <c r="AE147" s="233">
        <f t="shared" si="142"/>
        <v>1063499954</v>
      </c>
      <c r="AF147" s="231">
        <f t="shared" si="142"/>
        <v>190364657</v>
      </c>
      <c r="AG147" s="234">
        <f t="shared" si="142"/>
        <v>1253864611</v>
      </c>
      <c r="AH147" s="233">
        <f t="shared" si="142"/>
        <v>2562769183.9541664</v>
      </c>
      <c r="AI147" s="231">
        <f t="shared" si="142"/>
        <v>2879119057.9541664</v>
      </c>
      <c r="AJ147" s="1020">
        <f t="shared" si="142"/>
        <v>4142141726.9541664</v>
      </c>
      <c r="AK147" s="101"/>
      <c r="AL147" s="233">
        <f>SUM(AL148:AL149)+AL153</f>
        <v>160000000</v>
      </c>
      <c r="AM147" s="232">
        <f>SUM(AM148:AM149)+AM153</f>
        <v>0</v>
      </c>
      <c r="AN147" s="101"/>
    </row>
    <row r="148" spans="1:40" ht="24.75" customHeight="1">
      <c r="A148" s="996"/>
      <c r="B148" s="997"/>
      <c r="C148" s="998"/>
      <c r="D148" s="998"/>
      <c r="E148" s="998"/>
      <c r="F148" s="998"/>
      <c r="G148" s="998"/>
      <c r="H148" s="998"/>
      <c r="I148" s="998"/>
      <c r="J148" s="998"/>
      <c r="K148" s="998"/>
      <c r="L148" s="998"/>
      <c r="M148" s="998"/>
      <c r="N148" s="998"/>
      <c r="O148" s="994"/>
      <c r="P148" s="998"/>
      <c r="Q148" s="998"/>
      <c r="R148" s="101"/>
      <c r="S148" s="1021" t="str">
        <f>+IF(AGOSTO!S148=0,"",AGOSTO!S148)</f>
        <v>2.1.2.02.01.003.305</v>
      </c>
      <c r="T148" s="267" t="str">
        <f>+IF(AGOSTO!T148=0,"",AGOSTO!T148)</f>
        <v>Mantenimiento -  Partes, accesorios, herramientas</v>
      </c>
      <c r="U148" s="884">
        <f>+ENERO!U148</f>
        <v>2090969100</v>
      </c>
      <c r="V148" s="220">
        <f>SUM(AGOSTO!V148+SEPTIEMBRE!AL148)</f>
        <v>0</v>
      </c>
      <c r="W148" s="220">
        <f>AGOSTO!W148+SEPTIEMBRE!AM148</f>
        <v>964813284</v>
      </c>
      <c r="X148" s="271">
        <f>SUM(U148:W148)</f>
        <v>3055782384</v>
      </c>
      <c r="Y148" s="270">
        <f>AGOSTO!AA148</f>
        <v>999716330</v>
      </c>
      <c r="Z148" s="208">
        <v>204168106</v>
      </c>
      <c r="AA148" s="271">
        <f>SUM(Y148:Z148)</f>
        <v>1203884436</v>
      </c>
      <c r="AB148" s="270">
        <f>AGOSTO!AD148</f>
        <v>802324238</v>
      </c>
      <c r="AC148" s="208">
        <v>200645247</v>
      </c>
      <c r="AD148" s="271">
        <f>SUM(AB148:AC148)</f>
        <v>1002969485</v>
      </c>
      <c r="AE148" s="270">
        <f>AGOSTO!AG148</f>
        <v>303777752</v>
      </c>
      <c r="AF148" s="208">
        <v>113841769</v>
      </c>
      <c r="AG148" s="271">
        <f>SUM(AE148:AF148)</f>
        <v>417619521</v>
      </c>
      <c r="AH148" s="270">
        <f>X148-AA148</f>
        <v>1851897948</v>
      </c>
      <c r="AI148" s="220">
        <f>X148-AD148</f>
        <v>2052812899</v>
      </c>
      <c r="AJ148" s="1022">
        <f>X148-AG148</f>
        <v>2638162863</v>
      </c>
      <c r="AK148" s="101"/>
      <c r="AL148" s="204">
        <v>0</v>
      </c>
      <c r="AM148" s="210">
        <v>0</v>
      </c>
      <c r="AN148" s="101"/>
    </row>
    <row r="149" spans="1:40" ht="24.75" customHeight="1">
      <c r="R149" s="101"/>
      <c r="S149" s="1021">
        <f>+IF(AGOSTO!S149=0,"",AGOSTO!S149)</f>
        <v>2020102</v>
      </c>
      <c r="T149" s="267" t="str">
        <f>+IF(AGOSTO!T149=0,"",AGOSTO!T149)</f>
        <v>Otros</v>
      </c>
      <c r="U149" s="884">
        <f>SUM(U150:U152)</f>
        <v>1232308696.9541667</v>
      </c>
      <c r="V149" s="220">
        <f>SUM(V150:V152)</f>
        <v>355000000</v>
      </c>
      <c r="W149" s="220">
        <f>AGOSTO!W149+SEPTIEMBRE!AM149</f>
        <v>0</v>
      </c>
      <c r="X149" s="271">
        <f>SUM(X150:X152)</f>
        <v>1587308696.9541667</v>
      </c>
      <c r="Y149" s="270">
        <f t="shared" ref="Y149:AJ149" si="143">SUM(Y150:Y152)</f>
        <v>1087070264</v>
      </c>
      <c r="Z149" s="300">
        <f t="shared" si="143"/>
        <v>100536373</v>
      </c>
      <c r="AA149" s="271">
        <f t="shared" si="143"/>
        <v>1187606637</v>
      </c>
      <c r="AB149" s="270">
        <f t="shared" si="143"/>
        <v>937756679</v>
      </c>
      <c r="AC149" s="300">
        <f t="shared" si="143"/>
        <v>134415035</v>
      </c>
      <c r="AD149" s="271">
        <f t="shared" si="143"/>
        <v>1072171714</v>
      </c>
      <c r="AE149" s="270">
        <f t="shared" si="143"/>
        <v>321526122</v>
      </c>
      <c r="AF149" s="300">
        <f t="shared" si="143"/>
        <v>76522888</v>
      </c>
      <c r="AG149" s="271">
        <f t="shared" si="143"/>
        <v>398049010</v>
      </c>
      <c r="AH149" s="270">
        <f t="shared" si="143"/>
        <v>399702059.95416665</v>
      </c>
      <c r="AI149" s="220">
        <f t="shared" si="143"/>
        <v>515136982.95416665</v>
      </c>
      <c r="AJ149" s="1022">
        <f t="shared" si="143"/>
        <v>1189259686.9541667</v>
      </c>
      <c r="AK149" s="101"/>
      <c r="AL149" s="301">
        <f>SUM(AL150:AL152)</f>
        <v>160000000</v>
      </c>
      <c r="AM149" s="302">
        <f>SUM(AM150:AM152)</f>
        <v>0</v>
      </c>
      <c r="AN149" s="101"/>
    </row>
    <row r="150" spans="1:40" ht="24.75" customHeight="1">
      <c r="A150" s="986">
        <f>+IF(AGOSTO!A112=0,"",AGOSTO!A112)</f>
        <v>18355520</v>
      </c>
      <c r="B150" s="987">
        <f>+IF(AGOSTO!B112=0,"",AGOSTO!B112)</f>
        <v>18355520</v>
      </c>
      <c r="C150" s="988"/>
      <c r="D150" s="988"/>
      <c r="E150" s="988"/>
      <c r="F150" s="988"/>
      <c r="G150" s="988"/>
      <c r="H150" s="988"/>
      <c r="I150" s="988"/>
      <c r="J150" s="988"/>
      <c r="K150" s="988"/>
      <c r="L150" s="988"/>
      <c r="M150" s="988"/>
      <c r="N150" s="988"/>
      <c r="O150" s="736"/>
      <c r="P150" s="988"/>
      <c r="Q150" s="988"/>
      <c r="R150" s="101"/>
      <c r="S150" s="1026" t="str">
        <f>+IF(AGOSTO!S150=0,"",AGOSTO!S150)</f>
        <v>2.1.2.02.01.002,001</v>
      </c>
      <c r="T150" s="267" t="str">
        <f>+IF(AGOSTO!T150=0,"",AGOSTO!T150)</f>
        <v>Roperia</v>
      </c>
      <c r="U150" s="884">
        <f>+ENERO!U150</f>
        <v>300724825</v>
      </c>
      <c r="V150" s="220">
        <f>SUM(AGOSTO!V150+SEPTIEMBRE!AL150)</f>
        <v>0</v>
      </c>
      <c r="W150" s="220">
        <f>AGOSTO!W150+SEPTIEMBRE!AM150</f>
        <v>0</v>
      </c>
      <c r="X150" s="271">
        <f>SUM(U150:W150)</f>
        <v>300724825</v>
      </c>
      <c r="Y150" s="270">
        <f>AGOSTO!AA150</f>
        <v>184178680</v>
      </c>
      <c r="Z150" s="208">
        <v>0</v>
      </c>
      <c r="AA150" s="271">
        <f>SUM(Y150:Z150)</f>
        <v>184178680</v>
      </c>
      <c r="AB150" s="270">
        <f>AGOSTO!AD150</f>
        <v>184178680</v>
      </c>
      <c r="AC150" s="208">
        <v>0</v>
      </c>
      <c r="AD150" s="271">
        <f>SUM(AB150:AC150)</f>
        <v>184178680</v>
      </c>
      <c r="AE150" s="270">
        <f>AGOSTO!AG150</f>
        <v>0</v>
      </c>
      <c r="AF150" s="208">
        <v>0</v>
      </c>
      <c r="AG150" s="271">
        <f>SUM(AE150:AF150)</f>
        <v>0</v>
      </c>
      <c r="AH150" s="270">
        <f>X150-AA150</f>
        <v>116546145</v>
      </c>
      <c r="AI150" s="220">
        <f>X150-AD150</f>
        <v>116546145</v>
      </c>
      <c r="AJ150" s="1022">
        <f>X150-AG150</f>
        <v>300724825</v>
      </c>
      <c r="AK150" s="101"/>
      <c r="AL150" s="204">
        <v>0</v>
      </c>
      <c r="AM150" s="210">
        <v>0</v>
      </c>
      <c r="AN150" s="101"/>
    </row>
    <row r="151" spans="1:40" ht="24.75" customHeight="1">
      <c r="A151" s="1050"/>
      <c r="B151" s="1050"/>
      <c r="C151" s="1050"/>
      <c r="D151" s="1050"/>
      <c r="E151" s="1050"/>
      <c r="F151" s="1050"/>
      <c r="G151" s="1050"/>
      <c r="H151" s="1050"/>
      <c r="I151" s="1050"/>
      <c r="J151" s="1050"/>
      <c r="K151" s="1050"/>
      <c r="L151" s="1050"/>
      <c r="M151" s="1050"/>
      <c r="N151" s="1050"/>
      <c r="O151" s="1050"/>
      <c r="P151" s="1050"/>
      <c r="Q151" s="1050"/>
      <c r="R151" s="101"/>
      <c r="S151" s="1026" t="str">
        <f>+IF(AGOSTO!S151=0,"",AGOSTO!S151)</f>
        <v>2.1.2.02.01.003.303</v>
      </c>
      <c r="T151" s="267" t="str">
        <f>+IF(AGOSTO!T151=0,"",AGOSTO!T151)</f>
        <v>Elementos de Aseo</v>
      </c>
      <c r="U151" s="884">
        <f>+ENERO!U151</f>
        <v>684513688.9375</v>
      </c>
      <c r="V151" s="220">
        <f>SUM(AGOSTO!V151+SEPTIEMBRE!AL151)</f>
        <v>110000000</v>
      </c>
      <c r="W151" s="220">
        <f>AGOSTO!W151+SEPTIEMBRE!AM151</f>
        <v>0</v>
      </c>
      <c r="X151" s="271">
        <f>SUM(U151:W151)</f>
        <v>794513688.9375</v>
      </c>
      <c r="Y151" s="270">
        <f>AGOSTO!AA151</f>
        <v>607315317</v>
      </c>
      <c r="Z151" s="208">
        <v>78506988</v>
      </c>
      <c r="AA151" s="271">
        <f>SUM(Y151:Z151)</f>
        <v>685822305</v>
      </c>
      <c r="AB151" s="270">
        <f>AGOSTO!AD151</f>
        <v>498223416</v>
      </c>
      <c r="AC151" s="208">
        <v>108261170</v>
      </c>
      <c r="AD151" s="271">
        <f>SUM(AB151:AC151)</f>
        <v>606484586</v>
      </c>
      <c r="AE151" s="270">
        <f>AGOSTO!AG151</f>
        <v>189762922</v>
      </c>
      <c r="AF151" s="208">
        <v>18898672</v>
      </c>
      <c r="AG151" s="271">
        <f>SUM(AE151:AF151)</f>
        <v>208661594</v>
      </c>
      <c r="AH151" s="270">
        <f>X151-AA151</f>
        <v>108691383.9375</v>
      </c>
      <c r="AI151" s="220">
        <f>X151-AD151</f>
        <v>188029102.9375</v>
      </c>
      <c r="AJ151" s="1022">
        <f>X151-AG151</f>
        <v>585852094.9375</v>
      </c>
      <c r="AK151" s="101"/>
      <c r="AL151" s="204">
        <v>110000000</v>
      </c>
      <c r="AM151" s="210">
        <v>0</v>
      </c>
      <c r="AN151" s="101"/>
    </row>
    <row r="152" spans="1:40" ht="24.75" customHeight="1">
      <c r="A152" s="986">
        <f>+IF(AGOSTO!A114=0,"",AGOSTO!A114)</f>
        <v>2000</v>
      </c>
      <c r="B152" s="987">
        <f>+IF(AGOSTO!B114=0,"",AGOSTO!B114)</f>
        <v>2000</v>
      </c>
      <c r="C152" s="988"/>
      <c r="D152" s="988"/>
      <c r="E152" s="988"/>
      <c r="F152" s="988"/>
      <c r="G152" s="988"/>
      <c r="H152" s="988"/>
      <c r="I152" s="988"/>
      <c r="J152" s="988"/>
      <c r="K152" s="988"/>
      <c r="L152" s="988"/>
      <c r="M152" s="988"/>
      <c r="N152" s="988"/>
      <c r="O152" s="736"/>
      <c r="P152" s="988"/>
      <c r="Q152" s="988"/>
      <c r="R152" s="101"/>
      <c r="S152" s="1026" t="str">
        <f>+IF(AGOSTO!S152=0,"",AGOSTO!S152)</f>
        <v>2.1.2.02.01.003.304</v>
      </c>
      <c r="T152" s="267" t="str">
        <f>+IF(AGOSTO!T152=0,"",AGOSTO!T152)</f>
        <v xml:space="preserve">Insumos hospitalarios </v>
      </c>
      <c r="U152" s="884">
        <f>+ENERO!U152</f>
        <v>247070183.01666665</v>
      </c>
      <c r="V152" s="220">
        <f>SUM(AGOSTO!V152+SEPTIEMBRE!AL152)</f>
        <v>245000000</v>
      </c>
      <c r="W152" s="220">
        <f>AGOSTO!W152+SEPTIEMBRE!AM152</f>
        <v>0</v>
      </c>
      <c r="X152" s="271">
        <f>SUM(U152:W152)</f>
        <v>492070183.01666665</v>
      </c>
      <c r="Y152" s="270">
        <f>AGOSTO!AA152</f>
        <v>295576267</v>
      </c>
      <c r="Z152" s="208">
        <v>22029385</v>
      </c>
      <c r="AA152" s="271">
        <f>SUM(Y152:Z152)</f>
        <v>317605652</v>
      </c>
      <c r="AB152" s="270">
        <f>AGOSTO!AD152</f>
        <v>255354583</v>
      </c>
      <c r="AC152" s="208">
        <v>26153865</v>
      </c>
      <c r="AD152" s="271">
        <f>SUM(AB152:AC152)</f>
        <v>281508448</v>
      </c>
      <c r="AE152" s="270">
        <f>AGOSTO!AG152</f>
        <v>131763200</v>
      </c>
      <c r="AF152" s="208">
        <v>57624216</v>
      </c>
      <c r="AG152" s="271">
        <f>SUM(AE152:AF152)</f>
        <v>189387416</v>
      </c>
      <c r="AH152" s="270">
        <f>X152-AA152</f>
        <v>174464531.01666665</v>
      </c>
      <c r="AI152" s="220">
        <f>X152-AD152</f>
        <v>210561735.01666665</v>
      </c>
      <c r="AJ152" s="1022">
        <f>X152-AG152</f>
        <v>302682767.01666665</v>
      </c>
      <c r="AK152" s="101"/>
      <c r="AL152" s="204">
        <v>50000000</v>
      </c>
      <c r="AM152" s="210">
        <v>0</v>
      </c>
      <c r="AN152" s="101"/>
    </row>
    <row r="153" spans="1:40" ht="24.75" customHeight="1">
      <c r="A153" s="986"/>
      <c r="B153" s="987"/>
      <c r="C153" s="988"/>
      <c r="D153" s="988"/>
      <c r="E153" s="988"/>
      <c r="F153" s="988"/>
      <c r="G153" s="988"/>
      <c r="H153" s="988"/>
      <c r="I153" s="988"/>
      <c r="J153" s="988"/>
      <c r="K153" s="988"/>
      <c r="L153" s="988"/>
      <c r="M153" s="988"/>
      <c r="N153" s="988"/>
      <c r="O153" s="736"/>
      <c r="P153" s="988"/>
      <c r="Q153" s="988"/>
      <c r="R153" s="101"/>
      <c r="S153" s="1021" t="str">
        <f>+IF(AGOSTO!S153=0,"",AGOSTO!S153)</f>
        <v>2.1.2.02.01.003.99</v>
      </c>
      <c r="T153" s="267" t="str">
        <f>+IF(AGOSTO!T153=0,"",AGOSTO!T153)</f>
        <v>Vigencias Anteriores</v>
      </c>
      <c r="U153" s="884">
        <f>+ENERO!U153</f>
        <v>452915257</v>
      </c>
      <c r="V153" s="220">
        <f>SUM(AGOSTO!V153+SEPTIEMBRE!AL153)</f>
        <v>0</v>
      </c>
      <c r="W153" s="220">
        <f>AGOSTO!W153+SEPTIEMBRE!AM153</f>
        <v>300000000</v>
      </c>
      <c r="X153" s="271">
        <f>SUM(U153:W153)</f>
        <v>752915257</v>
      </c>
      <c r="Y153" s="270">
        <f>AGOSTO!AA153</f>
        <v>441746081</v>
      </c>
      <c r="Z153" s="208"/>
      <c r="AA153" s="271">
        <f>SUM(Y153:Z153)</f>
        <v>441746081</v>
      </c>
      <c r="AB153" s="270">
        <f>AGOSTO!AD153</f>
        <v>441746081</v>
      </c>
      <c r="AC153" s="208"/>
      <c r="AD153" s="271">
        <f>SUM(AB153:AC153)</f>
        <v>441746081</v>
      </c>
      <c r="AE153" s="270">
        <f>AGOSTO!AG153</f>
        <v>438196080</v>
      </c>
      <c r="AF153" s="208"/>
      <c r="AG153" s="271">
        <f>SUM(AE153:AF153)</f>
        <v>438196080</v>
      </c>
      <c r="AH153" s="270">
        <f>X153-AA153</f>
        <v>311169176</v>
      </c>
      <c r="AI153" s="220">
        <f>X153-AD153</f>
        <v>311169176</v>
      </c>
      <c r="AJ153" s="1022">
        <f>X153-AG153</f>
        <v>314719177</v>
      </c>
      <c r="AK153" s="101"/>
      <c r="AL153" s="204">
        <v>0</v>
      </c>
      <c r="AM153" s="210">
        <v>0</v>
      </c>
      <c r="AN153" s="101"/>
    </row>
    <row r="154" spans="1:40" ht="24.75" customHeight="1">
      <c r="A154" s="1050"/>
      <c r="B154" s="1050"/>
      <c r="C154" s="1050"/>
      <c r="D154" s="1050"/>
      <c r="E154" s="1050"/>
      <c r="F154" s="1050"/>
      <c r="G154" s="1050"/>
      <c r="H154" s="1050"/>
      <c r="I154" s="1050"/>
      <c r="J154" s="1050"/>
      <c r="K154" s="1050"/>
      <c r="L154" s="1050"/>
      <c r="M154" s="1050"/>
      <c r="N154" s="1050"/>
      <c r="O154" s="1050"/>
      <c r="P154" s="1050"/>
      <c r="Q154" s="1050"/>
      <c r="R154" s="101"/>
      <c r="S154" s="1023">
        <f>+IF(AGOSTO!S154=0,"",AGOSTO!S154)</f>
        <v>203715328</v>
      </c>
      <c r="T154" s="488" t="str">
        <f>+IF(AGOSTO!T154=0,"",AGOSTO!T154)</f>
        <v/>
      </c>
      <c r="U154" s="191"/>
      <c r="V154" s="191"/>
      <c r="W154" s="191"/>
      <c r="X154" s="191"/>
      <c r="Y154" s="191"/>
      <c r="Z154" s="191"/>
      <c r="AA154" s="191"/>
      <c r="AB154" s="191"/>
      <c r="AC154" s="191"/>
      <c r="AD154" s="191"/>
      <c r="AE154" s="191"/>
      <c r="AF154" s="191"/>
      <c r="AG154" s="191"/>
      <c r="AH154" s="191"/>
      <c r="AI154" s="191"/>
      <c r="AJ154" s="1024"/>
      <c r="AK154" s="101"/>
      <c r="AL154" s="370"/>
      <c r="AM154" s="371"/>
      <c r="AN154" s="101"/>
    </row>
    <row r="155" spans="1:40" ht="24.75" customHeight="1">
      <c r="R155" s="101"/>
      <c r="S155" s="1019" t="str">
        <f>+IF(AGOSTO!S155=0,"",AGOSTO!S155)</f>
        <v>2.1.2.02.02</v>
      </c>
      <c r="T155" s="546" t="str">
        <f>+IF(AGOSTO!T155=0,"",AGOSTO!T155)</f>
        <v>Adquisición de Servicios</v>
      </c>
      <c r="U155" s="883">
        <f>SUM(U156:U157)</f>
        <v>8116738254.2222223</v>
      </c>
      <c r="V155" s="883">
        <f t="shared" ref="V155:AM155" si="144">SUM(V156:V157)</f>
        <v>0</v>
      </c>
      <c r="W155" s="883">
        <f t="shared" si="144"/>
        <v>158814745</v>
      </c>
      <c r="X155" s="883">
        <f t="shared" si="144"/>
        <v>8275552999.2222223</v>
      </c>
      <c r="Y155" s="883">
        <f t="shared" si="144"/>
        <v>3836777539</v>
      </c>
      <c r="Z155" s="883">
        <f t="shared" si="144"/>
        <v>130892745</v>
      </c>
      <c r="AA155" s="883">
        <f t="shared" si="144"/>
        <v>3967670284</v>
      </c>
      <c r="AB155" s="883">
        <f t="shared" si="144"/>
        <v>2835273772</v>
      </c>
      <c r="AC155" s="883">
        <f t="shared" si="144"/>
        <v>233789440</v>
      </c>
      <c r="AD155" s="883">
        <f t="shared" si="144"/>
        <v>3069063212</v>
      </c>
      <c r="AE155" s="883">
        <f t="shared" si="144"/>
        <v>1736202480</v>
      </c>
      <c r="AF155" s="883">
        <f t="shared" si="144"/>
        <v>266907255</v>
      </c>
      <c r="AG155" s="883">
        <f t="shared" si="144"/>
        <v>2003109735</v>
      </c>
      <c r="AH155" s="883">
        <f t="shared" si="144"/>
        <v>4307882715.2222223</v>
      </c>
      <c r="AI155" s="883">
        <f t="shared" si="144"/>
        <v>5206489787.2222223</v>
      </c>
      <c r="AJ155" s="883">
        <f t="shared" si="144"/>
        <v>6272443264.2222223</v>
      </c>
      <c r="AK155" s="883">
        <f t="shared" si="144"/>
        <v>0</v>
      </c>
      <c r="AL155" s="883">
        <f t="shared" si="144"/>
        <v>0</v>
      </c>
      <c r="AM155" s="883">
        <f t="shared" si="144"/>
        <v>0</v>
      </c>
      <c r="AN155" s="101"/>
    </row>
    <row r="156" spans="1:40" ht="24.75" customHeight="1">
      <c r="R156" s="101"/>
      <c r="S156" s="1021" t="str">
        <f>+IF(AGOSTO!S156=0,"",AGOSTO!S156)</f>
        <v>2.1.2.02.01.003.306</v>
      </c>
      <c r="T156" s="267" t="str">
        <f>+IF(AGOSTO!T156=0,"",AGOSTO!T156)</f>
        <v>Mantenimiento - Bienes sistemas</v>
      </c>
      <c r="U156" s="884">
        <f>+ENERO!U156</f>
        <v>17133955</v>
      </c>
      <c r="V156" s="220">
        <f>SUM(AGOSTO!V156+SEPTIEMBRE!AL156)</f>
        <v>0</v>
      </c>
      <c r="W156" s="220">
        <f>AGOSTO!W156+SEPTIEMBRE!AM156</f>
        <v>0</v>
      </c>
      <c r="X156" s="271">
        <f>SUM(U156:W156)</f>
        <v>17133955</v>
      </c>
      <c r="Y156" s="270">
        <f>AGOSTO!AA156</f>
        <v>15819256</v>
      </c>
      <c r="Z156" s="208">
        <v>0</v>
      </c>
      <c r="AA156" s="271">
        <f>SUM(Y156:Z156)</f>
        <v>15819256</v>
      </c>
      <c r="AB156" s="270">
        <f>AGOSTO!AD156</f>
        <v>10574474</v>
      </c>
      <c r="AC156" s="208">
        <v>0</v>
      </c>
      <c r="AD156" s="271">
        <f>SUM(AB156:AC156)</f>
        <v>10574474</v>
      </c>
      <c r="AE156" s="270">
        <f>AGOSTO!AG156</f>
        <v>10574474</v>
      </c>
      <c r="AF156" s="208">
        <v>0</v>
      </c>
      <c r="AG156" s="271">
        <f>SUM(AE156:AF156)</f>
        <v>10574474</v>
      </c>
      <c r="AH156" s="270">
        <f>X156-AA156</f>
        <v>1314699</v>
      </c>
      <c r="AI156" s="220">
        <f>X156-AD156</f>
        <v>6559481</v>
      </c>
      <c r="AJ156" s="1022">
        <f>X156-AG156</f>
        <v>6559481</v>
      </c>
      <c r="AK156" s="101"/>
      <c r="AL156" s="204">
        <v>0</v>
      </c>
      <c r="AM156" s="210">
        <v>0</v>
      </c>
      <c r="AN156" s="101"/>
    </row>
    <row r="157" spans="1:40" ht="24.75" customHeight="1">
      <c r="R157" s="101"/>
      <c r="S157" s="1021">
        <f>+IF(AGOSTO!S157=0,"",AGOSTO!S157)</f>
        <v>2020202</v>
      </c>
      <c r="T157" s="267" t="str">
        <f>+IF(AGOSTO!T157=0,"",AGOSTO!T157)</f>
        <v>Otros</v>
      </c>
      <c r="U157" s="884">
        <f t="shared" ref="U157:AJ157" si="145">SUM(U158:U166)</f>
        <v>8099604299.2222223</v>
      </c>
      <c r="V157" s="884">
        <f t="shared" si="145"/>
        <v>0</v>
      </c>
      <c r="W157" s="884">
        <f t="shared" si="145"/>
        <v>158814745</v>
      </c>
      <c r="X157" s="884">
        <f t="shared" si="145"/>
        <v>8258419044.2222223</v>
      </c>
      <c r="Y157" s="270">
        <f t="shared" si="145"/>
        <v>3820958283</v>
      </c>
      <c r="Z157" s="300">
        <f t="shared" si="145"/>
        <v>130892745</v>
      </c>
      <c r="AA157" s="300">
        <f t="shared" si="145"/>
        <v>3951851028</v>
      </c>
      <c r="AB157" s="300">
        <f t="shared" si="145"/>
        <v>2824699298</v>
      </c>
      <c r="AC157" s="300">
        <f t="shared" si="145"/>
        <v>233789440</v>
      </c>
      <c r="AD157" s="300">
        <f t="shared" si="145"/>
        <v>3058488738</v>
      </c>
      <c r="AE157" s="300">
        <f t="shared" si="145"/>
        <v>1725628006</v>
      </c>
      <c r="AF157" s="300">
        <f t="shared" si="145"/>
        <v>266907255</v>
      </c>
      <c r="AG157" s="300">
        <f t="shared" si="145"/>
        <v>1992535261</v>
      </c>
      <c r="AH157" s="300">
        <f t="shared" si="145"/>
        <v>4306568016.2222223</v>
      </c>
      <c r="AI157" s="300">
        <f t="shared" si="145"/>
        <v>5199930306.2222223</v>
      </c>
      <c r="AJ157" s="300">
        <f t="shared" si="145"/>
        <v>6265883783.2222223</v>
      </c>
      <c r="AK157" s="101"/>
      <c r="AL157" s="301">
        <f>SUM(AL158:AL166)</f>
        <v>0</v>
      </c>
      <c r="AM157" s="302">
        <f>SUM(AM158:AM166)</f>
        <v>0</v>
      </c>
      <c r="AN157" s="101"/>
    </row>
    <row r="158" spans="1:40" ht="24.75" customHeight="1">
      <c r="A158" s="542"/>
      <c r="B158" s="453"/>
      <c r="C158" s="67"/>
      <c r="D158" s="67"/>
      <c r="E158" s="67"/>
      <c r="F158" s="67"/>
      <c r="G158" s="67"/>
      <c r="H158" s="67"/>
      <c r="I158" s="67"/>
      <c r="J158" s="67"/>
      <c r="K158" s="67"/>
      <c r="L158" s="67"/>
      <c r="M158" s="67"/>
      <c r="N158" s="101"/>
      <c r="O158" s="67"/>
      <c r="P158" s="101"/>
      <c r="Q158" s="101"/>
      <c r="R158" s="101"/>
      <c r="S158" s="1026" t="str">
        <f>+IF(AGOSTO!S158=0,"",AGOSTO!S158)</f>
        <v>2.1.2.02.02.005.502</v>
      </c>
      <c r="T158" s="1056" t="str">
        <f>+IF(AGOSTO!T158=0,"",AGOSTO!T158)</f>
        <v>Mantenimiento - Arrendamiento Software</v>
      </c>
      <c r="U158" s="884">
        <f>+ENERO!U158</f>
        <v>0</v>
      </c>
      <c r="V158" s="220">
        <f>SUM(AGOSTO!V158+SEPTIEMBRE!AL158)</f>
        <v>0</v>
      </c>
      <c r="W158" s="220">
        <f>AGOSTO!W158+SEPTIEMBRE!AM158</f>
        <v>0</v>
      </c>
      <c r="X158" s="271">
        <f t="shared" ref="X158:X166" si="146">SUM(U158:W158)</f>
        <v>0</v>
      </c>
      <c r="Y158" s="270">
        <f>AGOSTO!AA158</f>
        <v>0</v>
      </c>
      <c r="Z158" s="208">
        <v>0</v>
      </c>
      <c r="AA158" s="271">
        <f t="shared" ref="AA158:AA166" si="147">SUM(Y158:Z158)</f>
        <v>0</v>
      </c>
      <c r="AB158" s="270">
        <f>AGOSTO!AD158</f>
        <v>0</v>
      </c>
      <c r="AC158" s="208">
        <v>0</v>
      </c>
      <c r="AD158" s="271">
        <f t="shared" ref="AD158:AD166" si="148">SUM(AB158:AC158)</f>
        <v>0</v>
      </c>
      <c r="AE158" s="270">
        <f>AGOSTO!AG158</f>
        <v>0</v>
      </c>
      <c r="AF158" s="208">
        <v>0</v>
      </c>
      <c r="AG158" s="271">
        <f t="shared" ref="AG158:AG166" si="149">SUM(AE158:AF158)</f>
        <v>0</v>
      </c>
      <c r="AH158" s="270">
        <f t="shared" ref="AH158:AH166" si="150">X158-AA158</f>
        <v>0</v>
      </c>
      <c r="AI158" s="220">
        <f t="shared" ref="AI158:AI166" si="151">X158-AD158</f>
        <v>0</v>
      </c>
      <c r="AJ158" s="1022">
        <f t="shared" ref="AJ158:AJ166" si="152">X158-AG158</f>
        <v>0</v>
      </c>
      <c r="AK158" s="101"/>
      <c r="AL158" s="204">
        <v>0</v>
      </c>
      <c r="AM158" s="210">
        <v>0</v>
      </c>
      <c r="AN158" s="101"/>
    </row>
    <row r="159" spans="1:40" ht="24.75" customHeight="1">
      <c r="A159" s="542"/>
      <c r="B159" s="453"/>
      <c r="C159" s="67"/>
      <c r="D159" s="67"/>
      <c r="E159" s="67"/>
      <c r="F159" s="67"/>
      <c r="G159" s="67"/>
      <c r="H159" s="67"/>
      <c r="I159" s="67"/>
      <c r="J159" s="67"/>
      <c r="K159" s="67"/>
      <c r="L159" s="67"/>
      <c r="M159" s="67"/>
      <c r="N159" s="101"/>
      <c r="O159" s="67"/>
      <c r="P159" s="101"/>
      <c r="Q159" s="101"/>
      <c r="R159" s="101"/>
      <c r="S159" s="1026" t="str">
        <f>+IF(AGOSTO!S159=0,"",AGOSTO!S159)</f>
        <v>2.1.2.02.02.005.501</v>
      </c>
      <c r="T159" s="1056" t="str">
        <f>+IF(AGOSTO!T159=0,"",AGOSTO!T159)</f>
        <v>Mantenimiento  - Servicios Planta Fisica</v>
      </c>
      <c r="U159" s="884">
        <f>+ENERO!U159</f>
        <v>476117296</v>
      </c>
      <c r="V159" s="220">
        <f>SUM(AGOSTO!V159+SEPTIEMBRE!AL159)</f>
        <v>0</v>
      </c>
      <c r="W159" s="220">
        <f>AGOSTO!W159+SEPTIEMBRE!AM159</f>
        <v>0</v>
      </c>
      <c r="X159" s="271">
        <f t="shared" si="146"/>
        <v>476117296</v>
      </c>
      <c r="Y159" s="270">
        <f>AGOSTO!AA159</f>
        <v>34461031</v>
      </c>
      <c r="Z159" s="208">
        <v>0</v>
      </c>
      <c r="AA159" s="271">
        <f t="shared" si="147"/>
        <v>34461031</v>
      </c>
      <c r="AB159" s="270">
        <f>AGOSTO!AD159</f>
        <v>15303364</v>
      </c>
      <c r="AC159" s="208">
        <v>714100</v>
      </c>
      <c r="AD159" s="271">
        <f t="shared" si="148"/>
        <v>16017464</v>
      </c>
      <c r="AE159" s="270">
        <f>AGOSTO!AG159</f>
        <v>4067822</v>
      </c>
      <c r="AF159" s="208">
        <v>10498294</v>
      </c>
      <c r="AG159" s="271">
        <f t="shared" si="149"/>
        <v>14566116</v>
      </c>
      <c r="AH159" s="270">
        <f t="shared" si="150"/>
        <v>441656265</v>
      </c>
      <c r="AI159" s="220">
        <f t="shared" si="151"/>
        <v>460099832</v>
      </c>
      <c r="AJ159" s="1022">
        <f t="shared" si="152"/>
        <v>461551180</v>
      </c>
      <c r="AK159" s="101"/>
      <c r="AL159" s="204">
        <v>0</v>
      </c>
      <c r="AM159" s="210">
        <v>0</v>
      </c>
      <c r="AN159" s="101"/>
    </row>
    <row r="160" spans="1:40" ht="24.75" customHeight="1">
      <c r="A160" s="542"/>
      <c r="B160" s="453"/>
      <c r="C160" s="67"/>
      <c r="D160" s="67"/>
      <c r="E160" s="67"/>
      <c r="F160" s="67"/>
      <c r="G160" s="67"/>
      <c r="H160" s="67"/>
      <c r="I160" s="67"/>
      <c r="J160" s="67"/>
      <c r="K160" s="67"/>
      <c r="L160" s="67"/>
      <c r="M160" s="67"/>
      <c r="N160" s="101"/>
      <c r="O160" s="67"/>
      <c r="P160" s="101"/>
      <c r="Q160" s="101"/>
      <c r="R160" s="101"/>
      <c r="S160" s="1026" t="str">
        <f>+IF(AGOSTO!S160=0,"",AGOSTO!S160)</f>
        <v>2.1.2.02.02.008.808</v>
      </c>
      <c r="T160" s="1056" t="str">
        <f>+IF(AGOSTO!T160=0,"",AGOSTO!T160)</f>
        <v>Mantenimiento Servicios - Ambiental y sanitaria</v>
      </c>
      <c r="U160" s="884">
        <f>+ENERO!U160</f>
        <v>415609981</v>
      </c>
      <c r="V160" s="220">
        <f>SUM(AGOSTO!V160+SEPTIEMBRE!AL160)</f>
        <v>0</v>
      </c>
      <c r="W160" s="220">
        <f>AGOSTO!W160+SEPTIEMBRE!AM160</f>
        <v>0</v>
      </c>
      <c r="X160" s="271">
        <f t="shared" si="146"/>
        <v>415609981</v>
      </c>
      <c r="Y160" s="270">
        <f>AGOSTO!AA160</f>
        <v>300920787</v>
      </c>
      <c r="Z160" s="208">
        <v>17318099</v>
      </c>
      <c r="AA160" s="271">
        <f t="shared" si="147"/>
        <v>318238886</v>
      </c>
      <c r="AB160" s="270">
        <f>AGOSTO!AD160</f>
        <v>204213918</v>
      </c>
      <c r="AC160" s="208">
        <v>31551920</v>
      </c>
      <c r="AD160" s="271">
        <f t="shared" si="148"/>
        <v>235765838</v>
      </c>
      <c r="AE160" s="270">
        <f>AGOSTO!AG160</f>
        <v>61360430</v>
      </c>
      <c r="AF160" s="208">
        <v>28299590</v>
      </c>
      <c r="AG160" s="271">
        <f t="shared" si="149"/>
        <v>89660020</v>
      </c>
      <c r="AH160" s="270">
        <f t="shared" si="150"/>
        <v>97371095</v>
      </c>
      <c r="AI160" s="220">
        <f t="shared" si="151"/>
        <v>179844143</v>
      </c>
      <c r="AJ160" s="1022">
        <f t="shared" si="152"/>
        <v>325949961</v>
      </c>
      <c r="AK160" s="101"/>
      <c r="AL160" s="204">
        <v>0</v>
      </c>
      <c r="AM160" s="210">
        <v>0</v>
      </c>
      <c r="AN160" s="101"/>
    </row>
    <row r="161" spans="19:40" ht="24.75" customHeight="1">
      <c r="S161" s="1026" t="str">
        <f>+IF(AGOSTO!S161=0,"",AGOSTO!S161)</f>
        <v>2.1.2.02.02.008.800</v>
      </c>
      <c r="T161" s="1056" t="str">
        <f>+IF(AGOSTO!T161=0,"",AGOSTO!T161)</f>
        <v>Mantenimiento  - Servicios Dotación y vehiculos</v>
      </c>
      <c r="U161" s="884">
        <f>+ENERO!U161</f>
        <v>220500000</v>
      </c>
      <c r="V161" s="220">
        <f>SUM(AGOSTO!V161+SEPTIEMBRE!AL161)</f>
        <v>0</v>
      </c>
      <c r="W161" s="220">
        <f>AGOSTO!W161+SEPTIEMBRE!AM161</f>
        <v>0</v>
      </c>
      <c r="X161" s="271">
        <f t="shared" si="146"/>
        <v>220500000</v>
      </c>
      <c r="Y161" s="270">
        <f>AGOSTO!AA161</f>
        <v>31535631</v>
      </c>
      <c r="Z161" s="208">
        <v>0</v>
      </c>
      <c r="AA161" s="271">
        <f t="shared" si="147"/>
        <v>31535631</v>
      </c>
      <c r="AB161" s="270">
        <f>AGOSTO!AD161</f>
        <v>31535631</v>
      </c>
      <c r="AC161" s="208">
        <v>0</v>
      </c>
      <c r="AD161" s="271">
        <f t="shared" si="148"/>
        <v>31535631</v>
      </c>
      <c r="AE161" s="270">
        <f>AGOSTO!AG161</f>
        <v>31535631</v>
      </c>
      <c r="AF161" s="208">
        <v>0</v>
      </c>
      <c r="AG161" s="271">
        <f t="shared" si="149"/>
        <v>31535631</v>
      </c>
      <c r="AH161" s="270">
        <f t="shared" si="150"/>
        <v>188964369</v>
      </c>
      <c r="AI161" s="220">
        <f t="shared" si="151"/>
        <v>188964369</v>
      </c>
      <c r="AJ161" s="1022">
        <f t="shared" si="152"/>
        <v>188964369</v>
      </c>
      <c r="AK161" s="101"/>
      <c r="AL161" s="204">
        <v>0</v>
      </c>
      <c r="AM161" s="210">
        <v>0</v>
      </c>
      <c r="AN161" s="101"/>
    </row>
    <row r="162" spans="19:40" ht="24.75" customHeight="1">
      <c r="S162" s="1026" t="str">
        <f>+IF(AGOSTO!S162=0,"",AGOSTO!S162)</f>
        <v>2.1.2.02.02.008.805</v>
      </c>
      <c r="T162" s="1056" t="str">
        <f>+IF(AGOSTO!T162=0,"",AGOSTO!T162)</f>
        <v>Mantenimiento - Servicio de Metrología y Calibracion</v>
      </c>
      <c r="U162" s="884">
        <f>+ENERO!U162</f>
        <v>144394707</v>
      </c>
      <c r="V162" s="220">
        <f>SUM(AGOSTO!V162+SEPTIEMBRE!AL162)</f>
        <v>0</v>
      </c>
      <c r="W162" s="220">
        <f>AGOSTO!W162+SEPTIEMBRE!AM162</f>
        <v>0</v>
      </c>
      <c r="X162" s="271">
        <f t="shared" si="146"/>
        <v>144394707</v>
      </c>
      <c r="Y162" s="270">
        <f>AGOSTO!AA162</f>
        <v>104424880</v>
      </c>
      <c r="Z162" s="208">
        <v>0</v>
      </c>
      <c r="AA162" s="271">
        <f t="shared" si="147"/>
        <v>104424880</v>
      </c>
      <c r="AB162" s="270">
        <f>AGOSTO!AD162</f>
        <v>0</v>
      </c>
      <c r="AC162" s="208">
        <v>0</v>
      </c>
      <c r="AD162" s="271">
        <f t="shared" si="148"/>
        <v>0</v>
      </c>
      <c r="AE162" s="270">
        <f>AGOSTO!AG162</f>
        <v>0</v>
      </c>
      <c r="AF162" s="208">
        <v>0</v>
      </c>
      <c r="AG162" s="271">
        <f t="shared" si="149"/>
        <v>0</v>
      </c>
      <c r="AH162" s="270">
        <f t="shared" si="150"/>
        <v>39969827</v>
      </c>
      <c r="AI162" s="220">
        <f t="shared" si="151"/>
        <v>144394707</v>
      </c>
      <c r="AJ162" s="1022">
        <f t="shared" si="152"/>
        <v>144394707</v>
      </c>
      <c r="AK162" s="101"/>
      <c r="AL162" s="204">
        <v>0</v>
      </c>
      <c r="AM162" s="210">
        <v>0</v>
      </c>
      <c r="AN162" s="101"/>
    </row>
    <row r="163" spans="19:40" ht="24.75" customHeight="1">
      <c r="S163" s="1026" t="str">
        <f>+IF(AGOSTO!S163=0,"",AGOSTO!S163)</f>
        <v>2.1.2.02.02.008.806</v>
      </c>
      <c r="T163" s="1056" t="str">
        <f>+IF(AGOSTO!T163=0,"",AGOSTO!T163)</f>
        <v xml:space="preserve">Mantenimiento- Servicios </v>
      </c>
      <c r="U163" s="884">
        <f>+ENERO!U163</f>
        <v>4141233251</v>
      </c>
      <c r="V163" s="220">
        <f>SUM(AGOSTO!V163+SEPTIEMBRE!AL163)</f>
        <v>0</v>
      </c>
      <c r="W163" s="220">
        <f>AGOSTO!W163+SEPTIEMBRE!AM163</f>
        <v>0</v>
      </c>
      <c r="X163" s="271">
        <f t="shared" si="146"/>
        <v>4141233251</v>
      </c>
      <c r="Y163" s="270">
        <f>AGOSTO!AA163</f>
        <v>2292189824</v>
      </c>
      <c r="Z163" s="208">
        <v>113574646</v>
      </c>
      <c r="AA163" s="271">
        <f t="shared" si="147"/>
        <v>2405764470</v>
      </c>
      <c r="AB163" s="270">
        <f>AGOSTO!AD163</f>
        <v>1614215949</v>
      </c>
      <c r="AC163" s="208">
        <v>191623864</v>
      </c>
      <c r="AD163" s="271">
        <f t="shared" si="148"/>
        <v>1805839813</v>
      </c>
      <c r="AE163" s="270">
        <f>AGOSTO!AG163</f>
        <v>728768203</v>
      </c>
      <c r="AF163" s="208">
        <v>217933649</v>
      </c>
      <c r="AG163" s="271">
        <f t="shared" si="149"/>
        <v>946701852</v>
      </c>
      <c r="AH163" s="270">
        <f t="shared" si="150"/>
        <v>1735468781</v>
      </c>
      <c r="AI163" s="220">
        <f t="shared" si="151"/>
        <v>2335393438</v>
      </c>
      <c r="AJ163" s="1022">
        <f t="shared" si="152"/>
        <v>3194531399</v>
      </c>
      <c r="AK163" s="101"/>
      <c r="AL163" s="204">
        <v>0</v>
      </c>
      <c r="AM163" s="210">
        <v>0</v>
      </c>
      <c r="AN163" s="101"/>
    </row>
    <row r="164" spans="19:40" ht="24.75" customHeight="1">
      <c r="S164" s="1026" t="str">
        <f>+IF(AGOSTO!S164=0,"",AGOSTO!S164)</f>
        <v>2.1.2.02.02.008.807</v>
      </c>
      <c r="T164" s="1056" t="str">
        <f>+IF(AGOSTO!T164=0,"",AGOSTO!T164)</f>
        <v>Mantenimiento Servicios-fotocopias y otros</v>
      </c>
      <c r="U164" s="884">
        <f>+ENERO!U164</f>
        <v>267744477</v>
      </c>
      <c r="V164" s="220">
        <f>SUM(AGOSTO!V164+SEPTIEMBRE!AL164)</f>
        <v>0</v>
      </c>
      <c r="W164" s="220">
        <f>AGOSTO!W164+SEPTIEMBRE!AM164</f>
        <v>0</v>
      </c>
      <c r="X164" s="271">
        <f t="shared" si="146"/>
        <v>267744477</v>
      </c>
      <c r="Y164" s="270">
        <f>AGOSTO!AA164</f>
        <v>173250000</v>
      </c>
      <c r="Z164" s="208">
        <v>0</v>
      </c>
      <c r="AA164" s="271">
        <f t="shared" si="147"/>
        <v>173250000</v>
      </c>
      <c r="AB164" s="270">
        <f>AGOSTO!AD164</f>
        <v>75254306</v>
      </c>
      <c r="AC164" s="208">
        <v>9899556</v>
      </c>
      <c r="AD164" s="271">
        <f t="shared" si="148"/>
        <v>85153862</v>
      </c>
      <c r="AE164" s="270">
        <f>AGOSTO!AG164</f>
        <v>15749990</v>
      </c>
      <c r="AF164" s="208">
        <v>10175722</v>
      </c>
      <c r="AG164" s="271">
        <f t="shared" si="149"/>
        <v>25925712</v>
      </c>
      <c r="AH164" s="270">
        <f t="shared" si="150"/>
        <v>94494477</v>
      </c>
      <c r="AI164" s="220">
        <f t="shared" si="151"/>
        <v>182590615</v>
      </c>
      <c r="AJ164" s="1022">
        <f t="shared" si="152"/>
        <v>241818765</v>
      </c>
      <c r="AK164" s="101"/>
      <c r="AL164" s="204">
        <v>0</v>
      </c>
      <c r="AM164" s="210">
        <v>0</v>
      </c>
      <c r="AN164" s="101"/>
    </row>
    <row r="165" spans="19:40" ht="24.75" customHeight="1">
      <c r="S165" s="1026" t="str">
        <f>+IF(AGOSTO!S165=0,"",AGOSTO!S165)</f>
        <v>2.1.2.02.02.008.811</v>
      </c>
      <c r="T165" s="1056" t="str">
        <f>+IF(AGOSTO!T165=0,"",AGOSTO!T165)</f>
        <v>Mantenimiento servicios - planta física y sistemas</v>
      </c>
      <c r="U165" s="884">
        <f>+ENERO!U165</f>
        <v>0</v>
      </c>
      <c r="V165" s="220">
        <f>SUM(AGOSTO!V165+SEPTIEMBRE!AL165)</f>
        <v>0</v>
      </c>
      <c r="W165" s="220">
        <f>AGOSTO!W165+SEPTIEMBRE!AM165</f>
        <v>0</v>
      </c>
      <c r="X165" s="271">
        <f t="shared" si="146"/>
        <v>0</v>
      </c>
      <c r="Y165" s="270">
        <f>AGOSTO!AA165</f>
        <v>0</v>
      </c>
      <c r="Z165" s="208">
        <v>0</v>
      </c>
      <c r="AA165" s="271">
        <f t="shared" si="147"/>
        <v>0</v>
      </c>
      <c r="AB165" s="270">
        <f>AGOSTO!AD165</f>
        <v>0</v>
      </c>
      <c r="AC165" s="208">
        <v>0</v>
      </c>
      <c r="AD165" s="271">
        <f t="shared" si="148"/>
        <v>0</v>
      </c>
      <c r="AE165" s="270">
        <f>AGOSTO!AG165</f>
        <v>0</v>
      </c>
      <c r="AF165" s="208">
        <v>0</v>
      </c>
      <c r="AG165" s="271">
        <f t="shared" si="149"/>
        <v>0</v>
      </c>
      <c r="AH165" s="270">
        <f t="shared" si="150"/>
        <v>0</v>
      </c>
      <c r="AI165" s="220">
        <f t="shared" si="151"/>
        <v>0</v>
      </c>
      <c r="AJ165" s="1022">
        <f t="shared" si="152"/>
        <v>0</v>
      </c>
      <c r="AK165" s="101"/>
      <c r="AL165" s="204">
        <v>0</v>
      </c>
      <c r="AM165" s="210">
        <v>0</v>
      </c>
      <c r="AN165" s="101"/>
    </row>
    <row r="166" spans="19:40" ht="24.75" customHeight="1">
      <c r="S166" s="1026" t="str">
        <f>+IF(AGOSTO!S166=0,"",AGOSTO!S166)</f>
        <v>2.1.2.02.02.008.99.03</v>
      </c>
      <c r="T166" s="1056" t="str">
        <f>+IF(AGOSTO!T166=0,"",AGOSTO!T166)</f>
        <v xml:space="preserve">Vigencias Anteriores Mantenimiento Servicios </v>
      </c>
      <c r="U166" s="884">
        <f>SUM(ENERO!U167)</f>
        <v>2434004587.2222223</v>
      </c>
      <c r="V166" s="220">
        <f>SUM(AGOSTO!V166+SEPTIEMBRE!AL166)</f>
        <v>0</v>
      </c>
      <c r="W166" s="220">
        <f>AGOSTO!W166+SEPTIEMBRE!AM166</f>
        <v>158814745</v>
      </c>
      <c r="X166" s="271">
        <f t="shared" si="146"/>
        <v>2592819332.2222223</v>
      </c>
      <c r="Y166" s="270">
        <f>AGOSTO!AA166</f>
        <v>884176130</v>
      </c>
      <c r="Z166" s="208">
        <v>0</v>
      </c>
      <c r="AA166" s="271">
        <f t="shared" si="147"/>
        <v>884176130</v>
      </c>
      <c r="AB166" s="270">
        <f>AGOSTO!AD166</f>
        <v>884176130</v>
      </c>
      <c r="AC166" s="208">
        <v>0</v>
      </c>
      <c r="AD166" s="271">
        <f t="shared" si="148"/>
        <v>884176130</v>
      </c>
      <c r="AE166" s="270">
        <f>AGOSTO!AG166</f>
        <v>884145930</v>
      </c>
      <c r="AF166" s="208">
        <v>0</v>
      </c>
      <c r="AG166" s="271">
        <f t="shared" si="149"/>
        <v>884145930</v>
      </c>
      <c r="AH166" s="270">
        <f t="shared" si="150"/>
        <v>1708643202.2222223</v>
      </c>
      <c r="AI166" s="220">
        <f t="shared" si="151"/>
        <v>1708643202.2222223</v>
      </c>
      <c r="AJ166" s="1022">
        <f t="shared" si="152"/>
        <v>1708673402.2222223</v>
      </c>
      <c r="AK166" s="101"/>
      <c r="AL166" s="204">
        <v>0</v>
      </c>
      <c r="AM166" s="210">
        <v>0</v>
      </c>
      <c r="AN166" s="101"/>
    </row>
    <row r="167" spans="19:40" ht="24.75" customHeight="1">
      <c r="S167" s="1023" t="str">
        <f>+IF(AGOSTO!S167=0,"",AGOSTO!S167)</f>
        <v/>
      </c>
      <c r="T167" s="488" t="str">
        <f>+IF(AGOSTO!T167=0,"",AGOSTO!T167)</f>
        <v/>
      </c>
      <c r="U167" s="191"/>
      <c r="V167" s="191"/>
      <c r="W167" s="191"/>
      <c r="X167" s="191"/>
      <c r="Y167" s="191"/>
      <c r="Z167" s="191"/>
      <c r="AA167" s="191"/>
      <c r="AB167" s="191"/>
      <c r="AC167" s="191"/>
      <c r="AD167" s="191"/>
      <c r="AE167" s="191"/>
      <c r="AF167" s="191">
        <v>0</v>
      </c>
      <c r="AG167" s="191"/>
      <c r="AH167" s="191"/>
      <c r="AI167" s="191"/>
      <c r="AJ167" s="1024"/>
      <c r="AK167" s="101"/>
      <c r="AL167" s="370"/>
      <c r="AM167" s="371"/>
      <c r="AN167" s="101"/>
    </row>
    <row r="168" spans="19:40" ht="24.75" customHeight="1">
      <c r="S168" s="1025">
        <f>+IF(AGOSTO!S168=0,"",AGOSTO!S168)</f>
        <v>3000000</v>
      </c>
      <c r="T168" s="404" t="str">
        <f>+IF(AGOSTO!T168=0,"",AGOSTO!T168)</f>
        <v>TRANSFERENCIAS CORRIENTES</v>
      </c>
      <c r="U168" s="882">
        <f>U170+U174+U183</f>
        <v>2193060585</v>
      </c>
      <c r="V168" s="406">
        <f>V170+V174+V183</f>
        <v>21000000</v>
      </c>
      <c r="W168" s="406">
        <f>W170+W174+W183</f>
        <v>1400000000</v>
      </c>
      <c r="X168" s="407">
        <f>X170+X174+X183</f>
        <v>3614060585</v>
      </c>
      <c r="Y168" s="217">
        <f t="shared" ref="Y168:AJ168" si="153">Y170+Y174+Y183</f>
        <v>1314205704</v>
      </c>
      <c r="Z168" s="406">
        <f t="shared" si="153"/>
        <v>32281210</v>
      </c>
      <c r="AA168" s="407">
        <f t="shared" si="153"/>
        <v>1346486914</v>
      </c>
      <c r="AB168" s="217">
        <f t="shared" si="153"/>
        <v>1299664374</v>
      </c>
      <c r="AC168" s="406">
        <f t="shared" si="153"/>
        <v>32281210</v>
      </c>
      <c r="AD168" s="407">
        <f>AD170+AD174+AD183</f>
        <v>1331945584</v>
      </c>
      <c r="AE168" s="217">
        <f t="shared" si="153"/>
        <v>1159905841.5</v>
      </c>
      <c r="AF168" s="406">
        <f t="shared" si="153"/>
        <v>160296927</v>
      </c>
      <c r="AG168" s="407">
        <f t="shared" si="153"/>
        <v>1320202768.5</v>
      </c>
      <c r="AH168" s="217">
        <f t="shared" si="153"/>
        <v>2267573671</v>
      </c>
      <c r="AI168" s="406">
        <f t="shared" si="153"/>
        <v>2282115001</v>
      </c>
      <c r="AJ168" s="1028">
        <f t="shared" si="153"/>
        <v>2293857816.5</v>
      </c>
      <c r="AK168" s="101"/>
      <c r="AL168" s="233">
        <f>AL170+AL174+AL183</f>
        <v>0</v>
      </c>
      <c r="AM168" s="232">
        <f>AM170+AM174+AM183</f>
        <v>0</v>
      </c>
      <c r="AN168" s="101"/>
    </row>
    <row r="169" spans="19:40" ht="24.75" customHeight="1">
      <c r="S169" s="1023" t="str">
        <f>+IF(AGOSTO!S169=0,"",AGOSTO!S169)</f>
        <v/>
      </c>
      <c r="T169" s="488" t="str">
        <f>+IF(AGOSTO!T169=0,"",AGOSTO!T169)</f>
        <v/>
      </c>
      <c r="U169" s="191"/>
      <c r="V169" s="191"/>
      <c r="W169" s="191"/>
      <c r="X169" s="191"/>
      <c r="Y169" s="191"/>
      <c r="Z169" s="191"/>
      <c r="AA169" s="191"/>
      <c r="AB169" s="191"/>
      <c r="AC169" s="191"/>
      <c r="AD169" s="191"/>
      <c r="AE169" s="191"/>
      <c r="AF169" s="191"/>
      <c r="AG169" s="191"/>
      <c r="AH169" s="191"/>
      <c r="AI169" s="191"/>
      <c r="AJ169" s="1024"/>
      <c r="AK169" s="101"/>
      <c r="AL169" s="370"/>
      <c r="AM169" s="371"/>
      <c r="AN169" s="101"/>
    </row>
    <row r="170" spans="19:40" ht="24.75" customHeight="1">
      <c r="S170" s="1019">
        <f>+IF(AGOSTO!S170=0,"",AGOSTO!S170)</f>
        <v>3100000</v>
      </c>
      <c r="T170" s="546" t="str">
        <f>+IF(AGOSTO!T170=0,"",AGOSTO!T170)</f>
        <v>Transferencias al Sector Público</v>
      </c>
      <c r="U170" s="883">
        <f>SUM(U171:U172)</f>
        <v>570000000</v>
      </c>
      <c r="V170" s="231">
        <f>SUM(V171:V172)</f>
        <v>0</v>
      </c>
      <c r="W170" s="231">
        <f>SUM(W171:W172)</f>
        <v>900000000</v>
      </c>
      <c r="X170" s="234">
        <f>SUM(X171:X172)</f>
        <v>1470000000</v>
      </c>
      <c r="Y170" s="233">
        <f t="shared" ref="Y170:AJ170" si="154">SUM(Y171:Y172)</f>
        <v>312378570</v>
      </c>
      <c r="Z170" s="231">
        <f t="shared" si="154"/>
        <v>24178853</v>
      </c>
      <c r="AA170" s="234">
        <f t="shared" si="154"/>
        <v>336557423</v>
      </c>
      <c r="AB170" s="233">
        <f t="shared" si="154"/>
        <v>299169583</v>
      </c>
      <c r="AC170" s="231">
        <f t="shared" si="154"/>
        <v>24178853</v>
      </c>
      <c r="AD170" s="234">
        <f t="shared" si="154"/>
        <v>323348436</v>
      </c>
      <c r="AE170" s="233">
        <f t="shared" si="154"/>
        <v>275734920</v>
      </c>
      <c r="AF170" s="231">
        <f t="shared" si="154"/>
        <v>36393403</v>
      </c>
      <c r="AG170" s="234">
        <f t="shared" si="154"/>
        <v>312128323</v>
      </c>
      <c r="AH170" s="233">
        <f t="shared" si="154"/>
        <v>1133442577</v>
      </c>
      <c r="AI170" s="231">
        <f t="shared" si="154"/>
        <v>1146651564</v>
      </c>
      <c r="AJ170" s="1020">
        <f t="shared" si="154"/>
        <v>1157871677</v>
      </c>
      <c r="AK170" s="101"/>
      <c r="AL170" s="233">
        <f>SUM(AL171:AL172)</f>
        <v>0</v>
      </c>
      <c r="AM170" s="232">
        <f>SUM(AM171:AM172)</f>
        <v>0</v>
      </c>
      <c r="AN170" s="101"/>
    </row>
    <row r="171" spans="19:40" ht="24.75" customHeight="1">
      <c r="S171" s="1021" t="str">
        <f>+IF(AGOSTO!S171=0,"",AGOSTO!S171)</f>
        <v>2.1.8.04.01</v>
      </c>
      <c r="T171" s="267" t="str">
        <f>+IF(AGOSTO!T171=0,"",AGOSTO!T171)</f>
        <v>Cuotas de fiscalizacion y auditaje</v>
      </c>
      <c r="U171" s="884">
        <f>+ENERO!U172</f>
        <v>170000000</v>
      </c>
      <c r="V171" s="220">
        <f>SUM(AGOSTO!V171+SEPTIEMBRE!AL171)</f>
        <v>0</v>
      </c>
      <c r="W171" s="220">
        <f>AGOSTO!W171+SEPTIEMBRE!AM171</f>
        <v>0</v>
      </c>
      <c r="X171" s="271">
        <f>SUM(U171:W171)</f>
        <v>170000000</v>
      </c>
      <c r="Y171" s="270">
        <f>AGOSTO!AA171</f>
        <v>122145496</v>
      </c>
      <c r="Z171" s="208">
        <v>0</v>
      </c>
      <c r="AA171" s="271">
        <f>SUM(Y171:Z171)</f>
        <v>122145496</v>
      </c>
      <c r="AB171" s="270">
        <f>AGOSTO!AD171</f>
        <v>108936509</v>
      </c>
      <c r="AC171" s="208">
        <v>0</v>
      </c>
      <c r="AD171" s="271">
        <f>SUM(AB171:AC171)</f>
        <v>108936509</v>
      </c>
      <c r="AE171" s="270">
        <f>AGOSTO!AG171</f>
        <v>85501846</v>
      </c>
      <c r="AF171" s="208">
        <v>12214550</v>
      </c>
      <c r="AG171" s="271">
        <f>SUM(AE171:AF171)</f>
        <v>97716396</v>
      </c>
      <c r="AH171" s="270">
        <f>X171-AA171</f>
        <v>47854504</v>
      </c>
      <c r="AI171" s="220">
        <f>X171-AD171</f>
        <v>61063491</v>
      </c>
      <c r="AJ171" s="1022">
        <f>X171-AG171</f>
        <v>72283604</v>
      </c>
      <c r="AK171" s="216"/>
      <c r="AL171" s="204">
        <v>0</v>
      </c>
      <c r="AM171" s="210">
        <v>0</v>
      </c>
      <c r="AN171" s="101"/>
    </row>
    <row r="172" spans="19:40" ht="24.75" customHeight="1">
      <c r="S172" s="1021" t="str">
        <f>+IF(AGOSTO!S172=0,"",AGOSTO!S172)</f>
        <v>2.1.8.02</v>
      </c>
      <c r="T172" s="267" t="str">
        <f>+IF(AGOSTO!T172=0,"",AGOSTO!T172)</f>
        <v>Acuerdo de estampillas</v>
      </c>
      <c r="U172" s="884">
        <f>+ENERO!U173</f>
        <v>400000000</v>
      </c>
      <c r="V172" s="220">
        <f>SUM(AGOSTO!V172+SEPTIEMBRE!AL172)</f>
        <v>0</v>
      </c>
      <c r="W172" s="220">
        <f>AGOSTO!W172+SEPTIEMBRE!AM172</f>
        <v>900000000</v>
      </c>
      <c r="X172" s="271">
        <f>SUM(U172:W172)</f>
        <v>1300000000</v>
      </c>
      <c r="Y172" s="270">
        <f>AGOSTO!AA172</f>
        <v>190233074</v>
      </c>
      <c r="Z172" s="208">
        <v>24178853</v>
      </c>
      <c r="AA172" s="271">
        <f>SUM(Y172:Z172)</f>
        <v>214411927</v>
      </c>
      <c r="AB172" s="270">
        <f>AGOSTO!AD172</f>
        <v>190233074</v>
      </c>
      <c r="AC172" s="208">
        <v>24178853</v>
      </c>
      <c r="AD172" s="271">
        <f>SUM(AB172:AC172)</f>
        <v>214411927</v>
      </c>
      <c r="AE172" s="270">
        <f>AGOSTO!AG172</f>
        <v>190233074</v>
      </c>
      <c r="AF172" s="208">
        <v>24178853</v>
      </c>
      <c r="AG172" s="271">
        <f>SUM(AE172:AF172)</f>
        <v>214411927</v>
      </c>
      <c r="AH172" s="270">
        <f>X172-AA172</f>
        <v>1085588073</v>
      </c>
      <c r="AI172" s="220">
        <f>X172-AD172</f>
        <v>1085588073</v>
      </c>
      <c r="AJ172" s="1022">
        <f>X172-AG172</f>
        <v>1085588073</v>
      </c>
      <c r="AK172" s="101"/>
      <c r="AL172" s="204">
        <v>0</v>
      </c>
      <c r="AM172" s="210">
        <v>0</v>
      </c>
      <c r="AN172" s="101"/>
    </row>
    <row r="173" spans="19:40" ht="24.75" customHeight="1">
      <c r="S173" s="1023">
        <f>+IF(AGOSTO!S173=0,"",AGOSTO!S173)</f>
        <v>23007296</v>
      </c>
      <c r="T173" s="488" t="str">
        <f>+IF(AGOSTO!T173=0,"",AGOSTO!T173)</f>
        <v/>
      </c>
      <c r="U173" s="191"/>
      <c r="V173" s="191"/>
      <c r="W173" s="191"/>
      <c r="X173" s="191"/>
      <c r="Y173" s="191"/>
      <c r="Z173" s="191"/>
      <c r="AA173" s="191"/>
      <c r="AB173" s="191"/>
      <c r="AC173" s="191"/>
      <c r="AD173" s="191"/>
      <c r="AE173" s="191"/>
      <c r="AF173" s="191"/>
      <c r="AG173" s="191"/>
      <c r="AH173" s="191"/>
      <c r="AI173" s="191"/>
      <c r="AJ173" s="1024"/>
      <c r="AK173" s="101"/>
      <c r="AL173" s="370"/>
      <c r="AM173" s="371"/>
      <c r="AN173" s="101"/>
    </row>
    <row r="174" spans="19:40" ht="24.75" customHeight="1">
      <c r="S174" s="1019">
        <f>+IF(AGOSTO!S174=0,"",AGOSTO!S174)</f>
        <v>320000</v>
      </c>
      <c r="T174" s="546" t="str">
        <f>+IF(AGOSTO!T174=0,"",AGOSTO!T174)</f>
        <v>Transf. Previsión y Seguridad Social</v>
      </c>
      <c r="U174" s="883">
        <f>SUM(U175:U181)</f>
        <v>310000000</v>
      </c>
      <c r="V174" s="231">
        <f>SUM(V175:V181)</f>
        <v>0</v>
      </c>
      <c r="W174" s="231">
        <f>SUM(W175:W181)</f>
        <v>0</v>
      </c>
      <c r="X174" s="234">
        <f>SUM(X175:X181)</f>
        <v>310000000</v>
      </c>
      <c r="Y174" s="233">
        <f t="shared" ref="Y174:AJ174" si="155">SUM(Y175:Y181)</f>
        <v>172194009</v>
      </c>
      <c r="Z174" s="231">
        <f t="shared" si="155"/>
        <v>1309338</v>
      </c>
      <c r="AA174" s="234">
        <f t="shared" si="155"/>
        <v>173503347</v>
      </c>
      <c r="AB174" s="233">
        <f t="shared" si="155"/>
        <v>172194009</v>
      </c>
      <c r="AC174" s="231">
        <f t="shared" si="155"/>
        <v>1309338</v>
      </c>
      <c r="AD174" s="234">
        <f t="shared" si="155"/>
        <v>173503347</v>
      </c>
      <c r="AE174" s="233">
        <f t="shared" si="155"/>
        <v>172194009</v>
      </c>
      <c r="AF174" s="231">
        <f t="shared" si="155"/>
        <v>1309338</v>
      </c>
      <c r="AG174" s="234">
        <f t="shared" si="155"/>
        <v>173503347</v>
      </c>
      <c r="AH174" s="233">
        <f t="shared" si="155"/>
        <v>136496653</v>
      </c>
      <c r="AI174" s="231">
        <f t="shared" si="155"/>
        <v>136496653</v>
      </c>
      <c r="AJ174" s="1020">
        <f t="shared" si="155"/>
        <v>136496653</v>
      </c>
      <c r="AK174" s="101"/>
      <c r="AL174" s="233">
        <f>SUM(AL175:AL181)</f>
        <v>0</v>
      </c>
      <c r="AM174" s="232">
        <f>SUM(AM175:AM181)</f>
        <v>0</v>
      </c>
      <c r="AN174" s="101"/>
    </row>
    <row r="175" spans="19:40" ht="24.75" customHeight="1">
      <c r="S175" s="1021">
        <f>+IF(AGOSTO!S175=0,"",AGOSTO!S175)</f>
        <v>3200100</v>
      </c>
      <c r="T175" s="267" t="str">
        <f>+IF(AGOSTO!T175=0,"",AGOSTO!T175)</f>
        <v>Pensiones y Jubilaciones (Pago Directo)</v>
      </c>
      <c r="U175" s="884">
        <f>+ENERO!U176</f>
        <v>0</v>
      </c>
      <c r="V175" s="220">
        <f>SUM(AGOSTO!V175+SEPTIEMBRE!AL175)</f>
        <v>0</v>
      </c>
      <c r="W175" s="220">
        <f>AGOSTO!W175+SEPTIEMBRE!AM175</f>
        <v>0</v>
      </c>
      <c r="X175" s="271">
        <f t="shared" ref="X175:X181" si="156">SUM(U175:W175)</f>
        <v>0</v>
      </c>
      <c r="Y175" s="270">
        <f>AGOSTO!AA175</f>
        <v>0</v>
      </c>
      <c r="Z175" s="208"/>
      <c r="AA175" s="271">
        <f t="shared" ref="AA175:AA181" si="157">SUM(Y175:Z175)</f>
        <v>0</v>
      </c>
      <c r="AB175" s="270">
        <f>AGOSTO!AD175</f>
        <v>0</v>
      </c>
      <c r="AC175" s="208"/>
      <c r="AD175" s="271">
        <f t="shared" ref="AD175:AD181" si="158">SUM(AB175:AC175)</f>
        <v>0</v>
      </c>
      <c r="AE175" s="270">
        <f>AGOSTO!AG175</f>
        <v>0</v>
      </c>
      <c r="AF175" s="208"/>
      <c r="AG175" s="271">
        <f t="shared" ref="AG175:AG181" si="159">SUM(AE175:AF175)</f>
        <v>0</v>
      </c>
      <c r="AH175" s="270">
        <f t="shared" ref="AH175:AH181" si="160">X175-AA175</f>
        <v>0</v>
      </c>
      <c r="AI175" s="220">
        <f t="shared" ref="AI175:AI181" si="161">X175-AD175</f>
        <v>0</v>
      </c>
      <c r="AJ175" s="1022">
        <f t="shared" ref="AJ175:AJ181" si="162">X175-AG175</f>
        <v>0</v>
      </c>
      <c r="AK175" s="101"/>
      <c r="AL175" s="204">
        <v>0</v>
      </c>
      <c r="AM175" s="210">
        <v>0</v>
      </c>
      <c r="AN175" s="101"/>
    </row>
    <row r="176" spans="19:40" ht="24.75" customHeight="1">
      <c r="S176" s="1021">
        <f>+IF(AGOSTO!S176=0,"",AGOSTO!S176)</f>
        <v>3200200</v>
      </c>
      <c r="T176" s="267" t="str">
        <f>+IF(AGOSTO!T176=0,"",AGOSTO!T176)</f>
        <v>Cesantías Pago Directo (Pago Directo)</v>
      </c>
      <c r="U176" s="884">
        <f>+ENERO!U177</f>
        <v>0</v>
      </c>
      <c r="V176" s="220">
        <f>SUM(AGOSTO!V176+SEPTIEMBRE!AL176)</f>
        <v>0</v>
      </c>
      <c r="W176" s="220">
        <f>AGOSTO!W176+SEPTIEMBRE!AM176</f>
        <v>0</v>
      </c>
      <c r="X176" s="271">
        <f t="shared" si="156"/>
        <v>0</v>
      </c>
      <c r="Y176" s="270">
        <f>AGOSTO!AA176</f>
        <v>0</v>
      </c>
      <c r="Z176" s="208"/>
      <c r="AA176" s="271">
        <f t="shared" si="157"/>
        <v>0</v>
      </c>
      <c r="AB176" s="270">
        <f>AGOSTO!AD176</f>
        <v>0</v>
      </c>
      <c r="AC176" s="208"/>
      <c r="AD176" s="271">
        <f t="shared" si="158"/>
        <v>0</v>
      </c>
      <c r="AE176" s="270">
        <f>AGOSTO!AG176</f>
        <v>0</v>
      </c>
      <c r="AF176" s="208"/>
      <c r="AG176" s="271">
        <f t="shared" si="159"/>
        <v>0</v>
      </c>
      <c r="AH176" s="270">
        <f t="shared" si="160"/>
        <v>0</v>
      </c>
      <c r="AI176" s="220">
        <f t="shared" si="161"/>
        <v>0</v>
      </c>
      <c r="AJ176" s="1022">
        <f t="shared" si="162"/>
        <v>0</v>
      </c>
      <c r="AK176" s="101"/>
      <c r="AL176" s="204">
        <v>0</v>
      </c>
      <c r="AM176" s="210">
        <v>0</v>
      </c>
      <c r="AN176" s="101"/>
    </row>
    <row r="177" spans="19:40" ht="24.75" customHeight="1">
      <c r="S177" s="1021" t="str">
        <f>+IF(AGOSTO!S177=0,"",AGOSTO!S177)</f>
        <v>2.1.3.07.02.002.02</v>
      </c>
      <c r="T177" s="267" t="str">
        <f>+IF(AGOSTO!T177=0,"",AGOSTO!T177)</f>
        <v>Cuotas partes pensionales a cargo de la entidad ( de pensiones)</v>
      </c>
      <c r="U177" s="884">
        <f>+ENERO!U178</f>
        <v>10000000</v>
      </c>
      <c r="V177" s="220">
        <f>SUM(AGOSTO!V177+SEPTIEMBRE!AL177)</f>
        <v>10000000</v>
      </c>
      <c r="W177" s="220">
        <f>AGOSTO!W177+SEPTIEMBRE!AM177</f>
        <v>0</v>
      </c>
      <c r="X177" s="271">
        <f t="shared" si="156"/>
        <v>20000000</v>
      </c>
      <c r="Y177" s="270">
        <f>AGOSTO!AA177</f>
        <v>6734009</v>
      </c>
      <c r="Z177" s="208">
        <v>1309338</v>
      </c>
      <c r="AA177" s="271">
        <f t="shared" si="157"/>
        <v>8043347</v>
      </c>
      <c r="AB177" s="270">
        <f>AGOSTO!AD177</f>
        <v>6734009</v>
      </c>
      <c r="AC177" s="208">
        <v>1309338</v>
      </c>
      <c r="AD177" s="271">
        <f t="shared" si="158"/>
        <v>8043347</v>
      </c>
      <c r="AE177" s="270">
        <f>AGOSTO!AG177</f>
        <v>6734009</v>
      </c>
      <c r="AF177" s="208">
        <v>1309338</v>
      </c>
      <c r="AG177" s="271">
        <f t="shared" si="159"/>
        <v>8043347</v>
      </c>
      <c r="AH177" s="270">
        <f t="shared" si="160"/>
        <v>11956653</v>
      </c>
      <c r="AI177" s="220">
        <f t="shared" si="161"/>
        <v>11956653</v>
      </c>
      <c r="AJ177" s="1022">
        <f t="shared" si="162"/>
        <v>11956653</v>
      </c>
      <c r="AK177" s="101"/>
      <c r="AL177" s="204">
        <v>10000000</v>
      </c>
      <c r="AM177" s="210">
        <v>0</v>
      </c>
      <c r="AN177" s="101"/>
    </row>
    <row r="178" spans="19:40" ht="24.75" customHeight="1">
      <c r="S178" s="1021" t="str">
        <f>+IF(AGOSTO!S178=0,"",AGOSTO!S178)</f>
        <v>2.1.3.07.02.003.02</v>
      </c>
      <c r="T178" s="267" t="str">
        <f>+IF(AGOSTO!T178=0,"",AGOSTO!T178)</f>
        <v>Bonos pensionales a cargo de la entidad ( de pensiones)</v>
      </c>
      <c r="U178" s="884">
        <f>+ENERO!U179</f>
        <v>300000000</v>
      </c>
      <c r="V178" s="220">
        <f>SUM(AGOSTO!V178+SEPTIEMBRE!AL178)</f>
        <v>-10000000</v>
      </c>
      <c r="W178" s="220">
        <f>AGOSTO!W178+SEPTIEMBRE!AM178</f>
        <v>0</v>
      </c>
      <c r="X178" s="271">
        <f t="shared" si="156"/>
        <v>290000000</v>
      </c>
      <c r="Y178" s="270">
        <f>AGOSTO!AA178</f>
        <v>165460000</v>
      </c>
      <c r="Z178" s="208"/>
      <c r="AA178" s="271">
        <f t="shared" si="157"/>
        <v>165460000</v>
      </c>
      <c r="AB178" s="270">
        <f>AGOSTO!AD178</f>
        <v>165460000</v>
      </c>
      <c r="AC178" s="208"/>
      <c r="AD178" s="271">
        <f t="shared" si="158"/>
        <v>165460000</v>
      </c>
      <c r="AE178" s="270">
        <f>AGOSTO!AG178</f>
        <v>165460000</v>
      </c>
      <c r="AF178" s="208"/>
      <c r="AG178" s="271">
        <f t="shared" si="159"/>
        <v>165460000</v>
      </c>
      <c r="AH178" s="270">
        <f t="shared" si="160"/>
        <v>124540000</v>
      </c>
      <c r="AI178" s="220">
        <f t="shared" si="161"/>
        <v>124540000</v>
      </c>
      <c r="AJ178" s="1022">
        <f t="shared" si="162"/>
        <v>124540000</v>
      </c>
      <c r="AK178" s="101"/>
      <c r="AL178" s="204">
        <v>-10000000</v>
      </c>
      <c r="AM178" s="210">
        <v>0</v>
      </c>
      <c r="AN178" s="101"/>
    </row>
    <row r="179" spans="19:40" ht="24.75" customHeight="1">
      <c r="S179" s="1021" t="str">
        <f>+IF(AGOSTO!S179=0,"",AGOSTO!S179)</f>
        <v>2.1.8.04.07</v>
      </c>
      <c r="T179" s="267" t="str">
        <f>+IF(AGOSTO!T179=0,"",AGOSTO!T179)</f>
        <v>Contribucion de Vigilancia Superintendencia Nacional de Salud</v>
      </c>
      <c r="U179" s="884">
        <f>+ENERO!U180</f>
        <v>0</v>
      </c>
      <c r="V179" s="220">
        <f>SUM(AGOSTO!V179+SEPTIEMBRE!AL179)</f>
        <v>0</v>
      </c>
      <c r="W179" s="220">
        <f>AGOSTO!W179+SEPTIEMBRE!AM179</f>
        <v>0</v>
      </c>
      <c r="X179" s="271">
        <f t="shared" si="156"/>
        <v>0</v>
      </c>
      <c r="Y179" s="270">
        <f>AGOSTO!AA179</f>
        <v>0</v>
      </c>
      <c r="Z179" s="208"/>
      <c r="AA179" s="271">
        <f t="shared" si="157"/>
        <v>0</v>
      </c>
      <c r="AB179" s="270">
        <f>AGOSTO!AD179</f>
        <v>0</v>
      </c>
      <c r="AC179" s="208"/>
      <c r="AD179" s="271">
        <f t="shared" si="158"/>
        <v>0</v>
      </c>
      <c r="AE179" s="270">
        <f>AGOSTO!AG179</f>
        <v>0</v>
      </c>
      <c r="AF179" s="208"/>
      <c r="AG179" s="271">
        <f t="shared" si="159"/>
        <v>0</v>
      </c>
      <c r="AH179" s="270">
        <f t="shared" si="160"/>
        <v>0</v>
      </c>
      <c r="AI179" s="220">
        <f t="shared" si="161"/>
        <v>0</v>
      </c>
      <c r="AJ179" s="1022">
        <f t="shared" si="162"/>
        <v>0</v>
      </c>
      <c r="AK179" s="101"/>
      <c r="AL179" s="204">
        <v>0</v>
      </c>
      <c r="AM179" s="210">
        <v>0</v>
      </c>
      <c r="AN179" s="101"/>
    </row>
    <row r="180" spans="19:40" ht="24.75" customHeight="1">
      <c r="S180" s="1021">
        <f>+IF(AGOSTO!S180=0,"",AGOSTO!S180)</f>
        <v>3200600</v>
      </c>
      <c r="T180" s="267" t="str">
        <f>+IF(AGOSTO!T180=0,"",AGOSTO!T180)</f>
        <v/>
      </c>
      <c r="U180" s="884">
        <f>+ENERO!U181</f>
        <v>0</v>
      </c>
      <c r="V180" s="220">
        <f>SUM(AGOSTO!V180+SEPTIEMBRE!AL180)</f>
        <v>0</v>
      </c>
      <c r="W180" s="220">
        <f>AGOSTO!W180+SEPTIEMBRE!AM180</f>
        <v>0</v>
      </c>
      <c r="X180" s="271">
        <f t="shared" si="156"/>
        <v>0</v>
      </c>
      <c r="Y180" s="270">
        <f>AGOSTO!AA180</f>
        <v>0</v>
      </c>
      <c r="Z180" s="208"/>
      <c r="AA180" s="271">
        <f t="shared" si="157"/>
        <v>0</v>
      </c>
      <c r="AB180" s="270">
        <f>AGOSTO!AD180</f>
        <v>0</v>
      </c>
      <c r="AC180" s="208"/>
      <c r="AD180" s="271">
        <f t="shared" si="158"/>
        <v>0</v>
      </c>
      <c r="AE180" s="270">
        <f>AGOSTO!AG180</f>
        <v>0</v>
      </c>
      <c r="AF180" s="208"/>
      <c r="AG180" s="271">
        <f t="shared" si="159"/>
        <v>0</v>
      </c>
      <c r="AH180" s="270">
        <f t="shared" si="160"/>
        <v>0</v>
      </c>
      <c r="AI180" s="220">
        <f t="shared" si="161"/>
        <v>0</v>
      </c>
      <c r="AJ180" s="1022">
        <f t="shared" si="162"/>
        <v>0</v>
      </c>
      <c r="AK180" s="101"/>
      <c r="AL180" s="204">
        <v>0</v>
      </c>
      <c r="AM180" s="210">
        <v>0</v>
      </c>
      <c r="AN180" s="101"/>
    </row>
    <row r="181" spans="19:40" ht="24.75" customHeight="1">
      <c r="S181" s="1021" t="str">
        <f>+IF(AGOSTO!S181=0,"",AGOSTO!S181)</f>
        <v>2.1.7.01.01</v>
      </c>
      <c r="T181" s="267" t="str">
        <f>+IF(AGOSTO!T181=0,"",AGOSTO!T181)</f>
        <v>Vigencias Anteriores Cesantias</v>
      </c>
      <c r="U181" s="884">
        <f>+ENERO!U182</f>
        <v>0</v>
      </c>
      <c r="V181" s="220">
        <f>SUM(AGOSTO!V181+SEPTIEMBRE!AL181)</f>
        <v>0</v>
      </c>
      <c r="W181" s="220">
        <f>AGOSTO!W181+SEPTIEMBRE!AM181</f>
        <v>0</v>
      </c>
      <c r="X181" s="271">
        <f t="shared" si="156"/>
        <v>0</v>
      </c>
      <c r="Y181" s="270">
        <f>AGOSTO!AA181</f>
        <v>0</v>
      </c>
      <c r="Z181" s="208">
        <v>0</v>
      </c>
      <c r="AA181" s="271">
        <f t="shared" si="157"/>
        <v>0</v>
      </c>
      <c r="AB181" s="270">
        <f>AGOSTO!AD181</f>
        <v>0</v>
      </c>
      <c r="AC181" s="208">
        <v>0</v>
      </c>
      <c r="AD181" s="271">
        <f t="shared" si="158"/>
        <v>0</v>
      </c>
      <c r="AE181" s="270">
        <f>AGOSTO!AG181</f>
        <v>0</v>
      </c>
      <c r="AF181" s="208">
        <v>0</v>
      </c>
      <c r="AG181" s="271">
        <f t="shared" si="159"/>
        <v>0</v>
      </c>
      <c r="AH181" s="270">
        <f t="shared" si="160"/>
        <v>0</v>
      </c>
      <c r="AI181" s="220">
        <f t="shared" si="161"/>
        <v>0</v>
      </c>
      <c r="AJ181" s="1022">
        <f t="shared" si="162"/>
        <v>0</v>
      </c>
      <c r="AK181" s="101"/>
      <c r="AL181" s="204">
        <v>0</v>
      </c>
      <c r="AM181" s="210">
        <v>0</v>
      </c>
      <c r="AN181" s="101"/>
    </row>
    <row r="182" spans="19:40" ht="24.75" customHeight="1">
      <c r="S182" s="1023" t="str">
        <f>+IF(AGOSTO!S182=0,"",AGOSTO!S182)</f>
        <v/>
      </c>
      <c r="T182" s="488" t="str">
        <f>+IF(AGOSTO!T182=0,"",AGOSTO!T182)</f>
        <v/>
      </c>
      <c r="U182" s="191"/>
      <c r="V182" s="191"/>
      <c r="W182" s="191"/>
      <c r="X182" s="191"/>
      <c r="Y182" s="191"/>
      <c r="Z182" s="191"/>
      <c r="AA182" s="191"/>
      <c r="AB182" s="191"/>
      <c r="AC182" s="191"/>
      <c r="AD182" s="191"/>
      <c r="AE182" s="191"/>
      <c r="AF182" s="191"/>
      <c r="AG182" s="191"/>
      <c r="AH182" s="191"/>
      <c r="AI182" s="191"/>
      <c r="AJ182" s="1024"/>
      <c r="AK182" s="101"/>
      <c r="AL182" s="370"/>
      <c r="AM182" s="371"/>
      <c r="AN182" s="101"/>
    </row>
    <row r="183" spans="19:40" ht="24.75" customHeight="1">
      <c r="S183" s="1019">
        <f>+IF(AGOSTO!S183=0,"",AGOSTO!S183)</f>
        <v>3300000</v>
      </c>
      <c r="T183" s="546" t="str">
        <f>+IF(AGOSTO!T183=0,"",AGOSTO!T183)</f>
        <v>Otras Transferencias</v>
      </c>
      <c r="U183" s="883">
        <f>U184+U185+U190</f>
        <v>1313060585</v>
      </c>
      <c r="V183" s="231">
        <f>V184+V185+V190</f>
        <v>21000000</v>
      </c>
      <c r="W183" s="231">
        <f>W184+W185+W190</f>
        <v>500000000</v>
      </c>
      <c r="X183" s="234">
        <f>X184+X185+X190</f>
        <v>1834060585</v>
      </c>
      <c r="Y183" s="233">
        <f t="shared" ref="Y183:AJ183" si="163">Y184+Y185+Y190</f>
        <v>829633125</v>
      </c>
      <c r="Z183" s="231">
        <f t="shared" si="163"/>
        <v>6793019</v>
      </c>
      <c r="AA183" s="234">
        <f t="shared" si="163"/>
        <v>836426144</v>
      </c>
      <c r="AB183" s="233">
        <f t="shared" si="163"/>
        <v>828300782</v>
      </c>
      <c r="AC183" s="231">
        <f t="shared" si="163"/>
        <v>6793019</v>
      </c>
      <c r="AD183" s="234">
        <f t="shared" si="163"/>
        <v>835093801</v>
      </c>
      <c r="AE183" s="233">
        <f t="shared" si="163"/>
        <v>711976912.5</v>
      </c>
      <c r="AF183" s="231">
        <f t="shared" si="163"/>
        <v>122594186</v>
      </c>
      <c r="AG183" s="234">
        <f t="shared" si="163"/>
        <v>834571098.5</v>
      </c>
      <c r="AH183" s="233">
        <f t="shared" si="163"/>
        <v>997634441</v>
      </c>
      <c r="AI183" s="231">
        <f t="shared" si="163"/>
        <v>998966784</v>
      </c>
      <c r="AJ183" s="1020">
        <f t="shared" si="163"/>
        <v>999489486.5</v>
      </c>
      <c r="AK183" s="101"/>
      <c r="AL183" s="233">
        <f>AL184+AL185+AL190</f>
        <v>0</v>
      </c>
      <c r="AM183" s="232">
        <f>AM184+AM185+AM190</f>
        <v>0</v>
      </c>
      <c r="AN183" s="101"/>
    </row>
    <row r="184" spans="19:40" ht="24.75" customHeight="1">
      <c r="S184" s="1021" t="str">
        <f>+IF(AGOSTO!S184=0,"",AGOSTO!S184)</f>
        <v>2.1.3.13.01.001</v>
      </c>
      <c r="T184" s="267" t="str">
        <f>+IF(AGOSTO!T184=0,"",AGOSTO!T184)</f>
        <v>Sentencias</v>
      </c>
      <c r="U184" s="884">
        <f>+ENERO!U185</f>
        <v>800000000</v>
      </c>
      <c r="V184" s="220">
        <f>SUM(AGOSTO!V184+SEPTIEMBRE!AL184)</f>
        <v>-350000000</v>
      </c>
      <c r="W184" s="220">
        <f>AGOSTO!W184+SEPTIEMBRE!AM184</f>
        <v>0</v>
      </c>
      <c r="X184" s="271">
        <f>SUM(U184:W184)</f>
        <v>450000000</v>
      </c>
      <c r="Y184" s="270">
        <f>AGOSTO!AA184</f>
        <v>156912292</v>
      </c>
      <c r="Z184" s="208"/>
      <c r="AA184" s="271">
        <f>SUM(Y184:Z184)</f>
        <v>156912292</v>
      </c>
      <c r="AB184" s="270">
        <f>AGOSTO!AD184</f>
        <v>156912292</v>
      </c>
      <c r="AC184" s="208"/>
      <c r="AD184" s="271">
        <f>SUM(AB184:AC184)</f>
        <v>156912292</v>
      </c>
      <c r="AE184" s="270">
        <f>AGOSTO!AG184</f>
        <v>135713554.5</v>
      </c>
      <c r="AF184" s="208">
        <v>21198738</v>
      </c>
      <c r="AG184" s="271">
        <f>SUM(AE184:AF184)</f>
        <v>156912292.5</v>
      </c>
      <c r="AH184" s="270">
        <f>X184-AA184</f>
        <v>293087708</v>
      </c>
      <c r="AI184" s="220">
        <f>X184-AD184</f>
        <v>293087708</v>
      </c>
      <c r="AJ184" s="1022">
        <f>X184-AG184</f>
        <v>293087707.5</v>
      </c>
      <c r="AK184" s="101"/>
      <c r="AL184" s="204">
        <v>0</v>
      </c>
      <c r="AM184" s="210">
        <v>0</v>
      </c>
      <c r="AN184" s="101"/>
    </row>
    <row r="185" spans="19:40" ht="24.75" customHeight="1">
      <c r="S185" s="1021">
        <f>+IF(AGOSTO!S185=0,"",AGOSTO!S185)</f>
        <v>3300200</v>
      </c>
      <c r="T185" s="267" t="str">
        <f>+IF(AGOSTO!T185=0,"",AGOSTO!T185)</f>
        <v>Destinatarios de otras transferencias</v>
      </c>
      <c r="U185" s="884">
        <f>SUM(U186:U189)</f>
        <v>463060585</v>
      </c>
      <c r="V185" s="220">
        <f>SUM(AGOSTO!V185+SEPTIEMBRE!AL185)</f>
        <v>21000000</v>
      </c>
      <c r="W185" s="220">
        <f>AGOSTO!W185+SEPTIEMBRE!AM185</f>
        <v>500000000</v>
      </c>
      <c r="X185" s="271">
        <f>SUM(X186:X189)</f>
        <v>984060585</v>
      </c>
      <c r="Y185" s="270">
        <f t="shared" ref="Y185:AJ185" si="164">SUM(Y186:Y189)</f>
        <v>469946624</v>
      </c>
      <c r="Z185" s="300">
        <f t="shared" si="164"/>
        <v>6793019</v>
      </c>
      <c r="AA185" s="271">
        <f t="shared" si="164"/>
        <v>476739643</v>
      </c>
      <c r="AB185" s="270">
        <f t="shared" si="164"/>
        <v>468614281</v>
      </c>
      <c r="AC185" s="300">
        <f t="shared" si="164"/>
        <v>6793019</v>
      </c>
      <c r="AD185" s="271">
        <f t="shared" si="164"/>
        <v>475407300</v>
      </c>
      <c r="AE185" s="270">
        <f t="shared" si="164"/>
        <v>373489149</v>
      </c>
      <c r="AF185" s="300">
        <f t="shared" si="164"/>
        <v>101395448</v>
      </c>
      <c r="AG185" s="271">
        <f t="shared" si="164"/>
        <v>474884597</v>
      </c>
      <c r="AH185" s="270">
        <f t="shared" si="164"/>
        <v>507320942</v>
      </c>
      <c r="AI185" s="220">
        <f t="shared" si="164"/>
        <v>508653285</v>
      </c>
      <c r="AJ185" s="1022">
        <f t="shared" si="164"/>
        <v>509175988</v>
      </c>
      <c r="AK185" s="101"/>
      <c r="AL185" s="301">
        <f>SUM(AL186:AL189)</f>
        <v>0</v>
      </c>
      <c r="AM185" s="302">
        <f>SUM(AM186:AM189)</f>
        <v>0</v>
      </c>
      <c r="AN185" s="101"/>
    </row>
    <row r="186" spans="19:40" ht="24.75" customHeight="1">
      <c r="S186" s="1026" t="str">
        <f>+IF(AGOSTO!S186=0,"",AGOSTO!S186)</f>
        <v>2.1.2.02.02.009.907</v>
      </c>
      <c r="T186" s="267" t="str">
        <f>+IF(AGOSTO!T186=0,"",AGOSTO!T186)</f>
        <v>Cuota de Afiliación o sostenimiento (COHAN, AESA, OTROS)</v>
      </c>
      <c r="U186" s="884">
        <f>+ENERO!U187</f>
        <v>13060585</v>
      </c>
      <c r="V186" s="220">
        <f>SUM(AGOSTO!V186+SEPTIEMBRE!AL186)</f>
        <v>0</v>
      </c>
      <c r="W186" s="220">
        <f>AGOSTO!W186+SEPTIEMBRE!AM186</f>
        <v>0</v>
      </c>
      <c r="X186" s="271">
        <f>SUM(U186:W186)</f>
        <v>13060585</v>
      </c>
      <c r="Y186" s="270">
        <f>AGOSTO!AA186</f>
        <v>9382821</v>
      </c>
      <c r="Z186" s="208">
        <v>522703</v>
      </c>
      <c r="AA186" s="271">
        <f>SUM(Y186:Z186)</f>
        <v>9905524</v>
      </c>
      <c r="AB186" s="270">
        <f>AGOSTO!AD186</f>
        <v>9352921</v>
      </c>
      <c r="AC186" s="208">
        <v>522703</v>
      </c>
      <c r="AD186" s="271">
        <f>SUM(AB186:AC186)</f>
        <v>9875624</v>
      </c>
      <c r="AE186" s="270">
        <f>AGOSTO!AG186</f>
        <v>9352921</v>
      </c>
      <c r="AF186" s="208">
        <v>0</v>
      </c>
      <c r="AG186" s="271">
        <f>SUM(AE186:AF186)</f>
        <v>9352921</v>
      </c>
      <c r="AH186" s="270">
        <f>X186-AA186</f>
        <v>3155061</v>
      </c>
      <c r="AI186" s="220">
        <f>X186-AD186</f>
        <v>3184961</v>
      </c>
      <c r="AJ186" s="1022">
        <f>X186-AG186</f>
        <v>3707664</v>
      </c>
      <c r="AK186" s="101"/>
      <c r="AL186" s="204">
        <v>0</v>
      </c>
      <c r="AM186" s="210">
        <v>0</v>
      </c>
      <c r="AN186" s="101"/>
    </row>
    <row r="187" spans="19:40" ht="24.75" customHeight="1">
      <c r="S187" s="1026" t="str">
        <f>+IF(AGOSTO!S187=0,"",AGOSTO!S187)</f>
        <v>2.1.8.04.07</v>
      </c>
      <c r="T187" s="267" t="str">
        <f>+IF(AGOSTO!T187=0,"",AGOSTO!T187)</f>
        <v>Conciliaciones</v>
      </c>
      <c r="U187" s="884">
        <f>+ENERO!U188</f>
        <v>300000000</v>
      </c>
      <c r="V187" s="220">
        <f>SUM(AGOSTO!V187+SEPTIEMBRE!AL187)</f>
        <v>0</v>
      </c>
      <c r="W187" s="220">
        <f>AGOSTO!W187+SEPTIEMBRE!AM187</f>
        <v>500000000</v>
      </c>
      <c r="X187" s="271">
        <f>SUM(U187:W187)</f>
        <v>800000000</v>
      </c>
      <c r="Y187" s="270">
        <f>AGOSTO!AA187</f>
        <v>350396680</v>
      </c>
      <c r="Z187" s="208">
        <v>5000000</v>
      </c>
      <c r="AA187" s="271">
        <f>SUM(Y187:Z187)</f>
        <v>355396680</v>
      </c>
      <c r="AB187" s="270">
        <f>AGOSTO!AD187</f>
        <v>350396680</v>
      </c>
      <c r="AC187" s="208">
        <v>5000000</v>
      </c>
      <c r="AD187" s="271">
        <f>SUM(AB187:AC187)</f>
        <v>355396680</v>
      </c>
      <c r="AE187" s="270">
        <f>AGOSTO!AG187</f>
        <v>350396680</v>
      </c>
      <c r="AF187" s="765">
        <v>5000000</v>
      </c>
      <c r="AG187" s="271">
        <f>SUM(AE187:AF187)</f>
        <v>355396680</v>
      </c>
      <c r="AH187" s="270">
        <f>X187-AA187</f>
        <v>444603320</v>
      </c>
      <c r="AI187" s="220">
        <f>X187-AD187</f>
        <v>444603320</v>
      </c>
      <c r="AJ187" s="1022">
        <f>X187-AG187</f>
        <v>444603320</v>
      </c>
      <c r="AK187" s="101"/>
      <c r="AL187" s="204">
        <v>0</v>
      </c>
      <c r="AM187" s="210">
        <v>0</v>
      </c>
      <c r="AN187" s="101"/>
    </row>
    <row r="188" spans="19:40" ht="24.75" customHeight="1">
      <c r="S188" s="1026" t="str">
        <f>+IF(AGOSTO!S188=0,"",AGOSTO!S188)</f>
        <v>2.1.8.05.01</v>
      </c>
      <c r="T188" s="267" t="str">
        <f>+IF(AGOSTO!T188=0,"",AGOSTO!T188)</f>
        <v>Multas y sanciones</v>
      </c>
      <c r="U188" s="884">
        <v>0</v>
      </c>
      <c r="V188" s="220">
        <f>SUM(AGOSTO!V188+SEPTIEMBRE!AL188)</f>
        <v>21000000</v>
      </c>
      <c r="W188" s="220">
        <f>AGOSTO!W188+SEPTIEMBRE!AM188</f>
        <v>0</v>
      </c>
      <c r="X188" s="271">
        <f>SUM(U188:W188)</f>
        <v>21000000</v>
      </c>
      <c r="Y188" s="270">
        <f>AGOSTO!AA188</f>
        <v>15041991</v>
      </c>
      <c r="Z188" s="208">
        <v>1270316</v>
      </c>
      <c r="AA188" s="271">
        <f>SUM(Y188:Z188)</f>
        <v>16312307</v>
      </c>
      <c r="AB188" s="270">
        <f>AGOSTO!AD188</f>
        <v>13739548</v>
      </c>
      <c r="AC188" s="208">
        <v>1270316</v>
      </c>
      <c r="AD188" s="271">
        <f>SUM(AB188:AC188)</f>
        <v>15009864</v>
      </c>
      <c r="AE188" s="270">
        <f>AGOSTO!AG188</f>
        <v>13739548</v>
      </c>
      <c r="AF188" s="765">
        <v>1270316</v>
      </c>
      <c r="AG188" s="271">
        <f>SUM(AE188:AF188)</f>
        <v>15009864</v>
      </c>
      <c r="AH188" s="270">
        <f>X188-AA188</f>
        <v>4687693</v>
      </c>
      <c r="AI188" s="220">
        <f>X188-AD188</f>
        <v>5990136</v>
      </c>
      <c r="AJ188" s="1022">
        <f>X188-AG188</f>
        <v>5990136</v>
      </c>
      <c r="AK188" s="101"/>
      <c r="AL188" s="204">
        <v>0</v>
      </c>
      <c r="AM188" s="210">
        <v>0</v>
      </c>
      <c r="AN188" s="903"/>
    </row>
    <row r="189" spans="19:40" ht="24.75" customHeight="1">
      <c r="S189" s="1026" t="str">
        <f>+IF(AGOSTO!S189=0,"",AGOSTO!S189)</f>
        <v>2.1.8.04.07</v>
      </c>
      <c r="T189" s="267" t="str">
        <f>+IF(AGOSTO!T189=0,"",AGOSTO!T189)</f>
        <v>Cuotas de auditaje supersalud</v>
      </c>
      <c r="U189" s="884">
        <f>+ENERO!U190</f>
        <v>150000000</v>
      </c>
      <c r="V189" s="220">
        <f>SUM(AGOSTO!V189+SEPTIEMBRE!AL189)</f>
        <v>0</v>
      </c>
      <c r="W189" s="220">
        <f>AGOSTO!W189+SEPTIEMBRE!AM189</f>
        <v>0</v>
      </c>
      <c r="X189" s="271">
        <f>SUM(U189:W189)</f>
        <v>150000000</v>
      </c>
      <c r="Y189" s="270">
        <f>AGOSTO!AA189</f>
        <v>95125132</v>
      </c>
      <c r="Z189" s="208">
        <v>0</v>
      </c>
      <c r="AA189" s="271">
        <f>SUM(Y189:Z189)</f>
        <v>95125132</v>
      </c>
      <c r="AB189" s="270">
        <f>AGOSTO!AD189</f>
        <v>95125132</v>
      </c>
      <c r="AC189" s="208">
        <v>0</v>
      </c>
      <c r="AD189" s="271">
        <f>SUM(AB189:AC189)</f>
        <v>95125132</v>
      </c>
      <c r="AE189" s="270">
        <f>AGOSTO!AG189</f>
        <v>0</v>
      </c>
      <c r="AF189" s="208">
        <v>95125132</v>
      </c>
      <c r="AG189" s="271">
        <f>SUM(AE189:AF189)</f>
        <v>95125132</v>
      </c>
      <c r="AH189" s="270">
        <f>X189-AA189</f>
        <v>54874868</v>
      </c>
      <c r="AI189" s="220">
        <f>X189-AD189</f>
        <v>54874868</v>
      </c>
      <c r="AJ189" s="1022">
        <f>X189-AG189</f>
        <v>54874868</v>
      </c>
      <c r="AK189" s="101"/>
      <c r="AL189" s="204">
        <v>0</v>
      </c>
      <c r="AM189" s="210">
        <v>0</v>
      </c>
      <c r="AN189" s="101"/>
    </row>
    <row r="190" spans="19:40" ht="24.75" customHeight="1">
      <c r="S190" s="1021" t="str">
        <f>+IF(AGOSTO!S190=0,"",AGOSTO!S190)</f>
        <v>2.1.3.13.01.002.99</v>
      </c>
      <c r="T190" s="267" t="str">
        <f>+IF(AGOSTO!T190=0,"",AGOSTO!T190)</f>
        <v>Vigencias Anteriores Conciliaciones</v>
      </c>
      <c r="U190" s="884">
        <f>+ENERO!U191</f>
        <v>50000000</v>
      </c>
      <c r="V190" s="220">
        <f>SUM(AGOSTO!V190+SEPTIEMBRE!AL190)</f>
        <v>350000000</v>
      </c>
      <c r="W190" s="220">
        <f>AGOSTO!W190+SEPTIEMBRE!AM190</f>
        <v>0</v>
      </c>
      <c r="X190" s="271">
        <f>SUM(U190:W190)</f>
        <v>400000000</v>
      </c>
      <c r="Y190" s="270">
        <f>AGOSTO!AA190</f>
        <v>202774209</v>
      </c>
      <c r="Z190" s="208">
        <v>0</v>
      </c>
      <c r="AA190" s="271">
        <f>SUM(Y190:Z190)</f>
        <v>202774209</v>
      </c>
      <c r="AB190" s="270">
        <f>AGOSTO!AD190</f>
        <v>202774209</v>
      </c>
      <c r="AC190" s="208">
        <v>0</v>
      </c>
      <c r="AD190" s="271">
        <f>SUM(AB190:AC190)</f>
        <v>202774209</v>
      </c>
      <c r="AE190" s="270">
        <f>AGOSTO!AG190</f>
        <v>202774209</v>
      </c>
      <c r="AF190" s="208">
        <v>0</v>
      </c>
      <c r="AG190" s="271">
        <f>SUM(AE190:AF190)</f>
        <v>202774209</v>
      </c>
      <c r="AH190" s="270">
        <f>X190-AA190</f>
        <v>197225791</v>
      </c>
      <c r="AI190" s="220">
        <f>X190-AD190</f>
        <v>197225791</v>
      </c>
      <c r="AJ190" s="1022">
        <f>X190-AG190</f>
        <v>197225791</v>
      </c>
      <c r="AK190" s="101"/>
      <c r="AL190" s="204">
        <v>0</v>
      </c>
      <c r="AM190" s="210">
        <v>0</v>
      </c>
      <c r="AN190" s="101"/>
    </row>
    <row r="191" spans="19:40" ht="24.75" customHeight="1">
      <c r="S191" s="1029"/>
      <c r="T191" s="559"/>
      <c r="U191" s="557"/>
      <c r="V191" s="560"/>
      <c r="W191" s="560"/>
      <c r="X191" s="560"/>
      <c r="Y191" s="560"/>
      <c r="Z191" s="561"/>
      <c r="AA191" s="560"/>
      <c r="AB191" s="560"/>
      <c r="AC191" s="561"/>
      <c r="AD191" s="560"/>
      <c r="AE191" s="560"/>
      <c r="AF191" s="561"/>
      <c r="AG191" s="560"/>
      <c r="AH191" s="560"/>
      <c r="AI191" s="560"/>
      <c r="AJ191" s="1030"/>
      <c r="AK191" s="101"/>
      <c r="AL191" s="562"/>
      <c r="AM191" s="563"/>
      <c r="AN191" s="101"/>
    </row>
    <row r="192" spans="19:40" ht="49.5" customHeight="1">
      <c r="S192" s="1031" t="s">
        <v>294</v>
      </c>
      <c r="T192" s="463" t="s">
        <v>295</v>
      </c>
      <c r="U192" s="882">
        <f>U194+U208</f>
        <v>42375190113.666664</v>
      </c>
      <c r="V192" s="406">
        <f>V194+V208</f>
        <v>0</v>
      </c>
      <c r="W192" s="406">
        <f>W194+W208</f>
        <v>15584000000</v>
      </c>
      <c r="X192" s="218">
        <f>X194+X208</f>
        <v>57959190113.666664</v>
      </c>
      <c r="Y192" s="217">
        <f t="shared" ref="Y192:AJ192" si="165">Y194+Y208</f>
        <v>44094022363</v>
      </c>
      <c r="Z192" s="406">
        <f t="shared" si="165"/>
        <v>5280352914</v>
      </c>
      <c r="AA192" s="218">
        <f t="shared" si="165"/>
        <v>49374375277</v>
      </c>
      <c r="AB192" s="882">
        <f t="shared" si="165"/>
        <v>38696836177</v>
      </c>
      <c r="AC192" s="406">
        <f t="shared" si="165"/>
        <v>3906135909</v>
      </c>
      <c r="AD192" s="407">
        <f t="shared" si="165"/>
        <v>42602972086</v>
      </c>
      <c r="AE192" s="217">
        <f t="shared" si="165"/>
        <v>24160983248</v>
      </c>
      <c r="AF192" s="406">
        <f t="shared" si="165"/>
        <v>3326574675</v>
      </c>
      <c r="AG192" s="218">
        <f t="shared" si="165"/>
        <v>27487557923</v>
      </c>
      <c r="AH192" s="217">
        <f t="shared" si="165"/>
        <v>8584814836.666666</v>
      </c>
      <c r="AI192" s="406">
        <f t="shared" si="165"/>
        <v>15356218027.666666</v>
      </c>
      <c r="AJ192" s="1028">
        <f t="shared" si="165"/>
        <v>30471632190.666664</v>
      </c>
      <c r="AK192" s="101"/>
      <c r="AL192" s="217">
        <f>AL194+AL208</f>
        <v>0</v>
      </c>
      <c r="AM192" s="218">
        <f>AM194+AM208</f>
        <v>0</v>
      </c>
      <c r="AN192" s="101"/>
    </row>
    <row r="193" spans="19:39" ht="24.75" customHeight="1">
      <c r="S193" s="1023" t="str">
        <f>+IF(AGOSTO!S193=0,"",AGOSTO!S193)</f>
        <v/>
      </c>
      <c r="T193" s="488" t="str">
        <f>+IF(AGOSTO!T193=0,"",AGOSTO!T193)</f>
        <v/>
      </c>
      <c r="U193" s="191"/>
      <c r="V193" s="191"/>
      <c r="W193" s="191"/>
      <c r="X193" s="191"/>
      <c r="Y193" s="191"/>
      <c r="Z193" s="191"/>
      <c r="AA193" s="191"/>
      <c r="AB193" s="191"/>
      <c r="AC193" s="191"/>
      <c r="AD193" s="191"/>
      <c r="AE193" s="191"/>
      <c r="AF193" s="191"/>
      <c r="AG193" s="191"/>
      <c r="AH193" s="191"/>
      <c r="AI193" s="191"/>
      <c r="AJ193" s="1024"/>
      <c r="AK193" s="216"/>
      <c r="AL193" s="370"/>
      <c r="AM193" s="371"/>
    </row>
    <row r="194" spans="19:39" ht="24.75" customHeight="1">
      <c r="S194" s="1025" t="str">
        <f>+IF(AGOSTO!S194=0,"",AGOSTO!S194)</f>
        <v>2.4</v>
      </c>
      <c r="T194" s="404" t="str">
        <f>+IF(AGOSTO!T194=0,"",AGOSTO!T194)</f>
        <v>GASTOS  DEOPERACIÓN COMERCIAL</v>
      </c>
      <c r="U194" s="882">
        <f>U195</f>
        <v>40172190113.666664</v>
      </c>
      <c r="V194" s="406">
        <f>V195</f>
        <v>-2112559635</v>
      </c>
      <c r="W194" s="406">
        <f>W195</f>
        <v>15234000000</v>
      </c>
      <c r="X194" s="407">
        <f>X195</f>
        <v>53293630478.666664</v>
      </c>
      <c r="Y194" s="217">
        <f t="shared" ref="Y194:AJ194" si="166">Y195</f>
        <v>39497859520</v>
      </c>
      <c r="Z194" s="406">
        <f t="shared" si="166"/>
        <v>5280103097</v>
      </c>
      <c r="AA194" s="407">
        <f t="shared" si="166"/>
        <v>44777962617</v>
      </c>
      <c r="AB194" s="217">
        <f t="shared" si="166"/>
        <v>34100673334</v>
      </c>
      <c r="AC194" s="406">
        <f t="shared" si="166"/>
        <v>3905886092</v>
      </c>
      <c r="AD194" s="407">
        <f t="shared" si="166"/>
        <v>38006559426</v>
      </c>
      <c r="AE194" s="217">
        <f t="shared" si="166"/>
        <v>19564820405</v>
      </c>
      <c r="AF194" s="406">
        <f t="shared" si="166"/>
        <v>3326324858</v>
      </c>
      <c r="AG194" s="407">
        <f t="shared" si="166"/>
        <v>22891145263</v>
      </c>
      <c r="AH194" s="217">
        <f t="shared" si="166"/>
        <v>8515667861.666666</v>
      </c>
      <c r="AI194" s="406">
        <f t="shared" si="166"/>
        <v>15287071052.666666</v>
      </c>
      <c r="AJ194" s="1028">
        <f t="shared" si="166"/>
        <v>30402485215.666664</v>
      </c>
      <c r="AK194" s="101"/>
      <c r="AL194" s="233">
        <f>AL195</f>
        <v>0</v>
      </c>
      <c r="AM194" s="232">
        <f>AM195</f>
        <v>0</v>
      </c>
    </row>
    <row r="195" spans="19:39" ht="24.75" customHeight="1">
      <c r="S195" s="1019" t="str">
        <f>+IF(AGOSTO!S195=0,"",AGOSTO!S195)</f>
        <v>2.4.5</v>
      </c>
      <c r="T195" s="546" t="str">
        <f>+IF(AGOSTO!T195=0,"",AGOSTO!T195)</f>
        <v>GASTOS DE COMERCIALIZACIÓN Y PRODUCCIÓN</v>
      </c>
      <c r="U195" s="883">
        <f>U196+U204+U206</f>
        <v>40172190113.666664</v>
      </c>
      <c r="V195" s="231">
        <f>V196+V204+V206</f>
        <v>-2112559635</v>
      </c>
      <c r="W195" s="231">
        <f>W196+W204+W206</f>
        <v>15234000000</v>
      </c>
      <c r="X195" s="234">
        <f>X196+X204+X206</f>
        <v>53293630478.666664</v>
      </c>
      <c r="Y195" s="233">
        <f t="shared" ref="Y195:AJ195" si="167">Y196+Y204+Y206</f>
        <v>39497859520</v>
      </c>
      <c r="Z195" s="231">
        <f t="shared" si="167"/>
        <v>5280103097</v>
      </c>
      <c r="AA195" s="234">
        <f t="shared" si="167"/>
        <v>44777962617</v>
      </c>
      <c r="AB195" s="233">
        <f t="shared" si="167"/>
        <v>34100673334</v>
      </c>
      <c r="AC195" s="231">
        <f t="shared" si="167"/>
        <v>3905886092</v>
      </c>
      <c r="AD195" s="234">
        <f t="shared" si="167"/>
        <v>38006559426</v>
      </c>
      <c r="AE195" s="233">
        <f t="shared" si="167"/>
        <v>19564820405</v>
      </c>
      <c r="AF195" s="231">
        <f t="shared" si="167"/>
        <v>3326324858</v>
      </c>
      <c r="AG195" s="234">
        <f t="shared" si="167"/>
        <v>22891145263</v>
      </c>
      <c r="AH195" s="233">
        <f t="shared" si="167"/>
        <v>8515667861.666666</v>
      </c>
      <c r="AI195" s="231">
        <f t="shared" si="167"/>
        <v>15287071052.666666</v>
      </c>
      <c r="AJ195" s="1020">
        <f t="shared" si="167"/>
        <v>30402485215.666664</v>
      </c>
      <c r="AK195" s="101"/>
      <c r="AL195" s="233">
        <f>AL196+AL204+AL206</f>
        <v>0</v>
      </c>
      <c r="AM195" s="232">
        <f>AM196+AM204+AM206</f>
        <v>0</v>
      </c>
    </row>
    <row r="196" spans="19:39" ht="24.75" customHeight="1">
      <c r="S196" s="1021" t="str">
        <f>+IF(AGOSTO!S196=0,"",AGOSTO!S196)</f>
        <v>2.4.5.01</v>
      </c>
      <c r="T196" s="267" t="str">
        <f>+IF(AGOSTO!T196=0,"",AGOSTO!T196)</f>
        <v>Materiales y suministros</v>
      </c>
      <c r="U196" s="884">
        <f>SUM(U197:U203)</f>
        <v>28648709150.333332</v>
      </c>
      <c r="V196" s="220">
        <f>SUM(V197:V203)</f>
        <v>-65559635</v>
      </c>
      <c r="W196" s="220">
        <f>SUM(W197:W203)</f>
        <v>13284000000</v>
      </c>
      <c r="X196" s="271">
        <f>SUM(X197:X203)</f>
        <v>41867149515.333328</v>
      </c>
      <c r="Y196" s="270">
        <f t="shared" ref="Y196:AJ196" si="168">SUM(Y197:Y203)</f>
        <v>30090996965</v>
      </c>
      <c r="Z196" s="300">
        <f t="shared" si="168"/>
        <v>3380103097</v>
      </c>
      <c r="AA196" s="271">
        <f t="shared" si="168"/>
        <v>33471100062</v>
      </c>
      <c r="AB196" s="270">
        <f t="shared" si="168"/>
        <v>25442363260</v>
      </c>
      <c r="AC196" s="300">
        <f t="shared" si="168"/>
        <v>3201073656</v>
      </c>
      <c r="AD196" s="271">
        <f t="shared" si="168"/>
        <v>28643436916</v>
      </c>
      <c r="AE196" s="270">
        <f t="shared" si="168"/>
        <v>12245601620</v>
      </c>
      <c r="AF196" s="300">
        <f t="shared" si="168"/>
        <v>2512387281</v>
      </c>
      <c r="AG196" s="271">
        <f t="shared" si="168"/>
        <v>14757988901</v>
      </c>
      <c r="AH196" s="270">
        <f t="shared" si="168"/>
        <v>8396049453.3333321</v>
      </c>
      <c r="AI196" s="220">
        <f t="shared" si="168"/>
        <v>13223712599.333332</v>
      </c>
      <c r="AJ196" s="1022">
        <f t="shared" si="168"/>
        <v>27109160614.333332</v>
      </c>
      <c r="AK196" s="101"/>
      <c r="AL196" s="301">
        <f>SUM(AL197:AL203)</f>
        <v>0</v>
      </c>
      <c r="AM196" s="302">
        <f>SUM(AM197:AM203)</f>
        <v>0</v>
      </c>
    </row>
    <row r="197" spans="19:39" ht="24.75" customHeight="1">
      <c r="S197" s="1026" t="str">
        <f>+IF(AGOSTO!S197=0,"",AGOSTO!S197)</f>
        <v>2.4.5.01.03.301</v>
      </c>
      <c r="T197" s="267" t="str">
        <f>+IF(AGOSTO!T197=0,"",AGOSTO!T197)</f>
        <v>Medicamentos</v>
      </c>
      <c r="U197" s="884">
        <f>+ENERO!U198</f>
        <v>7396066391.666666</v>
      </c>
      <c r="V197" s="220">
        <f>SUM(AGOSTO!V197+SEPTIEMBRE!AL197)</f>
        <v>-632000000</v>
      </c>
      <c r="W197" s="220">
        <f>AGOSTO!W197+SEPTIEMBRE!AM197</f>
        <v>2500000000</v>
      </c>
      <c r="X197" s="271">
        <f t="shared" ref="X197:X203" si="169">SUM(U197:W197)</f>
        <v>9264066391.666666</v>
      </c>
      <c r="Y197" s="270">
        <f>AGOSTO!AA197</f>
        <v>6628212257</v>
      </c>
      <c r="Z197" s="208">
        <v>825098834</v>
      </c>
      <c r="AA197" s="271">
        <f t="shared" ref="AA197:AA203" si="170">SUM(Y197:Z197)</f>
        <v>7453311091</v>
      </c>
      <c r="AB197" s="270">
        <f>AGOSTO!AD197</f>
        <v>5682841396</v>
      </c>
      <c r="AC197" s="208">
        <v>759864808</v>
      </c>
      <c r="AD197" s="271">
        <f t="shared" ref="AD197:AD203" si="171">SUM(AB197:AC197)</f>
        <v>6442706204</v>
      </c>
      <c r="AE197" s="270">
        <f>AGOSTO!AG197</f>
        <v>2672953153</v>
      </c>
      <c r="AF197" s="208">
        <v>437835875</v>
      </c>
      <c r="AG197" s="271">
        <f t="shared" ref="AG197:AG203" si="172">SUM(AE197:AF197)</f>
        <v>3110789028</v>
      </c>
      <c r="AH197" s="270">
        <f t="shared" ref="AH197:AH203" si="173">X197-AA197</f>
        <v>1810755300.666666</v>
      </c>
      <c r="AI197" s="220">
        <f t="shared" ref="AI197:AI203" si="174">X197-AD197</f>
        <v>2821360187.666666</v>
      </c>
      <c r="AJ197" s="1022">
        <f t="shared" ref="AJ197:AJ203" si="175">X197-AG197</f>
        <v>6153277363.666666</v>
      </c>
      <c r="AK197" s="101"/>
      <c r="AL197" s="204">
        <v>0</v>
      </c>
      <c r="AM197" s="210"/>
    </row>
    <row r="198" spans="19:39" ht="24.75" customHeight="1">
      <c r="S198" s="1026" t="str">
        <f>+IF(AGOSTO!S198=0,"",AGOSTO!S198)</f>
        <v>2.4.5.01.03.302</v>
      </c>
      <c r="T198" s="267" t="str">
        <f>+IF(AGOSTO!T198=0,"",AGOSTO!T198)</f>
        <v>Material Médico Quirúrgico</v>
      </c>
      <c r="U198" s="884">
        <f>+ENERO!U199</f>
        <v>6198007399.166666</v>
      </c>
      <c r="V198" s="220">
        <f>SUM(AGOSTO!V198+SEPTIEMBRE!AL198)</f>
        <v>1420000000</v>
      </c>
      <c r="W198" s="220">
        <f>AGOSTO!W198+SEPTIEMBRE!AM198</f>
        <v>4700000000</v>
      </c>
      <c r="X198" s="271">
        <f t="shared" si="169"/>
        <v>12318007399.166666</v>
      </c>
      <c r="Y198" s="270">
        <f>AGOSTO!AA198</f>
        <v>8090307625</v>
      </c>
      <c r="Z198" s="208">
        <v>1167288227</v>
      </c>
      <c r="AA198" s="271">
        <f t="shared" si="170"/>
        <v>9257595852</v>
      </c>
      <c r="AB198" s="270">
        <f>AGOSTO!AD198</f>
        <v>7628174444</v>
      </c>
      <c r="AC198" s="208">
        <v>884842562</v>
      </c>
      <c r="AD198" s="271">
        <f t="shared" si="171"/>
        <v>8513017006</v>
      </c>
      <c r="AE198" s="270">
        <f>AGOSTO!AG198</f>
        <v>3578545983</v>
      </c>
      <c r="AF198" s="208">
        <v>684396767</v>
      </c>
      <c r="AG198" s="271">
        <f t="shared" si="172"/>
        <v>4262942750</v>
      </c>
      <c r="AH198" s="270">
        <f t="shared" si="173"/>
        <v>3060411547.166666</v>
      </c>
      <c r="AI198" s="220">
        <f t="shared" si="174"/>
        <v>3804990393.166666</v>
      </c>
      <c r="AJ198" s="1022">
        <f t="shared" si="175"/>
        <v>8055064649.166666</v>
      </c>
      <c r="AK198" s="101"/>
      <c r="AL198" s="204">
        <v>0</v>
      </c>
      <c r="AM198" s="210">
        <v>0</v>
      </c>
    </row>
    <row r="199" spans="19:39" ht="24.75" customHeight="1">
      <c r="S199" s="1026" t="str">
        <f>+IF(AGOSTO!S199=0,"",AGOSTO!S199)</f>
        <v>2.4.5.01.03.303</v>
      </c>
      <c r="T199" s="267" t="str">
        <f>+IF(AGOSTO!T199=0,"",AGOSTO!T199)</f>
        <v>Material de Laboratorio</v>
      </c>
      <c r="U199" s="884">
        <f>+ENERO!U200</f>
        <v>2001528195</v>
      </c>
      <c r="V199" s="220">
        <f>SUM(AGOSTO!V199+SEPTIEMBRE!AL199)</f>
        <v>-320000000</v>
      </c>
      <c r="W199" s="220">
        <f>AGOSTO!W199+SEPTIEMBRE!AM199</f>
        <v>2800000000</v>
      </c>
      <c r="X199" s="271">
        <f t="shared" si="169"/>
        <v>4481528195</v>
      </c>
      <c r="Y199" s="270">
        <f>AGOSTO!AA199</f>
        <v>2634422904</v>
      </c>
      <c r="Z199" s="208">
        <v>342716036</v>
      </c>
      <c r="AA199" s="271">
        <f t="shared" si="170"/>
        <v>2977138940</v>
      </c>
      <c r="AB199" s="270">
        <f>AGOSTO!AD199</f>
        <v>2207223499</v>
      </c>
      <c r="AC199" s="208">
        <v>215112609</v>
      </c>
      <c r="AD199" s="271">
        <f t="shared" si="171"/>
        <v>2422336108</v>
      </c>
      <c r="AE199" s="270">
        <f>AGOSTO!AG199</f>
        <v>690851429</v>
      </c>
      <c r="AF199" s="208">
        <v>182963214</v>
      </c>
      <c r="AG199" s="271">
        <f t="shared" si="172"/>
        <v>873814643</v>
      </c>
      <c r="AH199" s="270">
        <f t="shared" si="173"/>
        <v>1504389255</v>
      </c>
      <c r="AI199" s="220">
        <f t="shared" si="174"/>
        <v>2059192087</v>
      </c>
      <c r="AJ199" s="1022">
        <f t="shared" si="175"/>
        <v>3607713552</v>
      </c>
      <c r="AK199" s="101"/>
      <c r="AL199" s="204">
        <v>0</v>
      </c>
      <c r="AM199" s="210">
        <v>0</v>
      </c>
    </row>
    <row r="200" spans="19:39" ht="24.75" customHeight="1">
      <c r="S200" s="1026" t="str">
        <f>+IF(AGOSTO!S200=0,"",AGOSTO!S200)</f>
        <v>2.4.5.02.09.901</v>
      </c>
      <c r="T200" s="267" t="str">
        <f>+IF(AGOSTO!T200=0,"",AGOSTO!T200)</f>
        <v xml:space="preserve">Servicio de Lavandería </v>
      </c>
      <c r="U200" s="884">
        <f>+ENERO!U201</f>
        <v>758333333.33333325</v>
      </c>
      <c r="V200" s="220">
        <f>SUM(AGOSTO!V200+SEPTIEMBRE!AL200)</f>
        <v>382000000</v>
      </c>
      <c r="W200" s="220">
        <f>AGOSTO!W200+SEPTIEMBRE!AM200</f>
        <v>345000000</v>
      </c>
      <c r="X200" s="271">
        <f t="shared" si="169"/>
        <v>1485333333.3333333</v>
      </c>
      <c r="Y200" s="270">
        <f>AGOSTO!AA200</f>
        <v>1124899860</v>
      </c>
      <c r="Z200" s="208">
        <v>0</v>
      </c>
      <c r="AA200" s="271">
        <f t="shared" si="170"/>
        <v>1124899860</v>
      </c>
      <c r="AB200" s="270">
        <f>AGOSTO!AD200</f>
        <v>851111066</v>
      </c>
      <c r="AC200" s="208">
        <v>105831234</v>
      </c>
      <c r="AD200" s="271">
        <f t="shared" si="171"/>
        <v>956942300</v>
      </c>
      <c r="AE200" s="270">
        <f>AGOSTO!AG200</f>
        <v>636009703</v>
      </c>
      <c r="AF200" s="208">
        <v>107117990</v>
      </c>
      <c r="AG200" s="271">
        <f t="shared" si="172"/>
        <v>743127693</v>
      </c>
      <c r="AH200" s="270">
        <f t="shared" si="173"/>
        <v>360433473.33333325</v>
      </c>
      <c r="AI200" s="220">
        <f t="shared" si="174"/>
        <v>528391033.33333325</v>
      </c>
      <c r="AJ200" s="1022">
        <f t="shared" si="175"/>
        <v>742205640.33333325</v>
      </c>
      <c r="AK200" s="101"/>
      <c r="AL200" s="204">
        <v>0</v>
      </c>
      <c r="AM200" s="210">
        <v>0</v>
      </c>
    </row>
    <row r="201" spans="19:39" ht="24.75" customHeight="1">
      <c r="S201" s="1026" t="str">
        <f>+IF(AGOSTO!S201=0,"",AGOSTO!S201)</f>
        <v>2.4.5.02.09.902</v>
      </c>
      <c r="T201" s="267" t="str">
        <f>+IF(AGOSTO!T201=0,"",AGOSTO!T201)</f>
        <v>Servicios de esterilización</v>
      </c>
      <c r="U201" s="884">
        <f>+ENERO!U202</f>
        <v>166666666.66666666</v>
      </c>
      <c r="V201" s="220">
        <f>SUM(AGOSTO!V201+SEPTIEMBRE!AL201)</f>
        <v>0</v>
      </c>
      <c r="W201" s="220">
        <f>AGOSTO!W201+SEPTIEMBRE!AM201</f>
        <v>0</v>
      </c>
      <c r="X201" s="271">
        <f t="shared" si="169"/>
        <v>166666666.66666666</v>
      </c>
      <c r="Y201" s="270">
        <f>AGOSTO!AA201</f>
        <v>109200000</v>
      </c>
      <c r="Z201" s="208">
        <v>0</v>
      </c>
      <c r="AA201" s="271">
        <f t="shared" si="170"/>
        <v>109200000</v>
      </c>
      <c r="AB201" s="270">
        <f>AGOSTO!AD201</f>
        <v>52109945</v>
      </c>
      <c r="AC201" s="208">
        <v>16428518</v>
      </c>
      <c r="AD201" s="271">
        <f t="shared" si="171"/>
        <v>68538463</v>
      </c>
      <c r="AE201" s="270">
        <f>AGOSTO!AG201</f>
        <v>8032995</v>
      </c>
      <c r="AF201" s="208">
        <v>6449323</v>
      </c>
      <c r="AG201" s="271">
        <f t="shared" si="172"/>
        <v>14482318</v>
      </c>
      <c r="AH201" s="270">
        <f t="shared" si="173"/>
        <v>57466666.666666657</v>
      </c>
      <c r="AI201" s="220">
        <f t="shared" si="174"/>
        <v>98128203.666666657</v>
      </c>
      <c r="AJ201" s="1022">
        <f t="shared" si="175"/>
        <v>152184348.66666666</v>
      </c>
      <c r="AK201" s="101"/>
      <c r="AL201" s="204">
        <v>0</v>
      </c>
      <c r="AM201" s="210">
        <v>0</v>
      </c>
    </row>
    <row r="202" spans="19:39" ht="24.75" customHeight="1">
      <c r="S202" s="1026" t="str">
        <f>+IF(AGOSTO!S202=0,"",AGOSTO!S202)</f>
        <v>2.4.5.01.03.305</v>
      </c>
      <c r="T202" s="267" t="str">
        <f>+IF(AGOSTO!T202=0,"",AGOSTO!T202)</f>
        <v>Sangre</v>
      </c>
      <c r="U202" s="884">
        <f>+ENERO!U203</f>
        <v>1257440000</v>
      </c>
      <c r="V202" s="220">
        <f>SUM(AGOSTO!V202+SEPTIEMBRE!AL202)</f>
        <v>100000000</v>
      </c>
      <c r="W202" s="220">
        <f>AGOSTO!W202+SEPTIEMBRE!AM202</f>
        <v>409000000</v>
      </c>
      <c r="X202" s="271">
        <f t="shared" si="169"/>
        <v>1766440000</v>
      </c>
      <c r="Y202" s="270">
        <f>AGOSTO!AA202</f>
        <v>1261200000</v>
      </c>
      <c r="Z202" s="208">
        <v>145000000</v>
      </c>
      <c r="AA202" s="271">
        <f t="shared" si="170"/>
        <v>1406200000</v>
      </c>
      <c r="AB202" s="270">
        <f>AGOSTO!AD202</f>
        <v>1055310836</v>
      </c>
      <c r="AC202" s="208">
        <v>132487478</v>
      </c>
      <c r="AD202" s="271">
        <f t="shared" si="171"/>
        <v>1187798314</v>
      </c>
      <c r="AE202" s="270">
        <f>AGOSTO!AG202</f>
        <v>325415942</v>
      </c>
      <c r="AF202" s="208">
        <v>143363703</v>
      </c>
      <c r="AG202" s="271">
        <f t="shared" si="172"/>
        <v>468779645</v>
      </c>
      <c r="AH202" s="270">
        <f t="shared" si="173"/>
        <v>360240000</v>
      </c>
      <c r="AI202" s="220">
        <f t="shared" si="174"/>
        <v>578641686</v>
      </c>
      <c r="AJ202" s="1022">
        <f t="shared" si="175"/>
        <v>1297660355</v>
      </c>
      <c r="AK202" s="101"/>
      <c r="AL202" s="204">
        <v>0</v>
      </c>
      <c r="AM202" s="210">
        <v>0</v>
      </c>
    </row>
    <row r="203" spans="19:39" ht="24.75" customHeight="1">
      <c r="S203" s="1026" t="str">
        <f>+IF(AGOSTO!S203=0,"",AGOSTO!S203)</f>
        <v>2.4.5.02.08</v>
      </c>
      <c r="T203" s="267" t="str">
        <f>+IF(AGOSTO!T203=0,"",AGOSTO!T203)</f>
        <v>Servicios de ayudas diagnòsticas</v>
      </c>
      <c r="U203" s="884">
        <f>+ENERO!U204</f>
        <v>10870667164.5</v>
      </c>
      <c r="V203" s="220">
        <f>SUM(AGOSTO!V203+SEPTIEMBRE!AL203)</f>
        <v>-1015559635</v>
      </c>
      <c r="W203" s="220">
        <f>AGOSTO!W203+SEPTIEMBRE!AM203</f>
        <v>2530000000</v>
      </c>
      <c r="X203" s="271">
        <f t="shared" si="169"/>
        <v>12385107529.5</v>
      </c>
      <c r="Y203" s="270">
        <f>AGOSTO!AA203</f>
        <v>10242754319</v>
      </c>
      <c r="Z203" s="208">
        <v>900000000</v>
      </c>
      <c r="AA203" s="271">
        <f t="shared" si="170"/>
        <v>11142754319</v>
      </c>
      <c r="AB203" s="270">
        <f>AGOSTO!AD203</f>
        <v>7965592074</v>
      </c>
      <c r="AC203" s="208">
        <v>1086506447</v>
      </c>
      <c r="AD203" s="271">
        <f t="shared" si="171"/>
        <v>9052098521</v>
      </c>
      <c r="AE203" s="270">
        <f>AGOSTO!AG203</f>
        <v>4333792415</v>
      </c>
      <c r="AF203" s="208">
        <v>950260409</v>
      </c>
      <c r="AG203" s="271">
        <f t="shared" si="172"/>
        <v>5284052824</v>
      </c>
      <c r="AH203" s="270">
        <f t="shared" si="173"/>
        <v>1242353210.5</v>
      </c>
      <c r="AI203" s="220">
        <f t="shared" si="174"/>
        <v>3333009008.5</v>
      </c>
      <c r="AJ203" s="1022">
        <f t="shared" si="175"/>
        <v>7101054705.5</v>
      </c>
      <c r="AK203" s="101"/>
      <c r="AL203" s="204">
        <v>0</v>
      </c>
      <c r="AM203" s="210">
        <v>0</v>
      </c>
    </row>
    <row r="204" spans="19:39" ht="24.75" customHeight="1">
      <c r="S204" s="1021">
        <f>+IF(AGOSTO!S204=0,"",AGOSTO!S204)</f>
        <v>4100200</v>
      </c>
      <c r="T204" s="267" t="str">
        <f>+IF(AGOSTO!T204=0,"",AGOSTO!T204)</f>
        <v>Gastos Complementarios e Intermedios</v>
      </c>
      <c r="U204" s="884">
        <f>U205</f>
        <v>5609700000</v>
      </c>
      <c r="V204" s="220">
        <f>V205</f>
        <v>150000000</v>
      </c>
      <c r="W204" s="220">
        <f>W205</f>
        <v>1950000000</v>
      </c>
      <c r="X204" s="271">
        <f>X205</f>
        <v>7709700000</v>
      </c>
      <c r="Y204" s="270">
        <f t="shared" ref="Y204:AJ204" si="176">Y205</f>
        <v>5752600000</v>
      </c>
      <c r="Z204" s="300">
        <f t="shared" si="176"/>
        <v>1900000000</v>
      </c>
      <c r="AA204" s="271">
        <f t="shared" si="176"/>
        <v>7652600000</v>
      </c>
      <c r="AB204" s="270">
        <f t="shared" si="176"/>
        <v>5010247519</v>
      </c>
      <c r="AC204" s="300">
        <f t="shared" si="176"/>
        <v>704812436</v>
      </c>
      <c r="AD204" s="271">
        <f t="shared" si="176"/>
        <v>5715059955</v>
      </c>
      <c r="AE204" s="270">
        <f t="shared" si="176"/>
        <v>3671156232</v>
      </c>
      <c r="AF204" s="300">
        <f t="shared" si="176"/>
        <v>813937577</v>
      </c>
      <c r="AG204" s="271">
        <f t="shared" si="176"/>
        <v>4485093809</v>
      </c>
      <c r="AH204" s="270">
        <f t="shared" si="176"/>
        <v>57100000</v>
      </c>
      <c r="AI204" s="220">
        <f t="shared" si="176"/>
        <v>1994640045</v>
      </c>
      <c r="AJ204" s="1022">
        <f t="shared" si="176"/>
        <v>3224606191</v>
      </c>
      <c r="AK204" s="101"/>
      <c r="AL204" s="301">
        <f>AL205</f>
        <v>0</v>
      </c>
      <c r="AM204" s="302">
        <f>AM205</f>
        <v>0</v>
      </c>
    </row>
    <row r="205" spans="19:39" ht="24.75" customHeight="1">
      <c r="S205" s="1026" t="str">
        <f>+IF(AGOSTO!S205=0,"",AGOSTO!S205)</f>
        <v>2.4.5.02.06.601</v>
      </c>
      <c r="T205" s="267" t="str">
        <f>+IF(AGOSTO!T205=0,"",AGOSTO!T205)</f>
        <v>Servicio de alimentación</v>
      </c>
      <c r="U205" s="884">
        <f>+ENERO!U206</f>
        <v>5609700000</v>
      </c>
      <c r="V205" s="220">
        <f>SUM(AGOSTO!V205+SEPTIEMBRE!AL205)</f>
        <v>150000000</v>
      </c>
      <c r="W205" s="220">
        <f>AGOSTO!W205+SEPTIEMBRE!AM205</f>
        <v>1950000000</v>
      </c>
      <c r="X205" s="271">
        <f>SUM(U205:W205)</f>
        <v>7709700000</v>
      </c>
      <c r="Y205" s="270">
        <f>AGOSTO!AA205</f>
        <v>5752600000</v>
      </c>
      <c r="Z205" s="208">
        <v>1900000000</v>
      </c>
      <c r="AA205" s="271">
        <f>SUM(Y205:Z205)</f>
        <v>7652600000</v>
      </c>
      <c r="AB205" s="270">
        <f>AGOSTO!AD205</f>
        <v>5010247519</v>
      </c>
      <c r="AC205" s="208">
        <v>704812436</v>
      </c>
      <c r="AD205" s="271">
        <f>SUM(AB205:AC205)</f>
        <v>5715059955</v>
      </c>
      <c r="AE205" s="270">
        <f>AGOSTO!AG205</f>
        <v>3671156232</v>
      </c>
      <c r="AF205" s="208">
        <v>813937577</v>
      </c>
      <c r="AG205" s="271">
        <f>SUM(AE205:AF205)</f>
        <v>4485093809</v>
      </c>
      <c r="AH205" s="270">
        <f>X205-AA205</f>
        <v>57100000</v>
      </c>
      <c r="AI205" s="220">
        <f>X205-AD205</f>
        <v>1994640045</v>
      </c>
      <c r="AJ205" s="1022">
        <f>X205-AG205</f>
        <v>3224606191</v>
      </c>
      <c r="AK205" s="101"/>
      <c r="AL205" s="204"/>
      <c r="AM205" s="210">
        <v>0</v>
      </c>
    </row>
    <row r="206" spans="19:39" ht="24.75" customHeight="1" thickBot="1">
      <c r="S206" s="1032" t="str">
        <f>+IF(AGOSTO!S206=0,"",AGOSTO!S206)</f>
        <v>2.4.5.01.03.99.01</v>
      </c>
      <c r="T206" s="467" t="str">
        <f>+IF(AGOSTO!T206=0,"",AGOSTO!T206)</f>
        <v>Vigencias Anteriores</v>
      </c>
      <c r="U206" s="547">
        <f>+ENERO!U207</f>
        <v>5913780963.333334</v>
      </c>
      <c r="V206" s="220">
        <f>SUM(AGOSTO!V206+SEPTIEMBRE!AL206)</f>
        <v>-2197000000</v>
      </c>
      <c r="W206" s="220">
        <f>AGOSTO!W206+SEPTIEMBRE!AM206</f>
        <v>0</v>
      </c>
      <c r="X206" s="471">
        <f>SUM(U206:W206)</f>
        <v>3716780963.333334</v>
      </c>
      <c r="Y206" s="470">
        <f>AGOSTO!AA206</f>
        <v>3654262555</v>
      </c>
      <c r="Z206" s="246">
        <v>0</v>
      </c>
      <c r="AA206" s="471">
        <f>SUM(Y206:Z206)</f>
        <v>3654262555</v>
      </c>
      <c r="AB206" s="470">
        <f>AGOSTO!AD206</f>
        <v>3648062555</v>
      </c>
      <c r="AC206" s="246">
        <v>0</v>
      </c>
      <c r="AD206" s="471">
        <f>SUM(AB206:AC206)</f>
        <v>3648062555</v>
      </c>
      <c r="AE206" s="470">
        <f>AGOSTO!AG206</f>
        <v>3648062553</v>
      </c>
      <c r="AF206" s="246">
        <v>0</v>
      </c>
      <c r="AG206" s="471">
        <f>SUM(AE206:AF206)</f>
        <v>3648062553</v>
      </c>
      <c r="AH206" s="470">
        <f>X206-AA206</f>
        <v>62518408.333333969</v>
      </c>
      <c r="AI206" s="468">
        <f>X206-AD206</f>
        <v>68718408.333333969</v>
      </c>
      <c r="AJ206" s="1033">
        <f>X206-AG206</f>
        <v>68718410.333333969</v>
      </c>
      <c r="AK206" s="101"/>
      <c r="AL206" s="242">
        <v>0</v>
      </c>
      <c r="AM206" s="248"/>
    </row>
    <row r="207" spans="19:39" ht="24.75" customHeight="1">
      <c r="S207" s="1034">
        <f>+IF(AGOSTO!S207=0,"",AGOSTO!S207)</f>
        <v>1050551296</v>
      </c>
      <c r="T207" s="456" t="str">
        <f>+IF(AGOSTO!T207=0,"",AGOSTO!T207)</f>
        <v/>
      </c>
      <c r="U207" s="457"/>
      <c r="V207" s="457"/>
      <c r="W207" s="457"/>
      <c r="X207" s="457"/>
      <c r="Y207" s="457"/>
      <c r="Z207" s="457"/>
      <c r="AA207" s="457"/>
      <c r="AB207" s="457"/>
      <c r="AC207" s="457"/>
      <c r="AD207" s="457"/>
      <c r="AE207" s="457"/>
      <c r="AF207" s="457"/>
      <c r="AG207" s="457"/>
      <c r="AH207" s="457"/>
      <c r="AI207" s="457"/>
      <c r="AJ207" s="1035"/>
      <c r="AK207" s="101"/>
      <c r="AL207" s="460"/>
      <c r="AM207" s="461"/>
    </row>
    <row r="208" spans="19:39" ht="24.75" customHeight="1">
      <c r="S208" s="1025">
        <f>+IF(AGOSTO!S208=0,"",AGOSTO!S208)</f>
        <v>5000000</v>
      </c>
      <c r="T208" s="404" t="s">
        <v>300</v>
      </c>
      <c r="U208" s="882">
        <f>U209</f>
        <v>2203000000</v>
      </c>
      <c r="V208" s="406">
        <f>V209</f>
        <v>2112559635</v>
      </c>
      <c r="W208" s="406">
        <f>W209</f>
        <v>350000000</v>
      </c>
      <c r="X208" s="407">
        <f>X209</f>
        <v>4665559635</v>
      </c>
      <c r="Y208" s="217">
        <f t="shared" ref="Y208:AJ208" si="177">Y209</f>
        <v>4596162843</v>
      </c>
      <c r="Z208" s="406">
        <f t="shared" si="177"/>
        <v>249817</v>
      </c>
      <c r="AA208" s="407">
        <f t="shared" si="177"/>
        <v>4596412660</v>
      </c>
      <c r="AB208" s="217">
        <f t="shared" si="177"/>
        <v>4596162843</v>
      </c>
      <c r="AC208" s="406">
        <f t="shared" si="177"/>
        <v>249817</v>
      </c>
      <c r="AD208" s="407">
        <f t="shared" si="177"/>
        <v>4596412660</v>
      </c>
      <c r="AE208" s="217">
        <f t="shared" si="177"/>
        <v>4596162843</v>
      </c>
      <c r="AF208" s="406">
        <f t="shared" si="177"/>
        <v>249817</v>
      </c>
      <c r="AG208" s="407">
        <f t="shared" si="177"/>
        <v>4596412660</v>
      </c>
      <c r="AH208" s="217">
        <f t="shared" si="177"/>
        <v>69146975</v>
      </c>
      <c r="AI208" s="406">
        <f t="shared" si="177"/>
        <v>69146975</v>
      </c>
      <c r="AJ208" s="1028">
        <f t="shared" si="177"/>
        <v>69146975</v>
      </c>
      <c r="AK208" s="216"/>
      <c r="AL208" s="233">
        <f>AL209</f>
        <v>0</v>
      </c>
      <c r="AM208" s="232">
        <f>AM209</f>
        <v>0</v>
      </c>
    </row>
    <row r="209" spans="19:39" ht="24.75" customHeight="1">
      <c r="S209" s="1019">
        <f>+IF(AGOSTO!S209=0,"",AGOSTO!S209)</f>
        <v>5100000</v>
      </c>
      <c r="T209" s="546" t="str">
        <f>+IF(AGOSTO!T209=0,"",AGOSTO!T209)</f>
        <v>Insumos y Suministros para Venta al Público</v>
      </c>
      <c r="U209" s="883">
        <f>U210+U217</f>
        <v>2203000000</v>
      </c>
      <c r="V209" s="231">
        <f>V210+V217</f>
        <v>2112559635</v>
      </c>
      <c r="W209" s="231">
        <f>W210+W217</f>
        <v>350000000</v>
      </c>
      <c r="X209" s="234">
        <f>X210+X217</f>
        <v>4665559635</v>
      </c>
      <c r="Y209" s="233">
        <f t="shared" ref="Y209:AJ209" si="178">Y210+Y217</f>
        <v>4596162843</v>
      </c>
      <c r="Z209" s="231">
        <f t="shared" si="178"/>
        <v>249817</v>
      </c>
      <c r="AA209" s="234">
        <f t="shared" si="178"/>
        <v>4596412660</v>
      </c>
      <c r="AB209" s="233">
        <f t="shared" si="178"/>
        <v>4596162843</v>
      </c>
      <c r="AC209" s="231">
        <f t="shared" si="178"/>
        <v>249817</v>
      </c>
      <c r="AD209" s="234">
        <f t="shared" si="178"/>
        <v>4596412660</v>
      </c>
      <c r="AE209" s="233">
        <f t="shared" si="178"/>
        <v>4596162843</v>
      </c>
      <c r="AF209" s="231">
        <f t="shared" si="178"/>
        <v>249817</v>
      </c>
      <c r="AG209" s="234">
        <f t="shared" si="178"/>
        <v>4596412660</v>
      </c>
      <c r="AH209" s="233">
        <f t="shared" si="178"/>
        <v>69146975</v>
      </c>
      <c r="AI209" s="231">
        <f t="shared" si="178"/>
        <v>69146975</v>
      </c>
      <c r="AJ209" s="1020">
        <f t="shared" si="178"/>
        <v>69146975</v>
      </c>
      <c r="AK209" s="101"/>
      <c r="AL209" s="233">
        <f>AL210+AL217</f>
        <v>0</v>
      </c>
      <c r="AM209" s="232">
        <f>AM210+AM217</f>
        <v>0</v>
      </c>
    </row>
    <row r="210" spans="19:39" ht="24.75" customHeight="1">
      <c r="S210" s="1021">
        <f>+IF(AGOSTO!S210=0,"",AGOSTO!S210)</f>
        <v>5100100</v>
      </c>
      <c r="T210" s="267" t="str">
        <f>+IF(AGOSTO!T210=0,"",AGOSTO!T210)</f>
        <v>Compra de Bienes para la venta</v>
      </c>
      <c r="U210" s="884">
        <f>SUM(U211:U216)</f>
        <v>3000000</v>
      </c>
      <c r="V210" s="220">
        <f>SUM(AGOSTO!V210+SEPTIEMBRE!AL210)</f>
        <v>0</v>
      </c>
      <c r="W210" s="220">
        <f>AGOSTO!W210+SEPTIEMBRE!AM210</f>
        <v>0</v>
      </c>
      <c r="X210" s="271">
        <f>SUM(X211:X216)</f>
        <v>3000000</v>
      </c>
      <c r="Y210" s="270">
        <f t="shared" ref="Y210:AJ210" si="179">SUM(Y211:Y216)</f>
        <v>0</v>
      </c>
      <c r="Z210" s="300">
        <f t="shared" si="179"/>
        <v>0</v>
      </c>
      <c r="AA210" s="271">
        <f t="shared" si="179"/>
        <v>0</v>
      </c>
      <c r="AB210" s="270">
        <f t="shared" si="179"/>
        <v>0</v>
      </c>
      <c r="AC210" s="300">
        <f t="shared" si="179"/>
        <v>0</v>
      </c>
      <c r="AD210" s="271">
        <f t="shared" si="179"/>
        <v>0</v>
      </c>
      <c r="AE210" s="270">
        <f t="shared" si="179"/>
        <v>0</v>
      </c>
      <c r="AF210" s="300">
        <f t="shared" si="179"/>
        <v>0</v>
      </c>
      <c r="AG210" s="271">
        <f t="shared" si="179"/>
        <v>0</v>
      </c>
      <c r="AH210" s="270">
        <f t="shared" si="179"/>
        <v>3000000</v>
      </c>
      <c r="AI210" s="220">
        <f t="shared" si="179"/>
        <v>3000000</v>
      </c>
      <c r="AJ210" s="1022">
        <f t="shared" si="179"/>
        <v>3000000</v>
      </c>
      <c r="AK210" s="101"/>
      <c r="AL210" s="301">
        <f>SUM(AL211:AL216)</f>
        <v>0</v>
      </c>
      <c r="AM210" s="302">
        <f>SUM(AM211:AM216)</f>
        <v>0</v>
      </c>
    </row>
    <row r="211" spans="19:39" ht="24.75" customHeight="1">
      <c r="S211" s="1026" t="str">
        <f>+IF(AGOSTO!S211=0,"",AGOSTO!S211)</f>
        <v>5100100-1</v>
      </c>
      <c r="T211" s="312" t="str">
        <f>+IF(AGOSTO!T211=0,"",AGOSTO!T211)</f>
        <v>Productos Farmaceuticos</v>
      </c>
      <c r="U211" s="884">
        <f>+ENERO!U212</f>
        <v>0</v>
      </c>
      <c r="V211" s="220">
        <f>SUM(AGOSTO!V211+SEPTIEMBRE!AL211)</f>
        <v>0</v>
      </c>
      <c r="W211" s="220">
        <f>AGOSTO!W211+SEPTIEMBRE!AM211</f>
        <v>0</v>
      </c>
      <c r="X211" s="271">
        <f t="shared" ref="X211:X217" si="180">SUM(U211:W211)</f>
        <v>0</v>
      </c>
      <c r="Y211" s="270">
        <f>AGOSTO!AA211</f>
        <v>0</v>
      </c>
      <c r="Z211" s="208">
        <v>0</v>
      </c>
      <c r="AA211" s="271">
        <f t="shared" ref="AA211:AA217" si="181">SUM(Y211:Z211)</f>
        <v>0</v>
      </c>
      <c r="AB211" s="270">
        <f>AGOSTO!AD211</f>
        <v>0</v>
      </c>
      <c r="AC211" s="208">
        <v>0</v>
      </c>
      <c r="AD211" s="271">
        <f t="shared" ref="AD211:AD217" si="182">SUM(AB211:AC211)</f>
        <v>0</v>
      </c>
      <c r="AE211" s="270">
        <f>AGOSTO!AG211</f>
        <v>0</v>
      </c>
      <c r="AF211" s="208">
        <v>0</v>
      </c>
      <c r="AG211" s="271">
        <f t="shared" ref="AG211:AG217" si="183">SUM(AE211:AF211)</f>
        <v>0</v>
      </c>
      <c r="AH211" s="270">
        <f t="shared" ref="AH211:AH217" si="184">X211-AA211</f>
        <v>0</v>
      </c>
      <c r="AI211" s="220">
        <f t="shared" ref="AI211:AI217" si="185">X211-AD211</f>
        <v>0</v>
      </c>
      <c r="AJ211" s="1022">
        <f t="shared" ref="AJ211:AJ217" si="186">X211-AG211</f>
        <v>0</v>
      </c>
      <c r="AK211" s="101"/>
      <c r="AL211" s="204">
        <v>0</v>
      </c>
      <c r="AM211" s="210">
        <v>0</v>
      </c>
    </row>
    <row r="212" spans="19:39" ht="24.75" customHeight="1">
      <c r="S212" s="1026" t="str">
        <f>+IF(AGOSTO!S212=0,"",AGOSTO!S212)</f>
        <v>5100100-2</v>
      </c>
      <c r="T212" s="312" t="str">
        <f>+IF(AGOSTO!T212=0,"",AGOSTO!T212)</f>
        <v>Material Médico Quirúrgico</v>
      </c>
      <c r="U212" s="884">
        <f>+ENERO!U213</f>
        <v>0</v>
      </c>
      <c r="V212" s="220">
        <f>SUM(AGOSTO!V212+SEPTIEMBRE!AL212)</f>
        <v>0</v>
      </c>
      <c r="W212" s="220">
        <f>AGOSTO!W212+SEPTIEMBRE!AM212</f>
        <v>0</v>
      </c>
      <c r="X212" s="271">
        <f t="shared" si="180"/>
        <v>0</v>
      </c>
      <c r="Y212" s="270">
        <f>AGOSTO!AA212</f>
        <v>0</v>
      </c>
      <c r="Z212" s="208">
        <v>0</v>
      </c>
      <c r="AA212" s="271">
        <f t="shared" si="181"/>
        <v>0</v>
      </c>
      <c r="AB212" s="270">
        <f>AGOSTO!AD212</f>
        <v>0</v>
      </c>
      <c r="AC212" s="208">
        <v>0</v>
      </c>
      <c r="AD212" s="271">
        <f t="shared" si="182"/>
        <v>0</v>
      </c>
      <c r="AE212" s="270">
        <f>AGOSTO!AG212</f>
        <v>0</v>
      </c>
      <c r="AF212" s="208">
        <v>0</v>
      </c>
      <c r="AG212" s="271">
        <f t="shared" si="183"/>
        <v>0</v>
      </c>
      <c r="AH212" s="270">
        <f t="shared" si="184"/>
        <v>0</v>
      </c>
      <c r="AI212" s="220">
        <f t="shared" si="185"/>
        <v>0</v>
      </c>
      <c r="AJ212" s="1022">
        <f t="shared" si="186"/>
        <v>0</v>
      </c>
      <c r="AK212" s="101"/>
      <c r="AL212" s="204">
        <v>0</v>
      </c>
      <c r="AM212" s="210">
        <v>0</v>
      </c>
    </row>
    <row r="213" spans="19:39" ht="24.75" customHeight="1">
      <c r="S213" s="1026" t="str">
        <f>+IF(AGOSTO!S213=0,"",AGOSTO!S213)</f>
        <v>5100100-3</v>
      </c>
      <c r="T213" s="312" t="str">
        <f>+IF(AGOSTO!T213=0,"",AGOSTO!T213)</f>
        <v>Material de Laboratorio</v>
      </c>
      <c r="U213" s="884">
        <f>+ENERO!U214</f>
        <v>0</v>
      </c>
      <c r="V213" s="220">
        <f>SUM(AGOSTO!V213+SEPTIEMBRE!AL213)</f>
        <v>0</v>
      </c>
      <c r="W213" s="220">
        <f>AGOSTO!W213+SEPTIEMBRE!AM213</f>
        <v>0</v>
      </c>
      <c r="X213" s="271">
        <f t="shared" si="180"/>
        <v>0</v>
      </c>
      <c r="Y213" s="270">
        <f>AGOSTO!AA213</f>
        <v>0</v>
      </c>
      <c r="Z213" s="208">
        <v>0</v>
      </c>
      <c r="AA213" s="271">
        <f t="shared" si="181"/>
        <v>0</v>
      </c>
      <c r="AB213" s="270">
        <f>AGOSTO!AD213</f>
        <v>0</v>
      </c>
      <c r="AC213" s="208">
        <v>0</v>
      </c>
      <c r="AD213" s="271">
        <f t="shared" si="182"/>
        <v>0</v>
      </c>
      <c r="AE213" s="270">
        <f>AGOSTO!AG213</f>
        <v>0</v>
      </c>
      <c r="AF213" s="208">
        <v>0</v>
      </c>
      <c r="AG213" s="271">
        <f t="shared" si="183"/>
        <v>0</v>
      </c>
      <c r="AH213" s="270">
        <f t="shared" si="184"/>
        <v>0</v>
      </c>
      <c r="AI213" s="220">
        <f t="shared" si="185"/>
        <v>0</v>
      </c>
      <c r="AJ213" s="1022">
        <f t="shared" si="186"/>
        <v>0</v>
      </c>
      <c r="AK213" s="101"/>
      <c r="AL213" s="204">
        <v>0</v>
      </c>
      <c r="AM213" s="210">
        <v>0</v>
      </c>
    </row>
    <row r="214" spans="19:39" ht="24.75" customHeight="1">
      <c r="S214" s="1026" t="str">
        <f>+IF(AGOSTO!S214=0,"",AGOSTO!S214)</f>
        <v>2.4.5.02.09.91122</v>
      </c>
      <c r="T214" s="312" t="str">
        <f>+IF(AGOSTO!T214=0,"",AGOSTO!T214)</f>
        <v>Servicios de Certificación, Habilitación y Acreditación</v>
      </c>
      <c r="U214" s="884">
        <f>+ENERO!U215</f>
        <v>3000000</v>
      </c>
      <c r="V214" s="220">
        <f>SUM(AGOSTO!V214+SEPTIEMBRE!AL214)</f>
        <v>0</v>
      </c>
      <c r="W214" s="220">
        <f>AGOSTO!W214+SEPTIEMBRE!AM214</f>
        <v>0</v>
      </c>
      <c r="X214" s="271">
        <f t="shared" si="180"/>
        <v>3000000</v>
      </c>
      <c r="Y214" s="270">
        <f>AGOSTO!AA214</f>
        <v>0</v>
      </c>
      <c r="Z214" s="208">
        <v>0</v>
      </c>
      <c r="AA214" s="271">
        <f t="shared" si="181"/>
        <v>0</v>
      </c>
      <c r="AB214" s="270">
        <f>AGOSTO!AD214</f>
        <v>0</v>
      </c>
      <c r="AC214" s="208">
        <v>0</v>
      </c>
      <c r="AD214" s="271">
        <f t="shared" si="182"/>
        <v>0</v>
      </c>
      <c r="AE214" s="270">
        <f>AGOSTO!AG214</f>
        <v>0</v>
      </c>
      <c r="AF214" s="208">
        <v>0</v>
      </c>
      <c r="AG214" s="271">
        <f t="shared" si="183"/>
        <v>0</v>
      </c>
      <c r="AH214" s="270">
        <f t="shared" si="184"/>
        <v>3000000</v>
      </c>
      <c r="AI214" s="220">
        <f t="shared" si="185"/>
        <v>3000000</v>
      </c>
      <c r="AJ214" s="1022">
        <f t="shared" si="186"/>
        <v>3000000</v>
      </c>
      <c r="AK214" s="101"/>
      <c r="AL214" s="204">
        <v>0</v>
      </c>
      <c r="AM214" s="210">
        <v>0</v>
      </c>
    </row>
    <row r="215" spans="19:39" ht="24.75" customHeight="1">
      <c r="S215" s="1026" t="str">
        <f>+IF(AGOSTO!S215=0,"",AGOSTO!S215)</f>
        <v>2.4.5.02.08.801.99</v>
      </c>
      <c r="T215" s="312" t="str">
        <f>+IF(AGOSTO!T215=0,"",AGOSTO!T215)</f>
        <v>Vigencias Anteriores</v>
      </c>
      <c r="U215" s="884">
        <f>+ENERO!U216</f>
        <v>0</v>
      </c>
      <c r="V215" s="220">
        <f>SUM(AGOSTO!V215+SEPTIEMBRE!AL215)</f>
        <v>0</v>
      </c>
      <c r="W215" s="220">
        <f>AGOSTO!W215+SEPTIEMBRE!AM215</f>
        <v>0</v>
      </c>
      <c r="X215" s="271">
        <f t="shared" si="180"/>
        <v>0</v>
      </c>
      <c r="Y215" s="270">
        <f>AGOSTO!AA215</f>
        <v>0</v>
      </c>
      <c r="Z215" s="208">
        <v>0</v>
      </c>
      <c r="AA215" s="271">
        <f t="shared" si="181"/>
        <v>0</v>
      </c>
      <c r="AB215" s="270">
        <f>AGOSTO!AD215</f>
        <v>0</v>
      </c>
      <c r="AC215" s="208">
        <v>0</v>
      </c>
      <c r="AD215" s="271">
        <f t="shared" si="182"/>
        <v>0</v>
      </c>
      <c r="AE215" s="270">
        <f>AGOSTO!AG215</f>
        <v>0</v>
      </c>
      <c r="AF215" s="208">
        <v>0</v>
      </c>
      <c r="AG215" s="271">
        <f t="shared" si="183"/>
        <v>0</v>
      </c>
      <c r="AH215" s="270">
        <f t="shared" si="184"/>
        <v>0</v>
      </c>
      <c r="AI215" s="220">
        <f t="shared" si="185"/>
        <v>0</v>
      </c>
      <c r="AJ215" s="1022">
        <f t="shared" si="186"/>
        <v>0</v>
      </c>
      <c r="AK215" s="101"/>
      <c r="AL215" s="204">
        <v>0</v>
      </c>
      <c r="AM215" s="210">
        <v>0</v>
      </c>
    </row>
    <row r="216" spans="19:39" ht="24.75" customHeight="1">
      <c r="S216" s="1026" t="str">
        <f>+IF(AGOSTO!S216=0,"",AGOSTO!S216)</f>
        <v>2.4.5.02.08.802.99</v>
      </c>
      <c r="T216" s="312" t="str">
        <f>+IF(AGOSTO!T216=0,"",AGOSTO!T216)</f>
        <v>Vigencias Anteriores</v>
      </c>
      <c r="U216" s="884">
        <f>+ENERO!U217</f>
        <v>0</v>
      </c>
      <c r="V216" s="220">
        <f>SUM(AGOSTO!V216+SEPTIEMBRE!AL216)</f>
        <v>0</v>
      </c>
      <c r="W216" s="220">
        <f>AGOSTO!W216+SEPTIEMBRE!AM216</f>
        <v>0</v>
      </c>
      <c r="X216" s="271">
        <f t="shared" si="180"/>
        <v>0</v>
      </c>
      <c r="Y216" s="270">
        <f>AGOSTO!AA216</f>
        <v>0</v>
      </c>
      <c r="Z216" s="208">
        <v>0</v>
      </c>
      <c r="AA216" s="271">
        <f t="shared" si="181"/>
        <v>0</v>
      </c>
      <c r="AB216" s="270">
        <f>AGOSTO!AD216</f>
        <v>0</v>
      </c>
      <c r="AC216" s="208">
        <v>0</v>
      </c>
      <c r="AD216" s="271">
        <f t="shared" si="182"/>
        <v>0</v>
      </c>
      <c r="AE216" s="270">
        <f>AGOSTO!AG216</f>
        <v>0</v>
      </c>
      <c r="AF216" s="208">
        <v>0</v>
      </c>
      <c r="AG216" s="271">
        <f t="shared" si="183"/>
        <v>0</v>
      </c>
      <c r="AH216" s="270">
        <f t="shared" si="184"/>
        <v>0</v>
      </c>
      <c r="AI216" s="220">
        <f t="shared" si="185"/>
        <v>0</v>
      </c>
      <c r="AJ216" s="1022">
        <f t="shared" si="186"/>
        <v>0</v>
      </c>
      <c r="AK216" s="216"/>
      <c r="AL216" s="204">
        <v>0</v>
      </c>
      <c r="AM216" s="210">
        <v>0</v>
      </c>
    </row>
    <row r="217" spans="19:39" ht="24.75" customHeight="1" thickBot="1">
      <c r="S217" s="1036" t="str">
        <f>+IF(AGOSTO!S217=0,"",AGOSTO!S217)</f>
        <v>2.4.5.02.08.99</v>
      </c>
      <c r="T217" s="500" t="str">
        <f>+IF(AGOSTO!T217=0,"",AGOSTO!T217)</f>
        <v>Vigencias Anteriores</v>
      </c>
      <c r="U217" s="547">
        <f>+ENERO!U218</f>
        <v>2200000000</v>
      </c>
      <c r="V217" s="220">
        <f>SUM(AGOSTO!V217+SEPTIEMBRE!AL217)</f>
        <v>2112559635</v>
      </c>
      <c r="W217" s="220">
        <f>AGOSTO!W217+SEPTIEMBRE!AM217</f>
        <v>350000000</v>
      </c>
      <c r="X217" s="471">
        <f t="shared" si="180"/>
        <v>4662559635</v>
      </c>
      <c r="Y217" s="470">
        <f>AGOSTO!AA217</f>
        <v>4596162843</v>
      </c>
      <c r="Z217" s="246">
        <v>249817</v>
      </c>
      <c r="AA217" s="471">
        <f t="shared" si="181"/>
        <v>4596412660</v>
      </c>
      <c r="AB217" s="470">
        <f>AGOSTO!AD217</f>
        <v>4596162843</v>
      </c>
      <c r="AC217" s="246">
        <v>249817</v>
      </c>
      <c r="AD217" s="471">
        <f t="shared" si="182"/>
        <v>4596412660</v>
      </c>
      <c r="AE217" s="470">
        <f>AGOSTO!AG217</f>
        <v>4596162843</v>
      </c>
      <c r="AF217" s="246">
        <v>249817</v>
      </c>
      <c r="AG217" s="471">
        <f t="shared" si="183"/>
        <v>4596412660</v>
      </c>
      <c r="AH217" s="470">
        <f t="shared" si="184"/>
        <v>66146975</v>
      </c>
      <c r="AI217" s="468">
        <f t="shared" si="185"/>
        <v>66146975</v>
      </c>
      <c r="AJ217" s="1033">
        <f t="shared" si="186"/>
        <v>66146975</v>
      </c>
      <c r="AK217" s="487"/>
      <c r="AL217" s="489">
        <v>0</v>
      </c>
      <c r="AM217" s="490"/>
    </row>
    <row r="218" spans="19:39" ht="24.75" customHeight="1" thickBot="1">
      <c r="S218" s="1037">
        <f>+IF(AGOSTO!S218=0,"",AGOSTO!S218)</f>
        <v>1133096960</v>
      </c>
      <c r="T218" s="914" t="str">
        <f>+IF(AGOSTO!T218=0,"",AGOSTO!T218)</f>
        <v/>
      </c>
      <c r="U218" s="915"/>
      <c r="V218" s="915"/>
      <c r="W218" s="915"/>
      <c r="X218" s="915"/>
      <c r="Y218" s="915"/>
      <c r="Z218" s="915"/>
      <c r="AA218" s="915"/>
      <c r="AB218" s="915"/>
      <c r="AC218" s="915"/>
      <c r="AD218" s="915"/>
      <c r="AE218" s="915"/>
      <c r="AF218" s="915"/>
      <c r="AG218" s="915"/>
      <c r="AH218" s="915"/>
      <c r="AI218" s="915"/>
      <c r="AJ218" s="1038"/>
      <c r="AK218" s="101"/>
      <c r="AL218" s="485"/>
      <c r="AM218" s="486"/>
    </row>
    <row r="219" spans="19:39" ht="24.75" customHeight="1">
      <c r="S219" s="1039" t="str">
        <f>+IF(AGOSTO!S219=0,"",AGOSTO!S219)</f>
        <v>C</v>
      </c>
      <c r="T219" s="177" t="str">
        <f>+IF(AGOSTO!T219=0,"",AGOSTO!T219)</f>
        <v xml:space="preserve">SERVICIO DE LA DEUDA </v>
      </c>
      <c r="U219" s="178">
        <f>U221+U226</f>
        <v>3239175000</v>
      </c>
      <c r="V219" s="179">
        <f>V221+V226</f>
        <v>0</v>
      </c>
      <c r="W219" s="179">
        <f>W221+W226</f>
        <v>0</v>
      </c>
      <c r="X219" s="182">
        <f>X221+X226</f>
        <v>3239175000</v>
      </c>
      <c r="Y219" s="181">
        <f t="shared" ref="Y219:AJ219" si="187">Y221+Y226</f>
        <v>886021740</v>
      </c>
      <c r="Z219" s="179">
        <f t="shared" si="187"/>
        <v>552758589</v>
      </c>
      <c r="AA219" s="182">
        <f t="shared" si="187"/>
        <v>1438780329</v>
      </c>
      <c r="AB219" s="181">
        <f t="shared" si="187"/>
        <v>886021740</v>
      </c>
      <c r="AC219" s="179">
        <f t="shared" si="187"/>
        <v>552758589</v>
      </c>
      <c r="AD219" s="182">
        <f t="shared" si="187"/>
        <v>1438780329</v>
      </c>
      <c r="AE219" s="181">
        <f t="shared" si="187"/>
        <v>886021740</v>
      </c>
      <c r="AF219" s="179">
        <f t="shared" si="187"/>
        <v>280924315</v>
      </c>
      <c r="AG219" s="182">
        <f t="shared" si="187"/>
        <v>1166946055</v>
      </c>
      <c r="AH219" s="181">
        <f t="shared" si="187"/>
        <v>1800394671</v>
      </c>
      <c r="AI219" s="179">
        <f t="shared" si="187"/>
        <v>1800394671</v>
      </c>
      <c r="AJ219" s="1040">
        <f t="shared" si="187"/>
        <v>2072228945</v>
      </c>
      <c r="AK219" s="101"/>
      <c r="AL219" s="181">
        <f>AL221+AL226</f>
        <v>0</v>
      </c>
      <c r="AM219" s="180">
        <f>AM221+AM226</f>
        <v>0</v>
      </c>
    </row>
    <row r="220" spans="19:39" ht="24.75" customHeight="1">
      <c r="S220" s="1023">
        <f>+IF(AGOSTO!S220=0,"",AGOSTO!S220)</f>
        <v>1133096960</v>
      </c>
      <c r="T220" s="488" t="str">
        <f>+IF(AGOSTO!T220=0,"",AGOSTO!T220)</f>
        <v/>
      </c>
      <c r="U220" s="191"/>
      <c r="V220" s="191"/>
      <c r="W220" s="191"/>
      <c r="X220" s="191"/>
      <c r="Y220" s="191"/>
      <c r="Z220" s="191"/>
      <c r="AA220" s="191"/>
      <c r="AB220" s="191"/>
      <c r="AC220" s="191"/>
      <c r="AD220" s="191"/>
      <c r="AE220" s="191"/>
      <c r="AF220" s="191"/>
      <c r="AG220" s="191"/>
      <c r="AH220" s="191"/>
      <c r="AI220" s="191"/>
      <c r="AJ220" s="1024"/>
      <c r="AK220" s="101"/>
      <c r="AL220" s="370"/>
      <c r="AM220" s="371"/>
    </row>
    <row r="221" spans="19:39" ht="24.75" customHeight="1">
      <c r="S221" s="1019">
        <f>+IF(AGOSTO!S221=0,"",AGOSTO!S221)</f>
        <v>7001000</v>
      </c>
      <c r="T221" s="546" t="str">
        <f>+IF(AGOSTO!T221=0,"",AGOSTO!T221)</f>
        <v>SERVICIO DE LA DEUDA INTERNA</v>
      </c>
      <c r="U221" s="883">
        <f>SUM(U222:U224)</f>
        <v>3239175000</v>
      </c>
      <c r="V221" s="231">
        <f>SUM(V222:V224)</f>
        <v>0</v>
      </c>
      <c r="W221" s="231">
        <f>SUM(W222:W224)</f>
        <v>0</v>
      </c>
      <c r="X221" s="234">
        <f>SUM(X222:X224)</f>
        <v>3239175000</v>
      </c>
      <c r="Y221" s="233">
        <f t="shared" ref="Y221:AJ221" si="188">SUM(Y222:Y224)</f>
        <v>886021740</v>
      </c>
      <c r="Z221" s="231">
        <f t="shared" si="188"/>
        <v>552758589</v>
      </c>
      <c r="AA221" s="234">
        <f t="shared" si="188"/>
        <v>1438780329</v>
      </c>
      <c r="AB221" s="233">
        <f t="shared" si="188"/>
        <v>886021740</v>
      </c>
      <c r="AC221" s="231">
        <f t="shared" si="188"/>
        <v>552758589</v>
      </c>
      <c r="AD221" s="234">
        <f t="shared" si="188"/>
        <v>1438780329</v>
      </c>
      <c r="AE221" s="233">
        <f t="shared" si="188"/>
        <v>886021740</v>
      </c>
      <c r="AF221" s="231">
        <f t="shared" si="188"/>
        <v>280924315</v>
      </c>
      <c r="AG221" s="234">
        <f t="shared" si="188"/>
        <v>1166946055</v>
      </c>
      <c r="AH221" s="233">
        <f t="shared" si="188"/>
        <v>1800394671</v>
      </c>
      <c r="AI221" s="231">
        <f t="shared" si="188"/>
        <v>1800394671</v>
      </c>
      <c r="AJ221" s="1020">
        <f t="shared" si="188"/>
        <v>2072228945</v>
      </c>
      <c r="AK221" s="101"/>
      <c r="AL221" s="233">
        <f>SUM(AL222:AL224)</f>
        <v>0</v>
      </c>
      <c r="AM221" s="232">
        <f>SUM(AM222:AM224)</f>
        <v>0</v>
      </c>
    </row>
    <row r="222" spans="19:39" ht="24.75" customHeight="1">
      <c r="S222" s="1021" t="str">
        <f>+IF(AGOSTO!S222=0,"",AGOSTO!S222)</f>
        <v>2.2.2.2.01.02.002.02</v>
      </c>
      <c r="T222" s="267" t="str">
        <f>+IF(AGOSTO!T222=0,"",AGOSTO!T222)</f>
        <v>Banca Comercial</v>
      </c>
      <c r="U222" s="884">
        <f>+ENERO!U223</f>
        <v>2000000000</v>
      </c>
      <c r="V222" s="220">
        <f>SUM(AGOSTO!V222+SEPTIEMBRE!AL222)</f>
        <v>-350000000</v>
      </c>
      <c r="W222" s="220">
        <f>AGOSTO!W222+SEPTIEMBRE!AM222</f>
        <v>0</v>
      </c>
      <c r="X222" s="271">
        <f>SUM(U222:W222)</f>
        <v>1650000000</v>
      </c>
      <c r="Y222" s="270">
        <f>AGOSTO!AA222</f>
        <v>0</v>
      </c>
      <c r="Z222" s="208">
        <v>332491536</v>
      </c>
      <c r="AA222" s="271">
        <f>SUM(Y222:Z222)</f>
        <v>332491536</v>
      </c>
      <c r="AB222" s="270">
        <f>AGOSTO!AD222</f>
        <v>0</v>
      </c>
      <c r="AC222" s="208">
        <v>332491536</v>
      </c>
      <c r="AD222" s="271">
        <f>SUM(AB222:AC222)</f>
        <v>332491536</v>
      </c>
      <c r="AE222" s="270">
        <f>AGOSTO!AG222</f>
        <v>0</v>
      </c>
      <c r="AF222" s="208">
        <v>166245768</v>
      </c>
      <c r="AG222" s="271">
        <f>SUM(AE222:AF222)</f>
        <v>166245768</v>
      </c>
      <c r="AH222" s="270">
        <f>X222-AA222</f>
        <v>1317508464</v>
      </c>
      <c r="AI222" s="220">
        <f>X222-AD222</f>
        <v>1317508464</v>
      </c>
      <c r="AJ222" s="1022">
        <f>X222-AG222</f>
        <v>1483754232</v>
      </c>
      <c r="AK222" s="101"/>
      <c r="AL222" s="204">
        <v>-350000000</v>
      </c>
      <c r="AM222" s="210">
        <v>0</v>
      </c>
    </row>
    <row r="223" spans="19:39" ht="24.75" customHeight="1">
      <c r="S223" s="1021" t="str">
        <f>+IF(AGOSTO!S223=0,"",AGOSTO!S223)</f>
        <v>2.2.2.02</v>
      </c>
      <c r="T223" s="267" t="str">
        <f>+IF(AGOSTO!T223=0,"",AGOSTO!T223)</f>
        <v>Intereses Comisiones y gastos de la Deuda Pública</v>
      </c>
      <c r="U223" s="884">
        <f>+ENERO!U224</f>
        <v>1239175000</v>
      </c>
      <c r="V223" s="220">
        <f>SUM(AGOSTO!V223+SEPTIEMBRE!AL223)</f>
        <v>350000000</v>
      </c>
      <c r="W223" s="220">
        <f>AGOSTO!W223+SEPTIEMBRE!AM223</f>
        <v>0</v>
      </c>
      <c r="X223" s="271">
        <f>SUM(U223:W223)</f>
        <v>1589175000</v>
      </c>
      <c r="Y223" s="270">
        <f>AGOSTO!AA223</f>
        <v>886021740</v>
      </c>
      <c r="Z223" s="208">
        <v>220267053</v>
      </c>
      <c r="AA223" s="271">
        <f>SUM(Y223:Z223)</f>
        <v>1106288793</v>
      </c>
      <c r="AB223" s="270">
        <f>AGOSTO!AD223</f>
        <v>886021740</v>
      </c>
      <c r="AC223" s="208">
        <v>220267053</v>
      </c>
      <c r="AD223" s="271">
        <f>SUM(AB223:AC223)</f>
        <v>1106288793</v>
      </c>
      <c r="AE223" s="270">
        <f>AGOSTO!AG223</f>
        <v>886021740</v>
      </c>
      <c r="AF223" s="208">
        <v>114678547</v>
      </c>
      <c r="AG223" s="271">
        <f>SUM(AE223:AF223)</f>
        <v>1000700287</v>
      </c>
      <c r="AH223" s="270">
        <f>X223-AA223</f>
        <v>482886207</v>
      </c>
      <c r="AI223" s="220">
        <f>X223-AD223</f>
        <v>482886207</v>
      </c>
      <c r="AJ223" s="1022">
        <f>X223-AG223</f>
        <v>588474713</v>
      </c>
      <c r="AK223" s="216"/>
      <c r="AL223" s="204">
        <v>350000000</v>
      </c>
      <c r="AM223" s="210">
        <v>0</v>
      </c>
    </row>
    <row r="224" spans="19:39" ht="24.75" customHeight="1">
      <c r="S224" s="1021" t="str">
        <f>+IF(AGOSTO!S224=0,"",AGOSTO!S224)</f>
        <v>2.2.2.02</v>
      </c>
      <c r="T224" s="267" t="str">
        <f>+IF(AGOSTO!T224=0,"",AGOSTO!T224)</f>
        <v>Vigencias Anteriores Deuda Pública</v>
      </c>
      <c r="U224" s="884">
        <f>+ENERO!U225</f>
        <v>0</v>
      </c>
      <c r="V224" s="220">
        <f>SUM(AGOSTO!V224+SEPTIEMBRE!AL224)</f>
        <v>0</v>
      </c>
      <c r="W224" s="220">
        <f>AGOSTO!W224+SEPTIEMBRE!AM224</f>
        <v>0</v>
      </c>
      <c r="X224" s="271">
        <f>SUM(U224:W224)</f>
        <v>0</v>
      </c>
      <c r="Y224" s="270">
        <f>AGOSTO!AA224</f>
        <v>0</v>
      </c>
      <c r="Z224" s="208">
        <v>0</v>
      </c>
      <c r="AA224" s="271">
        <f>SUM(Y224:Z224)</f>
        <v>0</v>
      </c>
      <c r="AB224" s="270">
        <f>AGOSTO!AD224</f>
        <v>0</v>
      </c>
      <c r="AC224" s="208">
        <v>0</v>
      </c>
      <c r="AD224" s="271">
        <f>SUM(AB224:AC224)</f>
        <v>0</v>
      </c>
      <c r="AE224" s="270">
        <f>AGOSTO!AG224</f>
        <v>0</v>
      </c>
      <c r="AF224" s="208">
        <v>0</v>
      </c>
      <c r="AG224" s="271">
        <f>SUM(AE224:AF224)</f>
        <v>0</v>
      </c>
      <c r="AH224" s="270">
        <f>X224-AA224</f>
        <v>0</v>
      </c>
      <c r="AI224" s="220">
        <f>X224-AD224</f>
        <v>0</v>
      </c>
      <c r="AJ224" s="1022">
        <f>X224-AG224</f>
        <v>0</v>
      </c>
      <c r="AK224" s="216"/>
      <c r="AL224" s="204">
        <v>0</v>
      </c>
      <c r="AM224" s="210">
        <v>0</v>
      </c>
    </row>
    <row r="225" spans="19:39" ht="24.75" customHeight="1">
      <c r="S225" s="1023" t="str">
        <f>+IF(AGOSTO!S225=0,"",AGOSTO!S225)</f>
        <v/>
      </c>
      <c r="T225" s="488" t="str">
        <f>+IF(AGOSTO!T225=0,"",AGOSTO!T225)</f>
        <v/>
      </c>
      <c r="U225" s="191"/>
      <c r="V225" s="191"/>
      <c r="W225" s="191"/>
      <c r="X225" s="191"/>
      <c r="Y225" s="191"/>
      <c r="Z225" s="191"/>
      <c r="AA225" s="191"/>
      <c r="AB225" s="191"/>
      <c r="AC225" s="191"/>
      <c r="AD225" s="191"/>
      <c r="AE225" s="191"/>
      <c r="AF225" s="191"/>
      <c r="AG225" s="191"/>
      <c r="AH225" s="191"/>
      <c r="AI225" s="191"/>
      <c r="AJ225" s="1024"/>
      <c r="AK225" s="101"/>
      <c r="AL225" s="370"/>
      <c r="AM225" s="371"/>
    </row>
    <row r="226" spans="19:39" ht="24.75" customHeight="1">
      <c r="S226" s="1019">
        <f>+IF(AGOSTO!S226=0,"",AGOSTO!S226)</f>
        <v>7002001</v>
      </c>
      <c r="T226" s="546" t="str">
        <f>+IF(AGOSTO!T226=0,"",AGOSTO!T226)</f>
        <v>SERVICIO DE LA DEUDA EXTERNA</v>
      </c>
      <c r="U226" s="883">
        <f>SUM(U227:U229)</f>
        <v>0</v>
      </c>
      <c r="V226" s="231">
        <f>SUM(V227:V229)</f>
        <v>0</v>
      </c>
      <c r="W226" s="231">
        <f>SUM(W227:W229)</f>
        <v>0</v>
      </c>
      <c r="X226" s="234">
        <f>SUM(X227:X229)</f>
        <v>0</v>
      </c>
      <c r="Y226" s="233">
        <f t="shared" ref="Y226:AJ226" si="189">SUM(Y227:Y229)</f>
        <v>0</v>
      </c>
      <c r="Z226" s="231">
        <f t="shared" si="189"/>
        <v>0</v>
      </c>
      <c r="AA226" s="234">
        <f t="shared" si="189"/>
        <v>0</v>
      </c>
      <c r="AB226" s="233">
        <f t="shared" si="189"/>
        <v>0</v>
      </c>
      <c r="AC226" s="231">
        <f t="shared" si="189"/>
        <v>0</v>
      </c>
      <c r="AD226" s="234">
        <f t="shared" si="189"/>
        <v>0</v>
      </c>
      <c r="AE226" s="233">
        <f t="shared" si="189"/>
        <v>0</v>
      </c>
      <c r="AF226" s="231">
        <f t="shared" si="189"/>
        <v>0</v>
      </c>
      <c r="AG226" s="234">
        <f t="shared" si="189"/>
        <v>0</v>
      </c>
      <c r="AH226" s="233">
        <f t="shared" si="189"/>
        <v>0</v>
      </c>
      <c r="AI226" s="231">
        <f t="shared" si="189"/>
        <v>0</v>
      </c>
      <c r="AJ226" s="1020">
        <f t="shared" si="189"/>
        <v>0</v>
      </c>
      <c r="AK226" s="101"/>
      <c r="AL226" s="233">
        <f>SUM(AL227:AL229)</f>
        <v>0</v>
      </c>
      <c r="AM226" s="232">
        <f>SUM(AM227:AM229)</f>
        <v>0</v>
      </c>
    </row>
    <row r="227" spans="19:39" ht="24.75" customHeight="1">
      <c r="S227" s="1021">
        <f>+IF(AGOSTO!S227=0,"",AGOSTO!S227)</f>
        <v>7002100</v>
      </c>
      <c r="T227" s="267" t="str">
        <f>+IF(AGOSTO!T227=0,"",AGOSTO!T227)</f>
        <v>Amortización deuda Pública Externa</v>
      </c>
      <c r="U227" s="884">
        <f>+ENERO!U228</f>
        <v>0</v>
      </c>
      <c r="V227" s="220">
        <f>SUM(AGOSTO!V227+SEPTIEMBRE!AL227)</f>
        <v>0</v>
      </c>
      <c r="W227" s="220">
        <f>AGOSTO!W227+SEPTIEMBRE!AM227</f>
        <v>0</v>
      </c>
      <c r="X227" s="271">
        <f>SUM(U227:W227)</f>
        <v>0</v>
      </c>
      <c r="Y227" s="270">
        <f>AGOSTO!AA227</f>
        <v>0</v>
      </c>
      <c r="Z227" s="208">
        <v>0</v>
      </c>
      <c r="AA227" s="271">
        <f>SUM(Y227:Z227)</f>
        <v>0</v>
      </c>
      <c r="AB227" s="270">
        <f>AGOSTO!AD227</f>
        <v>0</v>
      </c>
      <c r="AC227" s="208">
        <v>0</v>
      </c>
      <c r="AD227" s="271">
        <f>SUM(AB227:AC227)</f>
        <v>0</v>
      </c>
      <c r="AE227" s="270">
        <f>AGOSTO!AG227</f>
        <v>0</v>
      </c>
      <c r="AF227" s="208">
        <v>0</v>
      </c>
      <c r="AG227" s="271">
        <f>SUM(AE227:AF227)</f>
        <v>0</v>
      </c>
      <c r="AH227" s="270">
        <f>X227-AA227</f>
        <v>0</v>
      </c>
      <c r="AI227" s="220">
        <f>X227-AD227</f>
        <v>0</v>
      </c>
      <c r="AJ227" s="1022">
        <f>X227-AG227</f>
        <v>0</v>
      </c>
      <c r="AK227" s="101"/>
      <c r="AL227" s="204">
        <v>0</v>
      </c>
      <c r="AM227" s="210">
        <v>0</v>
      </c>
    </row>
    <row r="228" spans="19:39" ht="24.75" customHeight="1">
      <c r="S228" s="1021">
        <f>+IF(AGOSTO!S228=0,"",AGOSTO!S228)</f>
        <v>7002200</v>
      </c>
      <c r="T228" s="267" t="str">
        <f>+IF(AGOSTO!T228=0,"",AGOSTO!T228)</f>
        <v>Intereses Comisiones y gastos de la Deuda Pública</v>
      </c>
      <c r="U228" s="884">
        <f>+ENERO!U229</f>
        <v>0</v>
      </c>
      <c r="V228" s="220">
        <f>SUM(AGOSTO!V228+SEPTIEMBRE!AL228)</f>
        <v>0</v>
      </c>
      <c r="W228" s="220">
        <f>AGOSTO!W228+SEPTIEMBRE!AM228</f>
        <v>0</v>
      </c>
      <c r="X228" s="271">
        <f>SUM(U228:W228)</f>
        <v>0</v>
      </c>
      <c r="Y228" s="270">
        <f>AGOSTO!AA228</f>
        <v>0</v>
      </c>
      <c r="Z228" s="208">
        <v>0</v>
      </c>
      <c r="AA228" s="271">
        <f>SUM(Y228:Z228)</f>
        <v>0</v>
      </c>
      <c r="AB228" s="270">
        <f>AGOSTO!AD228</f>
        <v>0</v>
      </c>
      <c r="AC228" s="208">
        <v>0</v>
      </c>
      <c r="AD228" s="271">
        <f>SUM(AB228:AC228)</f>
        <v>0</v>
      </c>
      <c r="AE228" s="270">
        <f>AGOSTO!AG228</f>
        <v>0</v>
      </c>
      <c r="AF228" s="208">
        <v>0</v>
      </c>
      <c r="AG228" s="271">
        <f>SUM(AE228:AF228)</f>
        <v>0</v>
      </c>
      <c r="AH228" s="270">
        <f>X228-AA228</f>
        <v>0</v>
      </c>
      <c r="AI228" s="220">
        <f>X228-AD228</f>
        <v>0</v>
      </c>
      <c r="AJ228" s="1022">
        <f>X228-AG228</f>
        <v>0</v>
      </c>
      <c r="AK228" s="101"/>
      <c r="AL228" s="204">
        <v>0</v>
      </c>
      <c r="AM228" s="210">
        <v>0</v>
      </c>
    </row>
    <row r="229" spans="19:39" ht="24.75" customHeight="1" thickBot="1">
      <c r="S229" s="1032">
        <f>+IF(AGOSTO!S229=0,"",AGOSTO!S229)</f>
        <v>7002999</v>
      </c>
      <c r="T229" s="467" t="str">
        <f>+IF(AGOSTO!T229=0,"",AGOSTO!T229)</f>
        <v>Vigencias Anteriores</v>
      </c>
      <c r="U229" s="547">
        <f>+ENERO!U230</f>
        <v>0</v>
      </c>
      <c r="V229" s="220">
        <f>SUM(AGOSTO!V229+SEPTIEMBRE!AL229)</f>
        <v>0</v>
      </c>
      <c r="W229" s="220">
        <f>AGOSTO!W229+SEPTIEMBRE!AM229</f>
        <v>0</v>
      </c>
      <c r="X229" s="471">
        <f>SUM(U229:W229)</f>
        <v>0</v>
      </c>
      <c r="Y229" s="470">
        <f>AGOSTO!AA229</f>
        <v>0</v>
      </c>
      <c r="Z229" s="246">
        <v>0</v>
      </c>
      <c r="AA229" s="471">
        <f>SUM(Y229:Z229)</f>
        <v>0</v>
      </c>
      <c r="AB229" s="470">
        <f>AGOSTO!AD229</f>
        <v>0</v>
      </c>
      <c r="AC229" s="246">
        <v>0</v>
      </c>
      <c r="AD229" s="471">
        <f>SUM(AB229:AC229)</f>
        <v>0</v>
      </c>
      <c r="AE229" s="470">
        <f>AGOSTO!AG229</f>
        <v>0</v>
      </c>
      <c r="AF229" s="246">
        <v>0</v>
      </c>
      <c r="AG229" s="471">
        <f>SUM(AE229:AF229)</f>
        <v>0</v>
      </c>
      <c r="AH229" s="470">
        <f>X229-AA229</f>
        <v>0</v>
      </c>
      <c r="AI229" s="468">
        <f>X229-AD229</f>
        <v>0</v>
      </c>
      <c r="AJ229" s="1033">
        <f>X229-AG229</f>
        <v>0</v>
      </c>
      <c r="AK229" s="487"/>
      <c r="AL229" s="489">
        <v>0</v>
      </c>
      <c r="AM229" s="490">
        <v>0</v>
      </c>
    </row>
    <row r="230" spans="19:39" ht="24.75" customHeight="1">
      <c r="S230" s="1034" t="str">
        <f>+IF(AGOSTO!S230=0,"",AGOSTO!S230)</f>
        <v/>
      </c>
      <c r="T230" s="456" t="str">
        <f>+IF(AGOSTO!T230=0,"",AGOSTO!T230)</f>
        <v/>
      </c>
      <c r="U230" s="457"/>
      <c r="V230" s="457"/>
      <c r="W230" s="457"/>
      <c r="X230" s="457"/>
      <c r="Y230" s="457"/>
      <c r="Z230" s="457"/>
      <c r="AA230" s="457"/>
      <c r="AB230" s="457"/>
      <c r="AC230" s="457"/>
      <c r="AD230" s="457"/>
      <c r="AE230" s="457"/>
      <c r="AF230" s="457"/>
      <c r="AG230" s="457"/>
      <c r="AH230" s="457"/>
      <c r="AI230" s="457"/>
      <c r="AJ230" s="1035"/>
      <c r="AK230" s="101"/>
      <c r="AL230" s="491"/>
      <c r="AM230" s="492"/>
    </row>
    <row r="231" spans="19:39" ht="24.75" customHeight="1">
      <c r="S231" s="1031" t="str">
        <f>+IF(AGOSTO!S231=0,"",AGOSTO!S231)</f>
        <v>D</v>
      </c>
      <c r="T231" s="494" t="str">
        <f>+IF(AGOSTO!T231=0,"",AGOSTO!T231)</f>
        <v>INVERSION</v>
      </c>
      <c r="U231" s="882">
        <f>U233+U242</f>
        <v>0</v>
      </c>
      <c r="V231" s="406">
        <f>V233+V242</f>
        <v>0</v>
      </c>
      <c r="W231" s="406">
        <f>W233+W242</f>
        <v>22683056295</v>
      </c>
      <c r="X231" s="407">
        <f>X233+X242</f>
        <v>22683056295</v>
      </c>
      <c r="Y231" s="217">
        <f t="shared" ref="Y231:AJ231" si="190">Y233+Y242</f>
        <v>16596150063</v>
      </c>
      <c r="Z231" s="406">
        <f t="shared" si="190"/>
        <v>2640822453</v>
      </c>
      <c r="AA231" s="407">
        <f t="shared" si="190"/>
        <v>19236972516</v>
      </c>
      <c r="AB231" s="217">
        <f t="shared" si="190"/>
        <v>12748715988</v>
      </c>
      <c r="AC231" s="406">
        <f t="shared" si="190"/>
        <v>2626090894</v>
      </c>
      <c r="AD231" s="407">
        <f t="shared" si="190"/>
        <v>15374806882</v>
      </c>
      <c r="AE231" s="217">
        <f t="shared" si="190"/>
        <v>8300414682</v>
      </c>
      <c r="AF231" s="406">
        <f t="shared" si="190"/>
        <v>2535488971</v>
      </c>
      <c r="AG231" s="407">
        <f t="shared" si="190"/>
        <v>10835903653</v>
      </c>
      <c r="AH231" s="217">
        <f t="shared" si="190"/>
        <v>3446083779</v>
      </c>
      <c r="AI231" s="406">
        <f t="shared" si="190"/>
        <v>7308249413</v>
      </c>
      <c r="AJ231" s="1028">
        <f t="shared" si="190"/>
        <v>11847152642</v>
      </c>
      <c r="AK231" s="101"/>
      <c r="AL231" s="217">
        <f>AL233+AL242</f>
        <v>0</v>
      </c>
      <c r="AM231" s="218">
        <f>AM233+AM242</f>
        <v>0</v>
      </c>
    </row>
    <row r="232" spans="19:39" ht="24.75" customHeight="1">
      <c r="S232" s="1023" t="str">
        <f>+IF(AGOSTO!S232=0,"",AGOSTO!S232)</f>
        <v/>
      </c>
      <c r="T232" s="488" t="str">
        <f>+IF(AGOSTO!T232=0,"",AGOSTO!T232)</f>
        <v/>
      </c>
      <c r="U232" s="191"/>
      <c r="V232" s="191"/>
      <c r="W232" s="191"/>
      <c r="X232" s="191"/>
      <c r="Y232" s="191"/>
      <c r="Z232" s="191"/>
      <c r="AA232" s="191"/>
      <c r="AB232" s="191"/>
      <c r="AC232" s="191"/>
      <c r="AD232" s="191"/>
      <c r="AE232" s="191"/>
      <c r="AF232" s="191"/>
      <c r="AG232" s="191"/>
      <c r="AH232" s="191"/>
      <c r="AI232" s="191"/>
      <c r="AJ232" s="1024"/>
      <c r="AK232" s="101"/>
      <c r="AL232" s="370"/>
      <c r="AM232" s="371"/>
    </row>
    <row r="233" spans="19:39" ht="24.75" customHeight="1">
      <c r="S233" s="1019">
        <f>+IF(AGOSTO!S233=0,"",AGOSTO!S233)</f>
        <v>8000000</v>
      </c>
      <c r="T233" s="546" t="str">
        <f>+IF(AGOSTO!T233=0,"",AGOSTO!T233)</f>
        <v>Programas de Inversión</v>
      </c>
      <c r="U233" s="883">
        <f>U234</f>
        <v>0</v>
      </c>
      <c r="V233" s="231">
        <f>V234</f>
        <v>0</v>
      </c>
      <c r="W233" s="231">
        <f>W234</f>
        <v>22683056295</v>
      </c>
      <c r="X233" s="234">
        <f>X234</f>
        <v>22683056295</v>
      </c>
      <c r="Y233" s="233">
        <f t="shared" ref="Y233:AL233" si="191">Y234</f>
        <v>16596150063</v>
      </c>
      <c r="Z233" s="231">
        <f t="shared" si="191"/>
        <v>2640822453</v>
      </c>
      <c r="AA233" s="234">
        <f t="shared" si="191"/>
        <v>19236972516</v>
      </c>
      <c r="AB233" s="233">
        <f t="shared" si="191"/>
        <v>12748715988</v>
      </c>
      <c r="AC233" s="231">
        <f t="shared" si="191"/>
        <v>2626090894</v>
      </c>
      <c r="AD233" s="234">
        <f>AD234</f>
        <v>15374806882</v>
      </c>
      <c r="AE233" s="233">
        <f t="shared" si="191"/>
        <v>8300414682</v>
      </c>
      <c r="AF233" s="231">
        <f t="shared" si="191"/>
        <v>2535488971</v>
      </c>
      <c r="AG233" s="234">
        <f t="shared" si="191"/>
        <v>10835903653</v>
      </c>
      <c r="AH233" s="233">
        <f t="shared" si="191"/>
        <v>3446083779</v>
      </c>
      <c r="AI233" s="231">
        <f t="shared" si="191"/>
        <v>7308249413</v>
      </c>
      <c r="AJ233" s="1020">
        <f t="shared" si="191"/>
        <v>11847152642</v>
      </c>
      <c r="AK233" s="101"/>
      <c r="AL233" s="1020">
        <f t="shared" si="191"/>
        <v>0</v>
      </c>
      <c r="AM233" s="232">
        <f>AM234</f>
        <v>0</v>
      </c>
    </row>
    <row r="234" spans="19:39" ht="24.75" customHeight="1">
      <c r="S234" s="1021">
        <f>+IF(AGOSTO!S234=0,"",AGOSTO!S234)</f>
        <v>8001000</v>
      </c>
      <c r="T234" s="267" t="str">
        <f>+IF(AGOSTO!T234=0,"",AGOSTO!T234)</f>
        <v>Formación Bruta del Capital</v>
      </c>
      <c r="U234" s="884">
        <f>SUM(U235:U240)</f>
        <v>0</v>
      </c>
      <c r="V234" s="220">
        <f>SUM(V235:V240)</f>
        <v>0</v>
      </c>
      <c r="W234" s="220">
        <f>SUM(W235:W240)</f>
        <v>22683056295</v>
      </c>
      <c r="X234" s="271">
        <f>SUM(X235:X240)</f>
        <v>22683056295</v>
      </c>
      <c r="Y234" s="270">
        <f t="shared" ref="Y234:AL234" si="192">SUM(Y235:Y240)</f>
        <v>16596150063</v>
      </c>
      <c r="Z234" s="300">
        <f t="shared" si="192"/>
        <v>2640822453</v>
      </c>
      <c r="AA234" s="271">
        <f t="shared" si="192"/>
        <v>19236972516</v>
      </c>
      <c r="AB234" s="270">
        <f t="shared" si="192"/>
        <v>12748715988</v>
      </c>
      <c r="AC234" s="300">
        <f t="shared" si="192"/>
        <v>2626090894</v>
      </c>
      <c r="AD234" s="271">
        <f>SUM(AD235:AD240)</f>
        <v>15374806882</v>
      </c>
      <c r="AE234" s="270">
        <f t="shared" si="192"/>
        <v>8300414682</v>
      </c>
      <c r="AF234" s="300">
        <f t="shared" si="192"/>
        <v>2535488971</v>
      </c>
      <c r="AG234" s="271">
        <f t="shared" si="192"/>
        <v>10835903653</v>
      </c>
      <c r="AH234" s="270">
        <f t="shared" si="192"/>
        <v>3446083779</v>
      </c>
      <c r="AI234" s="220">
        <f t="shared" si="192"/>
        <v>7308249413</v>
      </c>
      <c r="AJ234" s="1022">
        <f t="shared" si="192"/>
        <v>11847152642</v>
      </c>
      <c r="AK234" s="101"/>
      <c r="AL234" s="1022">
        <f t="shared" si="192"/>
        <v>0</v>
      </c>
      <c r="AM234" s="302">
        <f>SUM(AM235:AM240)</f>
        <v>0</v>
      </c>
    </row>
    <row r="235" spans="19:39" ht="24.75" customHeight="1">
      <c r="S235" s="1026" t="str">
        <f>+IF(AGOSTO!S235=0,"",AGOSTO!S235)</f>
        <v>2.3.2.01.01</v>
      </c>
      <c r="T235" s="312" t="str">
        <f>+IF(AGOSTO!T235=0,"",AGOSTO!T235)</f>
        <v>Activos Fijos</v>
      </c>
      <c r="U235" s="884">
        <f>+ENERO!U236</f>
        <v>0</v>
      </c>
      <c r="V235" s="220">
        <f>SUM(AGOSTO!V235+SEPTIEMBRE!AL235)</f>
        <v>0</v>
      </c>
      <c r="W235" s="220">
        <f>AGOSTO!W235+SEPTIEMBRE!AM235</f>
        <v>0</v>
      </c>
      <c r="X235" s="271">
        <f t="shared" ref="X235:X240" si="193">SUM(U235:W235)</f>
        <v>0</v>
      </c>
      <c r="Y235" s="270">
        <f>AGOSTO!AA235</f>
        <v>0</v>
      </c>
      <c r="Z235" s="208">
        <v>0</v>
      </c>
      <c r="AA235" s="271">
        <f t="shared" ref="AA235:AA240" si="194">SUM(Y235:Z235)</f>
        <v>0</v>
      </c>
      <c r="AB235" s="270">
        <f>AGOSTO!AD235</f>
        <v>0</v>
      </c>
      <c r="AC235" s="208">
        <v>0</v>
      </c>
      <c r="AD235" s="271">
        <f t="shared" ref="AD235:AD240" si="195">SUM(AB235:AC235)</f>
        <v>0</v>
      </c>
      <c r="AE235" s="270">
        <f>AGOSTO!AG235</f>
        <v>0</v>
      </c>
      <c r="AF235" s="208">
        <v>0</v>
      </c>
      <c r="AG235" s="271">
        <f t="shared" ref="AG235:AG240" si="196">SUM(AE235:AF235)</f>
        <v>0</v>
      </c>
      <c r="AH235" s="270">
        <f t="shared" ref="AH235:AH240" si="197">X235-AA235</f>
        <v>0</v>
      </c>
      <c r="AI235" s="220">
        <f t="shared" ref="AI235:AI240" si="198">X235-AD235</f>
        <v>0</v>
      </c>
      <c r="AJ235" s="1022">
        <f t="shared" ref="AJ235:AJ240" si="199">X235-AG235</f>
        <v>0</v>
      </c>
      <c r="AK235" s="101"/>
      <c r="AL235" s="204">
        <v>0</v>
      </c>
      <c r="AM235" s="210"/>
    </row>
    <row r="236" spans="19:39" ht="24.75" customHeight="1">
      <c r="S236" s="1026" t="str">
        <f>+IF(AGOSTO!S236=0,"",AGOSTO!S236)</f>
        <v>2.3.2.02.02.005</v>
      </c>
      <c r="T236" s="312" t="str">
        <f>+IF(AGOSTO!T236=0,"",AGOSTO!T236)</f>
        <v>Proyecto Mantenimiento Preventivo y Correctivo de Infraestructura</v>
      </c>
      <c r="U236" s="884">
        <f>+ENERO!U237</f>
        <v>0</v>
      </c>
      <c r="V236" s="220">
        <f>SUM(AGOSTO!V236+SEPTIEMBRE!AL236)</f>
        <v>0</v>
      </c>
      <c r="W236" s="220">
        <f>AGOSTO!W236+SEPTIEMBRE!AM236</f>
        <v>0</v>
      </c>
      <c r="X236" s="271">
        <f t="shared" si="193"/>
        <v>0</v>
      </c>
      <c r="Y236" s="270">
        <f>AGOSTO!AA236</f>
        <v>0</v>
      </c>
      <c r="Z236" s="208">
        <v>0</v>
      </c>
      <c r="AA236" s="271">
        <f t="shared" si="194"/>
        <v>0</v>
      </c>
      <c r="AB236" s="270">
        <f>AGOSTO!AD236</f>
        <v>0</v>
      </c>
      <c r="AC236" s="208"/>
      <c r="AD236" s="271">
        <f t="shared" si="195"/>
        <v>0</v>
      </c>
      <c r="AE236" s="270">
        <f>AGOSTO!AG236</f>
        <v>0</v>
      </c>
      <c r="AF236" s="208">
        <v>0</v>
      </c>
      <c r="AG236" s="271">
        <f t="shared" si="196"/>
        <v>0</v>
      </c>
      <c r="AH236" s="270">
        <f t="shared" si="197"/>
        <v>0</v>
      </c>
      <c r="AI236" s="220">
        <f t="shared" si="198"/>
        <v>0</v>
      </c>
      <c r="AJ236" s="1022">
        <f t="shared" si="199"/>
        <v>0</v>
      </c>
      <c r="AK236" s="101"/>
      <c r="AL236" s="204"/>
      <c r="AM236" s="210">
        <v>0</v>
      </c>
    </row>
    <row r="237" spans="19:39" ht="24.75" customHeight="1">
      <c r="S237" s="1026" t="str">
        <f>+IF(AGOSTO!S237=0,"",AGOSTO!S237)</f>
        <v>2.3.2.02.02.009</v>
      </c>
      <c r="T237" s="312" t="str">
        <f>+IF(AGOSTO!T237=0,"",AGOSTO!T237)</f>
        <v>Servicios para la Comunidad Sociales y personales</v>
      </c>
      <c r="U237" s="884">
        <f>+ENERO!U238</f>
        <v>0</v>
      </c>
      <c r="V237" s="220">
        <f>SUM(AGOSTO!V237+SEPTIEMBRE!AL237)</f>
        <v>0</v>
      </c>
      <c r="W237" s="220">
        <f>AGOSTO!W237+SEPTIEMBRE!AM237</f>
        <v>22232273766</v>
      </c>
      <c r="X237" s="271">
        <f t="shared" si="193"/>
        <v>22232273766</v>
      </c>
      <c r="Y237" s="270">
        <f>AGOSTO!AA237</f>
        <v>16596150063</v>
      </c>
      <c r="Z237" s="208">
        <v>2640822453</v>
      </c>
      <c r="AA237" s="271">
        <f t="shared" si="194"/>
        <v>19236972516</v>
      </c>
      <c r="AB237" s="270">
        <f>AGOSTO!AD237</f>
        <v>12748715988</v>
      </c>
      <c r="AC237" s="208">
        <v>2626090894</v>
      </c>
      <c r="AD237" s="271">
        <f t="shared" si="195"/>
        <v>15374806882</v>
      </c>
      <c r="AE237" s="270">
        <f>AGOSTO!AG237</f>
        <v>8300414682</v>
      </c>
      <c r="AF237" s="208">
        <v>2535488971</v>
      </c>
      <c r="AG237" s="271">
        <f t="shared" si="196"/>
        <v>10835903653</v>
      </c>
      <c r="AH237" s="270">
        <f t="shared" si="197"/>
        <v>2995301250</v>
      </c>
      <c r="AI237" s="220">
        <f t="shared" si="198"/>
        <v>6857466884</v>
      </c>
      <c r="AJ237" s="1022">
        <f t="shared" si="199"/>
        <v>11396370113</v>
      </c>
      <c r="AK237" s="101"/>
      <c r="AL237" s="204"/>
      <c r="AM237" s="210">
        <v>0</v>
      </c>
    </row>
    <row r="238" spans="19:39" ht="24.75" customHeight="1">
      <c r="S238" s="1026" t="str">
        <f>+IF(AGOSTO!S238=0,"",AGOSTO!S238)</f>
        <v>2.3.2.02.02.008</v>
      </c>
      <c r="T238" s="312" t="str">
        <f>+IF(AGOSTO!T238=0,"",AGOSTO!T238)</f>
        <v>Servicios prestados a las empresas y servicios de produccion</v>
      </c>
      <c r="U238" s="884">
        <f>+ENERO!U239</f>
        <v>0</v>
      </c>
      <c r="V238" s="220">
        <f>SUM(AGOSTO!V238+SEPTIEMBRE!AL238)</f>
        <v>0</v>
      </c>
      <c r="W238" s="220">
        <f>AGOSTO!W238+SEPTIEMBRE!AM238</f>
        <v>0</v>
      </c>
      <c r="X238" s="271">
        <f t="shared" si="193"/>
        <v>0</v>
      </c>
      <c r="Y238" s="270">
        <f>AGOSTO!AA238</f>
        <v>0</v>
      </c>
      <c r="Z238" s="208">
        <v>0</v>
      </c>
      <c r="AA238" s="271">
        <f t="shared" si="194"/>
        <v>0</v>
      </c>
      <c r="AB238" s="270">
        <f>AGOSTO!AD238</f>
        <v>0</v>
      </c>
      <c r="AC238" s="208"/>
      <c r="AD238" s="271">
        <f t="shared" si="195"/>
        <v>0</v>
      </c>
      <c r="AE238" s="270">
        <f>AGOSTO!AG238</f>
        <v>0</v>
      </c>
      <c r="AF238" s="208">
        <v>0</v>
      </c>
      <c r="AG238" s="271">
        <f t="shared" si="196"/>
        <v>0</v>
      </c>
      <c r="AH238" s="270">
        <f t="shared" si="197"/>
        <v>0</v>
      </c>
      <c r="AI238" s="220">
        <f t="shared" si="198"/>
        <v>0</v>
      </c>
      <c r="AJ238" s="1022">
        <f t="shared" si="199"/>
        <v>0</v>
      </c>
      <c r="AK238" s="101"/>
      <c r="AL238" s="204"/>
      <c r="AM238" s="210">
        <v>0</v>
      </c>
    </row>
    <row r="239" spans="19:39" ht="24.75" customHeight="1">
      <c r="S239" s="1026" t="str">
        <f>+IF(AGOSTO!S239=0,"",AGOSTO!S239)</f>
        <v>8001000-5</v>
      </c>
      <c r="T239" s="312" t="str">
        <f>+IF(AGOSTO!T239=0,"",AGOSTO!T239)</f>
        <v>Subprogr.Construc. Remodelac. Adecuación y Apliac.5</v>
      </c>
      <c r="U239" s="884">
        <f>+ENERO!U240</f>
        <v>0</v>
      </c>
      <c r="V239" s="220">
        <f>SUM(AGOSTO!V239+SEPTIEMBRE!AL239)</f>
        <v>0</v>
      </c>
      <c r="W239" s="220">
        <f>AGOSTO!W239+SEPTIEMBRE!AM239</f>
        <v>0</v>
      </c>
      <c r="X239" s="271">
        <f t="shared" si="193"/>
        <v>0</v>
      </c>
      <c r="Y239" s="270">
        <f>AGOSTO!AA239</f>
        <v>0</v>
      </c>
      <c r="Z239" s="208">
        <v>0</v>
      </c>
      <c r="AA239" s="271">
        <f t="shared" si="194"/>
        <v>0</v>
      </c>
      <c r="AB239" s="270">
        <f>AGOSTO!AD239</f>
        <v>0</v>
      </c>
      <c r="AC239" s="208">
        <v>0</v>
      </c>
      <c r="AD239" s="271">
        <f t="shared" si="195"/>
        <v>0</v>
      </c>
      <c r="AE239" s="270">
        <f>AGOSTO!AG239</f>
        <v>0</v>
      </c>
      <c r="AF239" s="208">
        <v>0</v>
      </c>
      <c r="AG239" s="271">
        <f t="shared" si="196"/>
        <v>0</v>
      </c>
      <c r="AH239" s="270">
        <f t="shared" si="197"/>
        <v>0</v>
      </c>
      <c r="AI239" s="220">
        <f t="shared" si="198"/>
        <v>0</v>
      </c>
      <c r="AJ239" s="1022">
        <f t="shared" si="199"/>
        <v>0</v>
      </c>
      <c r="AK239" s="101"/>
      <c r="AL239" s="204">
        <v>0</v>
      </c>
      <c r="AM239" s="210">
        <v>0</v>
      </c>
    </row>
    <row r="240" spans="19:39" ht="24.75" customHeight="1">
      <c r="S240" s="1041" t="str">
        <f>+IF(AGOSTO!S240=0,"",AGOSTO!S240)</f>
        <v>2.3.2.02.02.009.99</v>
      </c>
      <c r="T240" s="312" t="str">
        <f>+IF(AGOSTO!T240=0,"",AGOSTO!T240)</f>
        <v>Vigencias Anteriores</v>
      </c>
      <c r="U240" s="884">
        <f>+ENERO!U241</f>
        <v>0</v>
      </c>
      <c r="V240" s="220">
        <f>SUM(AGOSTO!V240+SEPTIEMBRE!AL240)</f>
        <v>0</v>
      </c>
      <c r="W240" s="220">
        <f>AGOSTO!W240+SEPTIEMBRE!AM240</f>
        <v>450782529</v>
      </c>
      <c r="X240" s="271">
        <f t="shared" si="193"/>
        <v>450782529</v>
      </c>
      <c r="Y240" s="270">
        <f>AGOSTO!AA240</f>
        <v>0</v>
      </c>
      <c r="Z240" s="208">
        <v>0</v>
      </c>
      <c r="AA240" s="271">
        <f t="shared" si="194"/>
        <v>0</v>
      </c>
      <c r="AB240" s="270">
        <f>AGOSTO!AD240</f>
        <v>0</v>
      </c>
      <c r="AC240" s="208">
        <v>0</v>
      </c>
      <c r="AD240" s="271">
        <f t="shared" si="195"/>
        <v>0</v>
      </c>
      <c r="AE240" s="270">
        <f>AGOSTO!AG240</f>
        <v>0</v>
      </c>
      <c r="AF240" s="208">
        <v>0</v>
      </c>
      <c r="AG240" s="271">
        <f t="shared" si="196"/>
        <v>0</v>
      </c>
      <c r="AH240" s="270">
        <f t="shared" si="197"/>
        <v>450782529</v>
      </c>
      <c r="AI240" s="220">
        <f t="shared" si="198"/>
        <v>450782529</v>
      </c>
      <c r="AJ240" s="1022">
        <f t="shared" si="199"/>
        <v>450782529</v>
      </c>
      <c r="AK240" s="101"/>
      <c r="AL240" s="204">
        <v>0</v>
      </c>
      <c r="AM240" s="210">
        <v>0</v>
      </c>
    </row>
    <row r="241" spans="19:39" ht="24.75" customHeight="1">
      <c r="S241" s="1023" t="str">
        <f>+IF(AGOSTO!S241=0,"",AGOSTO!S241)</f>
        <v/>
      </c>
      <c r="T241" s="488" t="str">
        <f>+IF(AGOSTO!T241=0,"",AGOSTO!T241)</f>
        <v/>
      </c>
      <c r="U241" s="191"/>
      <c r="V241" s="191"/>
      <c r="W241" s="191"/>
      <c r="X241" s="191"/>
      <c r="Y241" s="191"/>
      <c r="Z241" s="191"/>
      <c r="AA241" s="191"/>
      <c r="AB241" s="191"/>
      <c r="AC241" s="191"/>
      <c r="AD241" s="191"/>
      <c r="AE241" s="191"/>
      <c r="AF241" s="191"/>
      <c r="AG241" s="191"/>
      <c r="AH241" s="191"/>
      <c r="AI241" s="191"/>
      <c r="AJ241" s="1024"/>
      <c r="AK241" s="101"/>
      <c r="AL241" s="370"/>
      <c r="AM241" s="371"/>
    </row>
    <row r="242" spans="19:39" ht="24.75" customHeight="1">
      <c r="S242" s="1019">
        <f>+IF(AGOSTO!S242=0,"",AGOSTO!S242)</f>
        <v>8002001</v>
      </c>
      <c r="T242" s="546" t="str">
        <f>+IF(AGOSTO!T242=0,"",AGOSTO!T242)</f>
        <v>Gastos Operativos de Inversion   (Programas Especiales)</v>
      </c>
      <c r="U242" s="883">
        <f>SUM(U243:U255)</f>
        <v>0</v>
      </c>
      <c r="V242" s="231">
        <f>SUM(V243:V255)</f>
        <v>0</v>
      </c>
      <c r="W242" s="231">
        <f>SUM(W243:W255)</f>
        <v>0</v>
      </c>
      <c r="X242" s="234">
        <f>SUM(X243:X255)</f>
        <v>0</v>
      </c>
      <c r="Y242" s="233">
        <f t="shared" ref="Y242:AJ242" si="200">SUM(Y243:Y255)</f>
        <v>0</v>
      </c>
      <c r="Z242" s="231">
        <f t="shared" si="200"/>
        <v>0</v>
      </c>
      <c r="AA242" s="234">
        <f t="shared" si="200"/>
        <v>0</v>
      </c>
      <c r="AB242" s="233">
        <f t="shared" si="200"/>
        <v>0</v>
      </c>
      <c r="AC242" s="231">
        <f t="shared" si="200"/>
        <v>0</v>
      </c>
      <c r="AD242" s="234">
        <f t="shared" si="200"/>
        <v>0</v>
      </c>
      <c r="AE242" s="233">
        <f t="shared" si="200"/>
        <v>0</v>
      </c>
      <c r="AF242" s="231">
        <f t="shared" si="200"/>
        <v>0</v>
      </c>
      <c r="AG242" s="234">
        <f t="shared" si="200"/>
        <v>0</v>
      </c>
      <c r="AH242" s="233">
        <f t="shared" si="200"/>
        <v>0</v>
      </c>
      <c r="AI242" s="231">
        <f t="shared" si="200"/>
        <v>0</v>
      </c>
      <c r="AJ242" s="1020">
        <f t="shared" si="200"/>
        <v>0</v>
      </c>
      <c r="AK242" s="101"/>
      <c r="AL242" s="233">
        <f>SUM(AL243:AL255)</f>
        <v>0</v>
      </c>
      <c r="AM242" s="232">
        <f>SUM(AM243:AM255)</f>
        <v>0</v>
      </c>
    </row>
    <row r="243" spans="19:39" ht="24.75" customHeight="1">
      <c r="S243" s="1026" t="str">
        <f>+IF(AGOSTO!S243=0,"",AGOSTO!S243)</f>
        <v>8002100-1</v>
      </c>
      <c r="T243" s="312" t="str">
        <f>+IF(AGOSTO!T243=0,"",AGOSTO!T243)</f>
        <v>Fondo de la Vivienda</v>
      </c>
      <c r="U243" s="884">
        <f>+ENERO!U244</f>
        <v>0</v>
      </c>
      <c r="V243" s="220">
        <f>SUM(AGOSTO!V243+SEPTIEMBRE!AL243)</f>
        <v>0</v>
      </c>
      <c r="W243" s="220">
        <f>AGOSTO!W243+SEPTIEMBRE!AM243</f>
        <v>0</v>
      </c>
      <c r="X243" s="271">
        <f t="shared" ref="X243:X255" si="201">SUM(U243:W243)</f>
        <v>0</v>
      </c>
      <c r="Y243" s="270">
        <f>AGOSTO!AA243</f>
        <v>0</v>
      </c>
      <c r="Z243" s="208">
        <v>0</v>
      </c>
      <c r="AA243" s="271">
        <f t="shared" ref="AA243:AA255" si="202">SUM(Y243:Z243)</f>
        <v>0</v>
      </c>
      <c r="AB243" s="270">
        <f>AGOSTO!AD243</f>
        <v>0</v>
      </c>
      <c r="AC243" s="208">
        <v>0</v>
      </c>
      <c r="AD243" s="271">
        <f t="shared" ref="AD243:AD255" si="203">SUM(AB243:AC243)</f>
        <v>0</v>
      </c>
      <c r="AE243" s="270">
        <f>AGOSTO!AG243</f>
        <v>0</v>
      </c>
      <c r="AF243" s="208">
        <v>0</v>
      </c>
      <c r="AG243" s="271">
        <f t="shared" ref="AG243:AG255" si="204">SUM(AE243:AF243)</f>
        <v>0</v>
      </c>
      <c r="AH243" s="270">
        <f t="shared" ref="AH243:AH255" si="205">X243-AA243</f>
        <v>0</v>
      </c>
      <c r="AI243" s="220">
        <f t="shared" ref="AI243:AI255" si="206">X243-AD243</f>
        <v>0</v>
      </c>
      <c r="AJ243" s="1022">
        <f t="shared" ref="AJ243:AJ255" si="207">X243-AG243</f>
        <v>0</v>
      </c>
      <c r="AK243" s="101"/>
      <c r="AL243" s="204">
        <v>0</v>
      </c>
      <c r="AM243" s="210">
        <v>0</v>
      </c>
    </row>
    <row r="244" spans="19:39" ht="24.75" customHeight="1">
      <c r="S244" s="1026" t="str">
        <f>+IF(AGOSTO!S244=0,"",AGOSTO!S244)</f>
        <v>8002100-2</v>
      </c>
      <c r="T244" s="312" t="str">
        <f>+IF(AGOSTO!T244=0,"",AGOSTO!T244)</f>
        <v>Plan Nacional de Vacunación</v>
      </c>
      <c r="U244" s="884">
        <f>+ENERO!U245</f>
        <v>0</v>
      </c>
      <c r="V244" s="220">
        <f>SUM(AGOSTO!V244+SEPTIEMBRE!AL244)</f>
        <v>0</v>
      </c>
      <c r="W244" s="220">
        <f>AGOSTO!W244+SEPTIEMBRE!AM244</f>
        <v>0</v>
      </c>
      <c r="X244" s="271">
        <f t="shared" si="201"/>
        <v>0</v>
      </c>
      <c r="Y244" s="270">
        <f>AGOSTO!AA244</f>
        <v>0</v>
      </c>
      <c r="Z244" s="208">
        <v>0</v>
      </c>
      <c r="AA244" s="271">
        <f t="shared" si="202"/>
        <v>0</v>
      </c>
      <c r="AB244" s="270">
        <f>AGOSTO!AD244</f>
        <v>0</v>
      </c>
      <c r="AC244" s="208">
        <v>0</v>
      </c>
      <c r="AD244" s="271">
        <f t="shared" si="203"/>
        <v>0</v>
      </c>
      <c r="AE244" s="270">
        <f>AGOSTO!AG244</f>
        <v>0</v>
      </c>
      <c r="AF244" s="208">
        <v>0</v>
      </c>
      <c r="AG244" s="271">
        <f t="shared" si="204"/>
        <v>0</v>
      </c>
      <c r="AH244" s="270">
        <f t="shared" si="205"/>
        <v>0</v>
      </c>
      <c r="AI244" s="220">
        <f t="shared" si="206"/>
        <v>0</v>
      </c>
      <c r="AJ244" s="1022">
        <f t="shared" si="207"/>
        <v>0</v>
      </c>
      <c r="AK244" s="101"/>
      <c r="AL244" s="204">
        <v>0</v>
      </c>
      <c r="AM244" s="210">
        <v>0</v>
      </c>
    </row>
    <row r="245" spans="19:39" ht="24.75" customHeight="1">
      <c r="S245" s="1026" t="str">
        <f>+IF(AGOSTO!S245=0,"",AGOSTO!S245)</f>
        <v>8002100-3</v>
      </c>
      <c r="T245" s="312" t="str">
        <f>+IF(AGOSTO!T245=0,"",AGOSTO!T245)</f>
        <v>Adquisicion de Equipos de Computo</v>
      </c>
      <c r="U245" s="884">
        <f>+ENERO!U246</f>
        <v>0</v>
      </c>
      <c r="V245" s="220">
        <f>SUM(AGOSTO!V245+SEPTIEMBRE!AL245)</f>
        <v>0</v>
      </c>
      <c r="W245" s="220">
        <f>AGOSTO!W245+SEPTIEMBRE!AM245</f>
        <v>0</v>
      </c>
      <c r="X245" s="271">
        <f t="shared" si="201"/>
        <v>0</v>
      </c>
      <c r="Y245" s="270">
        <f>AGOSTO!AA245</f>
        <v>0</v>
      </c>
      <c r="Z245" s="208">
        <v>0</v>
      </c>
      <c r="AA245" s="271">
        <f t="shared" si="202"/>
        <v>0</v>
      </c>
      <c r="AB245" s="270">
        <f>AGOSTO!AD245</f>
        <v>0</v>
      </c>
      <c r="AC245" s="208">
        <v>0</v>
      </c>
      <c r="AD245" s="271">
        <f t="shared" si="203"/>
        <v>0</v>
      </c>
      <c r="AE245" s="270">
        <f>AGOSTO!AG245</f>
        <v>0</v>
      </c>
      <c r="AF245" s="208">
        <v>0</v>
      </c>
      <c r="AG245" s="271">
        <f t="shared" si="204"/>
        <v>0</v>
      </c>
      <c r="AH245" s="270">
        <f t="shared" si="205"/>
        <v>0</v>
      </c>
      <c r="AI245" s="220">
        <f t="shared" si="206"/>
        <v>0</v>
      </c>
      <c r="AJ245" s="1022">
        <f t="shared" si="207"/>
        <v>0</v>
      </c>
      <c r="AK245" s="101"/>
      <c r="AL245" s="204">
        <v>0</v>
      </c>
      <c r="AM245" s="210">
        <v>0</v>
      </c>
    </row>
    <row r="246" spans="19:39" ht="24.75" customHeight="1">
      <c r="S246" s="1026" t="str">
        <f>+IF(AGOSTO!S246=0,"",AGOSTO!S246)</f>
        <v>8002100-4</v>
      </c>
      <c r="T246" s="312" t="str">
        <f>+IF(AGOSTO!T246=0,"",AGOSTO!T246)</f>
        <v>Adquisiciòm de Dispositvos mèdicos para dotaciòn proyecto de Quiròfanos</v>
      </c>
      <c r="U246" s="884">
        <f>+ENERO!U247</f>
        <v>0</v>
      </c>
      <c r="V246" s="220">
        <f>SUM(AGOSTO!V246+SEPTIEMBRE!AL246)</f>
        <v>0</v>
      </c>
      <c r="W246" s="220">
        <f>AGOSTO!W246+SEPTIEMBRE!AM246</f>
        <v>0</v>
      </c>
      <c r="X246" s="271">
        <f t="shared" si="201"/>
        <v>0</v>
      </c>
      <c r="Y246" s="270">
        <f>AGOSTO!AA246</f>
        <v>0</v>
      </c>
      <c r="Z246" s="208">
        <v>0</v>
      </c>
      <c r="AA246" s="271">
        <f t="shared" si="202"/>
        <v>0</v>
      </c>
      <c r="AB246" s="270">
        <f>AGOSTO!AD246</f>
        <v>0</v>
      </c>
      <c r="AC246" s="208">
        <v>0</v>
      </c>
      <c r="AD246" s="271">
        <f t="shared" si="203"/>
        <v>0</v>
      </c>
      <c r="AE246" s="270">
        <f>AGOSTO!AG246</f>
        <v>0</v>
      </c>
      <c r="AF246" s="208">
        <v>0</v>
      </c>
      <c r="AG246" s="271">
        <f t="shared" si="204"/>
        <v>0</v>
      </c>
      <c r="AH246" s="270">
        <f t="shared" si="205"/>
        <v>0</v>
      </c>
      <c r="AI246" s="220">
        <f t="shared" si="206"/>
        <v>0</v>
      </c>
      <c r="AJ246" s="1022">
        <f t="shared" si="207"/>
        <v>0</v>
      </c>
      <c r="AK246" s="101"/>
      <c r="AL246" s="204">
        <v>0</v>
      </c>
      <c r="AM246" s="210">
        <v>0</v>
      </c>
    </row>
    <row r="247" spans="19:39" ht="24.75" customHeight="1">
      <c r="S247" s="1026" t="str">
        <f>+IF(AGOSTO!S247=0,"",AGOSTO!S247)</f>
        <v>8002100-5</v>
      </c>
      <c r="T247" s="312" t="str">
        <f>+IF(AGOSTO!T247=0,"",AGOSTO!T247)</f>
        <v>Programas Especial 04</v>
      </c>
      <c r="U247" s="884">
        <f>+ENERO!U248</f>
        <v>0</v>
      </c>
      <c r="V247" s="220">
        <f>SUM(AGOSTO!V247+SEPTIEMBRE!AL247)</f>
        <v>0</v>
      </c>
      <c r="W247" s="220">
        <f>AGOSTO!W247+SEPTIEMBRE!AM247</f>
        <v>0</v>
      </c>
      <c r="X247" s="271">
        <f t="shared" si="201"/>
        <v>0</v>
      </c>
      <c r="Y247" s="270">
        <f>AGOSTO!AA247</f>
        <v>0</v>
      </c>
      <c r="Z247" s="208">
        <v>0</v>
      </c>
      <c r="AA247" s="271">
        <f t="shared" si="202"/>
        <v>0</v>
      </c>
      <c r="AB247" s="270">
        <f>AGOSTO!AD247</f>
        <v>0</v>
      </c>
      <c r="AC247" s="208">
        <v>0</v>
      </c>
      <c r="AD247" s="271">
        <f t="shared" si="203"/>
        <v>0</v>
      </c>
      <c r="AE247" s="270">
        <f>AGOSTO!AG247</f>
        <v>0</v>
      </c>
      <c r="AF247" s="208">
        <v>0</v>
      </c>
      <c r="AG247" s="271">
        <f t="shared" si="204"/>
        <v>0</v>
      </c>
      <c r="AH247" s="270">
        <f t="shared" si="205"/>
        <v>0</v>
      </c>
      <c r="AI247" s="220">
        <f t="shared" si="206"/>
        <v>0</v>
      </c>
      <c r="AJ247" s="1022">
        <f t="shared" si="207"/>
        <v>0</v>
      </c>
      <c r="AK247" s="101"/>
      <c r="AL247" s="204">
        <v>0</v>
      </c>
      <c r="AM247" s="210">
        <v>0</v>
      </c>
    </row>
    <row r="248" spans="19:39" ht="24.75" customHeight="1">
      <c r="S248" s="1026" t="str">
        <f>+IF(AGOSTO!S248=0,"",AGOSTO!S248)</f>
        <v>8002100-6</v>
      </c>
      <c r="T248" s="312" t="str">
        <f>+IF(AGOSTO!T248=0,"",AGOSTO!T248)</f>
        <v>Programas Especial 05</v>
      </c>
      <c r="U248" s="884">
        <f>+ENERO!U249</f>
        <v>0</v>
      </c>
      <c r="V248" s="220">
        <f>SUM(AGOSTO!V248+SEPTIEMBRE!AL248)</f>
        <v>0</v>
      </c>
      <c r="W248" s="220">
        <f>AGOSTO!W248+SEPTIEMBRE!AM248</f>
        <v>0</v>
      </c>
      <c r="X248" s="271">
        <f t="shared" si="201"/>
        <v>0</v>
      </c>
      <c r="Y248" s="270">
        <f>AGOSTO!AA248</f>
        <v>0</v>
      </c>
      <c r="Z248" s="208">
        <v>0</v>
      </c>
      <c r="AA248" s="271">
        <f t="shared" si="202"/>
        <v>0</v>
      </c>
      <c r="AB248" s="270">
        <f>AGOSTO!AD248</f>
        <v>0</v>
      </c>
      <c r="AC248" s="208">
        <v>0</v>
      </c>
      <c r="AD248" s="271">
        <f t="shared" si="203"/>
        <v>0</v>
      </c>
      <c r="AE248" s="270">
        <f>AGOSTO!AG248</f>
        <v>0</v>
      </c>
      <c r="AF248" s="208">
        <v>0</v>
      </c>
      <c r="AG248" s="271">
        <f t="shared" si="204"/>
        <v>0</v>
      </c>
      <c r="AH248" s="270">
        <f t="shared" si="205"/>
        <v>0</v>
      </c>
      <c r="AI248" s="220">
        <f t="shared" si="206"/>
        <v>0</v>
      </c>
      <c r="AJ248" s="1022">
        <f t="shared" si="207"/>
        <v>0</v>
      </c>
      <c r="AK248" s="101"/>
      <c r="AL248" s="204">
        <v>0</v>
      </c>
      <c r="AM248" s="210">
        <v>0</v>
      </c>
    </row>
    <row r="249" spans="19:39" ht="24.75" customHeight="1">
      <c r="S249" s="1026" t="str">
        <f>+IF(AGOSTO!S249=0,"",AGOSTO!S249)</f>
        <v>8002100-7</v>
      </c>
      <c r="T249" s="312" t="str">
        <f>+IF(AGOSTO!T249=0,"",AGOSTO!T249)</f>
        <v>Programas Especial 06</v>
      </c>
      <c r="U249" s="884">
        <f>+ENERO!U250</f>
        <v>0</v>
      </c>
      <c r="V249" s="220">
        <f>SUM(AGOSTO!V249+SEPTIEMBRE!AL249)</f>
        <v>0</v>
      </c>
      <c r="W249" s="220">
        <f>AGOSTO!W249+SEPTIEMBRE!AM249</f>
        <v>0</v>
      </c>
      <c r="X249" s="271">
        <f t="shared" si="201"/>
        <v>0</v>
      </c>
      <c r="Y249" s="270">
        <f>AGOSTO!AA249</f>
        <v>0</v>
      </c>
      <c r="Z249" s="208">
        <v>0</v>
      </c>
      <c r="AA249" s="271">
        <f t="shared" si="202"/>
        <v>0</v>
      </c>
      <c r="AB249" s="270">
        <f>AGOSTO!AD249</f>
        <v>0</v>
      </c>
      <c r="AC249" s="208">
        <v>0</v>
      </c>
      <c r="AD249" s="271">
        <f t="shared" si="203"/>
        <v>0</v>
      </c>
      <c r="AE249" s="270">
        <f>AGOSTO!AG249</f>
        <v>0</v>
      </c>
      <c r="AF249" s="208">
        <v>0</v>
      </c>
      <c r="AG249" s="271">
        <f t="shared" si="204"/>
        <v>0</v>
      </c>
      <c r="AH249" s="270">
        <f t="shared" si="205"/>
        <v>0</v>
      </c>
      <c r="AI249" s="220">
        <f t="shared" si="206"/>
        <v>0</v>
      </c>
      <c r="AJ249" s="1022">
        <f t="shared" si="207"/>
        <v>0</v>
      </c>
      <c r="AK249" s="101"/>
      <c r="AL249" s="204">
        <v>0</v>
      </c>
      <c r="AM249" s="210">
        <v>0</v>
      </c>
    </row>
    <row r="250" spans="19:39" ht="24.75" customHeight="1">
      <c r="S250" s="1026" t="str">
        <f>+IF(AGOSTO!S250=0,"",AGOSTO!S250)</f>
        <v>8002100-8</v>
      </c>
      <c r="T250" s="312" t="str">
        <f>+IF(AGOSTO!T250=0,"",AGOSTO!T250)</f>
        <v>Programas Especial 07</v>
      </c>
      <c r="U250" s="884">
        <f>+ENERO!U251</f>
        <v>0</v>
      </c>
      <c r="V250" s="220">
        <f>SUM(AGOSTO!V250+SEPTIEMBRE!AL250)</f>
        <v>0</v>
      </c>
      <c r="W250" s="220">
        <f>AGOSTO!W250+SEPTIEMBRE!AM250</f>
        <v>0</v>
      </c>
      <c r="X250" s="271">
        <f t="shared" si="201"/>
        <v>0</v>
      </c>
      <c r="Y250" s="270">
        <f>AGOSTO!AA250</f>
        <v>0</v>
      </c>
      <c r="Z250" s="208">
        <v>0</v>
      </c>
      <c r="AA250" s="271">
        <f t="shared" si="202"/>
        <v>0</v>
      </c>
      <c r="AB250" s="270">
        <f>AGOSTO!AD250</f>
        <v>0</v>
      </c>
      <c r="AC250" s="208">
        <v>0</v>
      </c>
      <c r="AD250" s="271">
        <f t="shared" si="203"/>
        <v>0</v>
      </c>
      <c r="AE250" s="270">
        <f>AGOSTO!AG250</f>
        <v>0</v>
      </c>
      <c r="AF250" s="208">
        <v>0</v>
      </c>
      <c r="AG250" s="271">
        <f t="shared" si="204"/>
        <v>0</v>
      </c>
      <c r="AH250" s="270">
        <f t="shared" si="205"/>
        <v>0</v>
      </c>
      <c r="AI250" s="220">
        <f t="shared" si="206"/>
        <v>0</v>
      </c>
      <c r="AJ250" s="1022">
        <f t="shared" si="207"/>
        <v>0</v>
      </c>
      <c r="AK250" s="101"/>
      <c r="AL250" s="204">
        <v>0</v>
      </c>
      <c r="AM250" s="210">
        <v>0</v>
      </c>
    </row>
    <row r="251" spans="19:39" ht="24.75" customHeight="1">
      <c r="S251" s="1026" t="str">
        <f>+IF(AGOSTO!S251=0,"",AGOSTO!S251)</f>
        <v>8002100-9</v>
      </c>
      <c r="T251" s="312" t="str">
        <f>+IF(AGOSTO!T251=0,"",AGOSTO!T251)</f>
        <v>Programas Especial 08</v>
      </c>
      <c r="U251" s="884">
        <f>+ENERO!U252</f>
        <v>0</v>
      </c>
      <c r="V251" s="220">
        <f>SUM(AGOSTO!V251+SEPTIEMBRE!AL251)</f>
        <v>0</v>
      </c>
      <c r="W251" s="220">
        <f>AGOSTO!W251+SEPTIEMBRE!AM251</f>
        <v>0</v>
      </c>
      <c r="X251" s="271">
        <f t="shared" si="201"/>
        <v>0</v>
      </c>
      <c r="Y251" s="270">
        <f>AGOSTO!AA251</f>
        <v>0</v>
      </c>
      <c r="Z251" s="208">
        <v>0</v>
      </c>
      <c r="AA251" s="271">
        <f t="shared" si="202"/>
        <v>0</v>
      </c>
      <c r="AB251" s="270">
        <f>AGOSTO!AD251</f>
        <v>0</v>
      </c>
      <c r="AC251" s="208">
        <v>0</v>
      </c>
      <c r="AD251" s="271">
        <f t="shared" si="203"/>
        <v>0</v>
      </c>
      <c r="AE251" s="270">
        <f>AGOSTO!AG251</f>
        <v>0</v>
      </c>
      <c r="AF251" s="208">
        <v>0</v>
      </c>
      <c r="AG251" s="271">
        <f t="shared" si="204"/>
        <v>0</v>
      </c>
      <c r="AH251" s="270">
        <f t="shared" si="205"/>
        <v>0</v>
      </c>
      <c r="AI251" s="220">
        <f t="shared" si="206"/>
        <v>0</v>
      </c>
      <c r="AJ251" s="1022">
        <f t="shared" si="207"/>
        <v>0</v>
      </c>
      <c r="AK251" s="101"/>
      <c r="AL251" s="204">
        <v>0</v>
      </c>
      <c r="AM251" s="210">
        <v>0</v>
      </c>
    </row>
    <row r="252" spans="19:39" ht="24.75" customHeight="1">
      <c r="S252" s="1026" t="str">
        <f>+IF(AGOSTO!S252=0,"",AGOSTO!S252)</f>
        <v>8002100-10</v>
      </c>
      <c r="T252" s="312" t="str">
        <f>+IF(AGOSTO!T252=0,"",AGOSTO!T252)</f>
        <v>Programas Especial 09</v>
      </c>
      <c r="U252" s="884">
        <f>+ENERO!U253</f>
        <v>0</v>
      </c>
      <c r="V252" s="220">
        <f>SUM(AGOSTO!V252+SEPTIEMBRE!AL252)</f>
        <v>0</v>
      </c>
      <c r="W252" s="220">
        <f>AGOSTO!W252+SEPTIEMBRE!AM252</f>
        <v>0</v>
      </c>
      <c r="X252" s="271">
        <f t="shared" si="201"/>
        <v>0</v>
      </c>
      <c r="Y252" s="270">
        <f>AGOSTO!AA252</f>
        <v>0</v>
      </c>
      <c r="Z252" s="208">
        <v>0</v>
      </c>
      <c r="AA252" s="271">
        <f t="shared" si="202"/>
        <v>0</v>
      </c>
      <c r="AB252" s="270">
        <f>AGOSTO!AD252</f>
        <v>0</v>
      </c>
      <c r="AC252" s="208">
        <v>0</v>
      </c>
      <c r="AD252" s="271">
        <f t="shared" si="203"/>
        <v>0</v>
      </c>
      <c r="AE252" s="270">
        <f>AGOSTO!AG252</f>
        <v>0</v>
      </c>
      <c r="AF252" s="208">
        <v>0</v>
      </c>
      <c r="AG252" s="271">
        <f t="shared" si="204"/>
        <v>0</v>
      </c>
      <c r="AH252" s="270">
        <f t="shared" si="205"/>
        <v>0</v>
      </c>
      <c r="AI252" s="220">
        <f t="shared" si="206"/>
        <v>0</v>
      </c>
      <c r="AJ252" s="1022">
        <f t="shared" si="207"/>
        <v>0</v>
      </c>
      <c r="AK252" s="101"/>
      <c r="AL252" s="204">
        <v>0</v>
      </c>
      <c r="AM252" s="210">
        <v>0</v>
      </c>
    </row>
    <row r="253" spans="19:39" ht="24.75" customHeight="1">
      <c r="S253" s="1026" t="str">
        <f>+IF(AGOSTO!S253=0,"",AGOSTO!S253)</f>
        <v>8002100-11</v>
      </c>
      <c r="T253" s="312" t="str">
        <f>+IF(AGOSTO!T253=0,"",AGOSTO!T253)</f>
        <v>Programas Especial 10</v>
      </c>
      <c r="U253" s="884">
        <f>+ENERO!U254</f>
        <v>0</v>
      </c>
      <c r="V253" s="220">
        <f>SUM(AGOSTO!V253+SEPTIEMBRE!AL253)</f>
        <v>0</v>
      </c>
      <c r="W253" s="220">
        <f>AGOSTO!W253+SEPTIEMBRE!AM253</f>
        <v>0</v>
      </c>
      <c r="X253" s="271">
        <f t="shared" si="201"/>
        <v>0</v>
      </c>
      <c r="Y253" s="270">
        <f>AGOSTO!AA253</f>
        <v>0</v>
      </c>
      <c r="Z253" s="208">
        <v>0</v>
      </c>
      <c r="AA253" s="271">
        <f t="shared" si="202"/>
        <v>0</v>
      </c>
      <c r="AB253" s="270">
        <f>AGOSTO!AD253</f>
        <v>0</v>
      </c>
      <c r="AC253" s="208">
        <v>0</v>
      </c>
      <c r="AD253" s="271">
        <f t="shared" si="203"/>
        <v>0</v>
      </c>
      <c r="AE253" s="270">
        <f>AGOSTO!AG253</f>
        <v>0</v>
      </c>
      <c r="AF253" s="208">
        <v>0</v>
      </c>
      <c r="AG253" s="271">
        <f t="shared" si="204"/>
        <v>0</v>
      </c>
      <c r="AH253" s="270">
        <f t="shared" si="205"/>
        <v>0</v>
      </c>
      <c r="AI253" s="220">
        <f t="shared" si="206"/>
        <v>0</v>
      </c>
      <c r="AJ253" s="1022">
        <f t="shared" si="207"/>
        <v>0</v>
      </c>
      <c r="AK253" s="101"/>
      <c r="AL253" s="204">
        <v>0</v>
      </c>
      <c r="AM253" s="210">
        <v>0</v>
      </c>
    </row>
    <row r="254" spans="19:39" ht="24.75" customHeight="1">
      <c r="S254" s="1026" t="str">
        <f>+IF(AGOSTO!S254=0,"",AGOSTO!S254)</f>
        <v>8002100-12</v>
      </c>
      <c r="T254" s="312" t="str">
        <f>+IF(AGOSTO!T254=0,"",AGOSTO!T254)</f>
        <v>Programas Especial 11</v>
      </c>
      <c r="U254" s="884">
        <f>+ENERO!U255</f>
        <v>0</v>
      </c>
      <c r="V254" s="220">
        <f>SUM(AGOSTO!V254+SEPTIEMBRE!AL254)</f>
        <v>0</v>
      </c>
      <c r="W254" s="220">
        <f>AGOSTO!W254+SEPTIEMBRE!AM254</f>
        <v>0</v>
      </c>
      <c r="X254" s="271">
        <f t="shared" si="201"/>
        <v>0</v>
      </c>
      <c r="Y254" s="270">
        <f>AGOSTO!AA254</f>
        <v>0</v>
      </c>
      <c r="Z254" s="208">
        <v>0</v>
      </c>
      <c r="AA254" s="271">
        <f t="shared" si="202"/>
        <v>0</v>
      </c>
      <c r="AB254" s="270">
        <f>AGOSTO!AD254</f>
        <v>0</v>
      </c>
      <c r="AC254" s="208">
        <v>0</v>
      </c>
      <c r="AD254" s="271">
        <f t="shared" si="203"/>
        <v>0</v>
      </c>
      <c r="AE254" s="270">
        <f>AGOSTO!AG254</f>
        <v>0</v>
      </c>
      <c r="AF254" s="208">
        <v>0</v>
      </c>
      <c r="AG254" s="271">
        <f t="shared" si="204"/>
        <v>0</v>
      </c>
      <c r="AH254" s="270">
        <f t="shared" si="205"/>
        <v>0</v>
      </c>
      <c r="AI254" s="220">
        <f t="shared" si="206"/>
        <v>0</v>
      </c>
      <c r="AJ254" s="1022">
        <f t="shared" si="207"/>
        <v>0</v>
      </c>
      <c r="AK254" s="216"/>
      <c r="AL254" s="204">
        <v>0</v>
      </c>
      <c r="AM254" s="210">
        <v>0</v>
      </c>
    </row>
    <row r="255" spans="19:39" ht="24.75" customHeight="1" thickBot="1">
      <c r="S255" s="1042" t="str">
        <f>+IF(AGOSTO!S255=0,"",AGOSTO!S255)</f>
        <v>2.3.2.01.01.99</v>
      </c>
      <c r="T255" s="1043" t="str">
        <f>+IF(AGOSTO!T255=0,"",AGOSTO!T255)</f>
        <v>Vigencias Anteriores Activos Fijos</v>
      </c>
      <c r="U255" s="1044">
        <f>+ENERO!U256</f>
        <v>0</v>
      </c>
      <c r="V255" s="220">
        <f>SUM(AGOSTO!V255+SEPTIEMBRE!AL255)</f>
        <v>0</v>
      </c>
      <c r="W255" s="220">
        <f>AGOSTO!W255+SEPTIEMBRE!AM255</f>
        <v>0</v>
      </c>
      <c r="X255" s="1046">
        <f t="shared" si="201"/>
        <v>0</v>
      </c>
      <c r="Y255" s="1047">
        <f>AGOSTO!AA255</f>
        <v>0</v>
      </c>
      <c r="Z255" s="1048">
        <v>0</v>
      </c>
      <c r="AA255" s="1046">
        <f t="shared" si="202"/>
        <v>0</v>
      </c>
      <c r="AB255" s="1047">
        <f>AGOSTO!AD255</f>
        <v>0</v>
      </c>
      <c r="AC255" s="1048">
        <v>0</v>
      </c>
      <c r="AD255" s="1046">
        <f t="shared" si="203"/>
        <v>0</v>
      </c>
      <c r="AE255" s="1047">
        <f>AGOSTO!AG255</f>
        <v>0</v>
      </c>
      <c r="AF255" s="1048">
        <v>0</v>
      </c>
      <c r="AG255" s="1046">
        <f t="shared" si="204"/>
        <v>0</v>
      </c>
      <c r="AH255" s="1047">
        <f t="shared" si="205"/>
        <v>0</v>
      </c>
      <c r="AI255" s="1045">
        <f t="shared" si="206"/>
        <v>0</v>
      </c>
      <c r="AJ255" s="1049">
        <f t="shared" si="207"/>
        <v>0</v>
      </c>
      <c r="AK255" s="101"/>
      <c r="AL255" s="204">
        <v>0</v>
      </c>
      <c r="AM255" s="248">
        <v>0</v>
      </c>
    </row>
    <row r="256" spans="19:39" ht="24.75" customHeight="1" thickBot="1">
      <c r="S256" s="480" t="str">
        <f>+IF(AGOSTO!S256=0,"",AGOSTO!S256)</f>
        <v/>
      </c>
      <c r="T256" s="481" t="str">
        <f>+IF(AGOSTO!T256=0,"",AGOSTO!T256)</f>
        <v/>
      </c>
      <c r="U256" s="482"/>
      <c r="V256" s="482"/>
      <c r="W256" s="482"/>
      <c r="X256" s="482"/>
      <c r="Y256" s="482"/>
      <c r="Z256" s="482"/>
      <c r="AA256" s="482"/>
      <c r="AB256" s="482"/>
      <c r="AC256" s="482"/>
      <c r="AD256" s="482"/>
      <c r="AE256" s="482"/>
      <c r="AF256" s="482"/>
      <c r="AG256" s="482"/>
      <c r="AH256" s="482"/>
      <c r="AI256" s="482"/>
      <c r="AJ256" s="484"/>
      <c r="AK256" s="216"/>
      <c r="AL256" s="889"/>
      <c r="AM256" s="502"/>
    </row>
    <row r="257" spans="19:39" ht="24.75" customHeight="1" thickBot="1">
      <c r="S257" s="503" t="s">
        <v>342</v>
      </c>
      <c r="T257" s="504" t="s">
        <v>197</v>
      </c>
      <c r="U257" s="136">
        <f t="shared" ref="U257:AJ257" si="208">+(C10+C17+C113)-(U10+U192+U219+U231)</f>
        <v>0.30987548828125</v>
      </c>
      <c r="V257" s="136">
        <f t="shared" si="208"/>
        <v>0</v>
      </c>
      <c r="W257" s="136">
        <f t="shared" si="208"/>
        <v>0</v>
      </c>
      <c r="X257" s="136">
        <f t="shared" si="208"/>
        <v>0.30987548828125</v>
      </c>
      <c r="Y257" s="136">
        <f t="shared" si="208"/>
        <v>6739477115</v>
      </c>
      <c r="Z257" s="136">
        <f t="shared" si="208"/>
        <v>8603765391</v>
      </c>
      <c r="AA257" s="136">
        <f t="shared" si="208"/>
        <v>15343242506</v>
      </c>
      <c r="AB257" s="136">
        <f t="shared" si="208"/>
        <v>-35795970837</v>
      </c>
      <c r="AC257" s="136">
        <f t="shared" si="208"/>
        <v>-335953781</v>
      </c>
      <c r="AD257" s="136">
        <f t="shared" si="208"/>
        <v>-36131924618</v>
      </c>
      <c r="AE257" s="136">
        <f t="shared" si="208"/>
        <v>-72609383068.023483</v>
      </c>
      <c r="AF257" s="136">
        <f t="shared" si="208"/>
        <v>79619225936.476517</v>
      </c>
      <c r="AG257" s="136">
        <f t="shared" si="208"/>
        <v>-108335875963.5</v>
      </c>
      <c r="AH257" s="136">
        <f t="shared" si="208"/>
        <v>-36631253518.166664</v>
      </c>
      <c r="AI257" s="136">
        <f t="shared" si="208"/>
        <v>-57925783201.166664</v>
      </c>
      <c r="AJ257" s="505">
        <f t="shared" si="208"/>
        <v>-99423476648.666656</v>
      </c>
      <c r="AK257" s="216"/>
      <c r="AL257" s="134">
        <v>0</v>
      </c>
      <c r="AM257" s="135">
        <v>0</v>
      </c>
    </row>
    <row r="258" spans="19:39" ht="24.75" customHeight="1" thickBot="1">
      <c r="S258" s="984"/>
      <c r="T258" s="985"/>
      <c r="U258" s="506"/>
      <c r="V258" s="506"/>
      <c r="W258" s="506"/>
      <c r="X258" s="506"/>
      <c r="Y258" s="506"/>
      <c r="Z258" s="506"/>
      <c r="AA258" s="506"/>
      <c r="AB258" s="506"/>
      <c r="AC258" s="506"/>
      <c r="AD258" s="506"/>
      <c r="AE258" s="506"/>
      <c r="AF258" s="506"/>
      <c r="AG258" s="506"/>
      <c r="AH258" s="506"/>
      <c r="AI258" s="506"/>
      <c r="AJ258" s="507"/>
      <c r="AK258" s="36"/>
      <c r="AL258" s="508">
        <f>+SUMIF(AK8:AK255,AK33,AL8:AL255)</f>
        <v>0</v>
      </c>
      <c r="AM258" s="509">
        <f>+SUMIF(AL8:AL255,AL33,AM8:AM255)</f>
        <v>0</v>
      </c>
    </row>
    <row r="259" spans="19:39" ht="24.75" customHeight="1" thickBot="1">
      <c r="S259" s="510" t="s">
        <v>343</v>
      </c>
      <c r="T259" s="511"/>
      <c r="U259" s="512">
        <f t="shared" ref="U259:AJ259" si="209">+U8-U261</f>
        <v>135355804552.9446</v>
      </c>
      <c r="V259" s="512">
        <f t="shared" si="209"/>
        <v>-3141258168</v>
      </c>
      <c r="W259" s="512">
        <f t="shared" si="209"/>
        <v>45428419440</v>
      </c>
      <c r="X259" s="512">
        <f t="shared" si="209"/>
        <v>177642965824.94461</v>
      </c>
      <c r="Y259" s="512">
        <f t="shared" si="209"/>
        <v>133960671735</v>
      </c>
      <c r="Z259" s="512">
        <f t="shared" si="209"/>
        <v>9996705294</v>
      </c>
      <c r="AA259" s="512">
        <f t="shared" si="209"/>
        <v>143957377029</v>
      </c>
      <c r="AB259" s="512">
        <f t="shared" si="209"/>
        <v>107684935339</v>
      </c>
      <c r="AC259" s="512">
        <f t="shared" si="209"/>
        <v>14984112007</v>
      </c>
      <c r="AD259" s="512">
        <f t="shared" si="209"/>
        <v>122669047346</v>
      </c>
      <c r="AE259" s="512">
        <f t="shared" si="209"/>
        <v>66736702035.5</v>
      </c>
      <c r="AF259" s="512">
        <f t="shared" si="209"/>
        <v>14438232066</v>
      </c>
      <c r="AG259" s="512">
        <f t="shared" si="209"/>
        <v>81174934101.5</v>
      </c>
      <c r="AH259" s="512">
        <f t="shared" si="209"/>
        <v>33685588795.944607</v>
      </c>
      <c r="AI259" s="512">
        <f t="shared" si="209"/>
        <v>54973918478.944611</v>
      </c>
      <c r="AJ259" s="513">
        <f t="shared" si="209"/>
        <v>96468031723.444595</v>
      </c>
      <c r="AK259" s="36"/>
      <c r="AL259" s="31"/>
      <c r="AM259" s="31"/>
    </row>
    <row r="260" spans="19:39" ht="24.75" customHeight="1" thickBot="1">
      <c r="S260" s="514"/>
      <c r="T260" s="515"/>
      <c r="U260" s="516"/>
      <c r="V260" s="516"/>
      <c r="W260" s="516"/>
      <c r="X260" s="516"/>
      <c r="Y260" s="516"/>
      <c r="Z260" s="516"/>
      <c r="AA260" s="516"/>
      <c r="AB260" s="516"/>
      <c r="AC260" s="516"/>
      <c r="AD260" s="516"/>
      <c r="AE260" s="516"/>
      <c r="AF260" s="516"/>
      <c r="AG260" s="516"/>
      <c r="AH260" s="516"/>
      <c r="AI260" s="516"/>
      <c r="AJ260" s="517"/>
      <c r="AK260" s="36"/>
      <c r="AL260" s="31"/>
      <c r="AM260" s="31"/>
    </row>
    <row r="261" spans="19:39" ht="24.75" customHeight="1" thickBot="1">
      <c r="S261" s="518" t="s">
        <v>344</v>
      </c>
      <c r="T261" s="519"/>
      <c r="U261" s="660">
        <f>SUM(U255+U240+U229+U224+U217+U206+U190+U181+U166+U153+U139+U121+U108+U102+U88+U81+U61+U55+U41+U33)</f>
        <v>22787348584.222057</v>
      </c>
      <c r="V261" s="660">
        <f t="shared" ref="V261:AJ261" si="210">SUM(V255+V240+V229+V224+V217+V206+V190+V181+V166+V153+V139+V121+V108+V102+V88+V81+V61+V55+V41+V33)</f>
        <v>3141258168</v>
      </c>
      <c r="W261" s="660">
        <f t="shared" si="210"/>
        <v>4187780035</v>
      </c>
      <c r="X261" s="660">
        <f t="shared" si="210"/>
        <v>30116386787.222057</v>
      </c>
      <c r="Y261" s="660">
        <f t="shared" si="210"/>
        <v>27170472248</v>
      </c>
      <c r="Z261" s="660">
        <f t="shared" si="210"/>
        <v>249817</v>
      </c>
      <c r="AA261" s="660">
        <f t="shared" si="210"/>
        <v>27170722065</v>
      </c>
      <c r="AB261" s="660">
        <f t="shared" si="210"/>
        <v>27164272248</v>
      </c>
      <c r="AC261" s="660">
        <f t="shared" si="210"/>
        <v>249817</v>
      </c>
      <c r="AD261" s="660">
        <f t="shared" si="210"/>
        <v>27164522065</v>
      </c>
      <c r="AE261" s="660">
        <f t="shared" si="210"/>
        <v>27160692045</v>
      </c>
      <c r="AF261" s="660">
        <f t="shared" si="210"/>
        <v>249817</v>
      </c>
      <c r="AG261" s="660">
        <f t="shared" si="210"/>
        <v>27160941862</v>
      </c>
      <c r="AH261" s="660">
        <f t="shared" si="210"/>
        <v>2945664722.2220573</v>
      </c>
      <c r="AI261" s="660">
        <f t="shared" si="210"/>
        <v>2951864722.2220573</v>
      </c>
      <c r="AJ261" s="660">
        <f t="shared" si="210"/>
        <v>2955444925.2220573</v>
      </c>
      <c r="AK261" s="36"/>
      <c r="AL261" s="31"/>
      <c r="AM261" s="31"/>
    </row>
    <row r="262" spans="19:39" ht="24.75" customHeight="1" thickBot="1">
      <c r="S262" s="514"/>
      <c r="T262" s="515"/>
      <c r="U262" s="515"/>
      <c r="V262" s="516"/>
      <c r="W262" s="516"/>
      <c r="X262" s="516"/>
      <c r="Y262" s="516"/>
      <c r="Z262" s="516"/>
      <c r="AA262" s="516"/>
      <c r="AB262" s="516"/>
      <c r="AC262" s="516"/>
      <c r="AD262" s="516"/>
      <c r="AE262" s="516"/>
      <c r="AF262" s="516"/>
      <c r="AG262" s="516"/>
      <c r="AH262" s="516"/>
      <c r="AI262" s="516"/>
      <c r="AJ262" s="516"/>
      <c r="AK262" s="36"/>
      <c r="AL262" s="31"/>
      <c r="AM262" s="31"/>
    </row>
    <row r="263" spans="19:39" ht="24.75" customHeight="1" thickBot="1">
      <c r="S263" s="520" t="s">
        <v>345</v>
      </c>
      <c r="T263" s="521"/>
      <c r="U263" s="522">
        <f t="shared" ref="U263:AJ263" si="211">+U259+U261</f>
        <v>158143153137.16666</v>
      </c>
      <c r="V263" s="522">
        <f t="shared" si="211"/>
        <v>0</v>
      </c>
      <c r="W263" s="522">
        <f t="shared" si="211"/>
        <v>49616199475</v>
      </c>
      <c r="X263" s="522">
        <f t="shared" si="211"/>
        <v>207759352612.16666</v>
      </c>
      <c r="Y263" s="522">
        <f t="shared" si="211"/>
        <v>161131143983</v>
      </c>
      <c r="Z263" s="522">
        <f t="shared" si="211"/>
        <v>9996955111</v>
      </c>
      <c r="AA263" s="522">
        <f t="shared" si="211"/>
        <v>171128099094</v>
      </c>
      <c r="AB263" s="522">
        <f t="shared" si="211"/>
        <v>134849207587</v>
      </c>
      <c r="AC263" s="522">
        <f t="shared" si="211"/>
        <v>14984361824</v>
      </c>
      <c r="AD263" s="522">
        <f t="shared" si="211"/>
        <v>149833569411</v>
      </c>
      <c r="AE263" s="522">
        <f t="shared" si="211"/>
        <v>93897394080.5</v>
      </c>
      <c r="AF263" s="522">
        <f t="shared" si="211"/>
        <v>14438481883</v>
      </c>
      <c r="AG263" s="522">
        <f t="shared" si="211"/>
        <v>108335875963.5</v>
      </c>
      <c r="AH263" s="522">
        <f t="shared" si="211"/>
        <v>36631253518.166664</v>
      </c>
      <c r="AI263" s="522">
        <f t="shared" si="211"/>
        <v>57925783201.166672</v>
      </c>
      <c r="AJ263" s="523">
        <f t="shared" si="211"/>
        <v>99423476648.666656</v>
      </c>
      <c r="AK263" s="36"/>
      <c r="AL263" s="31"/>
      <c r="AM263" s="31"/>
    </row>
  </sheetData>
  <autoFilter ref="T1:T263" xr:uid="{00000000-0001-0000-0900-000000000000}"/>
  <mergeCells count="54">
    <mergeCell ref="BN5:BQ5"/>
    <mergeCell ref="BC5:BE5"/>
    <mergeCell ref="BF5:BF6"/>
    <mergeCell ref="BH5:BK5"/>
    <mergeCell ref="BL5:BL6"/>
    <mergeCell ref="BM5:BM6"/>
    <mergeCell ref="A1:B1"/>
    <mergeCell ref="C1:J1"/>
    <mergeCell ref="K1:N1"/>
    <mergeCell ref="L2:M2"/>
    <mergeCell ref="P2:Q2"/>
    <mergeCell ref="BG2:BI2"/>
    <mergeCell ref="BM2:BO2"/>
    <mergeCell ref="D2:E2"/>
    <mergeCell ref="D3:E4"/>
    <mergeCell ref="A5:A6"/>
    <mergeCell ref="B5:B6"/>
    <mergeCell ref="C5:F5"/>
    <mergeCell ref="V2:X2"/>
    <mergeCell ref="B3:B4"/>
    <mergeCell ref="V3:X4"/>
    <mergeCell ref="AP3:AZ3"/>
    <mergeCell ref="BB3:BC3"/>
    <mergeCell ref="BG3:BI3"/>
    <mergeCell ref="BM3:BO3"/>
    <mergeCell ref="AW4:AZ4"/>
    <mergeCell ref="S5:S6"/>
    <mergeCell ref="Y2:AG2"/>
    <mergeCell ref="AH2:AI2"/>
    <mergeCell ref="AL2:AM2"/>
    <mergeCell ref="AP2:AZ2"/>
    <mergeCell ref="BB2:BC2"/>
    <mergeCell ref="AM3:AM5"/>
    <mergeCell ref="AW19:AZ19"/>
    <mergeCell ref="AW35:AX35"/>
    <mergeCell ref="N3:N4"/>
    <mergeCell ref="T3:T4"/>
    <mergeCell ref="Y3:AG4"/>
    <mergeCell ref="AH3:AI4"/>
    <mergeCell ref="AJ3:AJ4"/>
    <mergeCell ref="AL3:AL5"/>
    <mergeCell ref="AH5:AJ5"/>
    <mergeCell ref="T5:T6"/>
    <mergeCell ref="U5:X5"/>
    <mergeCell ref="Y5:AA5"/>
    <mergeCell ref="AB5:AD5"/>
    <mergeCell ref="AE5:AG5"/>
    <mergeCell ref="F3:K4"/>
    <mergeCell ref="L3:M4"/>
    <mergeCell ref="P3:P5"/>
    <mergeCell ref="Q3:Q5"/>
    <mergeCell ref="G5:I5"/>
    <mergeCell ref="J5:L5"/>
    <mergeCell ref="M5:N5"/>
  </mergeCells>
  <conditionalFormatting sqref="B5:B7">
    <cfRule type="expression" dxfId="3" priority="1" stopIfTrue="1">
      <formula>$B$5="OJO - RECUERDE RECAUDAR LA DISPONIBLIDAD INICIAL EN ESTE TRIMESTRE, haga clik en H9 para ampliar la información"</formula>
    </cfRule>
  </conditionalFormatting>
  <printOptions horizontalCentered="1" verticalCentered="1"/>
  <pageMargins left="0.59055118110236227" right="0.59055118110236227" top="0.43307086614173229" bottom="0.39370078740157483" header="0" footer="0"/>
  <pageSetup paperSize="14" scale="50" orientation="landscape" r:id="rId1"/>
  <headerFooter>
    <oddFooter>&amp;CPágina &amp;P de</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8DBB1-32B5-4A32-A213-83B44E72022E}">
  <dimension ref="A2:H21"/>
  <sheetViews>
    <sheetView workbookViewId="0">
      <selection activeCell="E8" sqref="E8"/>
    </sheetView>
  </sheetViews>
  <sheetFormatPr baseColWidth="10" defaultRowHeight="15"/>
  <cols>
    <col min="1" max="1" width="17.5703125" style="1252" bestFit="1" customWidth="1"/>
    <col min="2" max="2" width="37.42578125" style="1252" customWidth="1"/>
    <col min="3" max="4" width="23.85546875" style="1253" customWidth="1"/>
    <col min="5" max="5" width="22.5703125" style="1253" customWidth="1"/>
    <col min="6" max="6" width="24.7109375" style="1253" customWidth="1"/>
    <col min="7" max="7" width="22.5703125" style="1253" customWidth="1"/>
    <col min="8" max="8" width="22.5703125" style="1253" bestFit="1" customWidth="1"/>
    <col min="9" max="16384" width="11.42578125" style="1252"/>
  </cols>
  <sheetData>
    <row r="2" spans="1:8" ht="15.75">
      <c r="A2" s="1255" t="s">
        <v>801</v>
      </c>
    </row>
    <row r="3" spans="1:8" s="1251" customFormat="1" ht="47.25">
      <c r="A3" s="1256" t="s">
        <v>56</v>
      </c>
      <c r="B3" s="1256" t="s">
        <v>71</v>
      </c>
      <c r="C3" s="1257" t="s">
        <v>794</v>
      </c>
      <c r="D3" s="1257" t="s">
        <v>795</v>
      </c>
      <c r="E3" s="1257" t="s">
        <v>796</v>
      </c>
      <c r="F3" s="1257"/>
      <c r="G3" s="1257" t="str">
        <f>+A10</f>
        <v>DATO APORTADO PARA DISTRIBUCION SIHO</v>
      </c>
      <c r="H3" s="1257" t="s">
        <v>800</v>
      </c>
    </row>
    <row r="4" spans="1:8">
      <c r="A4" s="1252" t="s">
        <v>557</v>
      </c>
      <c r="B4" s="1252" t="s">
        <v>561</v>
      </c>
      <c r="C4" s="1253">
        <f>SUMIF(SEPTIEMBRE!S:S,'VALIDACION SIHO CONTRATACION'!A4,SEPTIEMBRE!AA:AA)</f>
        <v>1121277020</v>
      </c>
      <c r="D4" s="1253">
        <f>SUMIF(DICIEMBRE!S:S,'VALIDACION SIHO CONTRATACION'!A4,DICIEMBRE!AA:AA)</f>
        <v>912220122</v>
      </c>
      <c r="E4" s="1253">
        <f>+D4-C4</f>
        <v>-209056898</v>
      </c>
      <c r="G4" s="1253">
        <f>+E12</f>
        <v>-224310700</v>
      </c>
      <c r="H4" s="1253">
        <f>+E4-G4</f>
        <v>15253802</v>
      </c>
    </row>
    <row r="5" spans="1:8">
      <c r="A5" s="1252" t="s">
        <v>606</v>
      </c>
      <c r="B5" s="1252" t="s">
        <v>212</v>
      </c>
      <c r="C5" s="1253">
        <f>SUMIF(SEPTIEMBRE!S:S,'VALIDACION SIHO CONTRATACION'!A5,SEPTIEMBRE!AA:AA)</f>
        <v>17793750</v>
      </c>
      <c r="D5" s="1253">
        <f>SUMIF(DICIEMBRE!S:S,'VALIDACION SIHO CONTRATACION'!A5,DICIEMBRE!AA:AA)</f>
        <v>31317000</v>
      </c>
      <c r="E5" s="1253">
        <f t="shared" ref="E5:E7" si="0">+D5-C5</f>
        <v>13523250</v>
      </c>
      <c r="G5" s="1253">
        <f>+E13</f>
        <v>13523250</v>
      </c>
      <c r="H5" s="1253">
        <f t="shared" ref="H5:H7" si="1">+E5-G5</f>
        <v>0</v>
      </c>
    </row>
    <row r="6" spans="1:8">
      <c r="A6" s="1252" t="s">
        <v>559</v>
      </c>
      <c r="B6" s="1252" t="s">
        <v>560</v>
      </c>
      <c r="C6" s="1253">
        <f>SUMIF(SEPTIEMBRE!S:S,'VALIDACION SIHO CONTRATACION'!A6,SEPTIEMBRE!AA:AA)</f>
        <v>12116855306</v>
      </c>
      <c r="D6" s="1253">
        <f>SUMIF(DICIEMBRE!S:S,'VALIDACION SIHO CONTRATACION'!A6,DICIEMBRE!AA:AA)</f>
        <v>14958086459</v>
      </c>
      <c r="E6" s="1253">
        <f t="shared" si="0"/>
        <v>2841231153</v>
      </c>
      <c r="G6" s="1253">
        <f>+E14</f>
        <v>2648872781</v>
      </c>
      <c r="H6" s="1253">
        <f t="shared" si="1"/>
        <v>192358372</v>
      </c>
    </row>
    <row r="7" spans="1:8">
      <c r="A7" s="1252" t="s">
        <v>573</v>
      </c>
      <c r="B7" s="1252" t="s">
        <v>574</v>
      </c>
      <c r="C7" s="1253">
        <f>SUMIF(SEPTIEMBRE!S:S,'VALIDACION SIHO CONTRATACION'!A7,SEPTIEMBRE!AA:AA)</f>
        <v>48614750950</v>
      </c>
      <c r="D7" s="1253">
        <f>SUMIF(DICIEMBRE!S:S,'VALIDACION SIHO CONTRATACION'!A7,DICIEMBRE!AA:AA)</f>
        <v>56634609907</v>
      </c>
      <c r="E7" s="1253">
        <f t="shared" si="0"/>
        <v>8019858957</v>
      </c>
      <c r="G7" s="1253">
        <f>+E15</f>
        <v>4264111256</v>
      </c>
      <c r="H7" s="1253">
        <f t="shared" si="1"/>
        <v>3755747701</v>
      </c>
    </row>
    <row r="8" spans="1:8" ht="15.75">
      <c r="A8" s="1256"/>
      <c r="B8" s="1256" t="s">
        <v>78</v>
      </c>
      <c r="C8" s="1257">
        <f>SUM(C4:C7)</f>
        <v>61870677026</v>
      </c>
      <c r="D8" s="1257">
        <f>SUM(D4:D7)</f>
        <v>72536233488</v>
      </c>
      <c r="E8" s="1257">
        <f>SUM(E4:E7)</f>
        <v>10665556462</v>
      </c>
      <c r="F8" s="1257"/>
      <c r="G8" s="1257">
        <f>SUM(G4:G7)</f>
        <v>6702196587</v>
      </c>
      <c r="H8" s="1257">
        <f>SUM(H4:H7)</f>
        <v>3963359875</v>
      </c>
    </row>
    <row r="9" spans="1:8" ht="15.75">
      <c r="A9" s="1255"/>
    </row>
    <row r="10" spans="1:8" ht="15.75">
      <c r="A10" s="1255" t="s">
        <v>799</v>
      </c>
    </row>
    <row r="11" spans="1:8" ht="15.75">
      <c r="A11" s="1256" t="s">
        <v>56</v>
      </c>
      <c r="B11" s="1256" t="s">
        <v>71</v>
      </c>
      <c r="C11" s="1257" t="s">
        <v>74</v>
      </c>
      <c r="D11" s="1257" t="s">
        <v>798</v>
      </c>
      <c r="E11" s="1257" t="s">
        <v>78</v>
      </c>
    </row>
    <row r="12" spans="1:8" ht="15.75">
      <c r="A12" s="1254" t="s">
        <v>557</v>
      </c>
      <c r="B12" s="1254" t="s">
        <v>561</v>
      </c>
      <c r="C12" s="1253">
        <v>22584948</v>
      </c>
      <c r="D12" s="1253">
        <v>-246895648</v>
      </c>
      <c r="E12" s="1253">
        <f>+C12+D12</f>
        <v>-224310700</v>
      </c>
    </row>
    <row r="13" spans="1:8" ht="15.75">
      <c r="A13" s="1254" t="s">
        <v>606</v>
      </c>
      <c r="B13" s="1254" t="s">
        <v>212</v>
      </c>
      <c r="C13" s="1253">
        <v>13523250</v>
      </c>
      <c r="E13" s="1253">
        <f t="shared" ref="E13:E15" si="2">+C13+D13</f>
        <v>13523250</v>
      </c>
    </row>
    <row r="14" spans="1:8" ht="15.75">
      <c r="A14" s="1254" t="s">
        <v>559</v>
      </c>
      <c r="B14" s="1254" t="s">
        <v>560</v>
      </c>
      <c r="C14" s="1253">
        <v>2845217481</v>
      </c>
      <c r="D14" s="1253">
        <v>-196344700</v>
      </c>
      <c r="E14" s="1253">
        <f t="shared" si="2"/>
        <v>2648872781</v>
      </c>
    </row>
    <row r="15" spans="1:8" ht="15.75">
      <c r="A15" s="1254" t="s">
        <v>573</v>
      </c>
      <c r="B15" s="1254" t="s">
        <v>574</v>
      </c>
      <c r="C15" s="1253">
        <v>6109252299</v>
      </c>
      <c r="D15" s="1253">
        <v>-1845141043</v>
      </c>
      <c r="E15" s="1253">
        <f t="shared" si="2"/>
        <v>4264111256</v>
      </c>
    </row>
    <row r="16" spans="1:8" ht="15.75">
      <c r="A16" s="1256"/>
      <c r="B16" s="1256" t="s">
        <v>797</v>
      </c>
      <c r="C16" s="1257">
        <v>8990577978</v>
      </c>
      <c r="D16" s="1257">
        <f>SUM(D12:D15)</f>
        <v>-2288381391</v>
      </c>
      <c r="E16" s="1257">
        <f>SUM(E12:E15)</f>
        <v>6702196587</v>
      </c>
      <c r="F16" s="1257"/>
    </row>
    <row r="20" spans="5:6">
      <c r="E20" s="1253" t="s">
        <v>798</v>
      </c>
      <c r="F20" s="1253">
        <f>+'[3]Hoja1 (2)'!$K$4</f>
        <v>8692345029</v>
      </c>
    </row>
    <row r="21" spans="5:6">
      <c r="E21" s="1253" t="s">
        <v>802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Q263"/>
  <sheetViews>
    <sheetView showGridLines="0" topLeftCell="F24" zoomScale="85" zoomScaleNormal="85" workbookViewId="0">
      <selection activeCell="L46" sqref="L46"/>
    </sheetView>
  </sheetViews>
  <sheetFormatPr baseColWidth="10" defaultColWidth="14.42578125" defaultRowHeight="15" customHeight="1"/>
  <cols>
    <col min="1" max="1" width="26" customWidth="1"/>
    <col min="2" max="2" width="51" customWidth="1"/>
    <col min="3" max="3" width="14.42578125" customWidth="1"/>
    <col min="4" max="4" width="16.140625" customWidth="1"/>
    <col min="5" max="5" width="14.42578125" customWidth="1"/>
    <col min="6" max="6" width="17.42578125" customWidth="1"/>
    <col min="7" max="11" width="14.42578125" customWidth="1"/>
    <col min="12" max="12" width="17" customWidth="1"/>
    <col min="13" max="13" width="16.7109375" customWidth="1"/>
    <col min="14" max="14" width="16.7109375" style="657" customWidth="1"/>
    <col min="15" max="15" width="2.85546875" customWidth="1"/>
    <col min="16" max="17" width="23.7109375" customWidth="1"/>
    <col min="18" max="18" width="5.42578125" customWidth="1"/>
    <col min="19" max="19" width="18.85546875" customWidth="1"/>
    <col min="20" max="20" width="60.140625" customWidth="1"/>
    <col min="21" max="21" width="16.28515625" customWidth="1"/>
    <col min="22" max="23" width="14.7109375" customWidth="1"/>
    <col min="24" max="24" width="18" customWidth="1"/>
    <col min="25" max="25" width="17.5703125" customWidth="1"/>
    <col min="26" max="26" width="14.7109375" customWidth="1"/>
    <col min="27" max="27" width="16.7109375" customWidth="1"/>
    <col min="28" max="28" width="16.42578125" customWidth="1"/>
    <col min="29" max="29" width="14.7109375" customWidth="1"/>
    <col min="30" max="30" width="18.5703125" customWidth="1"/>
    <col min="31" max="31" width="16.5703125" customWidth="1"/>
    <col min="32" max="32" width="17.140625" customWidth="1"/>
    <col min="33" max="33" width="16.85546875" customWidth="1"/>
    <col min="34" max="36" width="16.7109375" customWidth="1"/>
    <col min="37" max="37" width="8.85546875" customWidth="1"/>
    <col min="38" max="39" width="23.7109375" customWidth="1"/>
    <col min="40" max="40" width="4.85546875" customWidth="1"/>
    <col min="41" max="41" width="12.28515625" customWidth="1"/>
    <col min="42" max="42" width="51" customWidth="1"/>
    <col min="43" max="45" width="16.85546875" customWidth="1"/>
    <col min="46" max="46" width="12.7109375" customWidth="1"/>
    <col min="47" max="47" width="27.42578125" customWidth="1"/>
    <col min="48" max="48" width="25" customWidth="1"/>
    <col min="49" max="52" width="16.85546875" customWidth="1"/>
    <col min="53" max="53" width="11" customWidth="1"/>
    <col min="54" max="54" width="65.140625" customWidth="1"/>
    <col min="55" max="57" width="18.85546875" customWidth="1"/>
    <col min="58" max="58" width="29.140625" customWidth="1"/>
    <col min="59" max="59" width="72.7109375" customWidth="1"/>
    <col min="60" max="63" width="17.5703125" customWidth="1"/>
    <col min="64" max="64" width="16.42578125" customWidth="1"/>
    <col min="65" max="65" width="76" customWidth="1"/>
    <col min="66" max="66" width="19.7109375" customWidth="1"/>
    <col min="67" max="67" width="17.42578125" customWidth="1"/>
    <col min="68" max="68" width="18.85546875" customWidth="1"/>
    <col min="69" max="69" width="16" customWidth="1"/>
    <col min="70" max="70" width="11" customWidth="1"/>
  </cols>
  <sheetData>
    <row r="1" spans="1:69" ht="24.75" customHeight="1" thickBot="1">
      <c r="A1" s="1447"/>
      <c r="B1" s="1366"/>
      <c r="C1" s="1448"/>
      <c r="D1" s="1365"/>
      <c r="E1" s="1365"/>
      <c r="F1" s="1365"/>
      <c r="G1" s="1365"/>
      <c r="H1" s="1365"/>
      <c r="I1" s="1365"/>
      <c r="J1" s="1366"/>
      <c r="K1" s="1364" t="str">
        <f>+IF(L8&gt;I8,"OJO - SUS RECAUDOS SON SUPERIORES A SUS RECONOCIMIENTOS, VERIFIQUE","")</f>
        <v/>
      </c>
      <c r="L1" s="1365"/>
      <c r="M1" s="1365"/>
      <c r="N1" s="1366"/>
      <c r="O1" s="31"/>
      <c r="P1" s="32"/>
      <c r="Q1" s="32"/>
      <c r="R1" s="31"/>
      <c r="S1" s="33"/>
      <c r="T1" s="34"/>
      <c r="U1" s="35" t="str">
        <f>+IF(AA8&gt;X8,"OJO - HA COMPROMETIDO MUCHO MAS DE LO QUE TIENE PRESUPUESTADO","")</f>
        <v/>
      </c>
      <c r="V1" s="31"/>
      <c r="W1" s="31"/>
      <c r="X1" s="35"/>
      <c r="Y1" s="35" t="str">
        <f>+IF(AD8&gt;AA8,"OJO - SUS OBLIGACIONES SUPERAN SUS COMPROMISOS, VERIFIQUE","")</f>
        <v/>
      </c>
      <c r="Z1" s="31"/>
      <c r="AA1" s="31"/>
      <c r="AB1" s="31"/>
      <c r="AC1" s="35" t="str">
        <f>+IF(AG8&gt;AD8,"OJO - SUS PAGOS NO PUEDEN SUPERAR SUS OBLIGACIONES, VERIFIQUE","")</f>
        <v/>
      </c>
      <c r="AD1" s="31"/>
      <c r="AE1" s="31"/>
      <c r="AF1" s="31"/>
      <c r="AG1" s="31"/>
      <c r="AH1" s="31"/>
      <c r="AI1" s="31"/>
      <c r="AJ1" s="31"/>
      <c r="AK1" s="36"/>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r="2" spans="1:69" ht="53.25" customHeight="1" thickBot="1">
      <c r="A2" s="524"/>
      <c r="B2" s="45" t="str">
        <f>+ENERO!B2</f>
        <v>SECRETARIA SECCIONAL DE SALUD Y PROTECCION SOCIAL DE ANTIOQUIA DE ANTIOQUIA</v>
      </c>
      <c r="C2" s="39"/>
      <c r="D2" s="1346" t="str">
        <f>+IF(F2="","","MUNICIPIO:")</f>
        <v>MUNICIPIO:</v>
      </c>
      <c r="E2" s="1327"/>
      <c r="F2" s="40" t="str">
        <f>IF(INSTRUCCIONES!B3=0,"",INSTRUCCIONES!B3)</f>
        <v>BELLO</v>
      </c>
      <c r="G2" s="41"/>
      <c r="H2" s="41"/>
      <c r="I2" s="41"/>
      <c r="J2" s="41"/>
      <c r="K2" s="42"/>
      <c r="L2" s="1368" t="s">
        <v>37</v>
      </c>
      <c r="M2" s="1340"/>
      <c r="N2" s="1093" t="s">
        <v>38</v>
      </c>
      <c r="O2" s="31"/>
      <c r="P2" s="1341" t="s">
        <v>346</v>
      </c>
      <c r="Q2" s="1338"/>
      <c r="R2" s="31"/>
      <c r="S2" s="44"/>
      <c r="T2" s="45" t="str">
        <f>+ENERO!T2</f>
        <v>SECRETARIA SECCIONAL DE SALUD Y PROTECCION SOCIAL DE ANTIOQUIA DE ANTIOQUIA</v>
      </c>
      <c r="U2" s="39"/>
      <c r="V2" s="1369" t="str">
        <f>+IF(Y2="","","M U N I C I P I O:")</f>
        <v>M U N I C I P I O:</v>
      </c>
      <c r="W2" s="1337"/>
      <c r="X2" s="1327"/>
      <c r="Y2" s="1336" t="str">
        <f>IF(INSTRUCCIONES!B3=0,"",INSTRUCCIONES!B3)</f>
        <v>BELLO</v>
      </c>
      <c r="Z2" s="1337"/>
      <c r="AA2" s="1337"/>
      <c r="AB2" s="1337"/>
      <c r="AC2" s="1337"/>
      <c r="AD2" s="1337"/>
      <c r="AE2" s="1337"/>
      <c r="AF2" s="1337"/>
      <c r="AG2" s="1338"/>
      <c r="AH2" s="1339" t="s">
        <v>37</v>
      </c>
      <c r="AI2" s="1340"/>
      <c r="AJ2" s="43" t="s">
        <v>38</v>
      </c>
      <c r="AK2" s="36"/>
      <c r="AL2" s="1341" t="s">
        <v>346</v>
      </c>
      <c r="AM2" s="1338"/>
      <c r="AN2" s="31"/>
      <c r="AO2" s="46">
        <v>10</v>
      </c>
      <c r="AP2" s="1342" t="s">
        <v>40</v>
      </c>
      <c r="AQ2" s="1322"/>
      <c r="AR2" s="1322"/>
      <c r="AS2" s="1322"/>
      <c r="AT2" s="1322"/>
      <c r="AU2" s="1322"/>
      <c r="AV2" s="1322"/>
      <c r="AW2" s="1322"/>
      <c r="AX2" s="1322"/>
      <c r="AY2" s="1322"/>
      <c r="AZ2" s="1323"/>
      <c r="BA2" s="31"/>
      <c r="BB2" s="1341" t="s">
        <v>41</v>
      </c>
      <c r="BC2" s="1327"/>
      <c r="BD2" s="47" t="s">
        <v>37</v>
      </c>
      <c r="BE2" s="43" t="str">
        <f>+L3</f>
        <v>OCTUBRE</v>
      </c>
      <c r="BF2" s="35"/>
      <c r="BG2" s="1341" t="s">
        <v>42</v>
      </c>
      <c r="BH2" s="1337"/>
      <c r="BI2" s="1327"/>
      <c r="BJ2" s="47" t="s">
        <v>37</v>
      </c>
      <c r="BK2" s="43" t="str">
        <f>+BE2</f>
        <v>OCTUBRE</v>
      </c>
      <c r="BL2" s="31"/>
      <c r="BM2" s="1343" t="s">
        <v>42</v>
      </c>
      <c r="BN2" s="1344"/>
      <c r="BO2" s="1345"/>
      <c r="BP2" s="732" t="s">
        <v>37</v>
      </c>
      <c r="BQ2" s="733" t="str">
        <f>+BK2</f>
        <v>OCTUBRE</v>
      </c>
    </row>
    <row r="3" spans="1:69" ht="24.75" customHeight="1" thickBot="1">
      <c r="A3" s="525"/>
      <c r="B3" s="1332" t="s">
        <v>43</v>
      </c>
      <c r="C3" s="49"/>
      <c r="D3" s="1347" t="str">
        <f>+IF(F3="","","INSTITUCION:")</f>
        <v>INSTITUCION:</v>
      </c>
      <c r="E3" s="1348"/>
      <c r="F3" s="1308" t="str">
        <f>IF(INSTRUCCIONES!B5=0,"",INSTRUCCIONES!B5)</f>
        <v>ESE HOSPITAL MARCO FIDEL SUAREZ</v>
      </c>
      <c r="G3" s="1309"/>
      <c r="H3" s="1309"/>
      <c r="I3" s="1309"/>
      <c r="J3" s="1309"/>
      <c r="K3" s="1310"/>
      <c r="L3" s="1312" t="s">
        <v>399</v>
      </c>
      <c r="M3" s="1313"/>
      <c r="N3" s="1482">
        <f>SUM(ENERO!N3)</f>
        <v>2025</v>
      </c>
      <c r="O3" s="31"/>
      <c r="P3" s="1315" t="s">
        <v>400</v>
      </c>
      <c r="Q3" s="1318" t="s">
        <v>401</v>
      </c>
      <c r="R3" s="31"/>
      <c r="S3" s="50"/>
      <c r="T3" s="1332" t="s">
        <v>47</v>
      </c>
      <c r="U3" s="51"/>
      <c r="V3" s="1357" t="str">
        <f>+IF(Y3="","","E.S.E. H O S P I T A L:")</f>
        <v>E.S.E. H O S P I T A L:</v>
      </c>
      <c r="W3" s="1309"/>
      <c r="X3" s="1348"/>
      <c r="Y3" s="1308" t="str">
        <f>IF(INSTRUCCIONES!B5=0,"",INSTRUCCIONES!B5)</f>
        <v>ESE HOSPITAL MARCO FIDEL SUAREZ</v>
      </c>
      <c r="Z3" s="1309"/>
      <c r="AA3" s="1309"/>
      <c r="AB3" s="1309"/>
      <c r="AC3" s="1309"/>
      <c r="AD3" s="1309"/>
      <c r="AE3" s="1309"/>
      <c r="AF3" s="1309"/>
      <c r="AG3" s="1310"/>
      <c r="AH3" s="1334" t="str">
        <f>+L3</f>
        <v>OCTUBRE</v>
      </c>
      <c r="AI3" s="1313"/>
      <c r="AJ3" s="1331">
        <f>SUM(N3)</f>
        <v>2025</v>
      </c>
      <c r="AK3" s="36"/>
      <c r="AL3" s="1315" t="s">
        <v>402</v>
      </c>
      <c r="AM3" s="1318" t="s">
        <v>403</v>
      </c>
      <c r="AN3" s="31"/>
      <c r="AO3" s="52"/>
      <c r="AP3" s="1373" t="s">
        <v>50</v>
      </c>
      <c r="AQ3" s="1374"/>
      <c r="AR3" s="1374"/>
      <c r="AS3" s="1374"/>
      <c r="AT3" s="1374"/>
      <c r="AU3" s="1374"/>
      <c r="AV3" s="1374"/>
      <c r="AW3" s="1374"/>
      <c r="AX3" s="1374"/>
      <c r="AY3" s="1374"/>
      <c r="AZ3" s="1375"/>
      <c r="BA3" s="31"/>
      <c r="BB3" s="1376" t="str">
        <f>+CONCATENATE(INSTRUCCIONES!B5, " - ", INSTRUCCIONES!B3)</f>
        <v>ESE HOSPITAL MARCO FIDEL SUAREZ - BELLO</v>
      </c>
      <c r="BC3" s="1377"/>
      <c r="BD3" s="53" t="s">
        <v>38</v>
      </c>
      <c r="BE3" s="54">
        <f>+N3</f>
        <v>2025</v>
      </c>
      <c r="BF3" s="55" t="s">
        <v>51</v>
      </c>
      <c r="BG3" s="1376" t="str">
        <f>+CONCATENATE(INSTRUCCIONES!B5, " - ", INSTRUCCIONES!B3)</f>
        <v>ESE HOSPITAL MARCO FIDEL SUAREZ - BELLO</v>
      </c>
      <c r="BH3" s="1378"/>
      <c r="BI3" s="1377"/>
      <c r="BJ3" s="53" t="s">
        <v>38</v>
      </c>
      <c r="BK3" s="54">
        <f>+BE3</f>
        <v>2025</v>
      </c>
      <c r="BL3" s="31"/>
      <c r="BM3" s="1379" t="str">
        <f>+CONCATENATE(INSTRUCCIONES!B5, " - ", INSTRUCCIONES!B3)</f>
        <v>ESE HOSPITAL MARCO FIDEL SUAREZ - BELLO</v>
      </c>
      <c r="BN3" s="1380"/>
      <c r="BO3" s="1381"/>
      <c r="BP3" s="53" t="s">
        <v>38</v>
      </c>
      <c r="BQ3" s="734">
        <f>+BK3</f>
        <v>2025</v>
      </c>
    </row>
    <row r="4" spans="1:69" ht="24.75" customHeight="1" thickBot="1">
      <c r="A4" s="525"/>
      <c r="B4" s="1363"/>
      <c r="C4" s="56"/>
      <c r="D4" s="1311"/>
      <c r="E4" s="1349"/>
      <c r="F4" s="1311"/>
      <c r="G4" s="1295"/>
      <c r="H4" s="1295"/>
      <c r="I4" s="1295"/>
      <c r="J4" s="1295"/>
      <c r="K4" s="1296"/>
      <c r="L4" s="1300"/>
      <c r="M4" s="1314"/>
      <c r="N4" s="1483"/>
      <c r="O4" s="31"/>
      <c r="P4" s="1316"/>
      <c r="Q4" s="1319"/>
      <c r="R4" s="31"/>
      <c r="S4" s="50"/>
      <c r="T4" s="1333"/>
      <c r="U4" s="56"/>
      <c r="V4" s="1311"/>
      <c r="W4" s="1295"/>
      <c r="X4" s="1349"/>
      <c r="Y4" s="1311"/>
      <c r="Z4" s="1295"/>
      <c r="AA4" s="1295"/>
      <c r="AB4" s="1295"/>
      <c r="AC4" s="1295"/>
      <c r="AD4" s="1295"/>
      <c r="AE4" s="1295"/>
      <c r="AF4" s="1295"/>
      <c r="AG4" s="1296"/>
      <c r="AH4" s="1311"/>
      <c r="AI4" s="1314"/>
      <c r="AJ4" s="1320"/>
      <c r="AK4" s="36"/>
      <c r="AL4" s="1316"/>
      <c r="AM4" s="1319"/>
      <c r="AN4" s="31"/>
      <c r="AO4" s="52"/>
      <c r="AP4" s="57"/>
      <c r="AQ4" s="58" t="s">
        <v>52</v>
      </c>
      <c r="AR4" s="58" t="s">
        <v>53</v>
      </c>
      <c r="AS4" s="58" t="s">
        <v>54</v>
      </c>
      <c r="AT4" s="58" t="s">
        <v>55</v>
      </c>
      <c r="AU4" s="58" t="s">
        <v>55</v>
      </c>
      <c r="AV4" s="59" t="s">
        <v>55</v>
      </c>
      <c r="AW4" s="1382" t="str">
        <f>+CONCATENATE("PROYECCION A DICIEMBRE 31 DEL ",N3)</f>
        <v>PROYECCION A DICIEMBRE 31 DEL 2025</v>
      </c>
      <c r="AX4" s="1374"/>
      <c r="AY4" s="1374"/>
      <c r="AZ4" s="1375"/>
      <c r="BA4" s="31"/>
      <c r="BB4" s="60"/>
      <c r="BC4" s="61"/>
      <c r="BD4" s="61"/>
      <c r="BE4" s="63"/>
      <c r="BF4" s="64"/>
      <c r="BG4" s="60"/>
      <c r="BH4" s="61"/>
      <c r="BI4" s="61"/>
      <c r="BJ4" s="62"/>
      <c r="BK4" s="65"/>
      <c r="BL4" s="66"/>
      <c r="BM4" s="735"/>
      <c r="BN4" s="736"/>
      <c r="BO4" s="737"/>
      <c r="BP4" s="737"/>
      <c r="BQ4" s="738"/>
    </row>
    <row r="5" spans="1:69" ht="42" customHeight="1" thickTop="1" thickBot="1">
      <c r="A5" s="1446" t="s">
        <v>56</v>
      </c>
      <c r="B5" s="1359" t="s">
        <v>61</v>
      </c>
      <c r="C5" s="1354" t="s">
        <v>57</v>
      </c>
      <c r="D5" s="1322"/>
      <c r="E5" s="1322"/>
      <c r="F5" s="1323"/>
      <c r="G5" s="1321" t="s">
        <v>404</v>
      </c>
      <c r="H5" s="1322"/>
      <c r="I5" s="1323"/>
      <c r="J5" s="1324" t="str">
        <f>+IF(L8&gt;I8,"OJO - RECAUDOS MAYORES QUE RECONOCIMIENTOS","RECAUDO")</f>
        <v>RECAUDO</v>
      </c>
      <c r="K5" s="1322"/>
      <c r="L5" s="1323"/>
      <c r="M5" s="1325" t="s">
        <v>59</v>
      </c>
      <c r="N5" s="1323"/>
      <c r="O5" s="31"/>
      <c r="P5" s="1317"/>
      <c r="Q5" s="1320"/>
      <c r="R5" s="31"/>
      <c r="S5" s="1358" t="s">
        <v>60</v>
      </c>
      <c r="T5" s="1359" t="s">
        <v>61</v>
      </c>
      <c r="U5" s="1360" t="s">
        <v>57</v>
      </c>
      <c r="V5" s="1322"/>
      <c r="W5" s="1322"/>
      <c r="X5" s="1323"/>
      <c r="Y5" s="1335" t="s">
        <v>405</v>
      </c>
      <c r="Z5" s="1322"/>
      <c r="AA5" s="1340"/>
      <c r="AB5" s="1335" t="s">
        <v>406</v>
      </c>
      <c r="AC5" s="1322"/>
      <c r="AD5" s="1323"/>
      <c r="AE5" s="1335" t="s">
        <v>34</v>
      </c>
      <c r="AF5" s="1322"/>
      <c r="AG5" s="1323"/>
      <c r="AH5" s="1335" t="s">
        <v>64</v>
      </c>
      <c r="AI5" s="1322"/>
      <c r="AJ5" s="1323"/>
      <c r="AK5" s="36"/>
      <c r="AL5" s="1317"/>
      <c r="AM5" s="1320"/>
      <c r="AN5" s="31"/>
      <c r="AO5" s="68"/>
      <c r="AP5" s="69" t="s">
        <v>65</v>
      </c>
      <c r="AQ5" s="58"/>
      <c r="AR5" s="58" t="s">
        <v>66</v>
      </c>
      <c r="AS5" s="58" t="s">
        <v>66</v>
      </c>
      <c r="AT5" s="58" t="s">
        <v>67</v>
      </c>
      <c r="AU5" s="58" t="s">
        <v>68</v>
      </c>
      <c r="AV5" s="58" t="s">
        <v>68</v>
      </c>
      <c r="AW5" s="58" t="s">
        <v>23</v>
      </c>
      <c r="AX5" s="58" t="s">
        <v>26</v>
      </c>
      <c r="AY5" s="58" t="s">
        <v>69</v>
      </c>
      <c r="AZ5" s="70" t="s">
        <v>69</v>
      </c>
      <c r="BA5" s="31"/>
      <c r="BB5" s="71" t="s">
        <v>70</v>
      </c>
      <c r="BC5" s="1445" t="str">
        <f>+CONCATENATE("ACUMULADO ",N3)</f>
        <v>ACUMULADO 2025</v>
      </c>
      <c r="BD5" s="1322"/>
      <c r="BE5" s="1323"/>
      <c r="BF5" s="1440" t="s">
        <v>352</v>
      </c>
      <c r="BG5" s="549" t="s">
        <v>71</v>
      </c>
      <c r="BH5" s="1361" t="str">
        <f>+CONCATENATE("ACUMULADO ",N3)</f>
        <v>ACUMULADO 2025</v>
      </c>
      <c r="BI5" s="1322"/>
      <c r="BJ5" s="1322"/>
      <c r="BK5" s="1442"/>
      <c r="BL5" s="1443" t="s">
        <v>353</v>
      </c>
      <c r="BM5" s="1384" t="s">
        <v>71</v>
      </c>
      <c r="BN5" s="1370" t="str">
        <f>+CONCATENATE("ACUMULADO ",BQ3)</f>
        <v>ACUMULADO 2025</v>
      </c>
      <c r="BO5" s="1371"/>
      <c r="BP5" s="1371"/>
      <c r="BQ5" s="1372"/>
    </row>
    <row r="6" spans="1:69" ht="24.75" customHeight="1" thickBot="1">
      <c r="A6" s="1398"/>
      <c r="B6" s="1401"/>
      <c r="C6" s="76" t="s">
        <v>72</v>
      </c>
      <c r="D6" s="77" t="s">
        <v>73</v>
      </c>
      <c r="E6" s="77" t="s">
        <v>74</v>
      </c>
      <c r="F6" s="78" t="s">
        <v>75</v>
      </c>
      <c r="G6" s="76" t="s">
        <v>76</v>
      </c>
      <c r="H6" s="77" t="s">
        <v>77</v>
      </c>
      <c r="I6" s="78" t="s">
        <v>78</v>
      </c>
      <c r="J6" s="76" t="s">
        <v>76</v>
      </c>
      <c r="K6" s="77" t="s">
        <v>77</v>
      </c>
      <c r="L6" s="78" t="s">
        <v>78</v>
      </c>
      <c r="M6" s="76" t="s">
        <v>79</v>
      </c>
      <c r="N6" s="664" t="s">
        <v>80</v>
      </c>
      <c r="O6" s="31"/>
      <c r="P6" s="79" t="s">
        <v>39</v>
      </c>
      <c r="Q6" s="80" t="s">
        <v>82</v>
      </c>
      <c r="R6" s="31"/>
      <c r="S6" s="1317"/>
      <c r="T6" s="1320"/>
      <c r="U6" s="81" t="s">
        <v>72</v>
      </c>
      <c r="V6" s="82" t="s">
        <v>73</v>
      </c>
      <c r="W6" s="82" t="s">
        <v>74</v>
      </c>
      <c r="X6" s="83" t="s">
        <v>75</v>
      </c>
      <c r="Y6" s="84" t="s">
        <v>76</v>
      </c>
      <c r="Z6" s="82" t="s">
        <v>77</v>
      </c>
      <c r="AA6" s="82" t="s">
        <v>78</v>
      </c>
      <c r="AB6" s="84" t="s">
        <v>76</v>
      </c>
      <c r="AC6" s="82" t="s">
        <v>77</v>
      </c>
      <c r="AD6" s="82" t="s">
        <v>78</v>
      </c>
      <c r="AE6" s="84" t="s">
        <v>76</v>
      </c>
      <c r="AF6" s="82" t="s">
        <v>77</v>
      </c>
      <c r="AG6" s="82" t="s">
        <v>78</v>
      </c>
      <c r="AH6" s="84" t="s">
        <v>29</v>
      </c>
      <c r="AI6" s="82" t="s">
        <v>31</v>
      </c>
      <c r="AJ6" s="83" t="s">
        <v>34</v>
      </c>
      <c r="AK6" s="36"/>
      <c r="AL6" s="76" t="s">
        <v>39</v>
      </c>
      <c r="AM6" s="78" t="s">
        <v>82</v>
      </c>
      <c r="AN6" s="31"/>
      <c r="AO6" s="85"/>
      <c r="AP6" s="86"/>
      <c r="AQ6" s="87" t="s">
        <v>75</v>
      </c>
      <c r="AR6" s="87" t="str">
        <f>+L3</f>
        <v>OCTUBRE</v>
      </c>
      <c r="AS6" s="87" t="str">
        <f>AR6</f>
        <v>OCTUBRE</v>
      </c>
      <c r="AT6" s="87" t="str">
        <f>AR6</f>
        <v>OCTUBRE</v>
      </c>
      <c r="AU6" s="87" t="s">
        <v>53</v>
      </c>
      <c r="AV6" s="87" t="s">
        <v>26</v>
      </c>
      <c r="AW6" s="87"/>
      <c r="AX6" s="87"/>
      <c r="AY6" s="87" t="s">
        <v>53</v>
      </c>
      <c r="AZ6" s="88" t="s">
        <v>26</v>
      </c>
      <c r="BA6" s="31"/>
      <c r="BB6" s="89"/>
      <c r="BC6" s="90" t="s">
        <v>83</v>
      </c>
      <c r="BD6" s="91" t="s">
        <v>84</v>
      </c>
      <c r="BE6" s="92" t="s">
        <v>85</v>
      </c>
      <c r="BF6" s="1441"/>
      <c r="BG6" s="550"/>
      <c r="BH6" s="551" t="s">
        <v>83</v>
      </c>
      <c r="BI6" s="551" t="s">
        <v>86</v>
      </c>
      <c r="BJ6" s="551" t="s">
        <v>87</v>
      </c>
      <c r="BK6" s="92" t="s">
        <v>85</v>
      </c>
      <c r="BL6" s="1444"/>
      <c r="BM6" s="1385"/>
      <c r="BN6" s="96" t="s">
        <v>83</v>
      </c>
      <c r="BO6" s="739" t="s">
        <v>86</v>
      </c>
      <c r="BP6" s="739" t="s">
        <v>87</v>
      </c>
      <c r="BQ6" s="740" t="s">
        <v>88</v>
      </c>
    </row>
    <row r="7" spans="1:69" ht="24.75" customHeight="1" thickBot="1">
      <c r="A7" s="526"/>
      <c r="B7" s="103"/>
      <c r="C7" s="104"/>
      <c r="D7" s="104"/>
      <c r="E7" s="104"/>
      <c r="F7" s="104"/>
      <c r="G7" s="104"/>
      <c r="H7" s="104"/>
      <c r="I7" s="104"/>
      <c r="J7" s="104"/>
      <c r="K7" s="104"/>
      <c r="L7" s="104"/>
      <c r="M7" s="104"/>
      <c r="N7" s="1094"/>
      <c r="O7" s="31"/>
      <c r="P7" s="527"/>
      <c r="Q7" s="105"/>
      <c r="R7" s="101"/>
      <c r="S7" s="102"/>
      <c r="T7" s="103"/>
      <c r="U7" s="104"/>
      <c r="V7" s="104"/>
      <c r="W7" s="104"/>
      <c r="X7" s="104"/>
      <c r="Y7" s="104"/>
      <c r="Z7" s="104"/>
      <c r="AA7" s="104"/>
      <c r="AB7" s="104"/>
      <c r="AC7" s="104"/>
      <c r="AD7" s="104"/>
      <c r="AE7" s="104"/>
      <c r="AF7" s="104"/>
      <c r="AG7" s="104"/>
      <c r="AH7" s="104"/>
      <c r="AI7" s="104"/>
      <c r="AJ7" s="105"/>
      <c r="AK7" s="36"/>
      <c r="AL7" s="106"/>
      <c r="AM7" s="107"/>
      <c r="AN7" s="101"/>
      <c r="AO7" s="108"/>
      <c r="AP7" s="109" t="s">
        <v>89</v>
      </c>
      <c r="AQ7" s="110">
        <f>F22</f>
        <v>62813118010.586876</v>
      </c>
      <c r="AR7" s="110">
        <f>I22</f>
        <v>74649741945</v>
      </c>
      <c r="AS7" s="110">
        <f>L22</f>
        <v>46119654032</v>
      </c>
      <c r="AT7" s="101"/>
      <c r="AU7" s="111">
        <f t="shared" ref="AU7:AU17" si="0">IF(AQ7=0," ",AR7/AQ7)</f>
        <v>1.1884419100548091</v>
      </c>
      <c r="AV7" s="111">
        <f t="shared" ref="AV7:AV17" si="1">IF(AQ7=0," ",AS7/AQ7)</f>
        <v>0.73423602414111544</v>
      </c>
      <c r="AW7" s="110">
        <f>I23/AO$2*12+I24</f>
        <v>86224181877.799988</v>
      </c>
      <c r="AX7" s="110">
        <f>L23/AO$2*12+L24</f>
        <v>51988076382.199997</v>
      </c>
      <c r="AY7" s="110">
        <f t="shared" ref="AY7:AY16" si="2">AW7-AQ7</f>
        <v>23411063867.213112</v>
      </c>
      <c r="AZ7" s="112">
        <f t="shared" ref="AZ7:AZ16" si="3">AX7-AQ7</f>
        <v>-10825041628.386879</v>
      </c>
      <c r="BA7" s="101"/>
      <c r="BB7" s="113" t="s">
        <v>90</v>
      </c>
      <c r="BC7" s="114">
        <f>F10</f>
        <v>1179477265</v>
      </c>
      <c r="BD7" s="115">
        <f>I10</f>
        <v>1179477265</v>
      </c>
      <c r="BE7" s="116">
        <f>K10</f>
        <v>0</v>
      </c>
      <c r="BF7" s="553">
        <f>MARZO!BF7+ABRIL!BE7+MAYO!BE7+JUNIO!BE7</f>
        <v>1179477265</v>
      </c>
      <c r="BG7" s="227" t="s">
        <v>91</v>
      </c>
      <c r="BH7" s="554">
        <f>+SUM(BH8:BH11)</f>
        <v>102591667543.61127</v>
      </c>
      <c r="BI7" s="554">
        <f>+SUM(BI8:BI11)</f>
        <v>89354722269</v>
      </c>
      <c r="BJ7" s="554">
        <f>+SUM(BJ8:BJ11)</f>
        <v>79850764313</v>
      </c>
      <c r="BK7" s="116">
        <f>Q10</f>
        <v>0</v>
      </c>
      <c r="BL7" s="555">
        <f>+BK7+MAYO!BK7+ABRIL!BK7+MARZO!BL7</f>
        <v>18271179944</v>
      </c>
      <c r="BM7" s="741" t="s">
        <v>91</v>
      </c>
      <c r="BN7" s="121">
        <f>BN8+BN15+BN22</f>
        <v>102591667543.6113</v>
      </c>
      <c r="BO7" s="121">
        <f>BO8+BO15+BO22</f>
        <v>89354722269</v>
      </c>
      <c r="BP7" s="121">
        <f>BP8+BP15+BP22</f>
        <v>79850764313</v>
      </c>
      <c r="BQ7" s="121">
        <f>BQ8+BQ15+BQ22</f>
        <v>5819151044</v>
      </c>
    </row>
    <row r="8" spans="1:69" ht="24.75" customHeight="1" thickBot="1">
      <c r="A8" s="123">
        <f>+IF(SEPTIEMBRE!A8=0,"",SEPTIEMBRE!A8)</f>
        <v>1</v>
      </c>
      <c r="B8" s="124" t="str">
        <f>+IF(SEPTIEMBRE!B8=0,"",SEPTIEMBRE!B8)</f>
        <v>INGRESOS</v>
      </c>
      <c r="C8" s="125">
        <f t="shared" ref="C8:N8" si="4">C10+C17+C113</f>
        <v>158143153137.47653</v>
      </c>
      <c r="D8" s="125">
        <f t="shared" si="4"/>
        <v>0</v>
      </c>
      <c r="E8" s="125">
        <f t="shared" si="4"/>
        <v>54461930466</v>
      </c>
      <c r="F8" s="125">
        <f t="shared" si="4"/>
        <v>212605083603.47653</v>
      </c>
      <c r="G8" s="125">
        <f t="shared" si="4"/>
        <v>186471341600</v>
      </c>
      <c r="H8" s="125">
        <f t="shared" si="4"/>
        <v>17579908513</v>
      </c>
      <c r="I8" s="125">
        <f t="shared" si="4"/>
        <v>204051250113</v>
      </c>
      <c r="J8" s="125">
        <f t="shared" si="4"/>
        <v>113701644793</v>
      </c>
      <c r="K8" s="125">
        <f t="shared" si="4"/>
        <v>10022833937</v>
      </c>
      <c r="L8" s="125">
        <f t="shared" si="4"/>
        <v>123724478730</v>
      </c>
      <c r="M8" s="125">
        <f t="shared" si="4"/>
        <v>8553833490.4765129</v>
      </c>
      <c r="N8" s="667">
        <f t="shared" si="4"/>
        <v>88880604873.476517</v>
      </c>
      <c r="O8" s="126"/>
      <c r="P8" s="127">
        <f>P10+P17+P113</f>
        <v>0</v>
      </c>
      <c r="Q8" s="128">
        <f>Q10+Q17+Q113</f>
        <v>4845730991</v>
      </c>
      <c r="R8" s="101"/>
      <c r="S8" s="129" t="str">
        <f>+IF(SEPTIEMBRE!S8=0,"",SEPTIEMBRE!S8)</f>
        <v>2</v>
      </c>
      <c r="T8" s="130" t="str">
        <f>+IF(SEPTIEMBRE!T8=0,"",SEPTIEMBRE!T8)</f>
        <v>GASTOS</v>
      </c>
      <c r="U8" s="131">
        <f t="shared" ref="U8:Z8" si="5">U10+U192+U219+U231</f>
        <v>158143153137.16666</v>
      </c>
      <c r="V8" s="132">
        <f t="shared" si="5"/>
        <v>0</v>
      </c>
      <c r="W8" s="132">
        <f t="shared" si="5"/>
        <v>54461930466</v>
      </c>
      <c r="X8" s="132">
        <f t="shared" si="5"/>
        <v>212605083603.16666</v>
      </c>
      <c r="Y8" s="134">
        <f t="shared" si="5"/>
        <v>171128099094</v>
      </c>
      <c r="Z8" s="132">
        <f t="shared" si="5"/>
        <v>13951312924</v>
      </c>
      <c r="AA8" s="133">
        <f>SUM(Y8:Z8)</f>
        <v>185079412018</v>
      </c>
      <c r="AB8" s="134">
        <f t="shared" ref="AB8:AJ8" si="6">AB10+AB192+AB219+AB231</f>
        <v>149833569411</v>
      </c>
      <c r="AC8" s="132">
        <f t="shared" si="6"/>
        <v>13927117507</v>
      </c>
      <c r="AD8" s="133">
        <f t="shared" si="6"/>
        <v>163724163776</v>
      </c>
      <c r="AE8" s="134">
        <f t="shared" si="6"/>
        <v>108335875963.5</v>
      </c>
      <c r="AF8" s="132">
        <f t="shared" si="6"/>
        <v>9604554332</v>
      </c>
      <c r="AG8" s="133">
        <f t="shared" si="6"/>
        <v>117922168724.5</v>
      </c>
      <c r="AH8" s="134">
        <f t="shared" si="6"/>
        <v>27543933156.166664</v>
      </c>
      <c r="AI8" s="132">
        <f t="shared" si="6"/>
        <v>48862658256.166664</v>
      </c>
      <c r="AJ8" s="135">
        <f t="shared" si="6"/>
        <v>94664653307.666656</v>
      </c>
      <c r="AK8" s="101"/>
      <c r="AL8" s="135">
        <f>AL10+AL192+AL219+AL231</f>
        <v>0</v>
      </c>
      <c r="AM8" s="135">
        <f>AM10+AM192+AM219+AM231</f>
        <v>4845730991</v>
      </c>
      <c r="AN8" s="101"/>
      <c r="AO8" s="108"/>
      <c r="AP8" s="109" t="s">
        <v>93</v>
      </c>
      <c r="AQ8" s="138">
        <f>F25</f>
        <v>110963785244</v>
      </c>
      <c r="AR8" s="138">
        <f>I25</f>
        <v>97008277647</v>
      </c>
      <c r="AS8" s="138">
        <f>L25</f>
        <v>53385246292</v>
      </c>
      <c r="AT8" s="101"/>
      <c r="AU8" s="139">
        <f t="shared" si="0"/>
        <v>0.8742336739296247</v>
      </c>
      <c r="AV8" s="139">
        <f t="shared" si="1"/>
        <v>0.4811051297016441</v>
      </c>
      <c r="AW8" s="138">
        <f>I26/AO$2*12+I27</f>
        <v>110284876968.39999</v>
      </c>
      <c r="AX8" s="138">
        <f>L26/AO$2*12+L27</f>
        <v>57937239342.399994</v>
      </c>
      <c r="AY8" s="138">
        <f t="shared" si="2"/>
        <v>-678908275.6000061</v>
      </c>
      <c r="AZ8" s="140">
        <f t="shared" si="3"/>
        <v>-53026545901.600006</v>
      </c>
      <c r="BA8" s="101"/>
      <c r="BB8" s="141" t="s">
        <v>94</v>
      </c>
      <c r="BC8" s="142">
        <f>BC9+BC19</f>
        <v>166065498315.37653</v>
      </c>
      <c r="BD8" s="143">
        <f>BD9+BD19</f>
        <v>152888818490</v>
      </c>
      <c r="BE8" s="144">
        <f>BE9+BE19</f>
        <v>9616791426</v>
      </c>
      <c r="BF8" s="553">
        <f>MARZO!BF8+ABRIL!BE8+MAYO!BE8+JUNIO!BE8</f>
        <v>31282077404</v>
      </c>
      <c r="BG8" s="145" t="s">
        <v>95</v>
      </c>
      <c r="BH8" s="146">
        <f>BN9+BN13</f>
        <v>10142627086.212667</v>
      </c>
      <c r="BI8" s="146">
        <f>BO9+BO13</f>
        <v>6751232450</v>
      </c>
      <c r="BJ8" s="146">
        <f>BP9+BP13</f>
        <v>6751232450</v>
      </c>
      <c r="BK8" s="142">
        <f>SUM(BK9+BK19+BK18)</f>
        <v>4845730991</v>
      </c>
      <c r="BL8" s="555">
        <f>+BK8+MAYO!BK8+ABRIL!BK8+MARZO!BL8</f>
        <v>8084623345</v>
      </c>
      <c r="BM8" s="743" t="s">
        <v>96</v>
      </c>
      <c r="BN8" s="148">
        <f>BN9+BN14+BN13</f>
        <v>79707385742.212677</v>
      </c>
      <c r="BO8" s="146">
        <f>BO9+BO14+BO13</f>
        <v>74014148715</v>
      </c>
      <c r="BP8" s="146">
        <f>BP9+BP14+BP13</f>
        <v>66618773473</v>
      </c>
      <c r="BQ8" s="744">
        <f>BQ9+BQ14+BQ13</f>
        <v>4811665328</v>
      </c>
    </row>
    <row r="9" spans="1:69" ht="24.75" customHeight="1" thickBot="1">
      <c r="A9" s="149"/>
      <c r="B9" s="150"/>
      <c r="C9" s="151"/>
      <c r="D9" s="151"/>
      <c r="E9" s="151"/>
      <c r="F9" s="151"/>
      <c r="G9" s="151"/>
      <c r="H9" s="151"/>
      <c r="I9" s="151"/>
      <c r="J9" s="151"/>
      <c r="K9" s="151"/>
      <c r="L9" s="151"/>
      <c r="M9" s="151"/>
      <c r="N9" s="1095"/>
      <c r="O9" s="126"/>
      <c r="P9" s="153"/>
      <c r="Q9" s="152"/>
      <c r="R9" s="101"/>
      <c r="S9" s="102"/>
      <c r="T9" s="103"/>
      <c r="U9" s="104"/>
      <c r="V9" s="104"/>
      <c r="W9" s="104"/>
      <c r="X9" s="104"/>
      <c r="Y9" s="104"/>
      <c r="Z9" s="104"/>
      <c r="AA9" s="104"/>
      <c r="AB9" s="104"/>
      <c r="AC9" s="104"/>
      <c r="AD9" s="104"/>
      <c r="AE9" s="104"/>
      <c r="AF9" s="104"/>
      <c r="AG9" s="104"/>
      <c r="AH9" s="104"/>
      <c r="AI9" s="104"/>
      <c r="AJ9" s="105"/>
      <c r="AK9" s="101"/>
      <c r="AL9" s="154"/>
      <c r="AM9" s="155"/>
      <c r="AN9" s="101"/>
      <c r="AO9" s="156"/>
      <c r="AP9" s="109" t="s">
        <v>97</v>
      </c>
      <c r="AQ9" s="138">
        <f>F28+F75</f>
        <v>2299679776</v>
      </c>
      <c r="AR9" s="138">
        <f>I28+I75</f>
        <v>2082262257</v>
      </c>
      <c r="AS9" s="138">
        <f>L28+L75</f>
        <v>1902788041</v>
      </c>
      <c r="AT9" s="101"/>
      <c r="AU9" s="157">
        <f t="shared" si="0"/>
        <v>0.90545748096364531</v>
      </c>
      <c r="AV9" s="157">
        <f t="shared" si="1"/>
        <v>0.82741434736172592</v>
      </c>
      <c r="AW9" s="158">
        <f>(I30+I33+I36+I76)/AO$2*12+I31+I34+I37+I38+I39+I40+I77</f>
        <v>2386477912.1999998</v>
      </c>
      <c r="AX9" s="158">
        <f>(L30+L33+L36+L76)/AO$2*12+L31+L34+L37+L38+L39+L40+L77</f>
        <v>2171108853</v>
      </c>
      <c r="AY9" s="158">
        <f t="shared" si="2"/>
        <v>86798136.199999809</v>
      </c>
      <c r="AZ9" s="159">
        <f t="shared" si="3"/>
        <v>-128570923</v>
      </c>
      <c r="BA9" s="101"/>
      <c r="BB9" s="160" t="s">
        <v>98</v>
      </c>
      <c r="BC9" s="161">
        <f>BC10+BC18</f>
        <v>159796428863.37653</v>
      </c>
      <c r="BD9" s="162">
        <f>BD10+BD18</f>
        <v>149706107725</v>
      </c>
      <c r="BE9" s="163">
        <f>BE10+BE18</f>
        <v>8289591300</v>
      </c>
      <c r="BF9" s="553">
        <f>MARZO!BF9+ABRIL!BE9+MAYO!BE9+JUNIO!BE9</f>
        <v>30552431532</v>
      </c>
      <c r="BG9" s="165" t="s">
        <v>99</v>
      </c>
      <c r="BH9" s="166">
        <f t="shared" ref="BH9:BJ10" si="7">BN14</f>
        <v>69564758656</v>
      </c>
      <c r="BI9" s="166">
        <f t="shared" si="7"/>
        <v>67262916265</v>
      </c>
      <c r="BJ9" s="166">
        <f t="shared" si="7"/>
        <v>59867541023</v>
      </c>
      <c r="BK9" s="161">
        <f>BK10+BK16</f>
        <v>146439829</v>
      </c>
      <c r="BL9" s="555">
        <f>+BK9+MAYO!BK9+ABRIL!BK9+MARZO!BL9</f>
        <v>11021977521</v>
      </c>
      <c r="BM9" s="745" t="s">
        <v>100</v>
      </c>
      <c r="BN9" s="168">
        <f>SUM(BN10:BN12)</f>
        <v>7476975682.916667</v>
      </c>
      <c r="BO9" s="574">
        <f>SUM(BO10:BO12)</f>
        <v>5174571183</v>
      </c>
      <c r="BP9" s="166">
        <f>SUM(BP10:BP12)</f>
        <v>5174571183</v>
      </c>
      <c r="BQ9" s="746">
        <f>SUM(BQ10:BQ12)</f>
        <v>501014447</v>
      </c>
    </row>
    <row r="10" spans="1:69" ht="24.75" customHeight="1">
      <c r="A10" s="169" t="str">
        <f>+IF(SEPTIEMBRE!A10=0,"",SEPTIEMBRE!A10)</f>
        <v>1.0</v>
      </c>
      <c r="B10" s="170" t="str">
        <f>+IF(SEPTIEMBRE!B10=0,"",SEPTIEMBRE!B10)</f>
        <v>DISPONIBILIDAD INICIAL</v>
      </c>
      <c r="C10" s="171">
        <f t="shared" ref="C10:N10" si="8">SUM(C12:C15)</f>
        <v>0</v>
      </c>
      <c r="D10" s="172">
        <f t="shared" si="8"/>
        <v>0</v>
      </c>
      <c r="E10" s="172">
        <f t="shared" si="8"/>
        <v>1179477265</v>
      </c>
      <c r="F10" s="173">
        <f t="shared" si="8"/>
        <v>1179477265</v>
      </c>
      <c r="G10" s="174">
        <f t="shared" si="8"/>
        <v>1179477265</v>
      </c>
      <c r="H10" s="172">
        <f t="shared" si="8"/>
        <v>0</v>
      </c>
      <c r="I10" s="175">
        <f t="shared" si="8"/>
        <v>1179477265</v>
      </c>
      <c r="J10" s="171">
        <f t="shared" si="8"/>
        <v>1179477265</v>
      </c>
      <c r="K10" s="172">
        <f t="shared" si="8"/>
        <v>0</v>
      </c>
      <c r="L10" s="173">
        <f t="shared" si="8"/>
        <v>1179477265</v>
      </c>
      <c r="M10" s="171">
        <f t="shared" si="8"/>
        <v>0</v>
      </c>
      <c r="N10" s="693">
        <f t="shared" si="8"/>
        <v>0</v>
      </c>
      <c r="O10" s="101"/>
      <c r="P10" s="171">
        <f>SUM(P12:P15)</f>
        <v>0</v>
      </c>
      <c r="Q10" s="173">
        <f>SUM(Q12:Q15)</f>
        <v>0</v>
      </c>
      <c r="R10" s="101"/>
      <c r="S10" s="176" t="str">
        <f>+IF(SEPTIEMBRE!S10=0,"",SEPTIEMBRE!S10)</f>
        <v>2.1</v>
      </c>
      <c r="T10" s="177" t="str">
        <f>+IF(SEPTIEMBRE!T10=0,"",SEPTIEMBRE!T10)</f>
        <v>GASTOS DE FUNCIONAMIENTO</v>
      </c>
      <c r="U10" s="178">
        <f t="shared" ref="U10:AJ10" si="9">U12+U110+U168</f>
        <v>112528788023.5</v>
      </c>
      <c r="V10" s="179">
        <f t="shared" si="9"/>
        <v>0</v>
      </c>
      <c r="W10" s="1184">
        <f t="shared" si="9"/>
        <v>11349143180</v>
      </c>
      <c r="X10" s="182">
        <f t="shared" si="9"/>
        <v>123877931203.5</v>
      </c>
      <c r="Y10" s="181">
        <f t="shared" si="9"/>
        <v>101077970972</v>
      </c>
      <c r="Z10" s="179">
        <f t="shared" si="9"/>
        <v>7229535040</v>
      </c>
      <c r="AA10" s="182">
        <f t="shared" si="9"/>
        <v>108270982870</v>
      </c>
      <c r="AB10" s="181">
        <f t="shared" si="9"/>
        <v>90417010114</v>
      </c>
      <c r="AC10" s="179">
        <f t="shared" si="9"/>
        <v>8386537942</v>
      </c>
      <c r="AD10" s="182">
        <f t="shared" si="9"/>
        <v>98767024914</v>
      </c>
      <c r="AE10" s="181">
        <f t="shared" si="9"/>
        <v>68845468332.5</v>
      </c>
      <c r="AF10" s="179">
        <f t="shared" si="9"/>
        <v>5819151044</v>
      </c>
      <c r="AG10" s="182">
        <f t="shared" si="9"/>
        <v>74646357805.5</v>
      </c>
      <c r="AH10" s="181">
        <f t="shared" si="9"/>
        <v>15588686762.5</v>
      </c>
      <c r="AI10" s="179">
        <f t="shared" si="9"/>
        <v>25092644718.5</v>
      </c>
      <c r="AJ10" s="180">
        <f t="shared" si="9"/>
        <v>49213311827</v>
      </c>
      <c r="AK10" s="101"/>
      <c r="AL10" s="180">
        <f>AL12+AL110+AL168</f>
        <v>0</v>
      </c>
      <c r="AM10" s="180">
        <f>AM12+AM110+AM168</f>
        <v>0</v>
      </c>
      <c r="AN10" s="101"/>
      <c r="AO10" s="156"/>
      <c r="AP10" s="109" t="s">
        <v>102</v>
      </c>
      <c r="AQ10" s="138">
        <f>F42</f>
        <v>287170800</v>
      </c>
      <c r="AR10" s="138">
        <f>I42</f>
        <v>113465795</v>
      </c>
      <c r="AS10" s="138">
        <f>L42</f>
        <v>75044358</v>
      </c>
      <c r="AT10" s="101"/>
      <c r="AU10" s="157">
        <f t="shared" si="0"/>
        <v>0.39511605985009618</v>
      </c>
      <c r="AV10" s="157">
        <f t="shared" si="1"/>
        <v>0.26132308020174755</v>
      </c>
      <c r="AW10" s="158">
        <f>I43/AO$2*12+I44</f>
        <v>123679507.59999999</v>
      </c>
      <c r="AX10" s="158">
        <f>L43/AO$2*12+L44</f>
        <v>77573783.200000003</v>
      </c>
      <c r="AY10" s="158">
        <f t="shared" si="2"/>
        <v>-163491292.40000001</v>
      </c>
      <c r="AZ10" s="159">
        <f t="shared" si="3"/>
        <v>-209597016.80000001</v>
      </c>
      <c r="BA10" s="101"/>
      <c r="BB10" s="185" t="s">
        <v>103</v>
      </c>
      <c r="BC10" s="161">
        <f>BC11+BC12+BC13+BC14+BC16+BC17+BC15</f>
        <v>159796428863.37653</v>
      </c>
      <c r="BD10" s="162">
        <f>BD11+BD12+BD13+BD14+BD16+BD17+BD15</f>
        <v>149706107725</v>
      </c>
      <c r="BE10" s="163">
        <f>BE11+BE12+BE13+BE14+BE16+BE17+BE15</f>
        <v>8289591300</v>
      </c>
      <c r="BF10" s="553">
        <f>MARZO!BF10+ABRIL!BE10+MAYO!BE10+JUNIO!BE10</f>
        <v>24439062842</v>
      </c>
      <c r="BG10" s="145" t="s">
        <v>104</v>
      </c>
      <c r="BH10" s="186">
        <f t="shared" si="7"/>
        <v>20210221216.398613</v>
      </c>
      <c r="BI10" s="186">
        <f t="shared" si="7"/>
        <v>14171472464</v>
      </c>
      <c r="BJ10" s="186">
        <f t="shared" si="7"/>
        <v>12077431080</v>
      </c>
      <c r="BK10" s="161">
        <f>SUM(BK11+BK12+BK13+BK14+BK17)</f>
        <v>0</v>
      </c>
      <c r="BL10" s="555">
        <f>+BK10+MAYO!BK10+ABRIL!BK10+MARZO!BL10</f>
        <v>3635960006</v>
      </c>
      <c r="BM10" s="747" t="s">
        <v>105</v>
      </c>
      <c r="BN10" s="188">
        <f>X17+X66</f>
        <v>5851372985</v>
      </c>
      <c r="BO10" s="575">
        <f>AA17+AA66</f>
        <v>4280985953</v>
      </c>
      <c r="BP10" s="186">
        <f>AD17+AD66</f>
        <v>4280985953</v>
      </c>
      <c r="BQ10" s="748">
        <f>AF17+AF66</f>
        <v>404395252</v>
      </c>
    </row>
    <row r="11" spans="1:69" ht="24.75" customHeight="1">
      <c r="A11" s="149"/>
      <c r="B11" s="150"/>
      <c r="C11" s="151"/>
      <c r="D11" s="151"/>
      <c r="E11" s="151"/>
      <c r="F11" s="151"/>
      <c r="G11" s="151"/>
      <c r="H11" s="151"/>
      <c r="I11" s="151"/>
      <c r="J11" s="151"/>
      <c r="K11" s="151"/>
      <c r="L11" s="151"/>
      <c r="M11" s="151"/>
      <c r="N11" s="1095"/>
      <c r="O11" s="126"/>
      <c r="P11" s="153"/>
      <c r="Q11" s="152"/>
      <c r="R11" s="101"/>
      <c r="S11" s="189"/>
      <c r="T11" s="488"/>
      <c r="U11" s="191"/>
      <c r="V11" s="191"/>
      <c r="W11" s="191"/>
      <c r="X11" s="191"/>
      <c r="Y11" s="191"/>
      <c r="Z11" s="191"/>
      <c r="AA11" s="191"/>
      <c r="AB11" s="191"/>
      <c r="AC11" s="191"/>
      <c r="AD11" s="191"/>
      <c r="AE11" s="191"/>
      <c r="AF11" s="191"/>
      <c r="AG11" s="191"/>
      <c r="AH11" s="191"/>
      <c r="AI11" s="191"/>
      <c r="AJ11" s="192"/>
      <c r="AK11" s="101"/>
      <c r="AL11" s="194"/>
      <c r="AM11" s="195"/>
      <c r="AN11" s="101"/>
      <c r="AO11" s="196" t="s">
        <v>50</v>
      </c>
      <c r="AP11" s="197" t="s">
        <v>106</v>
      </c>
      <c r="AQ11" s="138">
        <f>F88</f>
        <v>2337265046</v>
      </c>
      <c r="AR11" s="138">
        <f>I88</f>
        <v>2337265046</v>
      </c>
      <c r="AS11" s="138">
        <f>L88</f>
        <v>2278833420</v>
      </c>
      <c r="AT11" s="198">
        <f>AO2/12</f>
        <v>0.83333333333333337</v>
      </c>
      <c r="AU11" s="157">
        <f t="shared" si="0"/>
        <v>1</v>
      </c>
      <c r="AV11" s="157">
        <f t="shared" si="1"/>
        <v>0.97500000006417753</v>
      </c>
      <c r="AW11" s="158">
        <f>I88</f>
        <v>2337265046</v>
      </c>
      <c r="AX11" s="158">
        <f>L88</f>
        <v>2278833420</v>
      </c>
      <c r="AY11" s="158">
        <f t="shared" si="2"/>
        <v>0</v>
      </c>
      <c r="AZ11" s="159">
        <f t="shared" si="3"/>
        <v>-58431626</v>
      </c>
      <c r="BA11" s="101"/>
      <c r="BB11" s="185" t="s">
        <v>107</v>
      </c>
      <c r="BC11" s="161">
        <f>F26</f>
        <v>81866799864</v>
      </c>
      <c r="BD11" s="162">
        <f>I26</f>
        <v>66382996607</v>
      </c>
      <c r="BE11" s="163">
        <f>K26</f>
        <v>3871461259</v>
      </c>
      <c r="BF11" s="553">
        <f>MARZO!BF11+ABRIL!BE11+MAYO!BE11+JUNIO!BE11</f>
        <v>8453018963</v>
      </c>
      <c r="BG11" s="145" t="s">
        <v>108</v>
      </c>
      <c r="BH11" s="199">
        <f>BN22</f>
        <v>2674060585</v>
      </c>
      <c r="BI11" s="199">
        <f>BO22</f>
        <v>1169101090</v>
      </c>
      <c r="BJ11" s="199">
        <f>BP22</f>
        <v>1154559760</v>
      </c>
      <c r="BK11" s="161">
        <f>SUM(Q26)</f>
        <v>0</v>
      </c>
      <c r="BL11" s="555">
        <f>+BK11+MAYO!BK11+ABRIL!BK11+MARZO!BL11</f>
        <v>520789892</v>
      </c>
      <c r="BM11" s="749" t="s">
        <v>109</v>
      </c>
      <c r="BN11" s="201">
        <f>X18+X67</f>
        <v>17000000</v>
      </c>
      <c r="BO11" s="576">
        <f>AA18+AA67</f>
        <v>12418318</v>
      </c>
      <c r="BP11" s="199">
        <f>AD18+AD67</f>
        <v>12418318</v>
      </c>
      <c r="BQ11" s="750">
        <f>AF18+AF67</f>
        <v>1339799</v>
      </c>
    </row>
    <row r="12" spans="1:69" ht="24.75" customHeight="1">
      <c r="A12" s="202" t="str">
        <f>+IF(SEPTIEMBRE!A12=0,"",SEPTIEMBRE!A12)</f>
        <v>1.0.01</v>
      </c>
      <c r="B12" s="203" t="str">
        <f>+IF(SEPTIEMBRE!B12=0,"",SEPTIEMBRE!B12)</f>
        <v>Caja</v>
      </c>
      <c r="C12" s="204">
        <f>+ENERO!C12</f>
        <v>0</v>
      </c>
      <c r="D12" s="205">
        <f>SEPTIEMBRE!D12+OCTUBRE!P12</f>
        <v>0</v>
      </c>
      <c r="E12" s="205">
        <f>SEPTIEMBRE!E12+OCTUBRE!Q12</f>
        <v>3941159</v>
      </c>
      <c r="F12" s="206">
        <f>SUM(C12:E12)</f>
        <v>3941159</v>
      </c>
      <c r="G12" s="207">
        <f>SEPTIEMBRE!I12</f>
        <v>3941159</v>
      </c>
      <c r="H12" s="208">
        <v>0</v>
      </c>
      <c r="I12" s="206">
        <f>SUM(G12:H12)</f>
        <v>3941159</v>
      </c>
      <c r="J12" s="207">
        <f>SEPTIEMBRE!L12</f>
        <v>3941159</v>
      </c>
      <c r="K12" s="209">
        <v>0</v>
      </c>
      <c r="L12" s="206">
        <f>SUM(J12:K12)</f>
        <v>3941159</v>
      </c>
      <c r="M12" s="207">
        <f>F12-I12</f>
        <v>0</v>
      </c>
      <c r="N12" s="671">
        <f>F12-L12</f>
        <v>0</v>
      </c>
      <c r="O12" s="67"/>
      <c r="P12" s="204">
        <v>0</v>
      </c>
      <c r="Q12" s="210">
        <v>0</v>
      </c>
      <c r="R12" s="101"/>
      <c r="S12" s="211" t="str">
        <f>+IF(SEPTIEMBRE!S12=0,"",SEPTIEMBRE!S12)</f>
        <v>2.1.1</v>
      </c>
      <c r="T12" s="212" t="str">
        <f>+IF(SEPTIEMBRE!T12=0,"",SEPTIEMBRE!T12)</f>
        <v>GASTOS DE PERSONAL</v>
      </c>
      <c r="U12" s="213">
        <f>U14+U63</f>
        <v>88367557767.879166</v>
      </c>
      <c r="V12" s="214">
        <f t="shared" ref="V12:AJ12" si="10">V14+V63</f>
        <v>-19478115</v>
      </c>
      <c r="W12" s="214">
        <f t="shared" si="10"/>
        <v>8355635160</v>
      </c>
      <c r="X12" s="215">
        <f t="shared" si="10"/>
        <v>96703714812.879166</v>
      </c>
      <c r="Y12" s="183">
        <f t="shared" si="10"/>
        <v>84998410104</v>
      </c>
      <c r="Z12" s="214">
        <f>Z14+Z63</f>
        <v>6017195271</v>
      </c>
      <c r="AA12" s="215">
        <f t="shared" si="10"/>
        <v>90979082233</v>
      </c>
      <c r="AB12" s="183">
        <f t="shared" si="10"/>
        <v>76693752979</v>
      </c>
      <c r="AC12" s="214">
        <f t="shared" si="10"/>
        <v>6926477154</v>
      </c>
      <c r="AD12" s="215">
        <f t="shared" si="10"/>
        <v>83583706991</v>
      </c>
      <c r="AE12" s="183">
        <f t="shared" si="10"/>
        <v>58235450547</v>
      </c>
      <c r="AF12" s="214">
        <f t="shared" si="10"/>
        <v>4811665328</v>
      </c>
      <c r="AG12" s="215">
        <f t="shared" si="10"/>
        <v>63028854304</v>
      </c>
      <c r="AH12" s="183">
        <f t="shared" si="10"/>
        <v>5706371008.8791676</v>
      </c>
      <c r="AI12" s="214">
        <f t="shared" si="10"/>
        <v>13101746250.879168</v>
      </c>
      <c r="AJ12" s="184">
        <f t="shared" si="10"/>
        <v>33656598937.879166</v>
      </c>
      <c r="AK12" s="216"/>
      <c r="AL12" s="217">
        <f>AL14+AL63</f>
        <v>416459755</v>
      </c>
      <c r="AM12" s="217">
        <f>AM14+AM63</f>
        <v>0</v>
      </c>
      <c r="AN12" s="101"/>
      <c r="AO12" s="196"/>
      <c r="AP12" s="197" t="s">
        <v>111</v>
      </c>
      <c r="AQ12" s="138">
        <f>F89+F92</f>
        <v>9574697797</v>
      </c>
      <c r="AR12" s="138">
        <f>I89+I92</f>
        <v>8627212532</v>
      </c>
      <c r="AS12" s="138">
        <f>L89+L92</f>
        <v>8602491028</v>
      </c>
      <c r="AT12" s="101"/>
      <c r="AU12" s="157">
        <f t="shared" si="0"/>
        <v>0.90104280207184484</v>
      </c>
      <c r="AV12" s="157">
        <f t="shared" si="1"/>
        <v>0.89846084026749984</v>
      </c>
      <c r="AW12" s="158">
        <f>I89</f>
        <v>8627212532</v>
      </c>
      <c r="AX12" s="158">
        <f>L89</f>
        <v>8602491028</v>
      </c>
      <c r="AY12" s="158">
        <f t="shared" si="2"/>
        <v>-947485265</v>
      </c>
      <c r="AZ12" s="159">
        <f t="shared" si="3"/>
        <v>-972206769</v>
      </c>
      <c r="BA12" s="101"/>
      <c r="BB12" s="185" t="s">
        <v>112</v>
      </c>
      <c r="BC12" s="161">
        <f>F23</f>
        <v>49300076925.586876</v>
      </c>
      <c r="BD12" s="162">
        <f>I23</f>
        <v>57872199664</v>
      </c>
      <c r="BE12" s="163">
        <f>K23</f>
        <v>2016236280</v>
      </c>
      <c r="BF12" s="553">
        <f>MARZO!BF12+ABRIL!BE12+MAYO!BE12+JUNIO!BE12</f>
        <v>14566848805</v>
      </c>
      <c r="BG12" s="219" t="s">
        <v>113</v>
      </c>
      <c r="BH12" s="199">
        <f>BN25</f>
        <v>49786176152.333328</v>
      </c>
      <c r="BI12" s="199">
        <f>BO25</f>
        <v>44634160492</v>
      </c>
      <c r="BJ12" s="199">
        <f>BP25</f>
        <v>38624941555</v>
      </c>
      <c r="BK12" s="161">
        <f>SUM(Q23)</f>
        <v>0</v>
      </c>
      <c r="BL12" s="555">
        <f>+BK12+MAYO!BK12+ABRIL!BK12+MARZO!BL12</f>
        <v>7473192746</v>
      </c>
      <c r="BM12" s="751" t="s">
        <v>114</v>
      </c>
      <c r="BN12" s="201">
        <f>X16+X65-X81-X33-BN10-BN11</f>
        <v>1608602697.916667</v>
      </c>
      <c r="BO12" s="576">
        <f>AA16+AA65-AA81-AA33-BO10-BO11</f>
        <v>881166912</v>
      </c>
      <c r="BP12" s="199">
        <f>AD16+AD65-AD81-AD33-BP10-BP11</f>
        <v>881166912</v>
      </c>
      <c r="BQ12" s="750">
        <f>AF16+AF65-AF81-AF33-BQ10-BQ11</f>
        <v>95279396</v>
      </c>
    </row>
    <row r="13" spans="1:69" ht="24.75" customHeight="1">
      <c r="A13" s="202" t="str">
        <f>+IF(SEPTIEMBRE!A13=0,"",SEPTIEMBRE!A13)</f>
        <v>1.0.02</v>
      </c>
      <c r="B13" s="203" t="str">
        <f>+IF(SEPTIEMBRE!B13=0,"",SEPTIEMBRE!B13)</f>
        <v>Bancos</v>
      </c>
      <c r="C13" s="204">
        <f>+ENERO!C13</f>
        <v>0</v>
      </c>
      <c r="D13" s="205">
        <f>SEPTIEMBRE!D13+OCTUBRE!P13</f>
        <v>0</v>
      </c>
      <c r="E13" s="205">
        <f>SEPTIEMBRE!E13+OCTUBRE!Q13</f>
        <v>554873586</v>
      </c>
      <c r="F13" s="206">
        <f>SUM(C13:E13)</f>
        <v>554873586</v>
      </c>
      <c r="G13" s="207">
        <f>SEPTIEMBRE!I13</f>
        <v>554873586</v>
      </c>
      <c r="H13" s="208">
        <v>0</v>
      </c>
      <c r="I13" s="206">
        <f>SUM(G13:H13)</f>
        <v>554873586</v>
      </c>
      <c r="J13" s="207">
        <f>SEPTIEMBRE!L13</f>
        <v>554873586</v>
      </c>
      <c r="K13" s="209">
        <v>0</v>
      </c>
      <c r="L13" s="206">
        <f>SUM(J13:K13)</f>
        <v>554873586</v>
      </c>
      <c r="M13" s="207">
        <f>F13-I13</f>
        <v>0</v>
      </c>
      <c r="N13" s="671">
        <f>F13-L13</f>
        <v>0</v>
      </c>
      <c r="O13" s="67"/>
      <c r="P13" s="204">
        <v>0</v>
      </c>
      <c r="Q13" s="210">
        <v>0</v>
      </c>
      <c r="R13" s="101"/>
      <c r="S13" s="189"/>
      <c r="T13" s="488"/>
      <c r="U13" s="191"/>
      <c r="V13" s="191"/>
      <c r="W13" s="191"/>
      <c r="X13" s="191"/>
      <c r="Y13" s="191"/>
      <c r="Z13" s="191"/>
      <c r="AA13" s="191"/>
      <c r="AB13" s="191"/>
      <c r="AC13" s="191"/>
      <c r="AD13" s="191"/>
      <c r="AE13" s="191"/>
      <c r="AF13" s="191"/>
      <c r="AG13" s="191"/>
      <c r="AH13" s="191"/>
      <c r="AI13" s="191"/>
      <c r="AJ13" s="192"/>
      <c r="AK13" s="216"/>
      <c r="AL13" s="194"/>
      <c r="AM13" s="195"/>
      <c r="AN13" s="101"/>
      <c r="AO13" s="221"/>
      <c r="AP13" s="197" t="s">
        <v>115</v>
      </c>
      <c r="AQ13" s="138">
        <f>F90</f>
        <v>9809197352</v>
      </c>
      <c r="AR13" s="138">
        <f>I90</f>
        <v>8898519979</v>
      </c>
      <c r="AS13" s="138">
        <f>L90</f>
        <v>3591530879</v>
      </c>
      <c r="AT13" s="101"/>
      <c r="AU13" s="157">
        <f t="shared" si="0"/>
        <v>0.90716086746747715</v>
      </c>
      <c r="AV13" s="157">
        <f t="shared" si="1"/>
        <v>0.36613911924890796</v>
      </c>
      <c r="AW13" s="158">
        <f>I90</f>
        <v>8898519979</v>
      </c>
      <c r="AX13" s="158">
        <f>L90</f>
        <v>3591530879</v>
      </c>
      <c r="AY13" s="158">
        <f t="shared" si="2"/>
        <v>-910677373</v>
      </c>
      <c r="AZ13" s="159">
        <f t="shared" si="3"/>
        <v>-6217666473</v>
      </c>
      <c r="BA13" s="67"/>
      <c r="BB13" s="236" t="s">
        <v>116</v>
      </c>
      <c r="BC13" s="223">
        <f>+F30+F33+F36+F38+F39+F40</f>
        <v>1140706891</v>
      </c>
      <c r="BD13" s="224">
        <f>+I30+I33+I36+I38+I39+I40</f>
        <v>1389649947</v>
      </c>
      <c r="BE13" s="225">
        <f>+K30+K33+K36+K38+K39+K40</f>
        <v>159415168</v>
      </c>
      <c r="BF13" s="553">
        <f>MARZO!BF13+ABRIL!BE13+MAYO!BE13+JUNIO!BE13</f>
        <v>713778648</v>
      </c>
      <c r="BG13" s="227" t="s">
        <v>117</v>
      </c>
      <c r="BH13" s="199">
        <f t="shared" ref="BH13:BJ15" si="11">BN29</f>
        <v>26871678120</v>
      </c>
      <c r="BI13" s="199">
        <f t="shared" si="11"/>
        <v>22448289970</v>
      </c>
      <c r="BJ13" s="199">
        <f t="shared" si="11"/>
        <v>16648941763</v>
      </c>
      <c r="BK13" s="161">
        <f>SUM(Q33)</f>
        <v>0</v>
      </c>
      <c r="BL13" s="555">
        <f>+BK13+MAYO!BK13+ABRIL!BK13+MARZO!BL13</f>
        <v>4662243162</v>
      </c>
      <c r="BM13" s="745" t="s">
        <v>118</v>
      </c>
      <c r="BN13" s="188">
        <f>X43-X55+X57-X61+X90-X102+X104-X108</f>
        <v>2665651403.2960005</v>
      </c>
      <c r="BO13" s="575">
        <f>AA43-AA55+AA57-AA61+AA90-AA102+AA104-AA108</f>
        <v>1576661267</v>
      </c>
      <c r="BP13" s="186">
        <f>AD43-AD55+AD57-AD61+AD90-AD102+AD104-AD108</f>
        <v>1576661267</v>
      </c>
      <c r="BQ13" s="748">
        <f>AF43-AF55+AF57-AF61+AF90-AF102+AF104-AF108</f>
        <v>155740169</v>
      </c>
    </row>
    <row r="14" spans="1:69" ht="24.75" customHeight="1">
      <c r="A14" s="202" t="str">
        <f>+IF(SEPTIEMBRE!A14=0,"",SEPTIEMBRE!A14)</f>
        <v>1.0.03</v>
      </c>
      <c r="B14" s="203" t="str">
        <f>+IF(SEPTIEMBRE!B14=0,"",SEPTIEMBRE!B14)</f>
        <v>Inversiones Temporales</v>
      </c>
      <c r="C14" s="204">
        <f>+ENERO!C14</f>
        <v>0</v>
      </c>
      <c r="D14" s="205">
        <f>SEPTIEMBRE!D14+OCTUBRE!P14</f>
        <v>0</v>
      </c>
      <c r="E14" s="205">
        <f>SEPTIEMBRE!E14+OCTUBRE!Q14</f>
        <v>620662520</v>
      </c>
      <c r="F14" s="206">
        <f>SUM(C14:E14)</f>
        <v>620662520</v>
      </c>
      <c r="G14" s="207">
        <f>SEPTIEMBRE!I14</f>
        <v>620662520</v>
      </c>
      <c r="H14" s="208">
        <v>0</v>
      </c>
      <c r="I14" s="206">
        <f>SUM(G14:H14)</f>
        <v>620662520</v>
      </c>
      <c r="J14" s="207">
        <f>SEPTIEMBRE!L14</f>
        <v>620662520</v>
      </c>
      <c r="K14" s="209">
        <v>0</v>
      </c>
      <c r="L14" s="206">
        <f>SUM(J14:K14)</f>
        <v>620662520</v>
      </c>
      <c r="M14" s="207">
        <f>F14-I14</f>
        <v>0</v>
      </c>
      <c r="N14" s="671">
        <f>F14-L14</f>
        <v>0</v>
      </c>
      <c r="O14" s="67"/>
      <c r="P14" s="204">
        <v>0</v>
      </c>
      <c r="Q14" s="210">
        <v>0</v>
      </c>
      <c r="R14" s="101"/>
      <c r="S14" s="228" t="str">
        <f>+IF(SEPTIEMBRE!S14=0,"",SEPTIEMBRE!S14)</f>
        <v>2.1.1.01</v>
      </c>
      <c r="T14" s="229" t="str">
        <f>+IF(SEPTIEMBRE!T14=0,"",SEPTIEMBRE!T14)</f>
        <v>Gastos de Administración</v>
      </c>
      <c r="U14" s="230">
        <f>U16+U35+U43+U57</f>
        <v>23848754297.879169</v>
      </c>
      <c r="V14" s="231">
        <f t="shared" ref="V14:AJ14" si="12">V16+V35+V43+V57</f>
        <v>3693521885</v>
      </c>
      <c r="W14" s="231">
        <f t="shared" si="12"/>
        <v>865000000</v>
      </c>
      <c r="X14" s="234">
        <f t="shared" si="12"/>
        <v>28407276182.879169</v>
      </c>
      <c r="Y14" s="233">
        <f t="shared" si="12"/>
        <v>22561882133</v>
      </c>
      <c r="Z14" s="231">
        <f t="shared" si="12"/>
        <v>2322891027</v>
      </c>
      <c r="AA14" s="234">
        <f t="shared" si="12"/>
        <v>24884773160</v>
      </c>
      <c r="AB14" s="233">
        <f t="shared" si="12"/>
        <v>20797224461</v>
      </c>
      <c r="AC14" s="231">
        <f t="shared" si="12"/>
        <v>2014199530</v>
      </c>
      <c r="AD14" s="234">
        <f t="shared" si="12"/>
        <v>22811423991</v>
      </c>
      <c r="AE14" s="233">
        <f t="shared" si="12"/>
        <v>16673131650</v>
      </c>
      <c r="AF14" s="231">
        <f t="shared" si="12"/>
        <v>1826055169</v>
      </c>
      <c r="AG14" s="234">
        <f t="shared" si="12"/>
        <v>18499186819</v>
      </c>
      <c r="AH14" s="233">
        <f t="shared" si="12"/>
        <v>3522503022.8791676</v>
      </c>
      <c r="AI14" s="231">
        <f t="shared" si="12"/>
        <v>5595852191.8791676</v>
      </c>
      <c r="AJ14" s="232">
        <f t="shared" si="12"/>
        <v>9908089363.8791676</v>
      </c>
      <c r="AK14" s="216"/>
      <c r="AL14" s="233">
        <f>AL16+AL35+AL43+AL57</f>
        <v>656459755</v>
      </c>
      <c r="AM14" s="233">
        <f>AM16+AM35+AM43+AM57</f>
        <v>0</v>
      </c>
      <c r="AN14" s="101"/>
      <c r="AO14" s="108"/>
      <c r="AP14" s="109" t="s">
        <v>120</v>
      </c>
      <c r="AQ14" s="138">
        <f>F19-AQ7-AQ8-AQ9-AQ10-AQ11-AQ12-AQ13+F104+F94</f>
        <v>13340692312.889648</v>
      </c>
      <c r="AR14" s="138">
        <f>I19-AR7-AR8-AR9-AR10-AR11-AR12-AR13+I94+I104</f>
        <v>9155027647</v>
      </c>
      <c r="AS14" s="138">
        <f>L19-AS7-AS8-AS9-AS10-AS11-AS12-AS13+L94+L104</f>
        <v>6589413415</v>
      </c>
      <c r="AT14" s="67"/>
      <c r="AU14" s="157">
        <f t="shared" si="0"/>
        <v>0.68624831697486199</v>
      </c>
      <c r="AV14" s="157">
        <f t="shared" si="1"/>
        <v>0.49393339269457343</v>
      </c>
      <c r="AW14" s="158">
        <f>(I41+I46+I49+I52+I55+I58+I61+I64+I67+I70+I73+I78+I81+I82+I83+I85+I94+I104)/AO$2*12+I47+I50+I53+I56+I59+I62+I65+I68+I71+I74</f>
        <v>34872578823.199997</v>
      </c>
      <c r="AX14" s="158">
        <f>(L41+L46+L49+L52+L55+L58+L61+L64+L67+L70+L73+L78+L81+L82+L83+L85+L94+L104)/AO$2*12+L47+L50+L53+L56+L59+L62+L65+L68+L71+L74</f>
        <v>25237811961.199997</v>
      </c>
      <c r="AY14" s="158">
        <f t="shared" si="2"/>
        <v>21531886510.310349</v>
      </c>
      <c r="AZ14" s="159">
        <f t="shared" si="3"/>
        <v>11897119648.310349</v>
      </c>
      <c r="BA14" s="101"/>
      <c r="BB14" s="236" t="s">
        <v>121</v>
      </c>
      <c r="BC14" s="237">
        <f>+F64</f>
        <v>2137731076.9417498</v>
      </c>
      <c r="BD14" s="238">
        <f>+I64</f>
        <v>1441223287</v>
      </c>
      <c r="BE14" s="239">
        <f>K64</f>
        <v>84612136</v>
      </c>
      <c r="BF14" s="553">
        <f>MARZO!BF14+ABRIL!BE14+MAYO!BE14+JUNIO!BE14</f>
        <v>382641166</v>
      </c>
      <c r="BG14" s="227" t="s">
        <v>122</v>
      </c>
      <c r="BH14" s="186">
        <f t="shared" si="11"/>
        <v>3239175000</v>
      </c>
      <c r="BI14" s="186">
        <f t="shared" si="11"/>
        <v>1438780329</v>
      </c>
      <c r="BJ14" s="186">
        <f t="shared" si="11"/>
        <v>1438780329</v>
      </c>
      <c r="BK14" s="239">
        <f>Q64</f>
        <v>0</v>
      </c>
      <c r="BL14" s="555">
        <f>+BK14+MAYO!BK14+ABRIL!BK14+MARZO!BL14</f>
        <v>549531288</v>
      </c>
      <c r="BM14" s="752" t="s">
        <v>123</v>
      </c>
      <c r="BN14" s="201">
        <f>X35-X41+X83-X88</f>
        <v>69564758656</v>
      </c>
      <c r="BO14" s="199">
        <f>AA35-AA41+AA83-AA88</f>
        <v>67262916265</v>
      </c>
      <c r="BP14" s="199">
        <f>AD35-AD41+AD83-AD88</f>
        <v>59867541023</v>
      </c>
      <c r="BQ14" s="753">
        <f>AF35-AF41+AF83-AF88</f>
        <v>4154910712</v>
      </c>
    </row>
    <row r="15" spans="1:69" ht="24.75" customHeight="1" thickBot="1">
      <c r="A15" s="241">
        <f>+IF(SEPTIEMBRE!A15=0,"",SEPTIEMBRE!A15)</f>
        <v>1004</v>
      </c>
      <c r="B15" s="203" t="str">
        <f>+IF(SEPTIEMBRE!B15=0,"",SEPTIEMBRE!B15)</f>
        <v>Cesantias Ley 50/1990 a Dic-31-2024</v>
      </c>
      <c r="C15" s="242">
        <f>+ENERO!C15</f>
        <v>0</v>
      </c>
      <c r="D15" s="243">
        <f>SEPTIEMBRE!D15+OCTUBRE!P15</f>
        <v>0</v>
      </c>
      <c r="E15" s="243">
        <f>SEPTIEMBRE!E15+OCTUBRE!Q15</f>
        <v>0</v>
      </c>
      <c r="F15" s="244">
        <f>SUM(C15:E15)</f>
        <v>0</v>
      </c>
      <c r="G15" s="245">
        <f>SEPTIEMBRE!I15</f>
        <v>0</v>
      </c>
      <c r="H15" s="246">
        <v>0</v>
      </c>
      <c r="I15" s="244">
        <f>SUM(G15:H15)</f>
        <v>0</v>
      </c>
      <c r="J15" s="245">
        <f>SEPTIEMBRE!L15</f>
        <v>0</v>
      </c>
      <c r="K15" s="247">
        <v>0</v>
      </c>
      <c r="L15" s="244">
        <f>SUM(J15:K15)</f>
        <v>0</v>
      </c>
      <c r="M15" s="245">
        <f>F15-I15</f>
        <v>0</v>
      </c>
      <c r="N15" s="673">
        <f>F15-L15</f>
        <v>0</v>
      </c>
      <c r="O15" s="67"/>
      <c r="P15" s="242">
        <v>0</v>
      </c>
      <c r="Q15" s="248">
        <v>0</v>
      </c>
      <c r="R15" s="101"/>
      <c r="S15" s="189" t="str">
        <f>+IF(SEPTIEMBRE!S15=0,"",SEPTIEMBRE!S15)</f>
        <v/>
      </c>
      <c r="T15" s="488" t="str">
        <f>+IF(SEPTIEMBRE!T15=0,"",SEPTIEMBRE!T15)</f>
        <v xml:space="preserve"> </v>
      </c>
      <c r="U15" s="191"/>
      <c r="V15" s="191"/>
      <c r="W15" s="191"/>
      <c r="X15" s="191"/>
      <c r="Y15" s="191"/>
      <c r="Z15" s="191"/>
      <c r="AA15" s="191"/>
      <c r="AB15" s="191"/>
      <c r="AC15" s="191"/>
      <c r="AD15" s="191"/>
      <c r="AE15" s="191"/>
      <c r="AF15" s="191"/>
      <c r="AG15" s="191"/>
      <c r="AH15" s="191"/>
      <c r="AI15" s="191"/>
      <c r="AJ15" s="192"/>
      <c r="AK15" s="216"/>
      <c r="AL15" s="249"/>
      <c r="AM15" s="250"/>
      <c r="AN15" s="101"/>
      <c r="AO15" s="221"/>
      <c r="AP15" s="109" t="s">
        <v>124</v>
      </c>
      <c r="AQ15" s="138">
        <f>F113</f>
        <v>0</v>
      </c>
      <c r="AR15" s="138">
        <f>I113</f>
        <v>0</v>
      </c>
      <c r="AS15" s="138">
        <f>L113</f>
        <v>0</v>
      </c>
      <c r="AT15" s="101"/>
      <c r="AU15" s="139" t="str">
        <f t="shared" si="0"/>
        <v xml:space="preserve"> </v>
      </c>
      <c r="AV15" s="139" t="str">
        <f t="shared" si="1"/>
        <v xml:space="preserve"> </v>
      </c>
      <c r="AW15" s="138">
        <f>+AR15</f>
        <v>0</v>
      </c>
      <c r="AX15" s="138">
        <f>+AS15</f>
        <v>0</v>
      </c>
      <c r="AY15" s="138">
        <f t="shared" si="2"/>
        <v>0</v>
      </c>
      <c r="AZ15" s="140">
        <f t="shared" si="3"/>
        <v>0</v>
      </c>
      <c r="BA15" s="67"/>
      <c r="BB15" s="236" t="s">
        <v>125</v>
      </c>
      <c r="BC15" s="237">
        <f>F46+F49</f>
        <v>976431378</v>
      </c>
      <c r="BD15" s="238">
        <f>I46+I49</f>
        <v>399612731</v>
      </c>
      <c r="BE15" s="239">
        <f>K46+K49</f>
        <v>7292234</v>
      </c>
      <c r="BF15" s="553">
        <f>MARZO!BF15+ABRIL!BE15+MAYO!BE15+JUNIO!BE15</f>
        <v>4215387</v>
      </c>
      <c r="BG15" s="227" t="s">
        <v>126</v>
      </c>
      <c r="BH15" s="186">
        <f t="shared" si="11"/>
        <v>30116386787.222057</v>
      </c>
      <c r="BI15" s="186">
        <f t="shared" si="11"/>
        <v>27185197387</v>
      </c>
      <c r="BJ15" s="186">
        <f t="shared" si="11"/>
        <v>27178997387</v>
      </c>
      <c r="BK15" s="239">
        <f>Q46</f>
        <v>0</v>
      </c>
      <c r="BL15" s="555">
        <f>+BK15+MAYO!BK15+ABRIL!BK15+MARZO!BL15</f>
        <v>26885811874</v>
      </c>
      <c r="BM15" s="743" t="s">
        <v>104</v>
      </c>
      <c r="BN15" s="188">
        <f>SUM(BN16:BN21)</f>
        <v>20210221216.398613</v>
      </c>
      <c r="BO15" s="186">
        <f>SUM(BO16:BO21)</f>
        <v>14171472464</v>
      </c>
      <c r="BP15" s="186">
        <f>SUM(BP16:BP21)</f>
        <v>12077431080</v>
      </c>
      <c r="BQ15" s="754">
        <f>SUM(BQ16:BQ21)</f>
        <v>971399921</v>
      </c>
    </row>
    <row r="16" spans="1:69" ht="24.75" customHeight="1" thickBot="1">
      <c r="A16" s="251" t="str">
        <f>+IF(SEPTIEMBRE!A16=0,"",SEPTIEMBRE!A16)</f>
        <v/>
      </c>
      <c r="B16" s="252" t="str">
        <f>+IF(SEPTIEMBRE!B16=0,"",SEPTIEMBRE!B16)</f>
        <v/>
      </c>
      <c r="C16" s="253"/>
      <c r="D16" s="253"/>
      <c r="E16" s="253"/>
      <c r="F16" s="253"/>
      <c r="G16" s="253"/>
      <c r="H16" s="253"/>
      <c r="I16" s="253"/>
      <c r="J16" s="253"/>
      <c r="K16" s="253"/>
      <c r="L16" s="253"/>
      <c r="M16" s="253"/>
      <c r="N16" s="1096"/>
      <c r="O16" s="67"/>
      <c r="P16" s="255"/>
      <c r="Q16" s="256"/>
      <c r="R16" s="101"/>
      <c r="S16" s="257" t="str">
        <f>+IF(SEPTIEMBRE!S16=0,"",SEPTIEMBRE!S16)</f>
        <v>2.1.1.01.01</v>
      </c>
      <c r="T16" s="546" t="str">
        <f>+IF(SEPTIEMBRE!T16=0,"",SEPTIEMBRE!T16)</f>
        <v>Servicios Personales Asociados a Nómina</v>
      </c>
      <c r="U16" s="230">
        <f>SUM(U17:U20)+U33</f>
        <v>8136453797.916667</v>
      </c>
      <c r="V16" s="231">
        <f t="shared" ref="V16:AJ16" si="13">SUM(V17:V20)+V33</f>
        <v>-659478115</v>
      </c>
      <c r="W16" s="231">
        <f t="shared" si="13"/>
        <v>0</v>
      </c>
      <c r="X16" s="234">
        <f>SUM(X17:X20)+X33</f>
        <v>7476975682.916667</v>
      </c>
      <c r="Y16" s="233">
        <f t="shared" si="13"/>
        <v>4708619009</v>
      </c>
      <c r="Z16" s="231">
        <f t="shared" si="13"/>
        <v>465952174</v>
      </c>
      <c r="AA16" s="234">
        <f t="shared" si="13"/>
        <v>5174571183</v>
      </c>
      <c r="AB16" s="233">
        <f t="shared" si="13"/>
        <v>4707402511</v>
      </c>
      <c r="AC16" s="231">
        <f>SUM(AC17:AC20)+AC33</f>
        <v>467168672</v>
      </c>
      <c r="AD16" s="234">
        <f t="shared" si="13"/>
        <v>5174571183</v>
      </c>
      <c r="AE16" s="233">
        <f t="shared" si="13"/>
        <v>4673536736</v>
      </c>
      <c r="AF16" s="231">
        <f>SUM(AF17:AF20)+AF33</f>
        <v>501014447</v>
      </c>
      <c r="AG16" s="234">
        <f t="shared" si="13"/>
        <v>5174551183</v>
      </c>
      <c r="AH16" s="233">
        <f t="shared" si="13"/>
        <v>2302404499.9166665</v>
      </c>
      <c r="AI16" s="231">
        <f t="shared" si="13"/>
        <v>2302404499.9166665</v>
      </c>
      <c r="AJ16" s="232">
        <f t="shared" si="13"/>
        <v>2302424499.9166665</v>
      </c>
      <c r="AK16" s="216"/>
      <c r="AL16" s="233">
        <f>SUM(AL17:AL20)+AL33</f>
        <v>-183540245</v>
      </c>
      <c r="AM16" s="233">
        <f>SUM(AM17:AM20)+AM33</f>
        <v>0</v>
      </c>
      <c r="AN16" s="101"/>
      <c r="AO16" s="108"/>
      <c r="AP16" s="259" t="s">
        <v>128</v>
      </c>
      <c r="AQ16" s="260">
        <f>F10</f>
        <v>1179477265</v>
      </c>
      <c r="AR16" s="260">
        <f>I10</f>
        <v>1179477265</v>
      </c>
      <c r="AS16" s="260">
        <f>L10</f>
        <v>1179477265</v>
      </c>
      <c r="AT16" s="67"/>
      <c r="AU16" s="261">
        <f t="shared" si="0"/>
        <v>1</v>
      </c>
      <c r="AV16" s="261">
        <f t="shared" si="1"/>
        <v>1</v>
      </c>
      <c r="AW16" s="260">
        <f>+AR16</f>
        <v>1179477265</v>
      </c>
      <c r="AX16" s="260">
        <f>+AS16</f>
        <v>1179477265</v>
      </c>
      <c r="AY16" s="138">
        <f t="shared" si="2"/>
        <v>0</v>
      </c>
      <c r="AZ16" s="262">
        <f t="shared" si="3"/>
        <v>0</v>
      </c>
      <c r="BA16" s="67"/>
      <c r="BB16" s="185" t="s">
        <v>129</v>
      </c>
      <c r="BC16" s="161">
        <f>F43</f>
        <v>0</v>
      </c>
      <c r="BD16" s="162">
        <f>I43</f>
        <v>51068563</v>
      </c>
      <c r="BE16" s="163">
        <f>K43</f>
        <v>0</v>
      </c>
      <c r="BF16" s="553">
        <f>MARZO!BF16+ABRIL!BE16+MAYO!BE16+JUNIO!BE16</f>
        <v>6113368690</v>
      </c>
      <c r="BG16" s="227" t="s">
        <v>130</v>
      </c>
      <c r="BH16" s="263">
        <f>BH7+BH12+BH13+BH14+BH15</f>
        <v>212605083603.16663</v>
      </c>
      <c r="BI16" s="263">
        <f>BI7+BI12+BI13+BI14+BI15</f>
        <v>185061150447</v>
      </c>
      <c r="BJ16" s="263">
        <f>BJ7+BJ12+BJ13+BJ14+BJ15</f>
        <v>163742425347</v>
      </c>
      <c r="BK16" s="237">
        <f>SUM(Q86:Q91)</f>
        <v>146439829</v>
      </c>
      <c r="BL16" s="555">
        <f>+BK16+MAYO!BK16+ABRIL!BK16+MARZO!BL16</f>
        <v>57988398843</v>
      </c>
      <c r="BM16" s="745" t="s">
        <v>131</v>
      </c>
      <c r="BN16" s="188">
        <f>SUM(X115+X116+X117+X149)</f>
        <v>1938007702.1208334</v>
      </c>
      <c r="BO16" s="188">
        <f>SUM(AA115+AA116+AA117+AA149)</f>
        <v>1580892729</v>
      </c>
      <c r="BP16" s="188">
        <f>SUM(AD115+AD116+AD117+AD149)</f>
        <v>1427515035</v>
      </c>
      <c r="BQ16" s="188">
        <f>SUM(AF115+AF116+AF117+AF149)</f>
        <v>106045170</v>
      </c>
    </row>
    <row r="17" spans="1:69" ht="24.75" customHeight="1" thickBot="1">
      <c r="A17" s="169" t="str">
        <f>+IF(SEPTIEMBRE!A17=0,"",SEPTIEMBRE!A17)</f>
        <v>1.1</v>
      </c>
      <c r="B17" s="265" t="str">
        <f>+IF(SEPTIEMBRE!B17=0,"",SEPTIEMBRE!B17)</f>
        <v>INGRESOS  CORRIENTES</v>
      </c>
      <c r="C17" s="127">
        <f t="shared" ref="C17:N17" si="14">C19+C94+C104</f>
        <v>158143153137.47653</v>
      </c>
      <c r="D17" s="125">
        <f t="shared" si="14"/>
        <v>0</v>
      </c>
      <c r="E17" s="125">
        <f t="shared" si="14"/>
        <v>53282453201</v>
      </c>
      <c r="F17" s="125">
        <f t="shared" si="14"/>
        <v>211425606338.47653</v>
      </c>
      <c r="G17" s="125">
        <f t="shared" si="14"/>
        <v>185291864335</v>
      </c>
      <c r="H17" s="125">
        <f t="shared" si="14"/>
        <v>17579908513</v>
      </c>
      <c r="I17" s="125">
        <f t="shared" si="14"/>
        <v>202871772848</v>
      </c>
      <c r="J17" s="125">
        <f t="shared" si="14"/>
        <v>112522167528</v>
      </c>
      <c r="K17" s="125">
        <f t="shared" si="14"/>
        <v>10022833937</v>
      </c>
      <c r="L17" s="125">
        <f t="shared" si="14"/>
        <v>122545001465</v>
      </c>
      <c r="M17" s="125">
        <f t="shared" si="14"/>
        <v>8553833490.4765129</v>
      </c>
      <c r="N17" s="676">
        <f t="shared" si="14"/>
        <v>88880604873.476517</v>
      </c>
      <c r="O17" s="67"/>
      <c r="P17" s="171">
        <f>P19+P94+P104</f>
        <v>0</v>
      </c>
      <c r="Q17" s="173">
        <f>Q19+Q94+Q104</f>
        <v>4845730991</v>
      </c>
      <c r="R17" s="101"/>
      <c r="S17" s="266" t="str">
        <f>+IF(SEPTIEMBRE!S17=0,"",SEPTIEMBRE!S17)</f>
        <v>2.1.1.01.01.001.01</v>
      </c>
      <c r="T17" s="267" t="str">
        <f>+IF(SEPTIEMBRE!T17=0,"",SEPTIEMBRE!T17)</f>
        <v>Sueldos del Personal de nómina</v>
      </c>
      <c r="U17" s="373">
        <f>+ENERO!U17</f>
        <v>6531851100</v>
      </c>
      <c r="V17" s="220">
        <f>SEPTIEMBRE!V17+OCTUBRE!AL17</f>
        <v>-680478115</v>
      </c>
      <c r="W17" s="220">
        <f>SEPTIEMBRE!W17+OCTUBRE!AM17</f>
        <v>0</v>
      </c>
      <c r="X17" s="271">
        <f>SUM(U17:W17)</f>
        <v>5851372985</v>
      </c>
      <c r="Y17" s="270">
        <f>SEPTIEMBRE!AA17</f>
        <v>3876590701</v>
      </c>
      <c r="Z17" s="208">
        <v>404395252</v>
      </c>
      <c r="AA17" s="271">
        <f>SUM(Y17:Z17)</f>
        <v>4280985953</v>
      </c>
      <c r="AB17" s="270">
        <f>SEPTIEMBRE!AD17</f>
        <v>3876590701</v>
      </c>
      <c r="AC17" s="208">
        <v>404395252</v>
      </c>
      <c r="AD17" s="271">
        <f>SUM(AB17:AC17)</f>
        <v>4280985953</v>
      </c>
      <c r="AE17" s="270">
        <f>SEPTIEMBRE!AG17</f>
        <v>3876590701</v>
      </c>
      <c r="AF17" s="208">
        <v>404395252</v>
      </c>
      <c r="AG17" s="271">
        <f>SUM(AE17:AF17)</f>
        <v>4280985953</v>
      </c>
      <c r="AH17" s="270">
        <f>X17-AA17</f>
        <v>1570387032</v>
      </c>
      <c r="AI17" s="220">
        <f>X17-AD17</f>
        <v>1570387032</v>
      </c>
      <c r="AJ17" s="269">
        <f>X17-AG17</f>
        <v>1570387032</v>
      </c>
      <c r="AK17" s="101"/>
      <c r="AL17" s="204">
        <f>-150000000-33540245</f>
        <v>-183540245</v>
      </c>
      <c r="AM17" s="210">
        <v>0</v>
      </c>
      <c r="AN17" s="101"/>
      <c r="AO17" s="156"/>
      <c r="AP17" s="272" t="s">
        <v>134</v>
      </c>
      <c r="AQ17" s="981">
        <f>SUM(AQ7:AQ16)</f>
        <v>212605083603.47653</v>
      </c>
      <c r="AR17" s="982">
        <f>SUM(AR7:AR16)</f>
        <v>204051250113</v>
      </c>
      <c r="AS17" s="983">
        <f>SUM(AS7:AS16)</f>
        <v>123724478730</v>
      </c>
      <c r="AT17" s="276"/>
      <c r="AU17" s="274">
        <f t="shared" si="0"/>
        <v>0.95976656180794795</v>
      </c>
      <c r="AV17" s="274">
        <f t="shared" si="1"/>
        <v>0.58194506280364811</v>
      </c>
      <c r="AW17" s="277">
        <f>SUM(AX7:AX16)</f>
        <v>153064142914</v>
      </c>
      <c r="AX17" s="277">
        <f>SUM(AX7:AX16)</f>
        <v>153064142914</v>
      </c>
      <c r="AY17" s="277">
        <f>SUM(AY7:AY16)</f>
        <v>42329186307.72345</v>
      </c>
      <c r="AZ17" s="278">
        <f>SUM(AZ7:AZ16)</f>
        <v>-59540940689.476547</v>
      </c>
      <c r="BA17" s="101"/>
      <c r="BB17" s="185" t="s">
        <v>135</v>
      </c>
      <c r="BC17" s="161">
        <f>F41+F52+F55+F58+F61+F67+F70+F73+F76+F79+F82+F86+F87+F88+F89+F90+F91</f>
        <v>24374682727.847889</v>
      </c>
      <c r="BD17" s="162">
        <f>I41+I52+I55+I58+I61+I67+I70+I73+I76+I79+I82+I86+I87+I88+I89+I90+I91</f>
        <v>22169356926</v>
      </c>
      <c r="BE17" s="163">
        <f>K41+K52+K55+K58+K61+K67+K70+K73+K76+K79+K82+K86+K87+K88+K89+K90+K91</f>
        <v>2150574223</v>
      </c>
      <c r="BF17" s="553">
        <f>MARZO!BF17+ABRIL!BE17+MAYO!BE17+JUNIO!BE17</f>
        <v>322775260</v>
      </c>
      <c r="BG17" s="279" t="s">
        <v>136</v>
      </c>
      <c r="BH17" s="280">
        <f>BC23-BH16</f>
        <v>-212605083603.16663</v>
      </c>
      <c r="BI17" s="280"/>
      <c r="BJ17" s="280"/>
      <c r="BK17" s="161">
        <f>SUM(Q43+Q49+Q46+Q49+Q52+Q55+Q58+Q61+Q67+Q70+Q73+Q79+Q76+Q82)</f>
        <v>0</v>
      </c>
      <c r="BL17" s="555">
        <f>+BK17+MAYO!BK17+ABRIL!BK17+MARZO!BL17</f>
        <v>0</v>
      </c>
      <c r="BM17" s="745" t="s">
        <v>137</v>
      </c>
      <c r="BN17" s="188">
        <f>X124+X127+X128+X129+X130+X131+X132+X133+X134+X135+X136+X125+X137+X138</f>
        <v>4851510536.2777777</v>
      </c>
      <c r="BO17" s="188">
        <f>AA124+AA127+AA128+AA129+AA130+AA131+AA132+AA133+AA134+AA135+AA136+AA125+AA137+AA138</f>
        <v>4430344362</v>
      </c>
      <c r="BP17" s="188">
        <f>AD124+AD127+AD128+AD129+AD130+AD131+AD132+AD133+AD134+AD135+AD136+AD125+AD137+AD138</f>
        <v>3846545828</v>
      </c>
      <c r="BQ17" s="188">
        <f>AF124+AF127+AF128+AF129+AF130+AF131+AF132+AF133+AF134+AF135+AF136+AF125+AF137+AF138</f>
        <v>257368738</v>
      </c>
    </row>
    <row r="18" spans="1:69" ht="24.75" customHeight="1" thickBot="1">
      <c r="A18" s="202">
        <f>+IF(SEPTIEMBRE!A18=0,"",SEPTIEMBRE!A18)</f>
        <v>399373312</v>
      </c>
      <c r="B18" s="282">
        <f>+IF(SEPTIEMBRE!B18=0,"",SEPTIEMBRE!B18)</f>
        <v>399373312</v>
      </c>
      <c r="C18" s="67"/>
      <c r="D18" s="67"/>
      <c r="E18" s="67"/>
      <c r="F18" s="67"/>
      <c r="G18" s="67"/>
      <c r="H18" s="67"/>
      <c r="I18" s="67"/>
      <c r="J18" s="67"/>
      <c r="K18" s="67"/>
      <c r="L18" s="67"/>
      <c r="M18" s="67"/>
      <c r="N18" s="1091"/>
      <c r="O18" s="101"/>
      <c r="P18" s="284"/>
      <c r="Q18" s="285"/>
      <c r="R18" s="101"/>
      <c r="S18" s="266" t="str">
        <f>+IF(SEPTIEMBRE!S18=0,"",SEPTIEMBRE!S18)</f>
        <v>2.1.1.01.01.001.02</v>
      </c>
      <c r="T18" s="267" t="str">
        <f>+IF(SEPTIEMBRE!T18=0,"",SEPTIEMBRE!T18)</f>
        <v>Horas Extras,Dominic.,Festivos y Rec. Nocturnos</v>
      </c>
      <c r="U18" s="373">
        <f>+ENERO!U18</f>
        <v>17000000</v>
      </c>
      <c r="V18" s="220">
        <f>SEPTIEMBRE!V18+OCTUBRE!AL18</f>
        <v>0</v>
      </c>
      <c r="W18" s="220">
        <f>SEPTIEMBRE!W18+OCTUBRE!AM18</f>
        <v>0</v>
      </c>
      <c r="X18" s="271">
        <f>SUM(U18:W18)</f>
        <v>17000000</v>
      </c>
      <c r="Y18" s="270">
        <f>SEPTIEMBRE!AA18</f>
        <v>11078519</v>
      </c>
      <c r="Z18" s="208">
        <v>1339799</v>
      </c>
      <c r="AA18" s="271">
        <f>SUM(Y18:Z18)</f>
        <v>12418318</v>
      </c>
      <c r="AB18" s="270">
        <f>SEPTIEMBRE!AD18</f>
        <v>11078519</v>
      </c>
      <c r="AC18" s="208">
        <v>1339799</v>
      </c>
      <c r="AD18" s="271">
        <f>SUM(AB18:AC18)</f>
        <v>12418318</v>
      </c>
      <c r="AE18" s="270">
        <f>SEPTIEMBRE!AG18</f>
        <v>11078519</v>
      </c>
      <c r="AF18" s="208">
        <v>1339799</v>
      </c>
      <c r="AG18" s="271">
        <f>SUM(AE18:AF18)</f>
        <v>12418318</v>
      </c>
      <c r="AH18" s="270">
        <f>X18-AA18</f>
        <v>4581682</v>
      </c>
      <c r="AI18" s="220">
        <f>X18-AD18</f>
        <v>4581682</v>
      </c>
      <c r="AJ18" s="269">
        <f>X18-AG18</f>
        <v>4581682</v>
      </c>
      <c r="AK18" s="101"/>
      <c r="AL18" s="204">
        <v>0</v>
      </c>
      <c r="AM18" s="210">
        <v>0</v>
      </c>
      <c r="AN18" s="101"/>
      <c r="AO18" s="108"/>
      <c r="AP18" s="67" t="s">
        <v>92</v>
      </c>
      <c r="AQ18" s="67"/>
      <c r="AR18" s="67"/>
      <c r="AS18" s="67"/>
      <c r="AT18" s="67"/>
      <c r="AU18" s="67"/>
      <c r="AV18" s="67"/>
      <c r="AW18" s="67"/>
      <c r="AX18" s="67"/>
      <c r="AY18" s="67"/>
      <c r="AZ18" s="67"/>
      <c r="BA18" s="67"/>
      <c r="BB18" s="236" t="s">
        <v>139</v>
      </c>
      <c r="BC18" s="161">
        <f>+F95+F96+F97+F99</f>
        <v>0</v>
      </c>
      <c r="BD18" s="162">
        <f>+I95+I96+I97+I99</f>
        <v>0</v>
      </c>
      <c r="BE18" s="163">
        <f>+K95+K96+K97+K99</f>
        <v>0</v>
      </c>
      <c r="BF18" s="553">
        <f>MARZO!BF18+ABRIL!BE18+MAYO!BE18+JUNIO!BE18</f>
        <v>0</v>
      </c>
      <c r="BG18" s="101"/>
      <c r="BH18" s="101"/>
      <c r="BI18" s="101"/>
      <c r="BJ18" s="101"/>
      <c r="BK18" s="163">
        <f>+Q95+Q96+Q97+Q99</f>
        <v>0</v>
      </c>
      <c r="BL18" s="101"/>
      <c r="BM18" s="745" t="s">
        <v>140</v>
      </c>
      <c r="BN18" s="188">
        <f>X118+X120+X148+X156+X157-X166</f>
        <v>9458680319</v>
      </c>
      <c r="BO18" s="188">
        <f>AA118+AA120+AA148+AA156+AA157-AA166</f>
        <v>4636847342</v>
      </c>
      <c r="BP18" s="188">
        <f>AD118+AD120+AD148+AD156+AD157-AD166</f>
        <v>3508423118</v>
      </c>
      <c r="BQ18" s="188">
        <f>AF118+AF120+AF148+AF156+AF157-AF166</f>
        <v>165052357</v>
      </c>
    </row>
    <row r="19" spans="1:69" ht="24.75" customHeight="1" thickBot="1">
      <c r="A19" s="286">
        <f>+IF(SEPTIEMBRE!A19=0,"",SEPTIEMBRE!A19)</f>
        <v>113</v>
      </c>
      <c r="B19" s="287" t="str">
        <f>+IF(SEPTIEMBRE!B19=0,"",SEPTIEMBRE!B19)</f>
        <v>VENTA DE SERVICIOS</v>
      </c>
      <c r="C19" s="127">
        <f t="shared" ref="C19:N19" si="15">C21+C85</f>
        <v>157258153137.47653</v>
      </c>
      <c r="D19" s="125">
        <f t="shared" si="15"/>
        <v>0</v>
      </c>
      <c r="E19" s="125">
        <f t="shared" si="15"/>
        <v>47878646960</v>
      </c>
      <c r="F19" s="128">
        <f t="shared" si="15"/>
        <v>205136800097.47653</v>
      </c>
      <c r="G19" s="127">
        <f t="shared" si="15"/>
        <v>183424710741</v>
      </c>
      <c r="H19" s="125">
        <f t="shared" si="15"/>
        <v>16244614553</v>
      </c>
      <c r="I19" s="128">
        <f t="shared" si="15"/>
        <v>199669325294</v>
      </c>
      <c r="J19" s="127">
        <f t="shared" si="15"/>
        <v>110694140752</v>
      </c>
      <c r="K19" s="125">
        <f t="shared" si="15"/>
        <v>8695633811</v>
      </c>
      <c r="L19" s="128">
        <f t="shared" si="15"/>
        <v>119389774563</v>
      </c>
      <c r="M19" s="127">
        <f t="shared" si="15"/>
        <v>5467474803.4765139</v>
      </c>
      <c r="N19" s="676">
        <f t="shared" si="15"/>
        <v>85747025534.476517</v>
      </c>
      <c r="O19" s="67"/>
      <c r="P19" s="288">
        <f>P21+P85</f>
        <v>0</v>
      </c>
      <c r="Q19" s="289">
        <f>Q21+Q85</f>
        <v>146439829</v>
      </c>
      <c r="R19" s="101"/>
      <c r="S19" s="266">
        <f>+IF(SEPTIEMBRE!S19=0,"",SEPTIEMBRE!S19)</f>
        <v>1010103</v>
      </c>
      <c r="T19" s="267" t="str">
        <f>+IF(SEPTIEMBRE!T19=0,"",SEPTIEMBRE!T19)</f>
        <v>Prima Técnica</v>
      </c>
      <c r="U19" s="373">
        <f>+ENERO!U19</f>
        <v>0</v>
      </c>
      <c r="V19" s="220">
        <f>SEPTIEMBRE!V19+OCTUBRE!AL19</f>
        <v>0</v>
      </c>
      <c r="W19" s="220">
        <f>SEPTIEMBRE!W19+OCTUBRE!AM19</f>
        <v>0</v>
      </c>
      <c r="X19" s="271">
        <f>SUM(U19:W19)</f>
        <v>0</v>
      </c>
      <c r="Y19" s="270">
        <f>SEPTIEMBRE!AA19</f>
        <v>0</v>
      </c>
      <c r="Z19" s="208">
        <v>0</v>
      </c>
      <c r="AA19" s="271">
        <f>SUM(Y19:Z19)</f>
        <v>0</v>
      </c>
      <c r="AB19" s="270">
        <f>SEPTIEMBRE!AD19</f>
        <v>0</v>
      </c>
      <c r="AC19" s="208">
        <v>0</v>
      </c>
      <c r="AD19" s="271">
        <f>SUM(AB19:AC19)</f>
        <v>0</v>
      </c>
      <c r="AE19" s="270">
        <f>SEPTIEMBRE!AG19</f>
        <v>0</v>
      </c>
      <c r="AF19" s="208">
        <v>0</v>
      </c>
      <c r="AG19" s="271">
        <f>SUM(AE19:AF19)</f>
        <v>0</v>
      </c>
      <c r="AH19" s="270">
        <f>X19-AA19</f>
        <v>0</v>
      </c>
      <c r="AI19" s="220">
        <f>X19-AD19</f>
        <v>0</v>
      </c>
      <c r="AJ19" s="269">
        <f>X19-AG19</f>
        <v>0</v>
      </c>
      <c r="AK19" s="101"/>
      <c r="AL19" s="204">
        <v>0</v>
      </c>
      <c r="AM19" s="210">
        <v>0</v>
      </c>
      <c r="AN19" s="101"/>
      <c r="AO19" s="108"/>
      <c r="AP19" s="290"/>
      <c r="AQ19" s="291" t="s">
        <v>52</v>
      </c>
      <c r="AR19" s="292" t="s">
        <v>31</v>
      </c>
      <c r="AS19" s="293" t="s">
        <v>143</v>
      </c>
      <c r="AT19" s="292" t="s">
        <v>55</v>
      </c>
      <c r="AU19" s="294" t="s">
        <v>55</v>
      </c>
      <c r="AV19" s="295" t="s">
        <v>55</v>
      </c>
      <c r="AW19" s="1328" t="str">
        <f>+CONCATENATE("PROYECCION A DICIEMBRE 31 DEL ",N3)</f>
        <v>PROYECCION A DICIEMBRE 31 DEL 2025</v>
      </c>
      <c r="AX19" s="1322"/>
      <c r="AY19" s="1322"/>
      <c r="AZ19" s="1323"/>
      <c r="BA19" s="67"/>
      <c r="BB19" s="296" t="s">
        <v>144</v>
      </c>
      <c r="BC19" s="297">
        <f>+F105+F106+F107+F108+F109+F110+F98+F100+F101</f>
        <v>6269069452</v>
      </c>
      <c r="BD19" s="238">
        <f>+I105+I106+I107+I108+I109+I110+I98+I100+I101</f>
        <v>3182710765</v>
      </c>
      <c r="BE19" s="239">
        <f>+K105+K106+K107+K108+K109+K110+K98+K100+K101</f>
        <v>1327200126</v>
      </c>
      <c r="BF19" s="553">
        <f>MARZO!BF19+ABRIL!BE19+MAYO!BE19+JUNIO!BE19</f>
        <v>729645872</v>
      </c>
      <c r="BG19" s="67"/>
      <c r="BH19" s="67"/>
      <c r="BI19" s="67"/>
      <c r="BJ19" s="67"/>
      <c r="BK19" s="239">
        <f>+Q105+Q106+Q107+Q108+Q109+Q110+Q98+Q100+Q101</f>
        <v>4699291162</v>
      </c>
      <c r="BL19" s="101"/>
      <c r="BM19" s="745" t="s">
        <v>145</v>
      </c>
      <c r="BN19" s="188">
        <f>X126</f>
        <v>3324022659</v>
      </c>
      <c r="BO19" s="188">
        <f>AA126</f>
        <v>3150195731</v>
      </c>
      <c r="BP19" s="188">
        <f>AD126</f>
        <v>2921754799</v>
      </c>
      <c r="BQ19" s="755">
        <f>AF126</f>
        <v>391175306</v>
      </c>
    </row>
    <row r="20" spans="1:69" ht="24.75" customHeight="1" thickBot="1">
      <c r="A20" s="202" t="str">
        <f>+IF(SEPTIEMBRE!A20=0,"",SEPTIEMBRE!A20)</f>
        <v/>
      </c>
      <c r="B20" s="298" t="str">
        <f>+IF(SEPTIEMBRE!B20=0,"",SEPTIEMBRE!B20)</f>
        <v/>
      </c>
      <c r="C20" s="67"/>
      <c r="D20" s="67"/>
      <c r="E20" s="67"/>
      <c r="F20" s="67"/>
      <c r="G20" s="67"/>
      <c r="H20" s="67"/>
      <c r="I20" s="67"/>
      <c r="J20" s="67"/>
      <c r="K20" s="67"/>
      <c r="L20" s="67"/>
      <c r="M20" s="67"/>
      <c r="N20" s="1091"/>
      <c r="O20" s="101"/>
      <c r="P20" s="284"/>
      <c r="Q20" s="285"/>
      <c r="R20" s="101"/>
      <c r="S20" s="266">
        <f>+IF(SEPTIEMBRE!S20=0,"",SEPTIEMBRE!S20)</f>
        <v>1010104</v>
      </c>
      <c r="T20" s="267" t="str">
        <f>+IF(SEPTIEMBRE!T20=0,"",SEPTIEMBRE!T20)</f>
        <v>Otros</v>
      </c>
      <c r="U20" s="373">
        <f>SUM(U21:U32)</f>
        <v>1587602697.9166667</v>
      </c>
      <c r="V20" s="220">
        <f t="shared" ref="V20:AG20" si="16">SUM(V21:V32)</f>
        <v>21000000</v>
      </c>
      <c r="W20" s="220">
        <f t="shared" si="16"/>
        <v>0</v>
      </c>
      <c r="X20" s="271">
        <f>SUM(X21:X32)</f>
        <v>1608602697.9166667</v>
      </c>
      <c r="Y20" s="270">
        <f t="shared" si="16"/>
        <v>820949789</v>
      </c>
      <c r="Z20" s="300">
        <f t="shared" si="16"/>
        <v>60217123</v>
      </c>
      <c r="AA20" s="271">
        <f t="shared" si="16"/>
        <v>881166912</v>
      </c>
      <c r="AB20" s="270">
        <f t="shared" si="16"/>
        <v>819733291</v>
      </c>
      <c r="AC20" s="300">
        <f>SUM(AC21:AC32)</f>
        <v>61433621</v>
      </c>
      <c r="AD20" s="271">
        <f t="shared" si="16"/>
        <v>881166912</v>
      </c>
      <c r="AE20" s="270">
        <f>SUM(AE21:AE32)</f>
        <v>785867516</v>
      </c>
      <c r="AF20" s="300">
        <f>SUM(AF21:AF32)</f>
        <v>95279396</v>
      </c>
      <c r="AG20" s="271">
        <f t="shared" si="16"/>
        <v>881146912</v>
      </c>
      <c r="AH20" s="270">
        <f>SUM(AH21:AH32)</f>
        <v>727435785.91666663</v>
      </c>
      <c r="AI20" s="220">
        <f>SUM(AI21:AI32)</f>
        <v>727435785.91666663</v>
      </c>
      <c r="AJ20" s="269">
        <f>SUM(AJ21:AJ32)</f>
        <v>727455785.91666663</v>
      </c>
      <c r="AK20" s="101"/>
      <c r="AL20" s="301">
        <f>SUM(AL21:AL32)</f>
        <v>0</v>
      </c>
      <c r="AM20" s="302">
        <f>SUM(AM21:AM32)</f>
        <v>0</v>
      </c>
      <c r="AN20" s="101"/>
      <c r="AO20" s="156"/>
      <c r="AP20" s="303" t="s">
        <v>65</v>
      </c>
      <c r="AQ20" s="304" t="s">
        <v>75</v>
      </c>
      <c r="AR20" s="304" t="s">
        <v>66</v>
      </c>
      <c r="AS20" s="305" t="s">
        <v>66</v>
      </c>
      <c r="AT20" s="304" t="s">
        <v>67</v>
      </c>
      <c r="AU20" s="306" t="s">
        <v>68</v>
      </c>
      <c r="AV20" s="306" t="s">
        <v>68</v>
      </c>
      <c r="AW20" s="306" t="s">
        <v>31</v>
      </c>
      <c r="AX20" s="306" t="s">
        <v>34</v>
      </c>
      <c r="AY20" s="306" t="s">
        <v>147</v>
      </c>
      <c r="AZ20" s="307" t="s">
        <v>147</v>
      </c>
      <c r="BA20" s="67"/>
      <c r="BB20" s="308" t="s">
        <v>148</v>
      </c>
      <c r="BC20" s="142">
        <f>+F115+F117+F119+F120+F121+F123+F124</f>
        <v>0</v>
      </c>
      <c r="BD20" s="143">
        <f>+I115+I117+I119+I120+I121+I123+I124</f>
        <v>0</v>
      </c>
      <c r="BE20" s="144">
        <f>+K115+K117+K119+K120+K121+K123+K124</f>
        <v>0</v>
      </c>
      <c r="BF20" s="553">
        <f>MARZO!BF20+ABRIL!BE20+MAYO!BE20+JUNIO!BE20</f>
        <v>0</v>
      </c>
      <c r="BG20" s="67"/>
      <c r="BH20" s="67"/>
      <c r="BI20" s="67"/>
      <c r="BJ20" s="67"/>
      <c r="BK20" s="144">
        <f>+Q115+Q117+Q119+Q120+Q121+Q123+Q124</f>
        <v>0</v>
      </c>
      <c r="BL20" s="67"/>
      <c r="BM20" s="745" t="s">
        <v>149</v>
      </c>
      <c r="BN20" s="188">
        <f>+X141</f>
        <v>638000000</v>
      </c>
      <c r="BO20" s="188">
        <f>+AA141</f>
        <v>373192300</v>
      </c>
      <c r="BP20" s="188">
        <f>+AD141</f>
        <v>373192300</v>
      </c>
      <c r="BQ20" s="755">
        <f>+AF141</f>
        <v>51758350</v>
      </c>
    </row>
    <row r="21" spans="1:69" ht="24.75" customHeight="1" thickBot="1">
      <c r="A21" s="309" t="str">
        <f>+IF(SEPTIEMBRE!A21=0,"",SEPTIEMBRE!A21)</f>
        <v>1.1.02.05.001.09.02</v>
      </c>
      <c r="B21" s="310" t="str">
        <f>+IF(SEPTIEMBRE!B21=0,"",SEPTIEMBRE!B21)</f>
        <v>Venta de Servicios de Salud</v>
      </c>
      <c r="C21" s="171">
        <f t="shared" ref="C21:N21" si="17">C22+C25+C28+C41+C42+C45+C48+C51+C54+C57+C60+C63+C66+C69+C72+C75+C78+C81</f>
        <v>157258153137.47653</v>
      </c>
      <c r="D21" s="172">
        <f t="shared" si="17"/>
        <v>0</v>
      </c>
      <c r="E21" s="172">
        <f t="shared" si="17"/>
        <v>26157486765</v>
      </c>
      <c r="F21" s="172">
        <f t="shared" si="17"/>
        <v>183415639902.47653</v>
      </c>
      <c r="G21" s="172">
        <f t="shared" si="17"/>
        <v>166064140064</v>
      </c>
      <c r="H21" s="172">
        <f t="shared" si="17"/>
        <v>13742187673</v>
      </c>
      <c r="I21" s="172">
        <f t="shared" si="17"/>
        <v>179806327737</v>
      </c>
      <c r="J21" s="172">
        <f t="shared" si="17"/>
        <v>98323712305</v>
      </c>
      <c r="K21" s="172">
        <f t="shared" si="17"/>
        <v>6593206931</v>
      </c>
      <c r="L21" s="172">
        <f t="shared" si="17"/>
        <v>104916919236</v>
      </c>
      <c r="M21" s="172">
        <f t="shared" si="17"/>
        <v>3609312165.4765139</v>
      </c>
      <c r="N21" s="693">
        <f t="shared" si="17"/>
        <v>78498720666.476517</v>
      </c>
      <c r="O21" s="67"/>
      <c r="P21" s="288">
        <f>P22+P25+P28+P41+P42+P45+P48+P51+P54+P57+P60+P63+P66+P69+P72+P75+P78+P81</f>
        <v>0</v>
      </c>
      <c r="Q21" s="289">
        <f>Q22+Q25+Q28+Q41+Q42+Q45+Q48+Q51+Q54+Q57+Q60+Q63+Q66+Q69+Q72+Q75+Q78+Q81</f>
        <v>0</v>
      </c>
      <c r="R21" s="101"/>
      <c r="S21" s="311" t="str">
        <f>+IF(SEPTIEMBRE!S21=0,"",SEPTIEMBRE!S21)</f>
        <v>2.1.1.01.01.001.08.01</v>
      </c>
      <c r="T21" s="312" t="str">
        <f>+IF(SEPTIEMBRE!T21=0,"",SEPTIEMBRE!T21)</f>
        <v xml:space="preserve">Prima de Navidad </v>
      </c>
      <c r="U21" s="373">
        <f>+ENERO!U21</f>
        <v>544320925</v>
      </c>
      <c r="V21" s="220">
        <f>SEPTIEMBRE!V21+OCTUBRE!AL21</f>
        <v>0</v>
      </c>
      <c r="W21" s="220">
        <f>SEPTIEMBRE!W21+OCTUBRE!AM21</f>
        <v>0</v>
      </c>
      <c r="X21" s="271">
        <f t="shared" ref="X21:X33" si="18">SUM(U21:W21)</f>
        <v>544320925</v>
      </c>
      <c r="Y21" s="270">
        <f>SEPTIEMBRE!AA21</f>
        <v>23684843</v>
      </c>
      <c r="Z21" s="208">
        <v>0</v>
      </c>
      <c r="AA21" s="271">
        <f t="shared" ref="AA21:AA33" si="19">SUM(Y21:Z21)</f>
        <v>23684843</v>
      </c>
      <c r="AB21" s="270">
        <f>SEPTIEMBRE!AD21</f>
        <v>23684843</v>
      </c>
      <c r="AC21" s="208">
        <v>0</v>
      </c>
      <c r="AD21" s="271">
        <f t="shared" ref="AD21:AD33" si="20">SUM(AB21:AC21)</f>
        <v>23684843</v>
      </c>
      <c r="AE21" s="270">
        <f>SEPTIEMBRE!AG21</f>
        <v>10823679</v>
      </c>
      <c r="AF21" s="208">
        <v>12861164</v>
      </c>
      <c r="AG21" s="271">
        <f t="shared" ref="AG21:AG33" si="21">SUM(AE21:AF21)</f>
        <v>23684843</v>
      </c>
      <c r="AH21" s="270">
        <f t="shared" ref="AH21:AH33" si="22">X21-AA21</f>
        <v>520636082</v>
      </c>
      <c r="AI21" s="220">
        <f t="shared" ref="AI21:AI33" si="23">X21-AD21</f>
        <v>520636082</v>
      </c>
      <c r="AJ21" s="269">
        <f t="shared" ref="AJ21:AJ33" si="24">X21-AG21</f>
        <v>520636082</v>
      </c>
      <c r="AK21" s="101"/>
      <c r="AL21" s="204">
        <v>0</v>
      </c>
      <c r="AM21" s="210">
        <v>0</v>
      </c>
      <c r="AN21" s="101"/>
      <c r="AO21" s="156"/>
      <c r="AP21" s="313"/>
      <c r="AQ21" s="314"/>
      <c r="AR21" s="315" t="str">
        <f>AR6</f>
        <v>OCTUBRE</v>
      </c>
      <c r="AS21" s="316" t="str">
        <f>AR6</f>
        <v>OCTUBRE</v>
      </c>
      <c r="AT21" s="315" t="str">
        <f>AR6</f>
        <v>OCTUBRE</v>
      </c>
      <c r="AU21" s="315" t="s">
        <v>31</v>
      </c>
      <c r="AV21" s="315" t="s">
        <v>34</v>
      </c>
      <c r="AW21" s="317"/>
      <c r="AX21" s="317"/>
      <c r="AY21" s="315" t="s">
        <v>31</v>
      </c>
      <c r="AZ21" s="318" t="s">
        <v>34</v>
      </c>
      <c r="BA21" s="101"/>
      <c r="BB21" s="308" t="s">
        <v>152</v>
      </c>
      <c r="BC21" s="142">
        <f>SUMIF($B8:B122,$B24,F8:F122)+F122+F92+F111</f>
        <v>45360108023.099998</v>
      </c>
      <c r="BD21" s="143">
        <f>SUMIF($B8:B122,$B24,I8:I122)+I122+I92+I111</f>
        <v>49982954358</v>
      </c>
      <c r="BE21" s="144">
        <f>SUMIF($B8:B122,$B24,K8:K122)+K122+K92+K111</f>
        <v>406042511</v>
      </c>
      <c r="BF21" s="553">
        <f>MARZO!BF21+ABRIL!BE21+MAYO!BE21+JUNIO!BE21</f>
        <v>43654823414</v>
      </c>
      <c r="BG21" s="67"/>
      <c r="BH21" s="67"/>
      <c r="BI21" s="67"/>
      <c r="BJ21" s="67"/>
      <c r="BK21" s="142">
        <f>SUM(Q128)</f>
        <v>0</v>
      </c>
      <c r="BL21" s="67"/>
      <c r="BM21" s="745" t="s">
        <v>153</v>
      </c>
      <c r="BN21" s="188">
        <v>0</v>
      </c>
      <c r="BO21" s="186">
        <v>0</v>
      </c>
      <c r="BP21" s="186">
        <v>0</v>
      </c>
      <c r="BQ21" s="754">
        <v>0</v>
      </c>
    </row>
    <row r="22" spans="1:69" ht="24.75" customHeight="1" thickBot="1">
      <c r="A22" s="286" t="str">
        <f>+IF(SEPTIEMBRE!A22=0,"",SEPTIEMBRE!A22)</f>
        <v>1.1.02.05.001.09.02.02</v>
      </c>
      <c r="B22" s="319" t="str">
        <f>+IF(SEPTIEMBRE!B22=0,"",SEPTIEMBRE!B22)</f>
        <v>EPS - REGIMEN CONTRIBUTIVO</v>
      </c>
      <c r="C22" s="288">
        <f t="shared" ref="C22:N22" si="25">SUM(C23:C24)</f>
        <v>56030749893.586876</v>
      </c>
      <c r="D22" s="320">
        <f t="shared" si="25"/>
        <v>0</v>
      </c>
      <c r="E22" s="320">
        <f t="shared" si="25"/>
        <v>6782368117</v>
      </c>
      <c r="F22" s="320">
        <f t="shared" si="25"/>
        <v>62813118010.586876</v>
      </c>
      <c r="G22" s="320">
        <f t="shared" si="25"/>
        <v>68686466089</v>
      </c>
      <c r="H22" s="320">
        <f t="shared" si="25"/>
        <v>5963275856</v>
      </c>
      <c r="I22" s="320">
        <f t="shared" si="25"/>
        <v>74649741945</v>
      </c>
      <c r="J22" s="320">
        <f t="shared" si="25"/>
        <v>44035296999</v>
      </c>
      <c r="K22" s="320">
        <f t="shared" si="25"/>
        <v>2084357033</v>
      </c>
      <c r="L22" s="320">
        <f t="shared" si="25"/>
        <v>46119654032</v>
      </c>
      <c r="M22" s="320">
        <f t="shared" si="25"/>
        <v>-11836623934.413124</v>
      </c>
      <c r="N22" s="661">
        <f t="shared" si="25"/>
        <v>16693463978.586876</v>
      </c>
      <c r="O22" s="101"/>
      <c r="P22" s="288">
        <f>SUM(P23:P24)</f>
        <v>0</v>
      </c>
      <c r="Q22" s="289">
        <f>SUM(Q23:Q24)</f>
        <v>0</v>
      </c>
      <c r="R22" s="101"/>
      <c r="S22" s="311" t="str">
        <f>+IF(SEPTIEMBRE!S22=0,"",SEPTIEMBRE!S22)</f>
        <v>2.1.1.01.01.001.08.02</v>
      </c>
      <c r="T22" s="312" t="str">
        <f>+IF(SEPTIEMBRE!T22=0,"",SEPTIEMBRE!T22)</f>
        <v>Prima de Vacaciones</v>
      </c>
      <c r="U22" s="373">
        <f>+ENERO!U22</f>
        <v>272160462.5</v>
      </c>
      <c r="V22" s="220">
        <f>SEPTIEMBRE!V22+OCTUBRE!AL22</f>
        <v>0</v>
      </c>
      <c r="W22" s="220">
        <f>SEPTIEMBRE!W22+OCTUBRE!AM22</f>
        <v>0</v>
      </c>
      <c r="X22" s="271">
        <f t="shared" si="18"/>
        <v>272160462.5</v>
      </c>
      <c r="Y22" s="270">
        <f>SEPTIEMBRE!AA22</f>
        <v>163809085</v>
      </c>
      <c r="Z22" s="208">
        <v>20721290</v>
      </c>
      <c r="AA22" s="271">
        <f t="shared" si="19"/>
        <v>184530375</v>
      </c>
      <c r="AB22" s="270">
        <f>SEPTIEMBRE!AD22</f>
        <v>163809085</v>
      </c>
      <c r="AC22" s="208">
        <v>20721290</v>
      </c>
      <c r="AD22" s="271">
        <f t="shared" si="20"/>
        <v>184530375</v>
      </c>
      <c r="AE22" s="270">
        <f>SEPTIEMBRE!AG22</f>
        <v>157262601</v>
      </c>
      <c r="AF22" s="208">
        <v>27267774</v>
      </c>
      <c r="AG22" s="271">
        <f t="shared" si="21"/>
        <v>184530375</v>
      </c>
      <c r="AH22" s="270">
        <f t="shared" si="22"/>
        <v>87630087.5</v>
      </c>
      <c r="AI22" s="220">
        <f t="shared" si="23"/>
        <v>87630087.5</v>
      </c>
      <c r="AJ22" s="269">
        <f t="shared" si="24"/>
        <v>87630087.5</v>
      </c>
      <c r="AK22" s="101"/>
      <c r="AL22" s="204">
        <v>0</v>
      </c>
      <c r="AM22" s="210">
        <v>0</v>
      </c>
      <c r="AN22" s="101"/>
      <c r="AO22" s="108"/>
      <c r="AP22" s="536" t="s">
        <v>156</v>
      </c>
      <c r="AQ22" s="537">
        <f>X17+X66</f>
        <v>5851372985</v>
      </c>
      <c r="AR22" s="537">
        <f>AD17+AD66</f>
        <v>4280985953</v>
      </c>
      <c r="AS22" s="537">
        <f>AG17+AG66</f>
        <v>4280985953</v>
      </c>
      <c r="AT22" s="338"/>
      <c r="AU22" s="325">
        <f t="shared" ref="AU22:AU32" si="26">IF(AQ22=0," ",AR22/AQ22)</f>
        <v>0.7316207604564452</v>
      </c>
      <c r="AV22" s="325">
        <f t="shared" ref="AV22:AV32" si="27">IF(AQ22=0," ",AS22/AQ22)</f>
        <v>0.7316207604564452</v>
      </c>
      <c r="AW22" s="323">
        <f>AR22/$AO$2*12</f>
        <v>5137183143.6000004</v>
      </c>
      <c r="AX22" s="323">
        <f>AS22/$AO$2*12</f>
        <v>5137183143.6000004</v>
      </c>
      <c r="AY22" s="323">
        <f t="shared" ref="AY22:AY31" si="28">AW22-AQ22</f>
        <v>-714189841.39999962</v>
      </c>
      <c r="AZ22" s="326">
        <f t="shared" ref="AZ22:AZ31" si="29">AQ22-AX22</f>
        <v>714189841.39999962</v>
      </c>
      <c r="BA22" s="67"/>
      <c r="BB22" s="327" t="s">
        <v>157</v>
      </c>
      <c r="BC22" s="328">
        <f>BC7+BC8+BC20+BC21</f>
        <v>212605083603.47653</v>
      </c>
      <c r="BD22" s="329">
        <f>BD7+BD8+BD20+BD21</f>
        <v>204051250113</v>
      </c>
      <c r="BE22" s="330">
        <f>BE7+BE8+BE20+BE21</f>
        <v>10022833937</v>
      </c>
      <c r="BF22" s="553">
        <f>MARZO!BF22+ABRIL!BE22+MAYO!BE22+JUNIO!BE22</f>
        <v>74936900818</v>
      </c>
      <c r="BG22" s="67"/>
      <c r="BH22" s="67"/>
      <c r="BI22" s="67"/>
      <c r="BJ22" s="67"/>
      <c r="BK22" s="328">
        <f>SUM(BK8+BK21)</f>
        <v>4845730991</v>
      </c>
      <c r="BL22" s="101"/>
      <c r="BM22" s="743" t="s">
        <v>108</v>
      </c>
      <c r="BN22" s="188">
        <f>BN23+BN24</f>
        <v>2674060585</v>
      </c>
      <c r="BO22" s="186">
        <f>BO23+BO24</f>
        <v>1169101090</v>
      </c>
      <c r="BP22" s="186">
        <f>BP23+BP24</f>
        <v>1154559760</v>
      </c>
      <c r="BQ22" s="748">
        <f>BQ23+BQ24</f>
        <v>36085795</v>
      </c>
    </row>
    <row r="23" spans="1:69" ht="24.75" customHeight="1">
      <c r="A23" s="202" t="str">
        <f>+IF(SEPTIEMBRE!A23=0,"",SEPTIEMBRE!A23)</f>
        <v>1.1.02.05.001.09.02.02</v>
      </c>
      <c r="B23" s="331" t="str">
        <f>+CONCATENATE("Vigencia ",INSTRUCCIONES!$F$3)</f>
        <v>Vigencia 2025</v>
      </c>
      <c r="C23" s="204">
        <f>+ENERO!C23</f>
        <v>49300076925.586876</v>
      </c>
      <c r="D23" s="205">
        <f>SEPTIEMBRE!D23+OCTUBRE!P23</f>
        <v>0</v>
      </c>
      <c r="E23" s="205">
        <f>SEPTIEMBRE!E23+OCTUBRE!Q23</f>
        <v>0</v>
      </c>
      <c r="F23" s="205">
        <f>SUM(C23:E23)</f>
        <v>49300076925.586876</v>
      </c>
      <c r="G23" s="205">
        <f>SEPTIEMBRE!I23</f>
        <v>51977044561</v>
      </c>
      <c r="H23" s="208">
        <v>5895155103</v>
      </c>
      <c r="I23" s="205">
        <f>SUM(G23:H23)</f>
        <v>57872199664</v>
      </c>
      <c r="J23" s="205">
        <f>SEPTIEMBRE!L23</f>
        <v>27325875471</v>
      </c>
      <c r="K23" s="208">
        <v>2016236280</v>
      </c>
      <c r="L23" s="205">
        <f>SUM(J23:K23)</f>
        <v>29342111751</v>
      </c>
      <c r="M23" s="205">
        <f>F23-I23</f>
        <v>-8572122738.4131241</v>
      </c>
      <c r="N23" s="671">
        <f>F23-L23</f>
        <v>19957965174.586876</v>
      </c>
      <c r="O23" s="101"/>
      <c r="P23" s="204">
        <v>0</v>
      </c>
      <c r="Q23" s="210">
        <v>0</v>
      </c>
      <c r="R23" s="101"/>
      <c r="S23" s="311" t="str">
        <f>+IF(SEPTIEMBRE!S23=0,"",SEPTIEMBRE!S23)</f>
        <v>2.1.1.01.01.001.07</v>
      </c>
      <c r="T23" s="312" t="str">
        <f>+IF(SEPTIEMBRE!T23=0,"",SEPTIEMBRE!T23)</f>
        <v>Bonificación  por servicios prestados</v>
      </c>
      <c r="U23" s="373">
        <f>+ENERO!U23</f>
        <v>190512323.74999997</v>
      </c>
      <c r="V23" s="220">
        <f>SEPTIEMBRE!V23+OCTUBRE!AL23</f>
        <v>0</v>
      </c>
      <c r="W23" s="220">
        <f>SEPTIEMBRE!W23+OCTUBRE!AM23</f>
        <v>0</v>
      </c>
      <c r="X23" s="271">
        <f t="shared" si="18"/>
        <v>190512323.74999997</v>
      </c>
      <c r="Y23" s="270">
        <f>SEPTIEMBRE!AA23</f>
        <v>132613712</v>
      </c>
      <c r="Z23" s="208">
        <v>7097631</v>
      </c>
      <c r="AA23" s="271">
        <f t="shared" si="19"/>
        <v>139711343</v>
      </c>
      <c r="AB23" s="270">
        <f>SEPTIEMBRE!AD23</f>
        <v>132613712</v>
      </c>
      <c r="AC23" s="208">
        <v>7097631</v>
      </c>
      <c r="AD23" s="271">
        <f t="shared" si="20"/>
        <v>139711343</v>
      </c>
      <c r="AE23" s="270">
        <f>SEPTIEMBRE!AG23</f>
        <v>128361299</v>
      </c>
      <c r="AF23" s="208">
        <v>11350044</v>
      </c>
      <c r="AG23" s="271">
        <f t="shared" si="21"/>
        <v>139711343</v>
      </c>
      <c r="AH23" s="270">
        <f t="shared" si="22"/>
        <v>50800980.74999997</v>
      </c>
      <c r="AI23" s="220">
        <f t="shared" si="23"/>
        <v>50800980.74999997</v>
      </c>
      <c r="AJ23" s="269">
        <f t="shared" si="24"/>
        <v>50800980.74999997</v>
      </c>
      <c r="AK23" s="101"/>
      <c r="AL23" s="204">
        <v>0</v>
      </c>
      <c r="AM23" s="210">
        <v>0</v>
      </c>
      <c r="AN23" s="101"/>
      <c r="AO23" s="196"/>
      <c r="AP23" s="538" t="s">
        <v>159</v>
      </c>
      <c r="AQ23" s="334">
        <f>X16+X65-AQ22</f>
        <v>1625602697.916667</v>
      </c>
      <c r="AR23" s="334">
        <f>AD16+AD65-AR22</f>
        <v>893585230</v>
      </c>
      <c r="AS23" s="334">
        <f>AG16+AG65-AS22</f>
        <v>893565230</v>
      </c>
      <c r="AT23" s="110"/>
      <c r="AU23" s="139">
        <f t="shared" si="26"/>
        <v>0.54969472623611981</v>
      </c>
      <c r="AV23" s="139">
        <f t="shared" si="27"/>
        <v>0.54968242310693227</v>
      </c>
      <c r="AW23" s="334">
        <f>(AR23-AD21-AD22-AD23-AD25-AD30-AD33-AD70-AD71-AD72-AD74-AD78-AD81)/$AO$2*12+AX22/12*2.5+AD30+AD33+AD78+AD81</f>
        <v>1720423961.25</v>
      </c>
      <c r="AX23" s="334">
        <f>(AS23-AG21-AG22-AG23-AG25-AG30-AG33-AG70-AG71-AG72-AG74-AG78-AG81)/$AO$2*12+AX22/12*2.5+AG30+AG33+AG78+AG81</f>
        <v>1720403961.25</v>
      </c>
      <c r="AY23" s="334">
        <f t="shared" si="28"/>
        <v>94821263.333333015</v>
      </c>
      <c r="AZ23" s="335">
        <f t="shared" si="29"/>
        <v>-94801263.333333015</v>
      </c>
      <c r="BA23" s="67"/>
      <c r="BB23" s="336"/>
      <c r="BC23" s="336"/>
      <c r="BD23" s="336"/>
      <c r="BE23" s="336"/>
      <c r="BF23" s="67"/>
      <c r="BG23" s="67"/>
      <c r="BH23" s="67"/>
      <c r="BI23" s="67"/>
      <c r="BJ23" s="67"/>
      <c r="BK23" s="67"/>
      <c r="BL23" s="67"/>
      <c r="BM23" s="745" t="s">
        <v>160</v>
      </c>
      <c r="BN23" s="188">
        <f>X176</f>
        <v>0</v>
      </c>
      <c r="BO23" s="186">
        <f>AA176</f>
        <v>0</v>
      </c>
      <c r="BP23" s="186">
        <f>AD176</f>
        <v>0</v>
      </c>
      <c r="BQ23" s="748">
        <f>AF176</f>
        <v>0</v>
      </c>
    </row>
    <row r="24" spans="1:69" ht="24.75" customHeight="1">
      <c r="A24" s="202" t="str">
        <f>+IF(SEPTIEMBRE!A24=0,"",SEPTIEMBRE!A24)</f>
        <v>1.1.02.05.001.09.02.02,99</v>
      </c>
      <c r="B24" s="331" t="str">
        <f>+IF(SEPTIEMBRE!B24=0,"",SEPTIEMBRE!B24)</f>
        <v>Vigencia Anterior</v>
      </c>
      <c r="C24" s="204">
        <f>+ENERO!C24</f>
        <v>6730672968</v>
      </c>
      <c r="D24" s="205">
        <f>SEPTIEMBRE!D24+OCTUBRE!P24</f>
        <v>0</v>
      </c>
      <c r="E24" s="205">
        <f>SEPTIEMBRE!E24+OCTUBRE!Q24</f>
        <v>6782368117</v>
      </c>
      <c r="F24" s="205">
        <f>SUM(C24:E24)</f>
        <v>13513041085</v>
      </c>
      <c r="G24" s="205">
        <f>SEPTIEMBRE!I24</f>
        <v>16709421528</v>
      </c>
      <c r="H24" s="208">
        <v>68120753</v>
      </c>
      <c r="I24" s="205">
        <f>SUM(G24:H24)</f>
        <v>16777542281</v>
      </c>
      <c r="J24" s="205">
        <f>SEPTIEMBRE!L24</f>
        <v>16709421528</v>
      </c>
      <c r="K24" s="208">
        <v>68120753</v>
      </c>
      <c r="L24" s="205">
        <f>SUM(J24:K24)</f>
        <v>16777542281</v>
      </c>
      <c r="M24" s="205">
        <f>F24-I24</f>
        <v>-3264501196</v>
      </c>
      <c r="N24" s="671">
        <f>F24-L24</f>
        <v>-3264501196</v>
      </c>
      <c r="O24" s="67"/>
      <c r="P24" s="204">
        <v>0</v>
      </c>
      <c r="Q24" s="210">
        <v>0</v>
      </c>
      <c r="R24" s="101"/>
      <c r="S24" s="311" t="str">
        <f>+IF(SEPTIEMBRE!S24=0,"",SEPTIEMBRE!S24)</f>
        <v>2.1.1.01.01.001.06</v>
      </c>
      <c r="T24" s="312" t="str">
        <f>+IF(SEPTIEMBRE!T24=0,"",SEPTIEMBRE!T24)</f>
        <v>Prima de Servicios</v>
      </c>
      <c r="U24" s="373">
        <f>+ENERO!U24</f>
        <v>272160462.5</v>
      </c>
      <c r="V24" s="220">
        <f>SEPTIEMBRE!V24+OCTUBRE!AL24</f>
        <v>0</v>
      </c>
      <c r="W24" s="220">
        <f>SEPTIEMBRE!W24+OCTUBRE!AM24</f>
        <v>0</v>
      </c>
      <c r="X24" s="271">
        <f t="shared" si="18"/>
        <v>272160462.5</v>
      </c>
      <c r="Y24" s="270">
        <f>SEPTIEMBRE!AA24</f>
        <v>238951453</v>
      </c>
      <c r="Z24" s="208">
        <v>-1216498</v>
      </c>
      <c r="AA24" s="271">
        <f t="shared" si="19"/>
        <v>237734955</v>
      </c>
      <c r="AB24" s="270">
        <f>SEPTIEMBRE!AD24</f>
        <v>237734955</v>
      </c>
      <c r="AC24" s="208">
        <v>0</v>
      </c>
      <c r="AD24" s="271">
        <f t="shared" si="20"/>
        <v>237734955</v>
      </c>
      <c r="AE24" s="270">
        <f>SEPTIEMBRE!AG24</f>
        <v>234905709</v>
      </c>
      <c r="AF24" s="208">
        <v>2829246</v>
      </c>
      <c r="AG24" s="271">
        <f t="shared" si="21"/>
        <v>237734955</v>
      </c>
      <c r="AH24" s="270">
        <f t="shared" si="22"/>
        <v>34425507.5</v>
      </c>
      <c r="AI24" s="220">
        <f t="shared" si="23"/>
        <v>34425507.5</v>
      </c>
      <c r="AJ24" s="269">
        <f t="shared" si="24"/>
        <v>34425507.5</v>
      </c>
      <c r="AK24" s="101"/>
      <c r="AL24" s="204">
        <v>0</v>
      </c>
      <c r="AM24" s="210">
        <v>0</v>
      </c>
      <c r="AN24" s="101"/>
      <c r="AO24" s="196"/>
      <c r="AP24" s="303" t="s">
        <v>163</v>
      </c>
      <c r="AQ24" s="338">
        <f>X35+X83</f>
        <v>86008946637</v>
      </c>
      <c r="AR24" s="338">
        <f>AD35+AD83</f>
        <v>76308166907</v>
      </c>
      <c r="AS24" s="338">
        <f>AG35+AG83</f>
        <v>55753334221</v>
      </c>
      <c r="AT24" s="338"/>
      <c r="AU24" s="205">
        <f t="shared" si="26"/>
        <v>0.88721196911128264</v>
      </c>
      <c r="AV24" s="205">
        <f t="shared" si="27"/>
        <v>0.64822714846522256</v>
      </c>
      <c r="AW24" s="205">
        <f>(AR24-AD41-AD88)/$AO$2*12+AD41+AD88</f>
        <v>88281675111.600006</v>
      </c>
      <c r="AX24" s="205">
        <f>(AS24-AG41-AG88)/$AO$2*12+AG41+AG88</f>
        <v>63615875888.399994</v>
      </c>
      <c r="AY24" s="205">
        <f t="shared" si="28"/>
        <v>2272728474.6000061</v>
      </c>
      <c r="AZ24" s="206">
        <f t="shared" si="29"/>
        <v>22393070748.600006</v>
      </c>
      <c r="BA24" s="101"/>
      <c r="BB24" s="339"/>
      <c r="BC24" s="67"/>
      <c r="BD24" s="67"/>
      <c r="BE24" s="67"/>
      <c r="BF24" s="67"/>
      <c r="BG24" s="67"/>
      <c r="BH24" s="67"/>
      <c r="BI24" s="67"/>
      <c r="BJ24" s="67"/>
      <c r="BK24" s="67"/>
      <c r="BL24" s="67"/>
      <c r="BM24" s="745" t="s">
        <v>164</v>
      </c>
      <c r="BN24" s="188">
        <f>X168-X190</f>
        <v>2674060585</v>
      </c>
      <c r="BO24" s="188">
        <f>AA168-AA190</f>
        <v>1169101090</v>
      </c>
      <c r="BP24" s="188">
        <f>AD168-AD190</f>
        <v>1154559760</v>
      </c>
      <c r="BQ24" s="188">
        <f>AF168-AF190</f>
        <v>36085795</v>
      </c>
    </row>
    <row r="25" spans="1:69" ht="24.75" customHeight="1">
      <c r="A25" s="286" t="str">
        <f>+IF(SEPTIEMBRE!A25=0,"",SEPTIEMBRE!A25)</f>
        <v>1.1.02.05.001.09.02.01</v>
      </c>
      <c r="B25" s="319" t="str">
        <f>+IF(SEPTIEMBRE!B25=0,"",SEPTIEMBRE!B25)</f>
        <v>ARS - REGIMEN SUBSIDIADO</v>
      </c>
      <c r="C25" s="288">
        <f t="shared" ref="C25:N25" si="30">SUM(C26:C27)</f>
        <v>91588666596</v>
      </c>
      <c r="D25" s="320">
        <f t="shared" si="30"/>
        <v>0</v>
      </c>
      <c r="E25" s="320">
        <f t="shared" si="30"/>
        <v>19375118648</v>
      </c>
      <c r="F25" s="320">
        <f t="shared" si="30"/>
        <v>110963785244</v>
      </c>
      <c r="G25" s="320">
        <f t="shared" si="30"/>
        <v>89699875650</v>
      </c>
      <c r="H25" s="320">
        <f t="shared" si="30"/>
        <v>7308401997</v>
      </c>
      <c r="I25" s="320">
        <f t="shared" si="30"/>
        <v>97008277647</v>
      </c>
      <c r="J25" s="320">
        <f t="shared" si="30"/>
        <v>49203508015</v>
      </c>
      <c r="K25" s="320">
        <f t="shared" si="30"/>
        <v>4181738277</v>
      </c>
      <c r="L25" s="320">
        <f t="shared" si="30"/>
        <v>53385246292</v>
      </c>
      <c r="M25" s="320">
        <f t="shared" si="30"/>
        <v>13955507597</v>
      </c>
      <c r="N25" s="661">
        <f t="shared" si="30"/>
        <v>57578538952</v>
      </c>
      <c r="O25" s="67"/>
      <c r="P25" s="288">
        <f>SUM(P26:P27)</f>
        <v>0</v>
      </c>
      <c r="Q25" s="289">
        <f>SUM(Q26:Q27)</f>
        <v>0</v>
      </c>
      <c r="R25" s="101"/>
      <c r="S25" s="311" t="str">
        <f>+IF(SEPTIEMBRE!S25=0,"",SEPTIEMBRE!S25)</f>
        <v>1010104-5</v>
      </c>
      <c r="T25" s="312" t="str">
        <f>+IF(SEPTIEMBRE!T25=0,"",SEPTIEMBRE!T25)</f>
        <v>Bonificación Convencional</v>
      </c>
      <c r="U25" s="373">
        <f>+ENERO!U25</f>
        <v>0</v>
      </c>
      <c r="V25" s="220">
        <f>SEPTIEMBRE!V25+OCTUBRE!AL25</f>
        <v>0</v>
      </c>
      <c r="W25" s="220">
        <f>SEPTIEMBRE!W25+OCTUBRE!AM25</f>
        <v>0</v>
      </c>
      <c r="X25" s="271">
        <f t="shared" si="18"/>
        <v>0</v>
      </c>
      <c r="Y25" s="270">
        <f>SEPTIEMBRE!AA25</f>
        <v>0</v>
      </c>
      <c r="Z25" s="208">
        <v>0</v>
      </c>
      <c r="AA25" s="271">
        <f t="shared" si="19"/>
        <v>0</v>
      </c>
      <c r="AB25" s="270">
        <f>SEPTIEMBRE!AD25</f>
        <v>0</v>
      </c>
      <c r="AC25" s="208">
        <v>0</v>
      </c>
      <c r="AD25" s="271">
        <f t="shared" si="20"/>
        <v>0</v>
      </c>
      <c r="AE25" s="270">
        <f>SEPTIEMBRE!AG25</f>
        <v>0</v>
      </c>
      <c r="AF25" s="208">
        <v>0</v>
      </c>
      <c r="AG25" s="271">
        <f t="shared" si="21"/>
        <v>0</v>
      </c>
      <c r="AH25" s="270">
        <f t="shared" si="22"/>
        <v>0</v>
      </c>
      <c r="AI25" s="220">
        <f t="shared" si="23"/>
        <v>0</v>
      </c>
      <c r="AJ25" s="269">
        <f t="shared" si="24"/>
        <v>0</v>
      </c>
      <c r="AK25" s="101"/>
      <c r="AL25" s="204">
        <v>0</v>
      </c>
      <c r="AM25" s="210">
        <v>0</v>
      </c>
      <c r="AN25" s="101"/>
      <c r="AO25" s="108"/>
      <c r="AP25" s="420" t="s">
        <v>168</v>
      </c>
      <c r="AQ25" s="205">
        <f>X43+X57+X90+X106</f>
        <v>3197792492.9625015</v>
      </c>
      <c r="AR25" s="205">
        <f>AD43+AD57+AD90+AC106</f>
        <v>2100968901</v>
      </c>
      <c r="AS25" s="205">
        <f>AG43+AG57+AG90+AF106</f>
        <v>2100968900</v>
      </c>
      <c r="AT25" s="338"/>
      <c r="AU25" s="205">
        <f t="shared" si="26"/>
        <v>0.65700601450021501</v>
      </c>
      <c r="AV25" s="205">
        <f t="shared" si="27"/>
        <v>0.65700601418749927</v>
      </c>
      <c r="AW25" s="205">
        <f>(AR25-AD55-AD61-AD102-AD110)/$AO$2*12+AD55+AD61+AD102+AD110</f>
        <v>-348895636.40000153</v>
      </c>
      <c r="AX25" s="205">
        <f>(AS25-AG55-AG61-AG102-AG110)/$AO$2*12+AG55+AG61+AG102+AG110</f>
        <v>364058165.59999847</v>
      </c>
      <c r="AY25" s="205">
        <f t="shared" si="28"/>
        <v>-3546688129.3625031</v>
      </c>
      <c r="AZ25" s="206">
        <f t="shared" si="29"/>
        <v>2833734327.3625031</v>
      </c>
      <c r="BA25" s="67"/>
      <c r="BB25" s="67"/>
      <c r="BC25" s="67"/>
      <c r="BD25" s="67"/>
      <c r="BE25" s="67"/>
      <c r="BF25" s="67"/>
      <c r="BG25" s="67"/>
      <c r="BH25" s="67"/>
      <c r="BI25" s="67"/>
      <c r="BJ25" s="67"/>
      <c r="BK25" s="67"/>
      <c r="BL25" s="67"/>
      <c r="BM25" s="756" t="s">
        <v>169</v>
      </c>
      <c r="BN25" s="340">
        <f>+SUM(BN26:BN28)</f>
        <v>49786176152.333328</v>
      </c>
      <c r="BO25" s="341">
        <f>+SUM(BO26:BO28)</f>
        <v>44634160492</v>
      </c>
      <c r="BP25" s="341">
        <f>+SUM(BP26:BP28)</f>
        <v>38624941555</v>
      </c>
      <c r="BQ25" s="757">
        <f>+SUM(BQ26:BQ28)</f>
        <v>1679791010</v>
      </c>
    </row>
    <row r="26" spans="1:69" ht="24.75" customHeight="1">
      <c r="A26" s="202" t="str">
        <f>+IF(SEPTIEMBRE!A26=0,"",SEPTIEMBRE!A26)</f>
        <v>1.1.02.05.001.09.02.01</v>
      </c>
      <c r="B26" s="331" t="str">
        <f>+CONCATENATE("Vigencia ",INSTRUCCIONES!$F$3)</f>
        <v>Vigencia 2025</v>
      </c>
      <c r="C26" s="204">
        <f>+ENERO!C26</f>
        <v>81866799864</v>
      </c>
      <c r="D26" s="205">
        <f>SEPTIEMBRE!D26+OCTUBRE!P26</f>
        <v>0</v>
      </c>
      <c r="E26" s="205">
        <f>SEPTIEMBRE!E26+OCTUBRE!Q26</f>
        <v>0</v>
      </c>
      <c r="F26" s="205">
        <f>SUM(C26:E26)</f>
        <v>81866799864</v>
      </c>
      <c r="G26" s="205">
        <f>SEPTIEMBRE!I26</f>
        <v>59384871628</v>
      </c>
      <c r="H26" s="208">
        <v>6998124979</v>
      </c>
      <c r="I26" s="205">
        <f>SUM(G26:H26)</f>
        <v>66382996607</v>
      </c>
      <c r="J26" s="205">
        <f>SEPTIEMBRE!L26</f>
        <v>18888503993</v>
      </c>
      <c r="K26" s="208">
        <v>3871461259</v>
      </c>
      <c r="L26" s="205">
        <f>SUM(J26:K26)</f>
        <v>22759965252</v>
      </c>
      <c r="M26" s="680">
        <f>F26-I26</f>
        <v>15483803257</v>
      </c>
      <c r="N26" s="671">
        <f>F26-L26</f>
        <v>59106834612</v>
      </c>
      <c r="O26" s="101"/>
      <c r="P26" s="204">
        <v>0</v>
      </c>
      <c r="Q26" s="210">
        <v>0</v>
      </c>
      <c r="R26" s="101"/>
      <c r="S26" s="311" t="str">
        <f>+IF(SEPTIEMBRE!S26=0,"",SEPTIEMBRE!S26)</f>
        <v>2.1.1.01.01.001.05</v>
      </c>
      <c r="T26" s="312" t="str">
        <f>+IF(SEPTIEMBRE!T26=0,"",SEPTIEMBRE!T26)</f>
        <v>Auxilio de Transporte</v>
      </c>
      <c r="U26" s="373">
        <f>+ENERO!U26</f>
        <v>0</v>
      </c>
      <c r="V26" s="220">
        <f>SEPTIEMBRE!V26+OCTUBRE!AL26</f>
        <v>21000000</v>
      </c>
      <c r="W26" s="220">
        <f>SEPTIEMBRE!W26+OCTUBRE!AM26</f>
        <v>0</v>
      </c>
      <c r="X26" s="271">
        <f t="shared" si="18"/>
        <v>21000000</v>
      </c>
      <c r="Y26" s="270">
        <f>SEPTIEMBRE!AA26</f>
        <v>12933331</v>
      </c>
      <c r="Z26" s="208">
        <v>0</v>
      </c>
      <c r="AA26" s="271">
        <f t="shared" si="19"/>
        <v>12933331</v>
      </c>
      <c r="AB26" s="270">
        <f>SEPTIEMBRE!AD26</f>
        <v>12933331</v>
      </c>
      <c r="AC26" s="208">
        <v>0</v>
      </c>
      <c r="AD26" s="271">
        <f t="shared" si="20"/>
        <v>12933331</v>
      </c>
      <c r="AE26" s="270">
        <f>SEPTIEMBRE!AG26</f>
        <v>12933331</v>
      </c>
      <c r="AF26" s="208">
        <v>0</v>
      </c>
      <c r="AG26" s="271">
        <f t="shared" si="21"/>
        <v>12933331</v>
      </c>
      <c r="AH26" s="270">
        <f t="shared" si="22"/>
        <v>8066669</v>
      </c>
      <c r="AI26" s="220">
        <f t="shared" si="23"/>
        <v>8066669</v>
      </c>
      <c r="AJ26" s="269">
        <f t="shared" si="24"/>
        <v>8066669</v>
      </c>
      <c r="AK26" s="101"/>
      <c r="AL26" s="204">
        <v>0</v>
      </c>
      <c r="AM26" s="210">
        <v>0</v>
      </c>
      <c r="AN26" s="101"/>
      <c r="AO26" s="108"/>
      <c r="AP26" s="539" t="s">
        <v>171</v>
      </c>
      <c r="AQ26" s="110">
        <f>X110</f>
        <v>24100155805.620831</v>
      </c>
      <c r="AR26" s="110">
        <f>AD110</f>
        <v>13825983954</v>
      </c>
      <c r="AS26" s="110">
        <f>AG110</f>
        <v>10261214938</v>
      </c>
      <c r="AT26" s="198">
        <f>AO2/12</f>
        <v>0.83333333333333337</v>
      </c>
      <c r="AU26" s="139">
        <f t="shared" si="26"/>
        <v>0.57368857137327689</v>
      </c>
      <c r="AV26" s="139">
        <f t="shared" si="27"/>
        <v>0.42577380083189326</v>
      </c>
      <c r="AW26" s="334">
        <f>(AR26-AD289-AD139-AD143-AD153)/$AO$2*12+AD289+AD139+AD143+AD153</f>
        <v>16412359191.599998</v>
      </c>
      <c r="AX26" s="334">
        <f>(AS26-AG289-AG139-AG143-AG153)/$AO$2*12+AG289+AG139+AG143+AG153</f>
        <v>12135346372.599998</v>
      </c>
      <c r="AY26" s="334">
        <f t="shared" si="28"/>
        <v>-7687796614.0208321</v>
      </c>
      <c r="AZ26" s="335">
        <f t="shared" si="29"/>
        <v>11964809433.020832</v>
      </c>
      <c r="BA26" s="67"/>
      <c r="BB26" s="67"/>
      <c r="BC26" s="67"/>
      <c r="BD26" s="67"/>
      <c r="BE26" s="67"/>
      <c r="BF26" s="67"/>
      <c r="BG26" s="67"/>
      <c r="BH26" s="67"/>
      <c r="BI26" s="67"/>
      <c r="BJ26" s="67"/>
      <c r="BK26" s="67"/>
      <c r="BL26" s="101"/>
      <c r="BM26" s="758" t="s">
        <v>172</v>
      </c>
      <c r="BN26" s="199">
        <f>+X197</f>
        <v>9470393028.666666</v>
      </c>
      <c r="BO26" s="199">
        <f>+AA197</f>
        <v>8146487571</v>
      </c>
      <c r="BP26" s="199">
        <f>+AD197</f>
        <v>7296373744</v>
      </c>
      <c r="BQ26" s="750">
        <f>+AF197</f>
        <v>569096738</v>
      </c>
    </row>
    <row r="27" spans="1:69" ht="24.75" customHeight="1">
      <c r="A27" s="202" t="str">
        <f>+IF(SEPTIEMBRE!A27=0,"",SEPTIEMBRE!A27)</f>
        <v>1.1.02.05.001.09.02.01.99</v>
      </c>
      <c r="B27" s="331" t="str">
        <f>+IF(SEPTIEMBRE!B27=0,"",SEPTIEMBRE!B27)</f>
        <v>Vigencia Anterior</v>
      </c>
      <c r="C27" s="204">
        <f>+ENERO!C27</f>
        <v>9721866732</v>
      </c>
      <c r="D27" s="205">
        <f>SEPTIEMBRE!D27+OCTUBRE!P27</f>
        <v>0</v>
      </c>
      <c r="E27" s="205">
        <f>SEPTIEMBRE!E27+OCTUBRE!Q27</f>
        <v>19375118648</v>
      </c>
      <c r="F27" s="205">
        <f>SUM(C27:E27)</f>
        <v>29096985380</v>
      </c>
      <c r="G27" s="205">
        <f>SEPTIEMBRE!I27</f>
        <v>30315004022</v>
      </c>
      <c r="H27" s="208">
        <v>310277018</v>
      </c>
      <c r="I27" s="205">
        <f>SUM(G27:H27)</f>
        <v>30625281040</v>
      </c>
      <c r="J27" s="205">
        <f>SEPTIEMBRE!L27</f>
        <v>30315004022</v>
      </c>
      <c r="K27" s="208">
        <v>310277018</v>
      </c>
      <c r="L27" s="205">
        <f>SUM(J27:K27)</f>
        <v>30625281040</v>
      </c>
      <c r="M27" s="680">
        <f>F27-I27</f>
        <v>-1528295660</v>
      </c>
      <c r="N27" s="671">
        <f>F27-L27</f>
        <v>-1528295660</v>
      </c>
      <c r="O27" s="67"/>
      <c r="P27" s="204">
        <v>0</v>
      </c>
      <c r="Q27" s="210">
        <v>0</v>
      </c>
      <c r="R27" s="101"/>
      <c r="S27" s="311" t="str">
        <f>+IF(SEPTIEMBRE!S27=0,"",SEPTIEMBRE!S27)</f>
        <v>2.1.1.01.01.001.04</v>
      </c>
      <c r="T27" s="312" t="str">
        <f>+IF(SEPTIEMBRE!T27=0,"",SEPTIEMBRE!T27)</f>
        <v>Auxilio de Alimentación</v>
      </c>
      <c r="U27" s="373">
        <f>+ENERO!U27</f>
        <v>0</v>
      </c>
      <c r="V27" s="220">
        <f>SEPTIEMBRE!V27+OCTUBRE!AL27</f>
        <v>0</v>
      </c>
      <c r="W27" s="220">
        <f>SEPTIEMBRE!W27+OCTUBRE!AM27</f>
        <v>0</v>
      </c>
      <c r="X27" s="271">
        <f t="shared" si="18"/>
        <v>0</v>
      </c>
      <c r="Y27" s="270">
        <f>SEPTIEMBRE!AA27</f>
        <v>0</v>
      </c>
      <c r="Z27" s="208">
        <v>0</v>
      </c>
      <c r="AA27" s="271">
        <f t="shared" si="19"/>
        <v>0</v>
      </c>
      <c r="AB27" s="270">
        <f>SEPTIEMBRE!AD27</f>
        <v>0</v>
      </c>
      <c r="AC27" s="208">
        <v>0</v>
      </c>
      <c r="AD27" s="271">
        <f t="shared" si="20"/>
        <v>0</v>
      </c>
      <c r="AE27" s="270">
        <f>SEPTIEMBRE!AG27</f>
        <v>0</v>
      </c>
      <c r="AF27" s="208">
        <v>0</v>
      </c>
      <c r="AG27" s="271">
        <f t="shared" si="21"/>
        <v>0</v>
      </c>
      <c r="AH27" s="270">
        <f t="shared" si="22"/>
        <v>0</v>
      </c>
      <c r="AI27" s="220">
        <f t="shared" si="23"/>
        <v>0</v>
      </c>
      <c r="AJ27" s="269">
        <f t="shared" si="24"/>
        <v>0</v>
      </c>
      <c r="AK27" s="101"/>
      <c r="AL27" s="204">
        <v>0</v>
      </c>
      <c r="AM27" s="210">
        <v>0</v>
      </c>
      <c r="AN27" s="101"/>
      <c r="AO27" s="156"/>
      <c r="AP27" s="420" t="s">
        <v>174</v>
      </c>
      <c r="AQ27" s="205">
        <f>X168</f>
        <v>3074060585</v>
      </c>
      <c r="AR27" s="205">
        <f>AD168</f>
        <v>1357333969</v>
      </c>
      <c r="AS27" s="205">
        <f>AG168</f>
        <v>1356288563.5</v>
      </c>
      <c r="AT27" s="338"/>
      <c r="AU27" s="205">
        <f t="shared" si="26"/>
        <v>0.4415443129595964</v>
      </c>
      <c r="AV27" s="205">
        <f t="shared" si="27"/>
        <v>0.44120423979867657</v>
      </c>
      <c r="AW27" s="205">
        <f>(AR27-AD172-AD181-AD190)/$AO$2*12+AD172+AD181+AD190</f>
        <v>1540499392.4000001</v>
      </c>
      <c r="AX27" s="205">
        <f>(AS27-AG172-AG181-AG190)/$AO$2*12+AG172+AG181+AG190</f>
        <v>1539244905.8000002</v>
      </c>
      <c r="AY27" s="205">
        <f t="shared" si="28"/>
        <v>-1533561192.5999999</v>
      </c>
      <c r="AZ27" s="206">
        <f t="shared" si="29"/>
        <v>1534815679.1999998</v>
      </c>
      <c r="BA27" s="101"/>
      <c r="BB27" s="67"/>
      <c r="BC27" s="67"/>
      <c r="BD27" s="67"/>
      <c r="BE27" s="67"/>
      <c r="BF27" s="67"/>
      <c r="BG27" s="67"/>
      <c r="BH27" s="67"/>
      <c r="BI27" s="67"/>
      <c r="BJ27" s="67"/>
      <c r="BK27" s="67"/>
      <c r="BL27" s="67"/>
      <c r="BM27" s="758" t="s">
        <v>175</v>
      </c>
      <c r="BN27" s="201">
        <f>+X210</f>
        <v>3000000</v>
      </c>
      <c r="BO27" s="199">
        <f>+AA210</f>
        <v>0</v>
      </c>
      <c r="BP27" s="199">
        <f>+AD210</f>
        <v>0</v>
      </c>
      <c r="BQ27" s="750">
        <f>+AF210</f>
        <v>0</v>
      </c>
    </row>
    <row r="28" spans="1:69" ht="24.75" customHeight="1">
      <c r="A28" s="286">
        <f>+IF(SEPTIEMBRE!A28=0,"",SEPTIEMBRE!A28)</f>
        <v>1130103</v>
      </c>
      <c r="B28" s="344" t="str">
        <f>+IF(SEPTIEMBRE!B28=0,"",SEPTIEMBRE!B28)</f>
        <v>SUBSIDIO A LA OFERTA- ATENCION PERSONAS POBRES NO CUBIERTOS CON SUBSIDIO A LA DEMANDA</v>
      </c>
      <c r="C28" s="288">
        <f>C29+C32+C35+C38+C39+C40</f>
        <v>1850957800</v>
      </c>
      <c r="D28" s="320">
        <f>+D29+D32+D35+D38+D39+D40</f>
        <v>0</v>
      </c>
      <c r="E28" s="320">
        <f>+E29+E32+E35+E38+E39+E40</f>
        <v>0</v>
      </c>
      <c r="F28" s="320">
        <f>+F29+F32+F35+F38+F39+F40</f>
        <v>1850957800</v>
      </c>
      <c r="G28" s="320">
        <f t="shared" ref="G28:N28" si="31">G29+G32+G35+G38+G39+G40</f>
        <v>1595099876</v>
      </c>
      <c r="H28" s="320">
        <f t="shared" si="31"/>
        <v>84557054</v>
      </c>
      <c r="I28" s="320">
        <f t="shared" si="31"/>
        <v>1679656930</v>
      </c>
      <c r="J28" s="320">
        <f t="shared" si="31"/>
        <v>1472023575</v>
      </c>
      <c r="K28" s="320">
        <f t="shared" si="31"/>
        <v>159415168</v>
      </c>
      <c r="L28" s="320">
        <f t="shared" si="31"/>
        <v>1631438743</v>
      </c>
      <c r="M28" s="320">
        <f t="shared" si="31"/>
        <v>171300870</v>
      </c>
      <c r="N28" s="661">
        <f t="shared" si="31"/>
        <v>219519057</v>
      </c>
      <c r="O28" s="67"/>
      <c r="P28" s="288">
        <f>P29+P32+P35+P38+P39+P939</f>
        <v>0</v>
      </c>
      <c r="Q28" s="289">
        <f>Q29+Q32+Q35+Q38+Q39+Q40</f>
        <v>0</v>
      </c>
      <c r="R28" s="101"/>
      <c r="S28" s="311" t="str">
        <f>+IF(SEPTIEMBRE!S28=0,"",SEPTIEMBRE!S28)</f>
        <v>1010104-8</v>
      </c>
      <c r="T28" s="312" t="str">
        <f>+IF(SEPTIEMBRE!T28=0,"",SEPTIEMBRE!T28)</f>
        <v>Indemnizaciones por Vacaciones o Supresión de Cargos por Reestructuración</v>
      </c>
      <c r="U28" s="373">
        <f>+ENERO!U28</f>
        <v>0</v>
      </c>
      <c r="V28" s="220">
        <f>SEPTIEMBRE!V28+OCTUBRE!AL28</f>
        <v>0</v>
      </c>
      <c r="W28" s="220">
        <f>SEPTIEMBRE!W28+OCTUBRE!AM28</f>
        <v>0</v>
      </c>
      <c r="X28" s="271">
        <f t="shared" si="18"/>
        <v>0</v>
      </c>
      <c r="Y28" s="270">
        <f>SEPTIEMBRE!AA28</f>
        <v>0</v>
      </c>
      <c r="Z28" s="208">
        <v>0</v>
      </c>
      <c r="AA28" s="271">
        <f t="shared" si="19"/>
        <v>0</v>
      </c>
      <c r="AB28" s="270">
        <f>SEPTIEMBRE!AD28</f>
        <v>0</v>
      </c>
      <c r="AC28" s="208">
        <v>0</v>
      </c>
      <c r="AD28" s="271">
        <f t="shared" si="20"/>
        <v>0</v>
      </c>
      <c r="AE28" s="270">
        <f>SEPTIEMBRE!AG28</f>
        <v>0</v>
      </c>
      <c r="AF28" s="208">
        <v>0</v>
      </c>
      <c r="AG28" s="271">
        <f t="shared" si="21"/>
        <v>0</v>
      </c>
      <c r="AH28" s="270">
        <f t="shared" si="22"/>
        <v>0</v>
      </c>
      <c r="AI28" s="220">
        <f t="shared" si="23"/>
        <v>0</v>
      </c>
      <c r="AJ28" s="269">
        <f t="shared" si="24"/>
        <v>0</v>
      </c>
      <c r="AK28" s="101"/>
      <c r="AL28" s="204">
        <v>0</v>
      </c>
      <c r="AM28" s="210">
        <v>0</v>
      </c>
      <c r="AN28" s="101"/>
      <c r="AO28" s="156"/>
      <c r="AP28" s="333" t="s">
        <v>179</v>
      </c>
      <c r="AQ28" s="205">
        <f>X194</f>
        <v>53499957115.666664</v>
      </c>
      <c r="AR28" s="205">
        <f>AD194</f>
        <v>42273004110</v>
      </c>
      <c r="AS28" s="205">
        <f>AG194</f>
        <v>24570936273</v>
      </c>
      <c r="AT28" s="338"/>
      <c r="AU28" s="205">
        <f t="shared" si="26"/>
        <v>0.79015024289843738</v>
      </c>
      <c r="AV28" s="205">
        <f t="shared" si="27"/>
        <v>0.45927020501862736</v>
      </c>
      <c r="AW28" s="205">
        <f>(AR28-AD206)/$AO$2*12+AD206</f>
        <v>49997992421</v>
      </c>
      <c r="AX28" s="205">
        <f>(AS28-AG206)/$AO$2*12+AG206</f>
        <v>28755511017</v>
      </c>
      <c r="AY28" s="205">
        <f t="shared" si="28"/>
        <v>-3501964694.6666641</v>
      </c>
      <c r="AZ28" s="206">
        <f t="shared" si="29"/>
        <v>24744446098.666664</v>
      </c>
      <c r="BA28" s="67"/>
      <c r="BB28" s="67"/>
      <c r="BC28" s="67"/>
      <c r="BD28" s="67"/>
      <c r="BE28" s="67"/>
      <c r="BF28" s="67"/>
      <c r="BG28" s="67"/>
      <c r="BH28" s="67"/>
      <c r="BI28" s="67"/>
      <c r="BJ28" s="67"/>
      <c r="BK28" s="67"/>
      <c r="BL28" s="67"/>
      <c r="BM28" s="743" t="s">
        <v>180</v>
      </c>
      <c r="BN28" s="186">
        <f>+X196-X197+X204</f>
        <v>40312783123.666664</v>
      </c>
      <c r="BO28" s="186">
        <f>+AA196-AA197+AA204</f>
        <v>36487672921</v>
      </c>
      <c r="BP28" s="186">
        <f>+AD196-AD197+AD204</f>
        <v>31328567811</v>
      </c>
      <c r="BQ28" s="748">
        <f>+AF196-AF197+AF204</f>
        <v>1110694272</v>
      </c>
    </row>
    <row r="29" spans="1:69" ht="24.75" customHeight="1">
      <c r="A29" s="202" t="str">
        <f>+IF(SEPTIEMBRE!A29=0,"",SEPTIEMBRE!A29)</f>
        <v>1130103-1</v>
      </c>
      <c r="B29" s="345" t="str">
        <f>+IF(SEPTIEMBRE!B29=0,"",SEPTIEMBRE!B29)</f>
        <v>Prestación de Servicios de salud  1er Nivel</v>
      </c>
      <c r="C29" s="270">
        <f t="shared" ref="C29:N29" si="32">SUM(C30:C31)</f>
        <v>0</v>
      </c>
      <c r="D29" s="220">
        <f t="shared" si="32"/>
        <v>0</v>
      </c>
      <c r="E29" s="220">
        <f t="shared" si="32"/>
        <v>0</v>
      </c>
      <c r="F29" s="220">
        <f t="shared" si="32"/>
        <v>0</v>
      </c>
      <c r="G29" s="220">
        <f t="shared" si="32"/>
        <v>0</v>
      </c>
      <c r="H29" s="220">
        <f t="shared" si="32"/>
        <v>0</v>
      </c>
      <c r="I29" s="220">
        <f t="shared" si="32"/>
        <v>0</v>
      </c>
      <c r="J29" s="220">
        <f t="shared" si="32"/>
        <v>0</v>
      </c>
      <c r="K29" s="220">
        <f t="shared" si="32"/>
        <v>0</v>
      </c>
      <c r="L29" s="220">
        <f t="shared" si="32"/>
        <v>0</v>
      </c>
      <c r="M29" s="220">
        <f t="shared" si="32"/>
        <v>0</v>
      </c>
      <c r="N29" s="652">
        <f t="shared" si="32"/>
        <v>0</v>
      </c>
      <c r="O29" s="67"/>
      <c r="P29" s="346">
        <f>SUM(P30:P31)</f>
        <v>0</v>
      </c>
      <c r="Q29" s="347">
        <f>SUM(Q30:Q31)</f>
        <v>0</v>
      </c>
      <c r="R29" s="101"/>
      <c r="S29" s="311" t="str">
        <f>+IF(SEPTIEMBRE!S29=0,"",SEPTIEMBRE!S29)</f>
        <v>1010104-9</v>
      </c>
      <c r="T29" s="312" t="str">
        <f>+IF(SEPTIEMBRE!T29=0,"",SEPTIEMBRE!T29)</f>
        <v>Gastos de Representacion</v>
      </c>
      <c r="U29" s="373">
        <f>+ENERO!U29</f>
        <v>0</v>
      </c>
      <c r="V29" s="220">
        <f>SEPTIEMBRE!V29+OCTUBRE!AL29</f>
        <v>0</v>
      </c>
      <c r="W29" s="220">
        <f>SEPTIEMBRE!W29+OCTUBRE!AM29</f>
        <v>0</v>
      </c>
      <c r="X29" s="271">
        <f t="shared" si="18"/>
        <v>0</v>
      </c>
      <c r="Y29" s="270">
        <f>SEPTIEMBRE!AA29</f>
        <v>0</v>
      </c>
      <c r="Z29" s="208">
        <v>0</v>
      </c>
      <c r="AA29" s="271">
        <f t="shared" si="19"/>
        <v>0</v>
      </c>
      <c r="AB29" s="270">
        <f>SEPTIEMBRE!AD29</f>
        <v>0</v>
      </c>
      <c r="AC29" s="208">
        <v>0</v>
      </c>
      <c r="AD29" s="271">
        <f t="shared" si="20"/>
        <v>0</v>
      </c>
      <c r="AE29" s="270">
        <f>SEPTIEMBRE!AG29</f>
        <v>0</v>
      </c>
      <c r="AF29" s="208">
        <v>0</v>
      </c>
      <c r="AG29" s="271">
        <f t="shared" si="21"/>
        <v>0</v>
      </c>
      <c r="AH29" s="270">
        <f t="shared" si="22"/>
        <v>0</v>
      </c>
      <c r="AI29" s="220">
        <f t="shared" si="23"/>
        <v>0</v>
      </c>
      <c r="AJ29" s="269">
        <f t="shared" si="24"/>
        <v>0</v>
      </c>
      <c r="AK29" s="101"/>
      <c r="AL29" s="204">
        <v>0</v>
      </c>
      <c r="AM29" s="210">
        <v>0</v>
      </c>
      <c r="AN29" s="101"/>
      <c r="AO29" s="108"/>
      <c r="AP29" s="333" t="s">
        <v>185</v>
      </c>
      <c r="AQ29" s="205">
        <f>X208</f>
        <v>4665559635</v>
      </c>
      <c r="AR29" s="205">
        <f>AD208</f>
        <v>4596412660</v>
      </c>
      <c r="AS29" s="205">
        <f>AG208</f>
        <v>4596412660</v>
      </c>
      <c r="AT29" s="110"/>
      <c r="AU29" s="139">
        <f t="shared" si="26"/>
        <v>0.9851792752832319</v>
      </c>
      <c r="AV29" s="139">
        <f t="shared" si="27"/>
        <v>0.9851792752832319</v>
      </c>
      <c r="AW29" s="334">
        <f>(AR29-AD217)/$AO$2*12+AD217</f>
        <v>4596412660</v>
      </c>
      <c r="AX29" s="334">
        <f>(AS29-AG217)/$AO$2*12+AG217</f>
        <v>4596412660</v>
      </c>
      <c r="AY29" s="334">
        <f t="shared" si="28"/>
        <v>-69146975</v>
      </c>
      <c r="AZ29" s="335">
        <f t="shared" si="29"/>
        <v>69146975</v>
      </c>
      <c r="BA29" s="67"/>
      <c r="BB29" s="336"/>
      <c r="BC29" s="336"/>
      <c r="BD29" s="336"/>
      <c r="BE29" s="336"/>
      <c r="BF29" s="336"/>
      <c r="BG29" s="67"/>
      <c r="BH29" s="67"/>
      <c r="BI29" s="67"/>
      <c r="BJ29" s="67"/>
      <c r="BK29" s="67"/>
      <c r="BL29" s="101"/>
      <c r="BM29" s="759" t="s">
        <v>117</v>
      </c>
      <c r="BN29" s="340">
        <f>X234-X240</f>
        <v>26871678120</v>
      </c>
      <c r="BO29" s="340">
        <f>AA234-AA240</f>
        <v>22448289970</v>
      </c>
      <c r="BP29" s="340">
        <f>AD234-AD240</f>
        <v>16648941763</v>
      </c>
      <c r="BQ29" s="340">
        <f>AF234-AF240</f>
        <v>1833778004</v>
      </c>
    </row>
    <row r="30" spans="1:69" ht="24.75" customHeight="1">
      <c r="A30" s="202" t="str">
        <f>+IF(SEPTIEMBRE!A30=0,"",SEPTIEMBRE!A30)</f>
        <v>1130103-1-1</v>
      </c>
      <c r="B30" s="331" t="str">
        <f>+CONCATENATE("Vigencia ",INSTRUCCIONES!$F$3)</f>
        <v>Vigencia 2025</v>
      </c>
      <c r="C30" s="204">
        <f>+ENERO!C30</f>
        <v>0</v>
      </c>
      <c r="D30" s="205">
        <f>SEPTIEMBRE!D30+OCTUBRE!P30</f>
        <v>0</v>
      </c>
      <c r="E30" s="205">
        <f>SEPTIEMBRE!E30+OCTUBRE!Q30</f>
        <v>0</v>
      </c>
      <c r="F30" s="205">
        <f>SUM(C30:E30)</f>
        <v>0</v>
      </c>
      <c r="G30" s="205">
        <f>SEPTIEMBRE!I30</f>
        <v>0</v>
      </c>
      <c r="H30" s="208">
        <v>0</v>
      </c>
      <c r="I30" s="205">
        <f>SUM(G30:H30)</f>
        <v>0</v>
      </c>
      <c r="J30" s="205">
        <f>SEPTIEMBRE!L30</f>
        <v>0</v>
      </c>
      <c r="K30" s="208">
        <v>0</v>
      </c>
      <c r="L30" s="205">
        <f>SUM(J30:K30)</f>
        <v>0</v>
      </c>
      <c r="M30" s="205">
        <f>F30-I30</f>
        <v>0</v>
      </c>
      <c r="N30" s="671">
        <f>F30-L30</f>
        <v>0</v>
      </c>
      <c r="O30" s="101"/>
      <c r="P30" s="204">
        <v>0</v>
      </c>
      <c r="Q30" s="210">
        <v>0</v>
      </c>
      <c r="R30" s="101"/>
      <c r="S30" s="311" t="str">
        <f>+IF(SEPTIEMBRE!S30=0,"",SEPTIEMBRE!S30)</f>
        <v>2.1.1.01.03.001.03</v>
      </c>
      <c r="T30" s="312" t="str">
        <f>+IF(SEPTIEMBRE!T30=0,"",SEPTIEMBRE!T30)</f>
        <v>Bonificación Especial por Recreación</v>
      </c>
      <c r="U30" s="373">
        <f>+ENERO!U30</f>
        <v>36288061.666666657</v>
      </c>
      <c r="V30" s="220">
        <f>SEPTIEMBRE!V30+OCTUBRE!AL30</f>
        <v>0</v>
      </c>
      <c r="W30" s="220">
        <f>SEPTIEMBRE!W30+OCTUBRE!AM30</f>
        <v>0</v>
      </c>
      <c r="X30" s="271">
        <f t="shared" si="18"/>
        <v>36288061.666666657</v>
      </c>
      <c r="Y30" s="270">
        <f>SEPTIEMBRE!AA30</f>
        <v>20486138</v>
      </c>
      <c r="Z30" s="208">
        <v>2578511</v>
      </c>
      <c r="AA30" s="271">
        <f t="shared" si="19"/>
        <v>23064649</v>
      </c>
      <c r="AB30" s="270">
        <f>SEPTIEMBRE!AD30</f>
        <v>20486138</v>
      </c>
      <c r="AC30" s="208">
        <v>2578511</v>
      </c>
      <c r="AD30" s="271">
        <f t="shared" si="20"/>
        <v>23064649</v>
      </c>
      <c r="AE30" s="270">
        <f>SEPTIEMBRE!AG30</f>
        <v>19656154</v>
      </c>
      <c r="AF30" s="208">
        <v>3388495</v>
      </c>
      <c r="AG30" s="271">
        <f t="shared" si="21"/>
        <v>23044649</v>
      </c>
      <c r="AH30" s="270">
        <f t="shared" si="22"/>
        <v>13223412.666666657</v>
      </c>
      <c r="AI30" s="220">
        <f t="shared" si="23"/>
        <v>13223412.666666657</v>
      </c>
      <c r="AJ30" s="269">
        <f t="shared" si="24"/>
        <v>13243412.666666657</v>
      </c>
      <c r="AK30" s="101"/>
      <c r="AL30" s="204">
        <v>0</v>
      </c>
      <c r="AM30" s="210">
        <v>0</v>
      </c>
      <c r="AN30" s="101"/>
      <c r="AO30" s="196" t="s">
        <v>92</v>
      </c>
      <c r="AP30" s="420" t="s">
        <v>188</v>
      </c>
      <c r="AQ30" s="205">
        <f>X219+X231</f>
        <v>30561635649</v>
      </c>
      <c r="AR30" s="205">
        <f>AD219+AD231</f>
        <v>18087722092</v>
      </c>
      <c r="AS30" s="205">
        <f>AG219+AG231</f>
        <v>14108461986</v>
      </c>
      <c r="AT30" s="338"/>
      <c r="AU30" s="205">
        <f t="shared" si="26"/>
        <v>0.59184404590569895</v>
      </c>
      <c r="AV30" s="205">
        <f t="shared" si="27"/>
        <v>0.46163962387470053</v>
      </c>
      <c r="AW30" s="205">
        <f>(AR30-AD224-AD229-AD240-AD255)/$AO$2*12+AD224+AD229+AD240+AD255</f>
        <v>21705266510.400002</v>
      </c>
      <c r="AX30" s="205">
        <f>(AS30-AG224-AG229-AG240-AG255)/$AO$2*12+AG224+AG229+AG240+AG255</f>
        <v>16930154383.199999</v>
      </c>
      <c r="AY30" s="205">
        <f t="shared" si="28"/>
        <v>-8856369138.5999985</v>
      </c>
      <c r="AZ30" s="206">
        <f t="shared" si="29"/>
        <v>13631481265.800001</v>
      </c>
      <c r="BA30" s="67"/>
      <c r="BB30" s="336"/>
      <c r="BC30" s="336"/>
      <c r="BD30" s="336"/>
      <c r="BE30" s="336"/>
      <c r="BF30" s="336"/>
      <c r="BG30" s="67"/>
      <c r="BH30" s="67"/>
      <c r="BI30" s="67"/>
      <c r="BJ30" s="67"/>
      <c r="BK30" s="67"/>
      <c r="BL30" s="67"/>
      <c r="BM30" s="759" t="s">
        <v>122</v>
      </c>
      <c r="BN30" s="340">
        <f>X219-X229</f>
        <v>3239175000</v>
      </c>
      <c r="BO30" s="340">
        <f>AA219-AA229</f>
        <v>1438780329</v>
      </c>
      <c r="BP30" s="340">
        <f>AD219-AD229</f>
        <v>1438780329</v>
      </c>
      <c r="BQ30" s="340">
        <f>AF219-AF229</f>
        <v>271834274</v>
      </c>
    </row>
    <row r="31" spans="1:69" ht="24.75" customHeight="1">
      <c r="A31" s="202" t="str">
        <f>+IF(SEPTIEMBRE!A31=0,"",SEPTIEMBRE!A31)</f>
        <v>1130103-1-2</v>
      </c>
      <c r="B31" s="331" t="str">
        <f>+IF(SEPTIEMBRE!B31=0,"",SEPTIEMBRE!B31)</f>
        <v>Vigencia Anterior</v>
      </c>
      <c r="C31" s="204">
        <f>+ENERO!C31</f>
        <v>0</v>
      </c>
      <c r="D31" s="205">
        <f>SEPTIEMBRE!D31+OCTUBRE!P31</f>
        <v>0</v>
      </c>
      <c r="E31" s="205">
        <f>SEPTIEMBRE!E31+OCTUBRE!Q31</f>
        <v>0</v>
      </c>
      <c r="F31" s="205">
        <f>SUM(C31:E31)</f>
        <v>0</v>
      </c>
      <c r="G31" s="205">
        <f>SEPTIEMBRE!I31</f>
        <v>0</v>
      </c>
      <c r="H31" s="208">
        <v>0</v>
      </c>
      <c r="I31" s="205">
        <f>SUM(G31:H31)</f>
        <v>0</v>
      </c>
      <c r="J31" s="205">
        <f>SEPTIEMBRE!L31</f>
        <v>0</v>
      </c>
      <c r="K31" s="208">
        <v>0</v>
      </c>
      <c r="L31" s="205">
        <f>SUM(J31:K31)</f>
        <v>0</v>
      </c>
      <c r="M31" s="205">
        <f>F31-I31</f>
        <v>0</v>
      </c>
      <c r="N31" s="671">
        <f>F31-L31</f>
        <v>0</v>
      </c>
      <c r="O31" s="67"/>
      <c r="P31" s="204">
        <v>0</v>
      </c>
      <c r="Q31" s="210">
        <v>0</v>
      </c>
      <c r="R31" s="101"/>
      <c r="S31" s="311" t="str">
        <f>+IF(SEPTIEMBRE!S31=0,"",SEPTIEMBRE!S31)</f>
        <v>2.1.1.01.03.001.01</v>
      </c>
      <c r="T31" s="312" t="str">
        <f>+IF(SEPTIEMBRE!T31=0,"",SEPTIEMBRE!T31)</f>
        <v>Vacaciones</v>
      </c>
      <c r="U31" s="373">
        <f>+ENERO!U31</f>
        <v>272160462.5</v>
      </c>
      <c r="V31" s="220">
        <f>SEPTIEMBRE!V31+OCTUBRE!AL31</f>
        <v>0</v>
      </c>
      <c r="W31" s="220">
        <f>SEPTIEMBRE!W31+OCTUBRE!AM31</f>
        <v>0</v>
      </c>
      <c r="X31" s="271">
        <f t="shared" si="18"/>
        <v>272160462.5</v>
      </c>
      <c r="Y31" s="270">
        <f>SEPTIEMBRE!AA31</f>
        <v>228471227</v>
      </c>
      <c r="Z31" s="208">
        <v>31036189</v>
      </c>
      <c r="AA31" s="271">
        <f t="shared" si="19"/>
        <v>259507416</v>
      </c>
      <c r="AB31" s="270">
        <f>SEPTIEMBRE!AD31</f>
        <v>228471227</v>
      </c>
      <c r="AC31" s="208">
        <v>31036189</v>
      </c>
      <c r="AD31" s="271">
        <f t="shared" si="20"/>
        <v>259507416</v>
      </c>
      <c r="AE31" s="270">
        <f>SEPTIEMBRE!AG31</f>
        <v>221924743</v>
      </c>
      <c r="AF31" s="208">
        <v>37582673</v>
      </c>
      <c r="AG31" s="271">
        <f t="shared" si="21"/>
        <v>259507416</v>
      </c>
      <c r="AH31" s="270">
        <f t="shared" si="22"/>
        <v>12653046.5</v>
      </c>
      <c r="AI31" s="220">
        <f t="shared" si="23"/>
        <v>12653046.5</v>
      </c>
      <c r="AJ31" s="269">
        <f t="shared" si="24"/>
        <v>12653046.5</v>
      </c>
      <c r="AK31" s="101"/>
      <c r="AL31" s="204">
        <v>0</v>
      </c>
      <c r="AM31" s="210">
        <v>0</v>
      </c>
      <c r="AN31" s="101"/>
      <c r="AO31" s="156"/>
      <c r="AP31" s="303" t="s">
        <v>190</v>
      </c>
      <c r="AQ31" s="338">
        <v>0</v>
      </c>
      <c r="AR31" s="338">
        <f>AD257</f>
        <v>-39999685046</v>
      </c>
      <c r="AS31" s="338">
        <f>AG257</f>
        <v>-117922168724.5</v>
      </c>
      <c r="AT31" s="338"/>
      <c r="AU31" s="205" t="str">
        <f t="shared" si="26"/>
        <v xml:space="preserve"> </v>
      </c>
      <c r="AV31" s="205" t="str">
        <f t="shared" si="27"/>
        <v xml:space="preserve"> </v>
      </c>
      <c r="AW31" s="205">
        <f>AQ31</f>
        <v>0</v>
      </c>
      <c r="AX31" s="205">
        <f>AQ31</f>
        <v>0</v>
      </c>
      <c r="AY31" s="205">
        <f t="shared" si="28"/>
        <v>0</v>
      </c>
      <c r="AZ31" s="206">
        <f t="shared" si="29"/>
        <v>0</v>
      </c>
      <c r="BA31" s="67"/>
      <c r="BB31" s="67"/>
      <c r="BC31" s="67"/>
      <c r="BD31" s="67"/>
      <c r="BE31" s="67"/>
      <c r="BF31" s="67"/>
      <c r="BG31" s="67"/>
      <c r="BH31" s="67"/>
      <c r="BI31" s="67"/>
      <c r="BJ31" s="67"/>
      <c r="BK31" s="67"/>
      <c r="BL31" s="67"/>
      <c r="BM31" s="759" t="s">
        <v>191</v>
      </c>
      <c r="BN31" s="340">
        <f>X261</f>
        <v>30116386787.222057</v>
      </c>
      <c r="BO31" s="340">
        <f>AA261</f>
        <v>27185197387</v>
      </c>
      <c r="BP31" s="340">
        <f>AD261</f>
        <v>27178997387</v>
      </c>
      <c r="BQ31" s="340">
        <f>AF261</f>
        <v>0</v>
      </c>
    </row>
    <row r="32" spans="1:69" ht="24.75" customHeight="1" thickBot="1">
      <c r="A32" s="202" t="str">
        <f>+IF(SEPTIEMBRE!A32=0,"",SEPTIEMBRE!A32)</f>
        <v>1.1.02.05.001.09.02.15</v>
      </c>
      <c r="B32" s="345" t="str">
        <f>+IF(SEPTIEMBRE!B32=0,"",SEPTIEMBRE!B32)</f>
        <v>Prestación de Servicios de salud  2o. Nivel</v>
      </c>
      <c r="C32" s="270">
        <f t="shared" ref="C32:N32" si="33">SUM(C33:C34)</f>
        <v>1850957800</v>
      </c>
      <c r="D32" s="220">
        <f t="shared" si="33"/>
        <v>0</v>
      </c>
      <c r="E32" s="220">
        <f t="shared" si="33"/>
        <v>0</v>
      </c>
      <c r="F32" s="220">
        <f t="shared" si="33"/>
        <v>1850957800</v>
      </c>
      <c r="G32" s="220">
        <f t="shared" si="33"/>
        <v>1595099876</v>
      </c>
      <c r="H32" s="220">
        <f t="shared" si="33"/>
        <v>84557054</v>
      </c>
      <c r="I32" s="220">
        <f t="shared" si="33"/>
        <v>1679656930</v>
      </c>
      <c r="J32" s="220">
        <f t="shared" si="33"/>
        <v>1472023575</v>
      </c>
      <c r="K32" s="220">
        <f t="shared" si="33"/>
        <v>159415168</v>
      </c>
      <c r="L32" s="220">
        <f t="shared" si="33"/>
        <v>1631438743</v>
      </c>
      <c r="M32" s="220">
        <f t="shared" si="33"/>
        <v>171300870</v>
      </c>
      <c r="N32" s="652">
        <f t="shared" si="33"/>
        <v>219519057</v>
      </c>
      <c r="O32" s="67"/>
      <c r="P32" s="346">
        <f>SUM(P33:P34)</f>
        <v>0</v>
      </c>
      <c r="Q32" s="347">
        <f>SUM(Q33:Q34)</f>
        <v>0</v>
      </c>
      <c r="R32" s="101"/>
      <c r="S32" s="311" t="str">
        <f>+IF(SEPTIEMBRE!S32=0,"",SEPTIEMBRE!S32)</f>
        <v>1010104-12</v>
      </c>
      <c r="T32" s="312" t="str">
        <f>+IF(SEPTIEMBRE!T32=0,"",SEPTIEMBRE!T32)</f>
        <v/>
      </c>
      <c r="U32" s="373">
        <f>+ENERO!U32</f>
        <v>0</v>
      </c>
      <c r="V32" s="220">
        <f>SEPTIEMBRE!V32+OCTUBRE!AL32</f>
        <v>0</v>
      </c>
      <c r="W32" s="220">
        <f>SEPTIEMBRE!W32+OCTUBRE!AM32</f>
        <v>0</v>
      </c>
      <c r="X32" s="271">
        <f t="shared" si="18"/>
        <v>0</v>
      </c>
      <c r="Y32" s="270">
        <f>SEPTIEMBRE!AA32</f>
        <v>0</v>
      </c>
      <c r="Z32" s="208">
        <v>0</v>
      </c>
      <c r="AA32" s="271">
        <f t="shared" si="19"/>
        <v>0</v>
      </c>
      <c r="AB32" s="270">
        <f>SEPTIEMBRE!AD32</f>
        <v>0</v>
      </c>
      <c r="AC32" s="208">
        <v>0</v>
      </c>
      <c r="AD32" s="271">
        <f t="shared" si="20"/>
        <v>0</v>
      </c>
      <c r="AE32" s="270">
        <f>SEPTIEMBRE!AG32</f>
        <v>0</v>
      </c>
      <c r="AF32" s="208">
        <v>0</v>
      </c>
      <c r="AG32" s="271">
        <f t="shared" si="21"/>
        <v>0</v>
      </c>
      <c r="AH32" s="270">
        <f t="shared" si="22"/>
        <v>0</v>
      </c>
      <c r="AI32" s="220">
        <f t="shared" si="23"/>
        <v>0</v>
      </c>
      <c r="AJ32" s="269">
        <f t="shared" si="24"/>
        <v>0</v>
      </c>
      <c r="AK32" s="101"/>
      <c r="AL32" s="204">
        <v>0</v>
      </c>
      <c r="AM32" s="210">
        <v>0</v>
      </c>
      <c r="AN32" s="101"/>
      <c r="AO32" s="108"/>
      <c r="AP32" s="540" t="s">
        <v>194</v>
      </c>
      <c r="AQ32" s="260">
        <f>SUM(AQ22:AQ31)</f>
        <v>212585083603.16669</v>
      </c>
      <c r="AR32" s="260">
        <f>SUM(AR22:AR31)</f>
        <v>123724478730</v>
      </c>
      <c r="AS32" s="260">
        <f>SUM(AS22:AS31)</f>
        <v>0</v>
      </c>
      <c r="AT32" s="349"/>
      <c r="AU32" s="350">
        <f t="shared" si="26"/>
        <v>0.58199981218323349</v>
      </c>
      <c r="AV32" s="350">
        <f t="shared" si="27"/>
        <v>0</v>
      </c>
      <c r="AW32" s="158">
        <f>SUM(AW22:AW31)</f>
        <v>189042916755.45001</v>
      </c>
      <c r="AX32" s="158">
        <f>SUM(AX22:AX31)</f>
        <v>134794190497.45001</v>
      </c>
      <c r="AY32" s="158">
        <f>SUM(AY22:AY31)</f>
        <v>-23542166847.71666</v>
      </c>
      <c r="AZ32" s="159">
        <f>SUM(AZ22:AZ31)</f>
        <v>77790893105.71666</v>
      </c>
      <c r="BA32" s="67"/>
      <c r="BB32" s="336"/>
      <c r="BC32" s="336"/>
      <c r="BD32" s="336"/>
      <c r="BE32" s="336"/>
      <c r="BF32" s="336"/>
      <c r="BG32" s="67"/>
      <c r="BH32" s="67"/>
      <c r="BI32" s="67"/>
      <c r="BJ32" s="67"/>
      <c r="BK32" s="67"/>
      <c r="BL32" s="101"/>
      <c r="BM32" s="759" t="s">
        <v>195</v>
      </c>
      <c r="BN32" s="340">
        <f>+BN7+BN25+BN29+BN30+BN31</f>
        <v>212605083603.16669</v>
      </c>
      <c r="BO32" s="340">
        <f>+BO7+BO25+BO29+BO30+BO31</f>
        <v>185061150447</v>
      </c>
      <c r="BP32" s="340">
        <f>+BP7+BP25+BP29+BP30+BP31</f>
        <v>163742425347</v>
      </c>
      <c r="BQ32" s="760">
        <f>+BQ7+BQ25+BQ29+BQ30+BQ31</f>
        <v>9604554332</v>
      </c>
    </row>
    <row r="33" spans="1:69" ht="24.75" customHeight="1" thickBot="1">
      <c r="A33" s="202" t="str">
        <f>+IF(SEPTIEMBRE!A33=0,"",SEPTIEMBRE!A33)</f>
        <v>1.1.02.05.001.09.02.15</v>
      </c>
      <c r="B33" s="331" t="str">
        <f>+CONCATENATE("Vigencia ",INSTRUCCIONES!$F$3)</f>
        <v>Vigencia 2025</v>
      </c>
      <c r="C33" s="204">
        <f>+ENERO!C33</f>
        <v>1140706891</v>
      </c>
      <c r="D33" s="205">
        <f>SEPTIEMBRE!D33+OCTUBRE!P33</f>
        <v>0</v>
      </c>
      <c r="E33" s="205">
        <f>SEPTIEMBRE!E33+OCTUBRE!Q33</f>
        <v>0</v>
      </c>
      <c r="F33" s="205">
        <f>SUM(C33:E33)</f>
        <v>1140706891</v>
      </c>
      <c r="G33" s="205">
        <f>SEPTIEMBRE!I33</f>
        <v>1305092893</v>
      </c>
      <c r="H33" s="208">
        <f>84385454+171600</f>
        <v>84557054</v>
      </c>
      <c r="I33" s="205">
        <f>SUM(G33:H33)</f>
        <v>1389649947</v>
      </c>
      <c r="J33" s="205">
        <f>SEPTIEMBRE!L33</f>
        <v>1182016592</v>
      </c>
      <c r="K33" s="208">
        <f>157672482+1742686</f>
        <v>159415168</v>
      </c>
      <c r="L33" s="205">
        <f>SUM(J33:K33)</f>
        <v>1341431760</v>
      </c>
      <c r="M33" s="205">
        <f>F33-I33</f>
        <v>-248943056</v>
      </c>
      <c r="N33" s="671">
        <f>F33-L33</f>
        <v>-200724869</v>
      </c>
      <c r="O33" s="101"/>
      <c r="P33" s="204">
        <v>0</v>
      </c>
      <c r="Q33" s="210">
        <v>0</v>
      </c>
      <c r="R33" s="101"/>
      <c r="S33" s="266">
        <f>+IF(SEPTIEMBRE!S33=0,"",SEPTIEMBRE!S33)</f>
        <v>1010199</v>
      </c>
      <c r="T33" s="267" t="str">
        <f>+IF(SEPTIEMBRE!T33=0,"",SEPTIEMBRE!T33)</f>
        <v>Vigencias Anteriores</v>
      </c>
      <c r="U33" s="373">
        <f>+ENERO!U33</f>
        <v>0</v>
      </c>
      <c r="V33" s="220">
        <f>SEPTIEMBRE!V33+OCTUBRE!AL33</f>
        <v>0</v>
      </c>
      <c r="W33" s="220">
        <f>SEPTIEMBRE!W33+OCTUBRE!AM33</f>
        <v>0</v>
      </c>
      <c r="X33" s="271">
        <f t="shared" si="18"/>
        <v>0</v>
      </c>
      <c r="Y33" s="270">
        <f>SEPTIEMBRE!AA33</f>
        <v>0</v>
      </c>
      <c r="Z33" s="208">
        <v>0</v>
      </c>
      <c r="AA33" s="271">
        <f t="shared" si="19"/>
        <v>0</v>
      </c>
      <c r="AB33" s="270">
        <f>SEPTIEMBRE!AD33</f>
        <v>0</v>
      </c>
      <c r="AC33" s="208">
        <v>0</v>
      </c>
      <c r="AD33" s="271">
        <f t="shared" si="20"/>
        <v>0</v>
      </c>
      <c r="AE33" s="270">
        <f>SEPTIEMBRE!AG33</f>
        <v>0</v>
      </c>
      <c r="AF33" s="208">
        <v>0</v>
      </c>
      <c r="AG33" s="271">
        <f t="shared" si="21"/>
        <v>0</v>
      </c>
      <c r="AH33" s="270">
        <f t="shared" si="22"/>
        <v>0</v>
      </c>
      <c r="AI33" s="220">
        <f t="shared" si="23"/>
        <v>0</v>
      </c>
      <c r="AJ33" s="269">
        <f t="shared" si="24"/>
        <v>0</v>
      </c>
      <c r="AK33" s="101"/>
      <c r="AL33" s="204">
        <v>0</v>
      </c>
      <c r="AM33" s="210">
        <v>0</v>
      </c>
      <c r="AN33" s="101"/>
      <c r="AO33" s="156"/>
      <c r="AP33" s="351"/>
      <c r="AQ33" s="352">
        <f>IF((AQ32-X8)&lt;&gt;0,(AQ32-X8),"")</f>
        <v>-19999999.999969482</v>
      </c>
      <c r="AR33" s="352"/>
      <c r="AS33" s="352"/>
      <c r="AT33" s="352"/>
      <c r="AU33" s="353"/>
      <c r="AV33" s="325"/>
      <c r="AW33" s="323"/>
      <c r="AX33" s="323"/>
      <c r="AY33" s="323"/>
      <c r="AZ33" s="326"/>
      <c r="BA33" s="67"/>
      <c r="BB33" s="336"/>
      <c r="BC33" s="336"/>
      <c r="BD33" s="336"/>
      <c r="BE33" s="336"/>
      <c r="BF33" s="336"/>
      <c r="BG33" s="67"/>
      <c r="BH33" s="67"/>
      <c r="BI33" s="67"/>
      <c r="BJ33" s="67"/>
      <c r="BK33" s="67"/>
      <c r="BL33" s="67"/>
      <c r="BM33" s="761" t="s">
        <v>197</v>
      </c>
      <c r="BN33" s="762">
        <f>X258</f>
        <v>0</v>
      </c>
      <c r="BO33" s="763">
        <f>AA258</f>
        <v>0</v>
      </c>
      <c r="BP33" s="763">
        <f>AD258</f>
        <v>0</v>
      </c>
      <c r="BQ33" s="764">
        <f>AF258</f>
        <v>0</v>
      </c>
    </row>
    <row r="34" spans="1:69" ht="24.75" customHeight="1" thickBot="1">
      <c r="A34" s="202" t="str">
        <f>+IF(SEPTIEMBRE!A34=0,"",SEPTIEMBRE!A34)</f>
        <v>1.1.02.05.001.09.02.15.99</v>
      </c>
      <c r="B34" s="331" t="str">
        <f>+IF(SEPTIEMBRE!B34=0,"",SEPTIEMBRE!B34)</f>
        <v>Vigencia Anterior</v>
      </c>
      <c r="C34" s="204">
        <f>+ENERO!C34</f>
        <v>710250909</v>
      </c>
      <c r="D34" s="205">
        <f>SEPTIEMBRE!D34+OCTUBRE!P34</f>
        <v>0</v>
      </c>
      <c r="E34" s="205">
        <f>SEPTIEMBRE!E34+OCTUBRE!Q34</f>
        <v>0</v>
      </c>
      <c r="F34" s="205">
        <f>SUM(C34:E34)</f>
        <v>710250909</v>
      </c>
      <c r="G34" s="205">
        <f>SEPTIEMBRE!I34</f>
        <v>290006983</v>
      </c>
      <c r="H34" s="208">
        <v>0</v>
      </c>
      <c r="I34" s="205">
        <f>SUM(G34:H34)</f>
        <v>290006983</v>
      </c>
      <c r="J34" s="205">
        <f>SEPTIEMBRE!L34</f>
        <v>290006983</v>
      </c>
      <c r="K34" s="208">
        <v>0</v>
      </c>
      <c r="L34" s="205">
        <f>SUM(J34:K34)</f>
        <v>290006983</v>
      </c>
      <c r="M34" s="205">
        <f>F34-I34</f>
        <v>420243926</v>
      </c>
      <c r="N34" s="671">
        <f>F34-L34</f>
        <v>420243926</v>
      </c>
      <c r="O34" s="67"/>
      <c r="P34" s="204">
        <v>0</v>
      </c>
      <c r="Q34" s="210">
        <v>0</v>
      </c>
      <c r="R34" s="101"/>
      <c r="S34" s="189" t="str">
        <f>+IF(SEPTIEMBRE!S34=0,"",SEPTIEMBRE!S34)</f>
        <v/>
      </c>
      <c r="T34" s="488" t="str">
        <f>+IF(SEPTIEMBRE!T34=0,"",SEPTIEMBRE!T34)</f>
        <v/>
      </c>
      <c r="U34" s="191"/>
      <c r="V34" s="191"/>
      <c r="W34" s="191"/>
      <c r="X34" s="191"/>
      <c r="Y34" s="191"/>
      <c r="Z34" s="191"/>
      <c r="AA34" s="191"/>
      <c r="AB34" s="191"/>
      <c r="AC34" s="191"/>
      <c r="AD34" s="191"/>
      <c r="AE34" s="191"/>
      <c r="AF34" s="191"/>
      <c r="AG34" s="191"/>
      <c r="AH34" s="191"/>
      <c r="AI34" s="191"/>
      <c r="AJ34" s="192"/>
      <c r="AK34" s="101"/>
      <c r="AL34" s="249"/>
      <c r="AM34" s="250"/>
      <c r="AN34" s="101"/>
      <c r="AO34" s="156"/>
      <c r="AP34" s="354"/>
      <c r="AQ34" s="101"/>
      <c r="AR34" s="101"/>
      <c r="AS34" s="101" t="s">
        <v>198</v>
      </c>
      <c r="AT34" s="101"/>
      <c r="AU34" s="355" t="s">
        <v>199</v>
      </c>
      <c r="AV34" s="356" t="s">
        <v>200</v>
      </c>
      <c r="AW34" s="243" t="s">
        <v>198</v>
      </c>
      <c r="AX34" s="357"/>
      <c r="AY34" s="243" t="s">
        <v>201</v>
      </c>
      <c r="AZ34" s="244" t="s">
        <v>202</v>
      </c>
      <c r="BA34" s="67"/>
      <c r="BB34" s="67"/>
      <c r="BC34" s="67"/>
      <c r="BD34" s="67"/>
      <c r="BE34" s="67"/>
      <c r="BF34" s="67"/>
      <c r="BG34" s="67"/>
      <c r="BH34" s="67"/>
      <c r="BI34" s="67"/>
      <c r="BJ34" s="67"/>
      <c r="BK34" s="67"/>
      <c r="BL34" s="67"/>
      <c r="BM34" s="101"/>
      <c r="BN34" s="101"/>
      <c r="BO34" s="101"/>
      <c r="BP34" s="101"/>
      <c r="BQ34" s="101"/>
    </row>
    <row r="35" spans="1:69" ht="24.75" customHeight="1" thickBot="1">
      <c r="A35" s="202" t="str">
        <f>+IF(SEPTIEMBRE!A35=0,"",SEPTIEMBRE!A35)</f>
        <v>1130103-3</v>
      </c>
      <c r="B35" s="345" t="str">
        <f>+IF(SEPTIEMBRE!B35=0,"",SEPTIEMBRE!B35)</f>
        <v>Prestación de Servicios de salud  3o. Nivel</v>
      </c>
      <c r="C35" s="270">
        <f t="shared" ref="C35:N35" si="34">SUM(C36:C37)</f>
        <v>0</v>
      </c>
      <c r="D35" s="220">
        <f t="shared" si="34"/>
        <v>0</v>
      </c>
      <c r="E35" s="220">
        <f t="shared" si="34"/>
        <v>0</v>
      </c>
      <c r="F35" s="220">
        <f t="shared" si="34"/>
        <v>0</v>
      </c>
      <c r="G35" s="220">
        <f t="shared" si="34"/>
        <v>0</v>
      </c>
      <c r="H35" s="220">
        <f t="shared" si="34"/>
        <v>0</v>
      </c>
      <c r="I35" s="220">
        <f t="shared" si="34"/>
        <v>0</v>
      </c>
      <c r="J35" s="220">
        <f t="shared" si="34"/>
        <v>0</v>
      </c>
      <c r="K35" s="220">
        <f t="shared" si="34"/>
        <v>0</v>
      </c>
      <c r="L35" s="220">
        <f t="shared" si="34"/>
        <v>0</v>
      </c>
      <c r="M35" s="220">
        <f t="shared" si="34"/>
        <v>0</v>
      </c>
      <c r="N35" s="652">
        <f t="shared" si="34"/>
        <v>0</v>
      </c>
      <c r="O35" s="67"/>
      <c r="P35" s="346">
        <f>SUM(P36:P37)</f>
        <v>0</v>
      </c>
      <c r="Q35" s="347">
        <f>SUM(Q36:Q37)</f>
        <v>0</v>
      </c>
      <c r="R35" s="101"/>
      <c r="S35" s="257" t="str">
        <f>+IF(SEPTIEMBRE!S35=0,"",SEPTIEMBRE!S35)</f>
        <v>2.1.2.02.02.008</v>
      </c>
      <c r="T35" s="546" t="str">
        <f>+IF(SEPTIEMBRE!T35=0,"",SEPTIEMBRE!T35)</f>
        <v>Servicios Personales Indirectos</v>
      </c>
      <c r="U35" s="230">
        <f>SUM(U36:U41)</f>
        <v>12514508007</v>
      </c>
      <c r="V35" s="231">
        <f t="shared" ref="V35:AJ35" si="35">SUM(V36:V41)</f>
        <v>4353000000</v>
      </c>
      <c r="W35" s="231">
        <f t="shared" si="35"/>
        <v>865000000</v>
      </c>
      <c r="X35" s="234">
        <f>SUM(X36:X41)</f>
        <v>17732508007</v>
      </c>
      <c r="Y35" s="233">
        <f t="shared" si="35"/>
        <v>15893036510</v>
      </c>
      <c r="Z35" s="231">
        <f t="shared" si="35"/>
        <v>1716196566</v>
      </c>
      <c r="AA35" s="234">
        <f t="shared" si="35"/>
        <v>17609233076</v>
      </c>
      <c r="AB35" s="233">
        <f t="shared" si="35"/>
        <v>14129595336</v>
      </c>
      <c r="AC35" s="231">
        <f>SUM(AC36:AC41)</f>
        <v>1406288571</v>
      </c>
      <c r="AD35" s="234">
        <f t="shared" si="35"/>
        <v>15535883907</v>
      </c>
      <c r="AE35" s="233">
        <f t="shared" si="35"/>
        <v>10054366183</v>
      </c>
      <c r="AF35" s="231">
        <f>SUM(AF36:AF41)</f>
        <v>1169300553</v>
      </c>
      <c r="AG35" s="234">
        <f t="shared" si="35"/>
        <v>11223666736</v>
      </c>
      <c r="AH35" s="233">
        <f t="shared" si="35"/>
        <v>123274931</v>
      </c>
      <c r="AI35" s="231">
        <f t="shared" si="35"/>
        <v>2196624100</v>
      </c>
      <c r="AJ35" s="232">
        <f t="shared" si="35"/>
        <v>6508841271</v>
      </c>
      <c r="AK35" s="101"/>
      <c r="AL35" s="233">
        <f>SUM(AL36:AL41)</f>
        <v>840000000</v>
      </c>
      <c r="AM35" s="233">
        <f>SUM(AM36:AM41)</f>
        <v>0</v>
      </c>
      <c r="AN35" s="101"/>
      <c r="AO35" s="156"/>
      <c r="AP35" s="358"/>
      <c r="AQ35" s="61"/>
      <c r="AR35" s="359"/>
      <c r="AS35" s="359"/>
      <c r="AT35" s="359"/>
      <c r="AU35" s="360">
        <f>AR17-AR32</f>
        <v>80326771383</v>
      </c>
      <c r="AV35" s="361">
        <f>AS17-AR32</f>
        <v>0</v>
      </c>
      <c r="AW35" s="1329" t="s">
        <v>205</v>
      </c>
      <c r="AX35" s="1330"/>
      <c r="AY35" s="361">
        <f>AY17+AY32</f>
        <v>18787019460.00679</v>
      </c>
      <c r="AZ35" s="362">
        <f>AZ17+AY32</f>
        <v>-83083107537.193207</v>
      </c>
      <c r="BA35" s="67"/>
      <c r="BB35" s="336"/>
      <c r="BC35" s="336"/>
      <c r="BD35" s="336"/>
      <c r="BE35" s="336"/>
      <c r="BF35" s="336"/>
      <c r="BG35" s="67"/>
      <c r="BH35" s="67"/>
      <c r="BI35" s="67"/>
      <c r="BJ35" s="67"/>
      <c r="BK35" s="67"/>
      <c r="BL35" s="67"/>
      <c r="BM35" s="67"/>
      <c r="BN35" s="67"/>
      <c r="BO35" s="67"/>
      <c r="BP35" s="67"/>
      <c r="BQ35" s="67"/>
    </row>
    <row r="36" spans="1:69" ht="24.75" customHeight="1" thickBot="1">
      <c r="A36" s="202" t="str">
        <f>+IF(SEPTIEMBRE!A36=0,"",SEPTIEMBRE!A36)</f>
        <v>1130103-3-1</v>
      </c>
      <c r="B36" s="331" t="str">
        <f>+CONCATENATE("Vigencia ",INSTRUCCIONES!$F$3)</f>
        <v>Vigencia 2025</v>
      </c>
      <c r="C36" s="204">
        <f>+ENERO!C36</f>
        <v>0</v>
      </c>
      <c r="D36" s="205">
        <f>SEPTIEMBRE!D36+OCTUBRE!P36</f>
        <v>0</v>
      </c>
      <c r="E36" s="205">
        <f>SEPTIEMBRE!E36+OCTUBRE!Q36</f>
        <v>0</v>
      </c>
      <c r="F36" s="205">
        <f t="shared" ref="F36:F41" si="36">SUM(C36:E36)</f>
        <v>0</v>
      </c>
      <c r="G36" s="205">
        <f>SEPTIEMBRE!I36</f>
        <v>0</v>
      </c>
      <c r="H36" s="208">
        <v>0</v>
      </c>
      <c r="I36" s="205">
        <f t="shared" ref="I36:I41" si="37">SUM(G36:H36)</f>
        <v>0</v>
      </c>
      <c r="J36" s="205">
        <f>SEPTIEMBRE!L36</f>
        <v>0</v>
      </c>
      <c r="K36" s="208">
        <v>0</v>
      </c>
      <c r="L36" s="205">
        <f t="shared" ref="L36:L41" si="38">SUM(J36:K36)</f>
        <v>0</v>
      </c>
      <c r="M36" s="205">
        <f t="shared" ref="M36:M41" si="39">F36-I36</f>
        <v>0</v>
      </c>
      <c r="N36" s="671">
        <f t="shared" ref="N36:N41" si="40">F36-L36</f>
        <v>0</v>
      </c>
      <c r="O36" s="101"/>
      <c r="P36" s="204">
        <v>0</v>
      </c>
      <c r="Q36" s="210">
        <v>0</v>
      </c>
      <c r="R36" s="101"/>
      <c r="S36" s="266" t="str">
        <f>+IF(SEPTIEMBRE!S36=0,"",SEPTIEMBRE!S36)</f>
        <v>2.1.2.02.02.008.802</v>
      </c>
      <c r="T36" s="267" t="str">
        <f>+IF(SEPTIEMBRE!T36=0,"",SEPTIEMBRE!T36)</f>
        <v>Servicios Personales Administrativos (Contador, Abogado, otros)</v>
      </c>
      <c r="U36" s="373">
        <f>+ENERO!U36</f>
        <v>771615965</v>
      </c>
      <c r="V36" s="220">
        <f>SEPTIEMBRE!V36+OCTUBRE!AL36</f>
        <v>450000000</v>
      </c>
      <c r="W36" s="220">
        <f>SEPTIEMBRE!W36+OCTUBRE!AM36</f>
        <v>0</v>
      </c>
      <c r="X36" s="271">
        <f t="shared" ref="X36:X41" si="41">SUM(U36:W36)</f>
        <v>1221615965</v>
      </c>
      <c r="Y36" s="270">
        <f>SEPTIEMBRE!AA36</f>
        <v>1121277020</v>
      </c>
      <c r="Z36" s="208">
        <v>14280000</v>
      </c>
      <c r="AA36" s="271">
        <f t="shared" ref="AA36:AA41" si="42">SUM(Y36:Z36)</f>
        <v>1135557020</v>
      </c>
      <c r="AB36" s="270">
        <f>SEPTIEMBRE!AD36</f>
        <v>472467428</v>
      </c>
      <c r="AC36" s="208">
        <v>26672539</v>
      </c>
      <c r="AD36" s="271">
        <f t="shared" ref="AD36:AD41" si="43">SUM(AB36:AC36)</f>
        <v>499139967</v>
      </c>
      <c r="AE36" s="270">
        <f>SEPTIEMBRE!AG36</f>
        <v>434965853</v>
      </c>
      <c r="AF36" s="208">
        <v>27066898</v>
      </c>
      <c r="AG36" s="271">
        <f t="shared" ref="AG36:AG41" si="44">SUM(AE36:AF36)</f>
        <v>462032751</v>
      </c>
      <c r="AH36" s="270">
        <f t="shared" ref="AH36:AH41" si="45">X36-AA36</f>
        <v>86058945</v>
      </c>
      <c r="AI36" s="220">
        <f t="shared" ref="AI36:AI41" si="46">X36-AD36</f>
        <v>722475998</v>
      </c>
      <c r="AJ36" s="269">
        <f t="shared" ref="AJ36:AJ41" si="47">X36-AG36</f>
        <v>759583214</v>
      </c>
      <c r="AK36" s="101"/>
      <c r="AL36" s="204">
        <v>0</v>
      </c>
      <c r="AM36" s="210">
        <v>0</v>
      </c>
      <c r="AN36" s="101"/>
      <c r="AO36" s="363"/>
      <c r="AP36" s="364"/>
      <c r="AQ36" s="364"/>
      <c r="AR36" s="364"/>
      <c r="AS36" s="364"/>
      <c r="AT36" s="364"/>
      <c r="AU36" s="364"/>
      <c r="AV36" s="364"/>
      <c r="AW36" s="364"/>
      <c r="AX36" s="364"/>
      <c r="AY36" s="364"/>
      <c r="AZ36" s="365"/>
      <c r="BA36" s="67"/>
      <c r="BB36" s="336"/>
      <c r="BC36" s="336"/>
      <c r="BD36" s="336"/>
      <c r="BE36" s="336"/>
      <c r="BF36" s="336"/>
      <c r="BG36" s="67"/>
      <c r="BH36" s="67"/>
      <c r="BI36" s="67"/>
      <c r="BJ36" s="67"/>
      <c r="BK36" s="67"/>
      <c r="BL36" s="67"/>
      <c r="BM36" s="67"/>
      <c r="BN36" s="67"/>
      <c r="BO36" s="67"/>
      <c r="BP36" s="67"/>
      <c r="BQ36" s="67"/>
    </row>
    <row r="37" spans="1:69" ht="24.75" customHeight="1">
      <c r="A37" s="202" t="str">
        <f>+IF(SEPTIEMBRE!A37=0,"",SEPTIEMBRE!A37)</f>
        <v>1130103-3-2</v>
      </c>
      <c r="B37" s="331" t="str">
        <f>+IF(SEPTIEMBRE!B37=0,"",SEPTIEMBRE!B37)</f>
        <v>Vigencia Anterior</v>
      </c>
      <c r="C37" s="204">
        <f>+ENERO!C37</f>
        <v>0</v>
      </c>
      <c r="D37" s="205">
        <f>SEPTIEMBRE!D37+OCTUBRE!P37</f>
        <v>0</v>
      </c>
      <c r="E37" s="205">
        <f>SEPTIEMBRE!E37+OCTUBRE!Q37</f>
        <v>0</v>
      </c>
      <c r="F37" s="205">
        <f t="shared" si="36"/>
        <v>0</v>
      </c>
      <c r="G37" s="205">
        <f>SEPTIEMBRE!I37</f>
        <v>0</v>
      </c>
      <c r="H37" s="208">
        <v>0</v>
      </c>
      <c r="I37" s="205">
        <f t="shared" si="37"/>
        <v>0</v>
      </c>
      <c r="J37" s="205">
        <f>SEPTIEMBRE!L37</f>
        <v>0</v>
      </c>
      <c r="K37" s="208">
        <v>0</v>
      </c>
      <c r="L37" s="205">
        <f t="shared" si="38"/>
        <v>0</v>
      </c>
      <c r="M37" s="205">
        <f t="shared" si="39"/>
        <v>0</v>
      </c>
      <c r="N37" s="671">
        <f t="shared" si="40"/>
        <v>0</v>
      </c>
      <c r="O37" s="67"/>
      <c r="P37" s="204">
        <v>0</v>
      </c>
      <c r="Q37" s="210">
        <v>0</v>
      </c>
      <c r="R37" s="101"/>
      <c r="S37" s="266" t="str">
        <f>+IF(SEPTIEMBRE!S37=0,"",SEPTIEMBRE!S37)</f>
        <v>1010200-2</v>
      </c>
      <c r="T37" s="267" t="str">
        <f>+IF(SEPTIEMBRE!T37=0,"",SEPTIEMBRE!T37)</f>
        <v>Personal Supernumerario</v>
      </c>
      <c r="U37" s="373">
        <f>+ENERO!U37</f>
        <v>0</v>
      </c>
      <c r="V37" s="220">
        <f>SEPTIEMBRE!V37+OCTUBRE!AL37</f>
        <v>0</v>
      </c>
      <c r="W37" s="220">
        <f>SEPTIEMBRE!W37+OCTUBRE!AM37</f>
        <v>0</v>
      </c>
      <c r="X37" s="271">
        <f t="shared" si="41"/>
        <v>0</v>
      </c>
      <c r="Y37" s="270">
        <f>SEPTIEMBRE!AA37</f>
        <v>0</v>
      </c>
      <c r="Z37" s="208">
        <v>0</v>
      </c>
      <c r="AA37" s="271">
        <f t="shared" si="42"/>
        <v>0</v>
      </c>
      <c r="AB37" s="270">
        <f>SEPTIEMBRE!AD37</f>
        <v>0</v>
      </c>
      <c r="AC37" s="208">
        <v>0</v>
      </c>
      <c r="AD37" s="271">
        <f t="shared" si="43"/>
        <v>0</v>
      </c>
      <c r="AE37" s="270">
        <f>SEPTIEMBRE!AG37</f>
        <v>0</v>
      </c>
      <c r="AF37" s="208">
        <v>0</v>
      </c>
      <c r="AG37" s="271">
        <f t="shared" si="44"/>
        <v>0</v>
      </c>
      <c r="AH37" s="270">
        <f t="shared" si="45"/>
        <v>0</v>
      </c>
      <c r="AI37" s="220">
        <f t="shared" si="46"/>
        <v>0</v>
      </c>
      <c r="AJ37" s="269">
        <f t="shared" si="47"/>
        <v>0</v>
      </c>
      <c r="AK37" s="101"/>
      <c r="AL37" s="204">
        <v>0</v>
      </c>
      <c r="AM37" s="210">
        <v>0</v>
      </c>
      <c r="AN37" s="101"/>
      <c r="AO37" s="366" t="s">
        <v>209</v>
      </c>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row>
    <row r="38" spans="1:69" ht="24.75" customHeight="1">
      <c r="A38" s="367" t="str">
        <f>+IF(SEPTIEMBRE!A38=0,"",SEPTIEMBRE!A38)</f>
        <v>1130103-4</v>
      </c>
      <c r="B38" s="368" t="str">
        <f>+IF(SEPTIEMBRE!B38=0,"",SEPTIEMBRE!B38)</f>
        <v xml:space="preserve"> Aportes Patronales  1o. Nivel</v>
      </c>
      <c r="C38" s="204">
        <f>+ENERO!C38</f>
        <v>0</v>
      </c>
      <c r="D38" s="205">
        <f>SEPTIEMBRE!D38+OCTUBRE!P38</f>
        <v>0</v>
      </c>
      <c r="E38" s="205">
        <f>SEPTIEMBRE!E38+OCTUBRE!Q38</f>
        <v>0</v>
      </c>
      <c r="F38" s="205">
        <f t="shared" si="36"/>
        <v>0</v>
      </c>
      <c r="G38" s="205">
        <f>SEPTIEMBRE!I38</f>
        <v>0</v>
      </c>
      <c r="H38" s="208">
        <v>0</v>
      </c>
      <c r="I38" s="205">
        <f t="shared" si="37"/>
        <v>0</v>
      </c>
      <c r="J38" s="205">
        <f>SEPTIEMBRE!L38</f>
        <v>0</v>
      </c>
      <c r="K38" s="208">
        <v>0</v>
      </c>
      <c r="L38" s="205">
        <f t="shared" si="38"/>
        <v>0</v>
      </c>
      <c r="M38" s="205">
        <f t="shared" si="39"/>
        <v>0</v>
      </c>
      <c r="N38" s="671">
        <f t="shared" si="40"/>
        <v>0</v>
      </c>
      <c r="O38" s="369"/>
      <c r="P38" s="204">
        <v>0</v>
      </c>
      <c r="Q38" s="210">
        <v>0</v>
      </c>
      <c r="R38" s="101"/>
      <c r="S38" s="266" t="str">
        <f>+IF(SEPTIEMBRE!S38=0,"",SEPTIEMBRE!S38)</f>
        <v>2.1.2.02.02.008.810</v>
      </c>
      <c r="T38" s="267" t="str">
        <f>+IF(SEPTIEMBRE!T38=0,"",SEPTIEMBRE!T38)</f>
        <v>Honorarios de la Junta Directiva</v>
      </c>
      <c r="U38" s="373">
        <f>+ENERO!U38</f>
        <v>38518134</v>
      </c>
      <c r="V38" s="220">
        <f>SEPTIEMBRE!V38+OCTUBRE!AL38</f>
        <v>0</v>
      </c>
      <c r="W38" s="220">
        <f>SEPTIEMBRE!W38+OCTUBRE!AM38</f>
        <v>0</v>
      </c>
      <c r="X38" s="271">
        <f t="shared" si="41"/>
        <v>38518134</v>
      </c>
      <c r="Y38" s="270">
        <f>SEPTIEMBRE!AA38</f>
        <v>17793750</v>
      </c>
      <c r="Z38" s="208">
        <v>5694000</v>
      </c>
      <c r="AA38" s="271">
        <f t="shared" si="42"/>
        <v>23487750</v>
      </c>
      <c r="AB38" s="270">
        <f>SEPTIEMBRE!AD38</f>
        <v>17793750</v>
      </c>
      <c r="AC38" s="208">
        <v>2847000</v>
      </c>
      <c r="AD38" s="271">
        <f t="shared" si="43"/>
        <v>20640750</v>
      </c>
      <c r="AE38" s="270">
        <f>SEPTIEMBRE!AG38</f>
        <v>17793750</v>
      </c>
      <c r="AF38" s="208">
        <v>0</v>
      </c>
      <c r="AG38" s="271">
        <f t="shared" si="44"/>
        <v>17793750</v>
      </c>
      <c r="AH38" s="270">
        <f t="shared" si="45"/>
        <v>15030384</v>
      </c>
      <c r="AI38" s="220">
        <f t="shared" si="46"/>
        <v>17877384</v>
      </c>
      <c r="AJ38" s="269">
        <f t="shared" si="47"/>
        <v>20724384</v>
      </c>
      <c r="AK38" s="101"/>
      <c r="AL38" s="204">
        <v>0</v>
      </c>
      <c r="AM38" s="210">
        <v>0</v>
      </c>
      <c r="AN38" s="101"/>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row>
    <row r="39" spans="1:69" ht="24.75" customHeight="1">
      <c r="A39" s="367" t="str">
        <f>+IF(SEPTIEMBRE!A39=0,"",SEPTIEMBRE!A39)</f>
        <v>1130103-5</v>
      </c>
      <c r="B39" s="368" t="str">
        <f>+IF(SEPTIEMBRE!B39=0,"",SEPTIEMBRE!B39)</f>
        <v xml:space="preserve"> Aportes Patronales  2o. Nivel</v>
      </c>
      <c r="C39" s="204">
        <f>+ENERO!C39</f>
        <v>0</v>
      </c>
      <c r="D39" s="205">
        <f>SEPTIEMBRE!D39+OCTUBRE!P39</f>
        <v>0</v>
      </c>
      <c r="E39" s="205">
        <f>SEPTIEMBRE!E39+OCTUBRE!Q39</f>
        <v>0</v>
      </c>
      <c r="F39" s="205">
        <f t="shared" si="36"/>
        <v>0</v>
      </c>
      <c r="G39" s="205">
        <f>SEPTIEMBRE!I39</f>
        <v>0</v>
      </c>
      <c r="H39" s="208">
        <v>0</v>
      </c>
      <c r="I39" s="205">
        <f t="shared" si="37"/>
        <v>0</v>
      </c>
      <c r="J39" s="205">
        <f>SEPTIEMBRE!L39</f>
        <v>0</v>
      </c>
      <c r="K39" s="208">
        <v>0</v>
      </c>
      <c r="L39" s="205">
        <f t="shared" si="38"/>
        <v>0</v>
      </c>
      <c r="M39" s="205">
        <f t="shared" si="39"/>
        <v>0</v>
      </c>
      <c r="N39" s="671">
        <f t="shared" si="40"/>
        <v>0</v>
      </c>
      <c r="O39" s="369"/>
      <c r="P39" s="204">
        <v>0</v>
      </c>
      <c r="Q39" s="210">
        <v>0</v>
      </c>
      <c r="R39" s="101"/>
      <c r="S39" s="266" t="str">
        <f>+IF(SEPTIEMBRE!S39=0,"",SEPTIEMBRE!S39)</f>
        <v>2.1.2.02.02.009.906</v>
      </c>
      <c r="T39" s="267" t="str">
        <f>+IF(SEPTIEMBRE!T39=0,"",SEPTIEMBRE!T39)</f>
        <v>Servicios de Agremiación (administrativo)</v>
      </c>
      <c r="U39" s="373">
        <f>+ENERO!U39</f>
        <v>9849382921</v>
      </c>
      <c r="V39" s="220">
        <f>SEPTIEMBRE!V39+OCTUBRE!AL39</f>
        <v>3120000000</v>
      </c>
      <c r="W39" s="220">
        <f>SEPTIEMBRE!W39+OCTUBRE!AM39</f>
        <v>865000000</v>
      </c>
      <c r="X39" s="271">
        <f t="shared" si="41"/>
        <v>13834382921</v>
      </c>
      <c r="Y39" s="270">
        <f>SEPTIEMBRE!AA39</f>
        <v>12116855306</v>
      </c>
      <c r="Z39" s="208">
        <v>1696222566</v>
      </c>
      <c r="AA39" s="271">
        <f t="shared" si="42"/>
        <v>13813077872</v>
      </c>
      <c r="AB39" s="270">
        <f>SEPTIEMBRE!AD39</f>
        <v>11002223724</v>
      </c>
      <c r="AC39" s="208">
        <v>1376769032</v>
      </c>
      <c r="AD39" s="271">
        <f t="shared" si="43"/>
        <v>12378992756</v>
      </c>
      <c r="AE39" s="270">
        <f>SEPTIEMBRE!AG39</f>
        <v>6964496146</v>
      </c>
      <c r="AF39" s="208">
        <v>1142233655</v>
      </c>
      <c r="AG39" s="271">
        <f t="shared" si="44"/>
        <v>8106729801</v>
      </c>
      <c r="AH39" s="270">
        <f t="shared" si="45"/>
        <v>21305049</v>
      </c>
      <c r="AI39" s="220">
        <f t="shared" si="46"/>
        <v>1455390165</v>
      </c>
      <c r="AJ39" s="269">
        <f t="shared" si="47"/>
        <v>5727653120</v>
      </c>
      <c r="AK39" s="101"/>
      <c r="AL39" s="204">
        <v>840000000</v>
      </c>
      <c r="AM39" s="210">
        <v>0</v>
      </c>
      <c r="AN39" s="101"/>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row>
    <row r="40" spans="1:69" ht="24.75" customHeight="1">
      <c r="A40" s="367" t="str">
        <f>+IF(SEPTIEMBRE!A40=0,"",SEPTIEMBRE!A40)</f>
        <v>1130103-6</v>
      </c>
      <c r="B40" s="368" t="str">
        <f>+IF(SEPTIEMBRE!B40=0,"",SEPTIEMBRE!B40)</f>
        <v xml:space="preserve"> Aportes Patronales  3er. Nivel</v>
      </c>
      <c r="C40" s="204">
        <f>+ENERO!C40</f>
        <v>0</v>
      </c>
      <c r="D40" s="205">
        <f>SEPTIEMBRE!D40+OCTUBRE!P40</f>
        <v>0</v>
      </c>
      <c r="E40" s="205">
        <f>SEPTIEMBRE!E40+OCTUBRE!Q40</f>
        <v>0</v>
      </c>
      <c r="F40" s="205">
        <f t="shared" si="36"/>
        <v>0</v>
      </c>
      <c r="G40" s="205">
        <f>SEPTIEMBRE!I40</f>
        <v>0</v>
      </c>
      <c r="H40" s="208">
        <v>0</v>
      </c>
      <c r="I40" s="205">
        <f t="shared" si="37"/>
        <v>0</v>
      </c>
      <c r="J40" s="205">
        <f>SEPTIEMBRE!L40</f>
        <v>0</v>
      </c>
      <c r="K40" s="208">
        <v>0</v>
      </c>
      <c r="L40" s="205">
        <f t="shared" si="38"/>
        <v>0</v>
      </c>
      <c r="M40" s="205">
        <f t="shared" si="39"/>
        <v>0</v>
      </c>
      <c r="N40" s="671">
        <f t="shared" si="40"/>
        <v>0</v>
      </c>
      <c r="O40" s="369"/>
      <c r="P40" s="204">
        <v>0</v>
      </c>
      <c r="Q40" s="210">
        <v>0</v>
      </c>
      <c r="R40" s="101"/>
      <c r="S40" s="266" t="str">
        <f>+IF(SEPTIEMBRE!S40=0,"",SEPTIEMBRE!S40)</f>
        <v/>
      </c>
      <c r="T40" s="267" t="str">
        <f>+IF(SEPTIEMBRE!T40=0,"",SEPTIEMBRE!T40)</f>
        <v>Certificación, Habilitación y Acreditación</v>
      </c>
      <c r="U40" s="373">
        <f>+ENERO!U40</f>
        <v>0</v>
      </c>
      <c r="V40" s="220">
        <f>SEPTIEMBRE!V40+OCTUBRE!AL40</f>
        <v>0</v>
      </c>
      <c r="W40" s="220">
        <f>SEPTIEMBRE!W40+OCTUBRE!AM40</f>
        <v>0</v>
      </c>
      <c r="X40" s="271">
        <f t="shared" si="41"/>
        <v>0</v>
      </c>
      <c r="Y40" s="270">
        <f>SEPTIEMBRE!AA40</f>
        <v>0</v>
      </c>
      <c r="Z40" s="208">
        <v>0</v>
      </c>
      <c r="AA40" s="271">
        <f t="shared" si="42"/>
        <v>0</v>
      </c>
      <c r="AB40" s="270">
        <f>SEPTIEMBRE!AD40</f>
        <v>0</v>
      </c>
      <c r="AC40" s="208">
        <v>0</v>
      </c>
      <c r="AD40" s="271">
        <f t="shared" si="43"/>
        <v>0</v>
      </c>
      <c r="AE40" s="270">
        <f>SEPTIEMBRE!AG40</f>
        <v>0</v>
      </c>
      <c r="AF40" s="208">
        <v>0</v>
      </c>
      <c r="AG40" s="271">
        <f t="shared" si="44"/>
        <v>0</v>
      </c>
      <c r="AH40" s="270">
        <f t="shared" si="45"/>
        <v>0</v>
      </c>
      <c r="AI40" s="220">
        <f t="shared" si="46"/>
        <v>0</v>
      </c>
      <c r="AJ40" s="269">
        <f t="shared" si="47"/>
        <v>0</v>
      </c>
      <c r="AK40" s="101"/>
      <c r="AL40" s="204">
        <v>0</v>
      </c>
      <c r="AM40" s="210">
        <v>0</v>
      </c>
      <c r="AN40" s="101"/>
      <c r="AO40" s="67"/>
      <c r="AP40" s="67"/>
      <c r="AQ40" s="67"/>
      <c r="AR40" s="67"/>
      <c r="AS40" s="67"/>
      <c r="AT40" s="67"/>
      <c r="AU40" s="67"/>
      <c r="AV40" s="67"/>
      <c r="AW40" s="67"/>
      <c r="AX40" s="67"/>
      <c r="AY40" s="67"/>
      <c r="AZ40" s="67"/>
      <c r="BA40" s="67"/>
      <c r="BB40" s="336"/>
      <c r="BC40" s="336"/>
      <c r="BD40" s="336"/>
      <c r="BE40" s="336"/>
      <c r="BF40" s="67"/>
      <c r="BG40" s="67"/>
      <c r="BH40" s="67"/>
      <c r="BI40" s="67"/>
      <c r="BJ40" s="67"/>
      <c r="BK40" s="67"/>
      <c r="BL40" s="67"/>
      <c r="BM40" s="67"/>
      <c r="BN40" s="67"/>
      <c r="BO40" s="67"/>
      <c r="BP40" s="67"/>
      <c r="BQ40" s="67"/>
    </row>
    <row r="41" spans="1:69" ht="24.75" customHeight="1">
      <c r="A41" s="286">
        <f>+IF(SEPTIEMBRE!A41=0,"",SEPTIEMBRE!A41)</f>
        <v>1130104</v>
      </c>
      <c r="B41" s="319" t="str">
        <f>+IF(SEPTIEMBRE!B41=0,"",SEPTIEMBRE!B41)</f>
        <v>SUBSIDIO A LA OFERTA- ACTIVIDADES NO POS-S</v>
      </c>
      <c r="C41" s="204">
        <f>+ENERO!C41</f>
        <v>0</v>
      </c>
      <c r="D41" s="231">
        <f>SEPTIEMBRE!D41+OCTUBRE!P41</f>
        <v>0</v>
      </c>
      <c r="E41" s="231">
        <f>SEPTIEMBRE!E41+OCTUBRE!Q41</f>
        <v>0</v>
      </c>
      <c r="F41" s="231">
        <f t="shared" si="36"/>
        <v>0</v>
      </c>
      <c r="G41" s="231">
        <f>SEPTIEMBRE!I41</f>
        <v>0</v>
      </c>
      <c r="H41" s="208">
        <v>0</v>
      </c>
      <c r="I41" s="231">
        <f t="shared" si="37"/>
        <v>0</v>
      </c>
      <c r="J41" s="231">
        <f>SEPTIEMBRE!L41</f>
        <v>0</v>
      </c>
      <c r="K41" s="208">
        <v>0</v>
      </c>
      <c r="L41" s="231">
        <f t="shared" si="38"/>
        <v>0</v>
      </c>
      <c r="M41" s="231">
        <f t="shared" si="39"/>
        <v>0</v>
      </c>
      <c r="N41" s="1090">
        <f t="shared" si="40"/>
        <v>0</v>
      </c>
      <c r="O41" s="67"/>
      <c r="P41" s="208">
        <v>0</v>
      </c>
      <c r="Q41" s="210">
        <v>0</v>
      </c>
      <c r="R41" s="101"/>
      <c r="S41" s="266" t="str">
        <f>+IF(SEPTIEMBRE!S41=0,"",SEPTIEMBRE!S41)</f>
        <v>2.1.2.02.02.009.99.02</v>
      </c>
      <c r="T41" s="267" t="str">
        <f>+IF(SEPTIEMBRE!T41=0,"",SEPTIEMBRE!T41)</f>
        <v>Vigencias Anteriores</v>
      </c>
      <c r="U41" s="373">
        <f>+ENERO!U41</f>
        <v>1854990987</v>
      </c>
      <c r="V41" s="220">
        <f>SEPTIEMBRE!V41+OCTUBRE!AL41</f>
        <v>783000000</v>
      </c>
      <c r="W41" s="220">
        <f>SEPTIEMBRE!W41+OCTUBRE!AM41</f>
        <v>0</v>
      </c>
      <c r="X41" s="271">
        <f t="shared" si="41"/>
        <v>2637990987</v>
      </c>
      <c r="Y41" s="270">
        <f>SEPTIEMBRE!AA41</f>
        <v>2637110434</v>
      </c>
      <c r="Z41" s="208">
        <v>0</v>
      </c>
      <c r="AA41" s="271">
        <f t="shared" si="42"/>
        <v>2637110434</v>
      </c>
      <c r="AB41" s="270">
        <f>SEPTIEMBRE!AD41</f>
        <v>2637110434</v>
      </c>
      <c r="AC41" s="208">
        <v>0</v>
      </c>
      <c r="AD41" s="271">
        <f t="shared" si="43"/>
        <v>2637110434</v>
      </c>
      <c r="AE41" s="270">
        <f>SEPTIEMBRE!AG41</f>
        <v>2637110434</v>
      </c>
      <c r="AF41" s="208">
        <v>0</v>
      </c>
      <c r="AG41" s="271">
        <f t="shared" si="44"/>
        <v>2637110434</v>
      </c>
      <c r="AH41" s="270">
        <f t="shared" si="45"/>
        <v>880553</v>
      </c>
      <c r="AI41" s="220">
        <f t="shared" si="46"/>
        <v>880553</v>
      </c>
      <c r="AJ41" s="269">
        <f t="shared" si="47"/>
        <v>880553</v>
      </c>
      <c r="AK41" s="101"/>
      <c r="AL41" s="204">
        <v>0</v>
      </c>
      <c r="AM41" s="210">
        <v>0</v>
      </c>
      <c r="AN41" s="101"/>
      <c r="AO41" s="67"/>
      <c r="AP41" s="67"/>
      <c r="AQ41" s="67"/>
      <c r="AR41" s="67"/>
      <c r="AS41" s="67"/>
      <c r="AT41" s="67"/>
      <c r="AU41" s="67"/>
      <c r="AV41" s="67"/>
      <c r="AW41" s="67"/>
      <c r="AX41" s="67"/>
      <c r="AY41" s="67"/>
      <c r="AZ41" s="67"/>
      <c r="BA41" s="67"/>
      <c r="BB41" s="336"/>
      <c r="BC41" s="336"/>
      <c r="BD41" s="336"/>
      <c r="BE41" s="336"/>
      <c r="BF41" s="67"/>
      <c r="BG41" s="67"/>
      <c r="BH41" s="67"/>
      <c r="BI41" s="67"/>
      <c r="BJ41" s="67"/>
      <c r="BK41" s="67"/>
      <c r="BL41" s="67"/>
      <c r="BM41" s="336"/>
      <c r="BN41" s="336"/>
      <c r="BO41" s="336"/>
      <c r="BP41" s="336"/>
      <c r="BQ41" s="336"/>
    </row>
    <row r="42" spans="1:69" ht="24.75" customHeight="1">
      <c r="A42" s="286" t="str">
        <f>+IF(SEPTIEMBRE!A42=0,"",SEPTIEMBRE!A42)</f>
        <v>1.1.02.05.001.09.02.03</v>
      </c>
      <c r="B42" s="319" t="str">
        <f>+IF(SEPTIEMBRE!B42=0,"",SEPTIEMBRE!B42)</f>
        <v>SALUD PUBLICA - PLAN DE INTERVENCIONES COLECTIVAS</v>
      </c>
      <c r="C42" s="288">
        <f t="shared" ref="C42:N42" si="48">SUM(C43:C44)</f>
        <v>287170800</v>
      </c>
      <c r="D42" s="320">
        <f t="shared" si="48"/>
        <v>0</v>
      </c>
      <c r="E42" s="320">
        <f t="shared" si="48"/>
        <v>0</v>
      </c>
      <c r="F42" s="320">
        <f t="shared" si="48"/>
        <v>287170800</v>
      </c>
      <c r="G42" s="320">
        <f t="shared" si="48"/>
        <v>108360349</v>
      </c>
      <c r="H42" s="320">
        <f t="shared" si="48"/>
        <v>5105446</v>
      </c>
      <c r="I42" s="320">
        <f t="shared" si="48"/>
        <v>113465795</v>
      </c>
      <c r="J42" s="320">
        <f t="shared" si="48"/>
        <v>75044358</v>
      </c>
      <c r="K42" s="320">
        <f t="shared" si="48"/>
        <v>0</v>
      </c>
      <c r="L42" s="320">
        <f t="shared" si="48"/>
        <v>75044358</v>
      </c>
      <c r="M42" s="320">
        <f t="shared" si="48"/>
        <v>173705005</v>
      </c>
      <c r="N42" s="661">
        <f t="shared" si="48"/>
        <v>212126442</v>
      </c>
      <c r="O42" s="67"/>
      <c r="P42" s="288">
        <f>SUM(P43:P44)</f>
        <v>0</v>
      </c>
      <c r="Q42" s="289">
        <f>SUM(Q43:Q44)</f>
        <v>0</v>
      </c>
      <c r="R42" s="101"/>
      <c r="S42" s="189">
        <f>+IF(SEPTIEMBRE!S42=0,"",SEPTIEMBRE!S42)</f>
        <v>1130106</v>
      </c>
      <c r="T42" s="488" t="str">
        <f>+IF(SEPTIEMBRE!T42=0,"",SEPTIEMBRE!T42)</f>
        <v/>
      </c>
      <c r="U42" s="191"/>
      <c r="V42" s="191"/>
      <c r="W42" s="191"/>
      <c r="X42" s="191"/>
      <c r="Y42" s="191"/>
      <c r="Z42" s="191"/>
      <c r="AA42" s="191"/>
      <c r="AB42" s="191"/>
      <c r="AC42" s="191"/>
      <c r="AD42" s="191"/>
      <c r="AE42" s="191"/>
      <c r="AF42" s="191"/>
      <c r="AG42" s="191"/>
      <c r="AH42" s="191"/>
      <c r="AI42" s="191"/>
      <c r="AJ42" s="192"/>
      <c r="AK42" s="216"/>
      <c r="AL42" s="370"/>
      <c r="AM42" s="371"/>
      <c r="AN42" s="101"/>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row>
    <row r="43" spans="1:69" ht="24.75" customHeight="1">
      <c r="A43" s="202" t="str">
        <f>+IF(SEPTIEMBRE!A43=0,"",SEPTIEMBRE!A43)</f>
        <v>1.1.02.05.001.09.02.03</v>
      </c>
      <c r="B43" s="331" t="str">
        <f>+CONCATENATE("Vigencia ",INSTRUCCIONES!$F$3)</f>
        <v>Vigencia 2025</v>
      </c>
      <c r="C43" s="204">
        <f>+ENERO!C43</f>
        <v>0</v>
      </c>
      <c r="D43" s="205">
        <f>SEPTIEMBRE!D43+OCTUBRE!P43</f>
        <v>0</v>
      </c>
      <c r="E43" s="205">
        <f>SEPTIEMBRE!E43+OCTUBRE!Q43</f>
        <v>0</v>
      </c>
      <c r="F43" s="205">
        <f>SUM(C43:E43)</f>
        <v>0</v>
      </c>
      <c r="G43" s="205">
        <f>SEPTIEMBRE!I43</f>
        <v>45963117</v>
      </c>
      <c r="H43" s="208">
        <v>5105446</v>
      </c>
      <c r="I43" s="205">
        <f>SUM(G43:H43)</f>
        <v>51068563</v>
      </c>
      <c r="J43" s="205">
        <f>SEPTIEMBRE!L43</f>
        <v>12647126</v>
      </c>
      <c r="K43" s="208">
        <v>0</v>
      </c>
      <c r="L43" s="205">
        <f>SUM(J43:K43)</f>
        <v>12647126</v>
      </c>
      <c r="M43" s="205">
        <f>F43-I43</f>
        <v>-51068563</v>
      </c>
      <c r="N43" s="671">
        <f>F43-L43</f>
        <v>-12647126</v>
      </c>
      <c r="O43" s="67"/>
      <c r="P43" s="204">
        <v>0</v>
      </c>
      <c r="Q43" s="210">
        <v>0</v>
      </c>
      <c r="R43" s="101"/>
      <c r="S43" s="257">
        <f>+IF(SEPTIEMBRE!S43=0,"",SEPTIEMBRE!S43)</f>
        <v>1010300</v>
      </c>
      <c r="T43" s="546" t="str">
        <f>+IF(SEPTIEMBRE!T43=0,"",SEPTIEMBRE!T43)</f>
        <v>Contribuciones Inherentes nómina al Sector Privado</v>
      </c>
      <c r="U43" s="230">
        <f>U44+U49+U55</f>
        <v>2871199937.9625015</v>
      </c>
      <c r="V43" s="231">
        <f t="shared" ref="V43:AJ43" si="49">V44+V49+V55</f>
        <v>0</v>
      </c>
      <c r="W43" s="231">
        <f t="shared" si="49"/>
        <v>0</v>
      </c>
      <c r="X43" s="234">
        <f>X44+X49+X55</f>
        <v>2871199937.9625015</v>
      </c>
      <c r="Y43" s="233">
        <f t="shared" si="49"/>
        <v>1739625014</v>
      </c>
      <c r="Z43" s="231">
        <f t="shared" si="49"/>
        <v>117109187</v>
      </c>
      <c r="AA43" s="234">
        <f t="shared" si="49"/>
        <v>1856734201</v>
      </c>
      <c r="AB43" s="233">
        <f t="shared" si="49"/>
        <v>1739625014</v>
      </c>
      <c r="AC43" s="231">
        <f t="shared" si="49"/>
        <v>117109187</v>
      </c>
      <c r="AD43" s="234">
        <f t="shared" si="49"/>
        <v>1856734201</v>
      </c>
      <c r="AE43" s="233">
        <f t="shared" si="49"/>
        <v>1724627131</v>
      </c>
      <c r="AF43" s="231">
        <f t="shared" si="49"/>
        <v>132107069</v>
      </c>
      <c r="AG43" s="234">
        <f t="shared" si="49"/>
        <v>1856734200</v>
      </c>
      <c r="AH43" s="233">
        <f t="shared" si="49"/>
        <v>1014465736.9625013</v>
      </c>
      <c r="AI43" s="231">
        <f t="shared" si="49"/>
        <v>1014465736.9625013</v>
      </c>
      <c r="AJ43" s="232">
        <f t="shared" si="49"/>
        <v>1014465737.9625013</v>
      </c>
      <c r="AK43" s="101"/>
      <c r="AL43" s="233">
        <f>AL44+AL49+AL55</f>
        <v>0</v>
      </c>
      <c r="AM43" s="232">
        <f>AM44+AM49+AM55</f>
        <v>0</v>
      </c>
      <c r="AN43" s="101"/>
      <c r="AO43" s="67"/>
      <c r="AP43" s="372"/>
      <c r="AQ43" s="67"/>
      <c r="AR43" s="67"/>
      <c r="AS43" s="67"/>
      <c r="AT43" s="67"/>
      <c r="AU43" s="67"/>
      <c r="AV43" s="67"/>
      <c r="AW43" s="67"/>
      <c r="AX43" s="67"/>
      <c r="AY43" s="67"/>
      <c r="AZ43" s="67"/>
      <c r="BA43" s="67"/>
      <c r="BB43" s="336"/>
      <c r="BC43" s="336"/>
      <c r="BD43" s="336"/>
      <c r="BE43" s="336"/>
      <c r="BF43" s="67"/>
      <c r="BG43" s="67"/>
      <c r="BH43" s="67"/>
      <c r="BI43" s="67"/>
      <c r="BJ43" s="67"/>
      <c r="BK43" s="67"/>
      <c r="BL43" s="67"/>
      <c r="BM43" s="67"/>
      <c r="BN43" s="67"/>
      <c r="BO43" s="67"/>
      <c r="BP43" s="67"/>
      <c r="BQ43" s="67"/>
    </row>
    <row r="44" spans="1:69" ht="24.75" customHeight="1">
      <c r="A44" s="202" t="str">
        <f>+IF(SEPTIEMBRE!A44=0,"",SEPTIEMBRE!A44)</f>
        <v>1.1.02.05.001.09.02.03.99</v>
      </c>
      <c r="B44" s="331" t="str">
        <f>+IF(SEPTIEMBRE!B44=0,"",SEPTIEMBRE!B44)</f>
        <v>Vigencia Anterior</v>
      </c>
      <c r="C44" s="204">
        <f>+ENERO!C44</f>
        <v>287170800</v>
      </c>
      <c r="D44" s="205">
        <f>SEPTIEMBRE!D44+OCTUBRE!P44</f>
        <v>0</v>
      </c>
      <c r="E44" s="205">
        <f>SEPTIEMBRE!E44+OCTUBRE!Q44</f>
        <v>0</v>
      </c>
      <c r="F44" s="205">
        <f>SUM(C44:E44)</f>
        <v>287170800</v>
      </c>
      <c r="G44" s="205">
        <f>SEPTIEMBRE!I44</f>
        <v>62397232</v>
      </c>
      <c r="H44" s="208">
        <v>0</v>
      </c>
      <c r="I44" s="205">
        <f>SUM(G44:H44)</f>
        <v>62397232</v>
      </c>
      <c r="J44" s="205">
        <f>SEPTIEMBRE!L44</f>
        <v>62397232</v>
      </c>
      <c r="K44" s="208">
        <v>0</v>
      </c>
      <c r="L44" s="205">
        <f>SUM(J44:K44)</f>
        <v>62397232</v>
      </c>
      <c r="M44" s="205">
        <f>F44-I44</f>
        <v>224773568</v>
      </c>
      <c r="N44" s="671">
        <f>F44-L44</f>
        <v>224773568</v>
      </c>
      <c r="O44" s="67"/>
      <c r="P44" s="204">
        <v>0</v>
      </c>
      <c r="Q44" s="210">
        <v>0</v>
      </c>
      <c r="R44" s="101"/>
      <c r="S44" s="266">
        <f>+IF(SEPTIEMBRE!S44=0,"",SEPTIEMBRE!S44)</f>
        <v>1010301</v>
      </c>
      <c r="T44" s="267" t="str">
        <f>+IF(SEPTIEMBRE!T44=0,"",SEPTIEMBRE!T44)</f>
        <v>Contribuciones - SGP - Aportes Patronales - Cuenta Maestra</v>
      </c>
      <c r="U44" s="373">
        <f>SUM(U45:U48)</f>
        <v>0</v>
      </c>
      <c r="V44" s="220">
        <f t="shared" ref="V44:AG44" si="50">SUM(V45:V48)</f>
        <v>0</v>
      </c>
      <c r="W44" s="220">
        <f t="shared" si="50"/>
        <v>0</v>
      </c>
      <c r="X44" s="271">
        <f>SUM(X45:X48)</f>
        <v>0</v>
      </c>
      <c r="Y44" s="270">
        <f t="shared" si="50"/>
        <v>0</v>
      </c>
      <c r="Z44" s="300">
        <f t="shared" si="50"/>
        <v>0</v>
      </c>
      <c r="AA44" s="271">
        <f t="shared" si="50"/>
        <v>0</v>
      </c>
      <c r="AB44" s="270">
        <f t="shared" si="50"/>
        <v>0</v>
      </c>
      <c r="AC44" s="300">
        <f t="shared" si="50"/>
        <v>0</v>
      </c>
      <c r="AD44" s="271">
        <f t="shared" si="50"/>
        <v>0</v>
      </c>
      <c r="AE44" s="270">
        <f>SUM(AE45:AE48)</f>
        <v>0</v>
      </c>
      <c r="AF44" s="300">
        <f t="shared" si="50"/>
        <v>0</v>
      </c>
      <c r="AG44" s="271">
        <f t="shared" si="50"/>
        <v>0</v>
      </c>
      <c r="AH44" s="270">
        <f>SUM(AH45:AH48)</f>
        <v>0</v>
      </c>
      <c r="AI44" s="220">
        <f>SUM(AI45:AI48)</f>
        <v>0</v>
      </c>
      <c r="AJ44" s="269">
        <f>SUM(AJ45:AJ48)</f>
        <v>0</v>
      </c>
      <c r="AK44" s="101"/>
      <c r="AL44" s="301">
        <f>SUM(AL45:AL48)</f>
        <v>0</v>
      </c>
      <c r="AM44" s="302">
        <f>SUM(AM45:AM48)</f>
        <v>0</v>
      </c>
      <c r="AN44" s="101"/>
      <c r="AO44" s="67"/>
      <c r="AP44" s="67"/>
      <c r="AQ44" s="67"/>
      <c r="AR44" s="67"/>
      <c r="AS44" s="67"/>
      <c r="AT44" s="67"/>
      <c r="AU44" s="67"/>
      <c r="AV44" s="67"/>
      <c r="AW44" s="67"/>
      <c r="AX44" s="67"/>
      <c r="AY44" s="67"/>
      <c r="AZ44" s="67"/>
      <c r="BA44" s="67"/>
      <c r="BB44" s="336"/>
      <c r="BC44" s="336"/>
      <c r="BD44" s="336"/>
      <c r="BE44" s="336"/>
      <c r="BF44" s="67"/>
      <c r="BG44" s="67"/>
      <c r="BH44" s="67"/>
      <c r="BI44" s="67"/>
      <c r="BJ44" s="67"/>
      <c r="BK44" s="67"/>
      <c r="BL44" s="67"/>
      <c r="BM44" s="67"/>
      <c r="BN44" s="67"/>
      <c r="BO44" s="67"/>
      <c r="BP44" s="67"/>
      <c r="BQ44" s="67"/>
    </row>
    <row r="45" spans="1:69" ht="24.75" customHeight="1">
      <c r="A45" s="286" t="str">
        <f>+IF(SEPTIEMBRE!A45=0,"",SEPTIEMBRE!A45)</f>
        <v>1.1.02.05.001.09.02.04</v>
      </c>
      <c r="B45" s="319" t="str">
        <f>+IF(SEPTIEMBRE!B45=0,"",SEPTIEMBRE!B45)</f>
        <v>EVENTOS CATASTROFICOS Y ACCIDENTES DE TRANSITO</v>
      </c>
      <c r="C45" s="288">
        <f t="shared" ref="C45:N45" si="51">SUM(C46:C47)</f>
        <v>1301505717</v>
      </c>
      <c r="D45" s="320">
        <f t="shared" si="51"/>
        <v>0</v>
      </c>
      <c r="E45" s="320">
        <f t="shared" si="51"/>
        <v>0</v>
      </c>
      <c r="F45" s="320">
        <f t="shared" si="51"/>
        <v>1301505717</v>
      </c>
      <c r="G45" s="320">
        <f t="shared" si="51"/>
        <v>656933770</v>
      </c>
      <c r="H45" s="320">
        <f t="shared" si="51"/>
        <v>24262872</v>
      </c>
      <c r="I45" s="320">
        <f t="shared" si="51"/>
        <v>681196642</v>
      </c>
      <c r="J45" s="320">
        <f t="shared" si="51"/>
        <v>396347152</v>
      </c>
      <c r="K45" s="320">
        <f t="shared" si="51"/>
        <v>340169</v>
      </c>
      <c r="L45" s="320">
        <f t="shared" si="51"/>
        <v>396687321</v>
      </c>
      <c r="M45" s="320">
        <f t="shared" si="51"/>
        <v>620309075</v>
      </c>
      <c r="N45" s="661">
        <f t="shared" si="51"/>
        <v>904818396</v>
      </c>
      <c r="O45" s="67"/>
      <c r="P45" s="288">
        <f>SUM(P46:P47)</f>
        <v>0</v>
      </c>
      <c r="Q45" s="289">
        <f>SUM(Q46:Q47)</f>
        <v>0</v>
      </c>
      <c r="R45" s="101"/>
      <c r="S45" s="311" t="str">
        <f>+IF(SEPTIEMBRE!S45=0,"",SEPTIEMBRE!S45)</f>
        <v>1010301-1</v>
      </c>
      <c r="T45" s="312" t="str">
        <f>+IF(SEPTIEMBRE!T45=0,"",SEPTIEMBRE!T45)</f>
        <v>E.P.S. - Aportes cuenta maestra</v>
      </c>
      <c r="U45" s="373">
        <f>+ENERO!U45</f>
        <v>0</v>
      </c>
      <c r="V45" s="220">
        <f>SEPTIEMBRE!V45+OCTUBRE!AL45</f>
        <v>0</v>
      </c>
      <c r="W45" s="220">
        <f>SEPTIEMBRE!W45+OCTUBRE!AM45</f>
        <v>0</v>
      </c>
      <c r="X45" s="271">
        <f>SUM(U45:W45)</f>
        <v>0</v>
      </c>
      <c r="Y45" s="270">
        <f>SEPTIEMBRE!AA45</f>
        <v>0</v>
      </c>
      <c r="Z45" s="208">
        <v>0</v>
      </c>
      <c r="AA45" s="271">
        <f>SUM(Y45:Z45)</f>
        <v>0</v>
      </c>
      <c r="AB45" s="270">
        <f>SEPTIEMBRE!AD45</f>
        <v>0</v>
      </c>
      <c r="AC45" s="208">
        <v>0</v>
      </c>
      <c r="AD45" s="271">
        <f>SUM(AB45:AC45)</f>
        <v>0</v>
      </c>
      <c r="AE45" s="270">
        <f>SEPTIEMBRE!AG45</f>
        <v>0</v>
      </c>
      <c r="AF45" s="208">
        <v>0</v>
      </c>
      <c r="AG45" s="271">
        <f>SUM(AE45:AF45)</f>
        <v>0</v>
      </c>
      <c r="AH45" s="270">
        <f>X45-AA45</f>
        <v>0</v>
      </c>
      <c r="AI45" s="220">
        <f>X45-AD45</f>
        <v>0</v>
      </c>
      <c r="AJ45" s="269">
        <f>X45-AG45</f>
        <v>0</v>
      </c>
      <c r="AK45" s="101"/>
      <c r="AL45" s="204">
        <v>0</v>
      </c>
      <c r="AM45" s="210">
        <v>0</v>
      </c>
      <c r="AN45" s="101"/>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row>
    <row r="46" spans="1:69" s="1273" customFormat="1" ht="24.75" customHeight="1">
      <c r="A46" s="1274" t="str">
        <f>+IF(SEPTIEMBRE!A46=0,"",SEPTIEMBRE!A46)</f>
        <v>1.1.02.05.001.09.02.04</v>
      </c>
      <c r="B46" s="1275" t="str">
        <f>+CONCATENATE("Vigencia ",INSTRUCCIONES!$F$3)</f>
        <v>Vigencia 2025</v>
      </c>
      <c r="C46" s="1271">
        <f>+ENERO!C46</f>
        <v>795758987</v>
      </c>
      <c r="D46" s="1276">
        <f>SEPTIEMBRE!D46+OCTUBRE!P46</f>
        <v>0</v>
      </c>
      <c r="E46" s="1276">
        <f>SEPTIEMBRE!E46+OCTUBRE!Q46</f>
        <v>0</v>
      </c>
      <c r="F46" s="1276">
        <f>SUM(C46:E46)</f>
        <v>795758987</v>
      </c>
      <c r="G46" s="1276">
        <f>SEPTIEMBRE!I46</f>
        <v>275734754</v>
      </c>
      <c r="H46" s="1269">
        <v>24262872</v>
      </c>
      <c r="I46" s="1276">
        <f>SUM(G46:H46)</f>
        <v>299997626</v>
      </c>
      <c r="J46" s="1276">
        <f>SEPTIEMBRE!L46</f>
        <v>15148136</v>
      </c>
      <c r="K46" s="1269">
        <v>340169</v>
      </c>
      <c r="L46" s="1276">
        <f>SUM(J46:K46)</f>
        <v>15488305</v>
      </c>
      <c r="M46" s="1276">
        <f>F46-I46</f>
        <v>495761361</v>
      </c>
      <c r="N46" s="1277">
        <f>F46-L46</f>
        <v>780270682</v>
      </c>
      <c r="O46" s="1261"/>
      <c r="P46" s="1271">
        <v>0</v>
      </c>
      <c r="Q46" s="1272">
        <v>0</v>
      </c>
      <c r="R46" s="1262"/>
      <c r="S46" s="1263" t="str">
        <f>+IF(SEPTIEMBRE!S46=0,"",SEPTIEMBRE!S46)</f>
        <v>1010301-2</v>
      </c>
      <c r="T46" s="1264" t="str">
        <f>+IF(SEPTIEMBRE!T46=0,"",SEPTIEMBRE!T46)</f>
        <v>Fondos pensionales - Aportes cuenta maestra</v>
      </c>
      <c r="U46" s="1265">
        <f>+ENERO!U46</f>
        <v>0</v>
      </c>
      <c r="V46" s="1266">
        <f>SEPTIEMBRE!V46+OCTUBRE!AL46</f>
        <v>0</v>
      </c>
      <c r="W46" s="1266">
        <f>SEPTIEMBRE!W46+OCTUBRE!AM46</f>
        <v>0</v>
      </c>
      <c r="X46" s="1267">
        <f>SUM(U46:W46)</f>
        <v>0</v>
      </c>
      <c r="Y46" s="1268">
        <f>SEPTIEMBRE!AA46</f>
        <v>0</v>
      </c>
      <c r="Z46" s="1269">
        <v>0</v>
      </c>
      <c r="AA46" s="1267">
        <f>SUM(Y46:Z46)</f>
        <v>0</v>
      </c>
      <c r="AB46" s="1268">
        <f>SEPTIEMBRE!AD46</f>
        <v>0</v>
      </c>
      <c r="AC46" s="1269">
        <v>0</v>
      </c>
      <c r="AD46" s="1267">
        <f>SUM(AB46:AC46)</f>
        <v>0</v>
      </c>
      <c r="AE46" s="1268">
        <f>SEPTIEMBRE!AG46</f>
        <v>0</v>
      </c>
      <c r="AF46" s="1269">
        <v>0</v>
      </c>
      <c r="AG46" s="1267">
        <f>SUM(AE46:AF46)</f>
        <v>0</v>
      </c>
      <c r="AH46" s="1268">
        <f>X46-AA46</f>
        <v>0</v>
      </c>
      <c r="AI46" s="1266">
        <f>X46-AD46</f>
        <v>0</v>
      </c>
      <c r="AJ46" s="1270">
        <f>X46-AG46</f>
        <v>0</v>
      </c>
      <c r="AK46" s="1262"/>
      <c r="AL46" s="1271">
        <v>0</v>
      </c>
      <c r="AM46" s="1272">
        <v>0</v>
      </c>
      <c r="AN46" s="1262"/>
      <c r="AO46" s="1278"/>
      <c r="AP46" s="1279"/>
      <c r="AQ46" s="1261"/>
      <c r="AR46" s="1261"/>
      <c r="AS46" s="1261"/>
      <c r="AT46" s="1261"/>
      <c r="AU46" s="1261"/>
      <c r="AV46" s="1261"/>
      <c r="AW46" s="1261"/>
      <c r="AX46" s="1261"/>
      <c r="AY46" s="1261"/>
      <c r="AZ46" s="1261"/>
      <c r="BA46" s="1261"/>
      <c r="BB46" s="1280"/>
      <c r="BC46" s="1280"/>
      <c r="BD46" s="1280"/>
      <c r="BE46" s="1280"/>
      <c r="BF46" s="1261"/>
      <c r="BG46" s="1261"/>
      <c r="BH46" s="1261"/>
      <c r="BI46" s="1261"/>
      <c r="BJ46" s="1261"/>
      <c r="BK46" s="1261"/>
      <c r="BL46" s="1261"/>
      <c r="BM46" s="1280"/>
      <c r="BN46" s="1280"/>
      <c r="BO46" s="1280"/>
      <c r="BP46" s="1280"/>
      <c r="BQ46" s="1280"/>
    </row>
    <row r="47" spans="1:69" ht="24.75" customHeight="1">
      <c r="A47" s="202" t="str">
        <f>+IF(SEPTIEMBRE!A47=0,"",SEPTIEMBRE!A47)</f>
        <v>1.1.02.05.001.09.02.04.99</v>
      </c>
      <c r="B47" s="331" t="str">
        <f>+IF(SEPTIEMBRE!B47=0,"",SEPTIEMBRE!B47)</f>
        <v>Vigencia Anterior</v>
      </c>
      <c r="C47" s="204">
        <f>+ENERO!C47</f>
        <v>505746730</v>
      </c>
      <c r="D47" s="205">
        <f>SEPTIEMBRE!D47+OCTUBRE!P47</f>
        <v>0</v>
      </c>
      <c r="E47" s="205">
        <f>SEPTIEMBRE!E47+OCTUBRE!Q47</f>
        <v>0</v>
      </c>
      <c r="F47" s="205">
        <f>SUM(C47:E47)</f>
        <v>505746730</v>
      </c>
      <c r="G47" s="205">
        <f>SEPTIEMBRE!I47</f>
        <v>381199016</v>
      </c>
      <c r="H47" s="208">
        <v>0</v>
      </c>
      <c r="I47" s="205">
        <f>SUM(G47:H47)</f>
        <v>381199016</v>
      </c>
      <c r="J47" s="205">
        <f>SEPTIEMBRE!L47</f>
        <v>381199016</v>
      </c>
      <c r="K47" s="208">
        <v>0</v>
      </c>
      <c r="L47" s="205">
        <f>SUM(J47:K47)</f>
        <v>381199016</v>
      </c>
      <c r="M47" s="205">
        <f>F47-I47</f>
        <v>124547714</v>
      </c>
      <c r="N47" s="671">
        <f>F47-L47</f>
        <v>124547714</v>
      </c>
      <c r="O47" s="67"/>
      <c r="P47" s="204">
        <v>0</v>
      </c>
      <c r="Q47" s="210">
        <v>0</v>
      </c>
      <c r="R47" s="101"/>
      <c r="S47" s="311" t="str">
        <f>+IF(SEPTIEMBRE!S47=0,"",SEPTIEMBRE!S47)</f>
        <v>1010301-3</v>
      </c>
      <c r="T47" s="312" t="str">
        <f>+IF(SEPTIEMBRE!T47=0,"",SEPTIEMBRE!T47)</f>
        <v>Fondos de cesantías - Aportes cuenta maestra</v>
      </c>
      <c r="U47" s="373">
        <f>+ENERO!U47</f>
        <v>0</v>
      </c>
      <c r="V47" s="220">
        <f>SEPTIEMBRE!V47+OCTUBRE!AL47</f>
        <v>0</v>
      </c>
      <c r="W47" s="220">
        <f>SEPTIEMBRE!W47+OCTUBRE!AM47</f>
        <v>0</v>
      </c>
      <c r="X47" s="271">
        <f>SUM(U47:W47)</f>
        <v>0</v>
      </c>
      <c r="Y47" s="270">
        <f>SEPTIEMBRE!AA47</f>
        <v>0</v>
      </c>
      <c r="Z47" s="208">
        <v>0</v>
      </c>
      <c r="AA47" s="271">
        <f>SUM(Y47:Z47)</f>
        <v>0</v>
      </c>
      <c r="AB47" s="270">
        <f>SEPTIEMBRE!AD47</f>
        <v>0</v>
      </c>
      <c r="AC47" s="208">
        <v>0</v>
      </c>
      <c r="AD47" s="271">
        <f>SUM(AB47:AC47)</f>
        <v>0</v>
      </c>
      <c r="AE47" s="270">
        <f>SEPTIEMBRE!AG47</f>
        <v>0</v>
      </c>
      <c r="AF47" s="208">
        <v>0</v>
      </c>
      <c r="AG47" s="271">
        <f>SUM(AE47:AF47)</f>
        <v>0</v>
      </c>
      <c r="AH47" s="270">
        <f>X47-AA47</f>
        <v>0</v>
      </c>
      <c r="AI47" s="220">
        <f>X47-AD47</f>
        <v>0</v>
      </c>
      <c r="AJ47" s="269">
        <f>X47-AG47</f>
        <v>0</v>
      </c>
      <c r="AK47" s="101"/>
      <c r="AL47" s="204">
        <v>0</v>
      </c>
      <c r="AM47" s="210">
        <v>0</v>
      </c>
      <c r="AN47" s="101"/>
      <c r="AO47" s="67"/>
      <c r="AP47" s="67"/>
      <c r="AQ47" s="67"/>
      <c r="AR47" s="67"/>
      <c r="AS47" s="67"/>
      <c r="AT47" s="67"/>
      <c r="AU47" s="67"/>
      <c r="AV47" s="67"/>
      <c r="AW47" s="67"/>
      <c r="AX47" s="67"/>
      <c r="AY47" s="67"/>
      <c r="AZ47" s="67"/>
      <c r="BA47" s="67"/>
      <c r="BB47" s="336"/>
      <c r="BC47" s="336"/>
      <c r="BD47" s="336"/>
      <c r="BE47" s="336"/>
      <c r="BF47" s="67"/>
      <c r="BG47" s="67"/>
      <c r="BH47" s="67"/>
      <c r="BI47" s="67"/>
      <c r="BJ47" s="67"/>
      <c r="BK47" s="67"/>
      <c r="BL47" s="67"/>
      <c r="BM47" s="67"/>
      <c r="BN47" s="67"/>
      <c r="BO47" s="67"/>
      <c r="BP47" s="67"/>
      <c r="BQ47" s="67"/>
    </row>
    <row r="48" spans="1:69" ht="24.75" customHeight="1">
      <c r="A48" s="286" t="str">
        <f>+IF(SEPTIEMBRE!A48=0,"",SEPTIEMBRE!A48)</f>
        <v>1.1.02.05.001.09.02.11</v>
      </c>
      <c r="B48" s="319" t="str">
        <f>+IF(SEPTIEMBRE!B48=0,"",SEPTIEMBRE!B48)</f>
        <v>Poblacion Especial</v>
      </c>
      <c r="C48" s="288">
        <f t="shared" ref="C48:N48" si="52">SUM(C49:C50)</f>
        <v>225672391</v>
      </c>
      <c r="D48" s="320">
        <f t="shared" si="52"/>
        <v>0</v>
      </c>
      <c r="E48" s="320">
        <f t="shared" si="52"/>
        <v>0</v>
      </c>
      <c r="F48" s="320">
        <f t="shared" si="52"/>
        <v>225672391</v>
      </c>
      <c r="G48" s="320">
        <f t="shared" si="52"/>
        <v>114145864</v>
      </c>
      <c r="H48" s="320">
        <f t="shared" si="52"/>
        <v>24671585</v>
      </c>
      <c r="I48" s="320">
        <f t="shared" si="52"/>
        <v>138817449</v>
      </c>
      <c r="J48" s="320">
        <f t="shared" si="52"/>
        <v>70569575</v>
      </c>
      <c r="K48" s="320">
        <f t="shared" si="52"/>
        <v>6952065</v>
      </c>
      <c r="L48" s="320">
        <f t="shared" si="52"/>
        <v>77521640</v>
      </c>
      <c r="M48" s="320">
        <f t="shared" si="52"/>
        <v>86854942</v>
      </c>
      <c r="N48" s="661">
        <f t="shared" si="52"/>
        <v>148150751</v>
      </c>
      <c r="O48" s="67"/>
      <c r="P48" s="288">
        <f>SUM(P49:P50)</f>
        <v>0</v>
      </c>
      <c r="Q48" s="289">
        <f>SUM(Q49:Q50)</f>
        <v>0</v>
      </c>
      <c r="R48" s="101"/>
      <c r="S48" s="311" t="str">
        <f>+IF(SEPTIEMBRE!S48=0,"",SEPTIEMBRE!S48)</f>
        <v>1010301-4</v>
      </c>
      <c r="T48" s="312" t="str">
        <f>+IF(SEPTIEMBRE!T48=0,"",SEPTIEMBRE!T48)</f>
        <v>Riesgos laborales - Aportes cuenta maestra</v>
      </c>
      <c r="U48" s="373">
        <f>+ENERO!U48</f>
        <v>0</v>
      </c>
      <c r="V48" s="220">
        <f>SEPTIEMBRE!V48+OCTUBRE!AL48</f>
        <v>0</v>
      </c>
      <c r="W48" s="220">
        <f>SEPTIEMBRE!W48+OCTUBRE!AM48</f>
        <v>0</v>
      </c>
      <c r="X48" s="271">
        <f>SUM(U48:W48)</f>
        <v>0</v>
      </c>
      <c r="Y48" s="270">
        <f>SEPTIEMBRE!AA48</f>
        <v>0</v>
      </c>
      <c r="Z48" s="208">
        <v>0</v>
      </c>
      <c r="AA48" s="271">
        <f>SUM(Y48:Z48)</f>
        <v>0</v>
      </c>
      <c r="AB48" s="270">
        <f>SEPTIEMBRE!AD48</f>
        <v>0</v>
      </c>
      <c r="AC48" s="208">
        <v>0</v>
      </c>
      <c r="AD48" s="271">
        <f>SUM(AB48:AC48)</f>
        <v>0</v>
      </c>
      <c r="AE48" s="270">
        <f>SEPTIEMBRE!AG48</f>
        <v>0</v>
      </c>
      <c r="AF48" s="208">
        <v>0</v>
      </c>
      <c r="AG48" s="271">
        <f>SUM(AE48:AF48)</f>
        <v>0</v>
      </c>
      <c r="AH48" s="270">
        <f>X48-AA48</f>
        <v>0</v>
      </c>
      <c r="AI48" s="220">
        <f>X48-AD48</f>
        <v>0</v>
      </c>
      <c r="AJ48" s="269">
        <f>X48-AG48</f>
        <v>0</v>
      </c>
      <c r="AK48" s="101"/>
      <c r="AL48" s="204">
        <v>0</v>
      </c>
      <c r="AM48" s="210">
        <v>0</v>
      </c>
      <c r="AN48" s="101"/>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row>
    <row r="49" spans="1:39" s="1273" customFormat="1" ht="24.75" customHeight="1">
      <c r="A49" s="1274" t="str">
        <f>+IF(SEPTIEMBRE!A49=0,"",SEPTIEMBRE!A49)</f>
        <v>1.1.02.05.001.09.02.11</v>
      </c>
      <c r="B49" s="1275" t="str">
        <f>+CONCATENATE("Vigencia ",INSTRUCCIONES!$F$3)</f>
        <v>Vigencia 2025</v>
      </c>
      <c r="C49" s="1271">
        <f>+ENERO!C49</f>
        <v>180672391</v>
      </c>
      <c r="D49" s="1276">
        <f>SEPTIEMBRE!D49+OCTUBRE!P49</f>
        <v>0</v>
      </c>
      <c r="E49" s="1276">
        <f>SEPTIEMBRE!E49+OCTUBRE!Q49</f>
        <v>0</v>
      </c>
      <c r="F49" s="1276">
        <f>SUM(C49:E49)</f>
        <v>180672391</v>
      </c>
      <c r="G49" s="1276">
        <f>SEPTIEMBRE!I49</f>
        <v>74943520</v>
      </c>
      <c r="H49" s="1269">
        <v>24671585</v>
      </c>
      <c r="I49" s="1276">
        <f>SUM(G49:H49)</f>
        <v>99615105</v>
      </c>
      <c r="J49" s="1276">
        <f>SEPTIEMBRE!L49</f>
        <v>31367231</v>
      </c>
      <c r="K49" s="1269">
        <v>6952065</v>
      </c>
      <c r="L49" s="1276">
        <f>SUM(J49:K49)</f>
        <v>38319296</v>
      </c>
      <c r="M49" s="1276">
        <f>F49-I49</f>
        <v>81057286</v>
      </c>
      <c r="N49" s="1277">
        <f>F49-L49</f>
        <v>142353095</v>
      </c>
      <c r="O49" s="1261"/>
      <c r="P49" s="1271">
        <v>0</v>
      </c>
      <c r="Q49" s="1272">
        <v>0</v>
      </c>
      <c r="R49" s="1262"/>
      <c r="S49" s="1281">
        <f>+IF(SEPTIEMBRE!S49=0,"",SEPTIEMBRE!S49)</f>
        <v>1010302</v>
      </c>
      <c r="T49" s="1282" t="str">
        <f>+IF(SEPTIEMBRE!T49=0,"",SEPTIEMBRE!T49)</f>
        <v>Contribuciones - Otros</v>
      </c>
      <c r="U49" s="1265">
        <f>SUM(U50:U54)</f>
        <v>2369058848.2960005</v>
      </c>
      <c r="V49" s="1266">
        <f t="shared" ref="V49:AG49" si="53">SUM(V50:V54)</f>
        <v>-30000000</v>
      </c>
      <c r="W49" s="1266">
        <f t="shared" si="53"/>
        <v>0</v>
      </c>
      <c r="X49" s="1267">
        <f>SUM(X50:X54)</f>
        <v>2339058848.2960005</v>
      </c>
      <c r="Y49" s="1268">
        <f t="shared" si="53"/>
        <v>1215317380</v>
      </c>
      <c r="Z49" s="1283">
        <f t="shared" si="53"/>
        <v>117109187</v>
      </c>
      <c r="AA49" s="1267">
        <f t="shared" si="53"/>
        <v>1332426567</v>
      </c>
      <c r="AB49" s="1268">
        <f t="shared" si="53"/>
        <v>1215317380</v>
      </c>
      <c r="AC49" s="1283">
        <f>SUM(AC50:AC54)</f>
        <v>117109187</v>
      </c>
      <c r="AD49" s="1267">
        <f t="shared" si="53"/>
        <v>1332426567</v>
      </c>
      <c r="AE49" s="1268">
        <f>SUM(AE50:AE54)</f>
        <v>1200319497</v>
      </c>
      <c r="AF49" s="1283">
        <f t="shared" si="53"/>
        <v>132107069</v>
      </c>
      <c r="AG49" s="1267">
        <f t="shared" si="53"/>
        <v>1332426566</v>
      </c>
      <c r="AH49" s="1268">
        <f>SUM(AH50:AH54)</f>
        <v>1006632281.2960002</v>
      </c>
      <c r="AI49" s="1266">
        <f>SUM(AI50:AI54)</f>
        <v>1006632281.2960002</v>
      </c>
      <c r="AJ49" s="1270">
        <f>SUM(AJ50:AJ54)</f>
        <v>1006632282.2960002</v>
      </c>
      <c r="AK49" s="1262"/>
      <c r="AL49" s="1284">
        <f>SUM(AL50:AL54)</f>
        <v>0</v>
      </c>
      <c r="AM49" s="1285">
        <f>SUM(AM50:AM54)</f>
        <v>0</v>
      </c>
    </row>
    <row r="50" spans="1:39" ht="24.75" customHeight="1">
      <c r="A50" s="202" t="str">
        <f>+IF(SEPTIEMBRE!A50=0,"",SEPTIEMBRE!A50)</f>
        <v>1.1.02.05.001.09.02.11.99</v>
      </c>
      <c r="B50" s="331" t="str">
        <f>+IF(SEPTIEMBRE!B50=0,"",SEPTIEMBRE!B50)</f>
        <v>Vigencia Anterior</v>
      </c>
      <c r="C50" s="204">
        <f>+ENERO!C50</f>
        <v>45000000</v>
      </c>
      <c r="D50" s="205">
        <f>SEPTIEMBRE!D50+OCTUBRE!P50</f>
        <v>0</v>
      </c>
      <c r="E50" s="205">
        <f>SEPTIEMBRE!E50+OCTUBRE!Q50</f>
        <v>0</v>
      </c>
      <c r="F50" s="205">
        <f>SUM(C50:E50)</f>
        <v>45000000</v>
      </c>
      <c r="G50" s="205">
        <f>SEPTIEMBRE!I50</f>
        <v>39202344</v>
      </c>
      <c r="H50" s="208">
        <v>0</v>
      </c>
      <c r="I50" s="205">
        <f>SUM(G50:H50)</f>
        <v>39202344</v>
      </c>
      <c r="J50" s="205">
        <f>SEPTIEMBRE!L50</f>
        <v>39202344</v>
      </c>
      <c r="K50" s="208">
        <v>0</v>
      </c>
      <c r="L50" s="205">
        <f>SUM(J50:K50)</f>
        <v>39202344</v>
      </c>
      <c r="M50" s="205">
        <f>F50-I50</f>
        <v>5797656</v>
      </c>
      <c r="N50" s="671">
        <f>F50-L50</f>
        <v>5797656</v>
      </c>
      <c r="O50" s="67"/>
      <c r="P50" s="204">
        <v>0</v>
      </c>
      <c r="Q50" s="210">
        <v>0</v>
      </c>
      <c r="R50" s="101"/>
      <c r="S50" s="311" t="str">
        <f>+IF(SEPTIEMBRE!S50=0,"",SEPTIEMBRE!S50)</f>
        <v>2.1.1.01.02.002</v>
      </c>
      <c r="T50" s="312" t="str">
        <f>+IF(SEPTIEMBRE!T50=0,"",SEPTIEMBRE!T50)</f>
        <v>Aportes a E.P.S. - recursos propios</v>
      </c>
      <c r="U50" s="373">
        <f>+ENERO!U50</f>
        <v>555207343.50000024</v>
      </c>
      <c r="V50" s="220">
        <f>SEPTIEMBRE!V50+OCTUBRE!AL50</f>
        <v>0</v>
      </c>
      <c r="W50" s="220">
        <f>SEPTIEMBRE!W50+OCTUBRE!AM50</f>
        <v>0</v>
      </c>
      <c r="X50" s="271">
        <f t="shared" ref="X50:X55" si="54">SUM(U50:W50)</f>
        <v>555207343.50000024</v>
      </c>
      <c r="Y50" s="270">
        <f>SEPTIEMBRE!AA50</f>
        <v>360471475</v>
      </c>
      <c r="Z50" s="208">
        <v>37378176</v>
      </c>
      <c r="AA50" s="271">
        <f t="shared" ref="AA50:AA55" si="55">SUM(Y50:Z50)</f>
        <v>397849651</v>
      </c>
      <c r="AB50" s="270">
        <f>SEPTIEMBRE!AD50</f>
        <v>360471475</v>
      </c>
      <c r="AC50" s="208">
        <v>37378176</v>
      </c>
      <c r="AD50" s="271">
        <f t="shared" ref="AD50:AD55" si="56">SUM(AB50:AC50)</f>
        <v>397849651</v>
      </c>
      <c r="AE50" s="270">
        <f>SEPTIEMBRE!AG50</f>
        <v>360471475</v>
      </c>
      <c r="AF50" s="208">
        <v>37378176</v>
      </c>
      <c r="AG50" s="271">
        <f t="shared" ref="AG50:AG55" si="57">SUM(AE50:AF50)</f>
        <v>397849651</v>
      </c>
      <c r="AH50" s="270">
        <f t="shared" ref="AH50:AH55" si="58">X50-AA50</f>
        <v>157357692.50000024</v>
      </c>
      <c r="AI50" s="220">
        <f t="shared" ref="AI50:AI55" si="59">X50-AD50</f>
        <v>157357692.50000024</v>
      </c>
      <c r="AJ50" s="269">
        <f t="shared" ref="AJ50:AJ55" si="60">X50-AG50</f>
        <v>157357692.50000024</v>
      </c>
      <c r="AK50" s="101"/>
      <c r="AL50" s="204">
        <v>0</v>
      </c>
      <c r="AM50" s="210">
        <v>0</v>
      </c>
    </row>
    <row r="51" spans="1:39" ht="24.75" customHeight="1">
      <c r="A51" s="286" t="str">
        <f>+IF(SEPTIEMBRE!A51=0,"",SEPTIEMBRE!A51)</f>
        <v>1.1.02.05.001.09.02.16</v>
      </c>
      <c r="B51" s="319" t="str">
        <f>+IF(SEPTIEMBRE!B51=0,"",SEPTIEMBRE!B51)</f>
        <v>Fondo Nacional de la Salud personas privadas de la Libertad</v>
      </c>
      <c r="C51" s="288">
        <f t="shared" ref="C51:N51" si="61">SUM(C52:C53)</f>
        <v>168856</v>
      </c>
      <c r="D51" s="320">
        <f t="shared" si="61"/>
        <v>0</v>
      </c>
      <c r="E51" s="320">
        <f t="shared" si="61"/>
        <v>0</v>
      </c>
      <c r="F51" s="320">
        <f t="shared" si="61"/>
        <v>168856</v>
      </c>
      <c r="G51" s="320">
        <f t="shared" si="61"/>
        <v>27492607</v>
      </c>
      <c r="H51" s="320">
        <f t="shared" si="61"/>
        <v>15554724</v>
      </c>
      <c r="I51" s="320">
        <f t="shared" si="61"/>
        <v>43047331</v>
      </c>
      <c r="J51" s="320">
        <f t="shared" si="61"/>
        <v>0</v>
      </c>
      <c r="K51" s="320">
        <f t="shared" si="61"/>
        <v>15371803</v>
      </c>
      <c r="L51" s="320">
        <f t="shared" si="61"/>
        <v>15371803</v>
      </c>
      <c r="M51" s="320">
        <f t="shared" si="61"/>
        <v>-42878475</v>
      </c>
      <c r="N51" s="661">
        <f t="shared" si="61"/>
        <v>-15202947</v>
      </c>
      <c r="O51" s="67"/>
      <c r="P51" s="288">
        <f>SUM(P52:P53)</f>
        <v>0</v>
      </c>
      <c r="Q51" s="289">
        <f>SUM(Q52:Q53)</f>
        <v>0</v>
      </c>
      <c r="R51" s="101"/>
      <c r="S51" s="311" t="str">
        <f>+IF(SEPTIEMBRE!S51=0,"",SEPTIEMBRE!S51)</f>
        <v>2.1.1.01.02.001</v>
      </c>
      <c r="T51" s="312" t="str">
        <f>+IF(SEPTIEMBRE!T51=0,"",SEPTIEMBRE!T51)</f>
        <v>Aportes Fondos Pensionales - recursos propios</v>
      </c>
      <c r="U51" s="373">
        <f>+ENERO!U51</f>
        <v>783822132</v>
      </c>
      <c r="V51" s="220">
        <f>SEPTIEMBRE!V51+OCTUBRE!AL51</f>
        <v>0</v>
      </c>
      <c r="W51" s="220">
        <f>SEPTIEMBRE!W51+OCTUBRE!AM51</f>
        <v>0</v>
      </c>
      <c r="X51" s="271">
        <f t="shared" si="54"/>
        <v>783822132</v>
      </c>
      <c r="Y51" s="270">
        <f>SEPTIEMBRE!AA51</f>
        <v>511527784</v>
      </c>
      <c r="Z51" s="208">
        <v>53295011</v>
      </c>
      <c r="AA51" s="271">
        <f t="shared" si="55"/>
        <v>564822795</v>
      </c>
      <c r="AB51" s="270">
        <f>SEPTIEMBRE!AD51</f>
        <v>511527784</v>
      </c>
      <c r="AC51" s="208">
        <v>53295011</v>
      </c>
      <c r="AD51" s="271">
        <f t="shared" si="56"/>
        <v>564822795</v>
      </c>
      <c r="AE51" s="270">
        <f>SEPTIEMBRE!AG51</f>
        <v>511527784</v>
      </c>
      <c r="AF51" s="208">
        <v>53295011</v>
      </c>
      <c r="AG51" s="271">
        <f t="shared" si="57"/>
        <v>564822795</v>
      </c>
      <c r="AH51" s="270">
        <f t="shared" si="58"/>
        <v>218999337</v>
      </c>
      <c r="AI51" s="220">
        <f t="shared" si="59"/>
        <v>218999337</v>
      </c>
      <c r="AJ51" s="269">
        <f t="shared" si="60"/>
        <v>218999337</v>
      </c>
      <c r="AK51" s="101"/>
      <c r="AL51" s="204">
        <v>0</v>
      </c>
      <c r="AM51" s="210">
        <v>0</v>
      </c>
    </row>
    <row r="52" spans="1:39" ht="24.75" customHeight="1">
      <c r="A52" s="202" t="str">
        <f>+IF(SEPTIEMBRE!A52=0,"",SEPTIEMBRE!A52)</f>
        <v>1.1.02.05.001.09.02.16</v>
      </c>
      <c r="B52" s="331" t="str">
        <f>+CONCATENATE("Vigencia ",INSTRUCCIONES!$F$3)</f>
        <v>Vigencia 2025</v>
      </c>
      <c r="C52" s="204">
        <f>+ENERO!C52</f>
        <v>168856</v>
      </c>
      <c r="D52" s="205">
        <f>SEPTIEMBRE!D52+OCTUBRE!P52</f>
        <v>0</v>
      </c>
      <c r="E52" s="205">
        <f>SEPTIEMBRE!E52+OCTUBRE!Q52</f>
        <v>0</v>
      </c>
      <c r="F52" s="205">
        <f>SUM(C52:E52)</f>
        <v>168856</v>
      </c>
      <c r="G52" s="205">
        <f>SEPTIEMBRE!I52</f>
        <v>27492607</v>
      </c>
      <c r="H52" s="208">
        <v>182921</v>
      </c>
      <c r="I52" s="205">
        <f>SUM(G52:H52)</f>
        <v>27675528</v>
      </c>
      <c r="J52" s="205">
        <f>SEPTIEMBRE!L52</f>
        <v>0</v>
      </c>
      <c r="K52" s="208">
        <v>0</v>
      </c>
      <c r="L52" s="205">
        <f>SUM(J52:K52)</f>
        <v>0</v>
      </c>
      <c r="M52" s="205">
        <f>F52-I52</f>
        <v>-27506672</v>
      </c>
      <c r="N52" s="671">
        <f>F52-L52</f>
        <v>168856</v>
      </c>
      <c r="O52" s="67"/>
      <c r="P52" s="204">
        <v>0</v>
      </c>
      <c r="Q52" s="210">
        <v>0</v>
      </c>
      <c r="R52" s="101"/>
      <c r="S52" s="311" t="str">
        <f>+IF(SEPTIEMBRE!S52=0,"",SEPTIEMBRE!S52)</f>
        <v>2.1.1.01.02.003</v>
      </c>
      <c r="T52" s="312" t="str">
        <f>+IF(SEPTIEMBRE!T52=0,"",SEPTIEMBRE!T52)</f>
        <v>Aportes a Fondos de Cesantia - recursos propios</v>
      </c>
      <c r="U52" s="373">
        <f>+ENERO!U52</f>
        <v>609639436</v>
      </c>
      <c r="V52" s="220">
        <f>SEPTIEMBRE!V52+OCTUBRE!AL52</f>
        <v>-30000000</v>
      </c>
      <c r="W52" s="220">
        <f>SEPTIEMBRE!W52+OCTUBRE!AM52</f>
        <v>0</v>
      </c>
      <c r="X52" s="271">
        <f t="shared" si="54"/>
        <v>579639436</v>
      </c>
      <c r="Y52" s="270">
        <f>SEPTIEMBRE!AA52</f>
        <v>95176921</v>
      </c>
      <c r="Z52" s="208">
        <v>0</v>
      </c>
      <c r="AA52" s="271">
        <f t="shared" si="55"/>
        <v>95176921</v>
      </c>
      <c r="AB52" s="270">
        <f>SEPTIEMBRE!AD52</f>
        <v>95176921</v>
      </c>
      <c r="AC52" s="208"/>
      <c r="AD52" s="271">
        <f t="shared" si="56"/>
        <v>95176921</v>
      </c>
      <c r="AE52" s="270">
        <f>SEPTIEMBRE!AG52</f>
        <v>80179038</v>
      </c>
      <c r="AF52" s="208">
        <v>14997882</v>
      </c>
      <c r="AG52" s="271">
        <f t="shared" si="57"/>
        <v>95176920</v>
      </c>
      <c r="AH52" s="270">
        <f t="shared" si="58"/>
        <v>484462515</v>
      </c>
      <c r="AI52" s="220">
        <f t="shared" si="59"/>
        <v>484462515</v>
      </c>
      <c r="AJ52" s="269">
        <f t="shared" si="60"/>
        <v>484462516</v>
      </c>
      <c r="AK52" s="101"/>
      <c r="AL52" s="204">
        <v>0</v>
      </c>
      <c r="AM52" s="210">
        <v>0</v>
      </c>
    </row>
    <row r="53" spans="1:39" ht="24.75" customHeight="1">
      <c r="A53" s="202" t="str">
        <f>+IF(SEPTIEMBRE!A53=0,"",SEPTIEMBRE!A53)</f>
        <v>1.1.02.05.001.09.02.16.99</v>
      </c>
      <c r="B53" s="331" t="str">
        <f>+IF(SEPTIEMBRE!B53=0,"",SEPTIEMBRE!B53)</f>
        <v>Vigencia Anterior</v>
      </c>
      <c r="C53" s="204">
        <f>+ENERO!C53</f>
        <v>0</v>
      </c>
      <c r="D53" s="205">
        <f>SEPTIEMBRE!D53+OCTUBRE!P53</f>
        <v>0</v>
      </c>
      <c r="E53" s="205">
        <f>SEPTIEMBRE!E53+OCTUBRE!Q53</f>
        <v>0</v>
      </c>
      <c r="F53" s="205">
        <f>SUM(C53:E53)</f>
        <v>0</v>
      </c>
      <c r="G53" s="205">
        <f>SEPTIEMBRE!I53</f>
        <v>0</v>
      </c>
      <c r="H53" s="208">
        <v>15371803</v>
      </c>
      <c r="I53" s="205">
        <f>SUM(G53:H53)</f>
        <v>15371803</v>
      </c>
      <c r="J53" s="205">
        <f>SEPTIEMBRE!L53</f>
        <v>0</v>
      </c>
      <c r="K53" s="208">
        <v>15371803</v>
      </c>
      <c r="L53" s="205">
        <f>SUM(J53:K53)</f>
        <v>15371803</v>
      </c>
      <c r="M53" s="205">
        <f>F53-I53</f>
        <v>-15371803</v>
      </c>
      <c r="N53" s="671">
        <f>F53-L53</f>
        <v>-15371803</v>
      </c>
      <c r="O53" s="67"/>
      <c r="P53" s="204">
        <v>0</v>
      </c>
      <c r="Q53" s="210">
        <v>0</v>
      </c>
      <c r="R53" s="101"/>
      <c r="S53" s="311" t="str">
        <f>+IF(SEPTIEMBRE!S53=0,"",SEPTIEMBRE!S53)</f>
        <v>2.1.1.01.02.005</v>
      </c>
      <c r="T53" s="312" t="str">
        <f>+IF(SEPTIEMBRE!T53=0,"",SEPTIEMBRE!T53)</f>
        <v>Aporte a ARL. - recursos propios</v>
      </c>
      <c r="U53" s="373">
        <f>+ENERO!U53</f>
        <v>159115892.79599997</v>
      </c>
      <c r="V53" s="220">
        <f>SEPTIEMBRE!V53+OCTUBRE!AL53</f>
        <v>0</v>
      </c>
      <c r="W53" s="220">
        <f>SEPTIEMBRE!W53+OCTUBRE!AM53</f>
        <v>0</v>
      </c>
      <c r="X53" s="271">
        <f t="shared" si="54"/>
        <v>159115892.79599997</v>
      </c>
      <c r="Y53" s="270">
        <f>SEPTIEMBRE!AA53</f>
        <v>71700700</v>
      </c>
      <c r="Z53" s="208">
        <v>7533900</v>
      </c>
      <c r="AA53" s="271">
        <f t="shared" si="55"/>
        <v>79234600</v>
      </c>
      <c r="AB53" s="270">
        <f>SEPTIEMBRE!AD53</f>
        <v>71700700</v>
      </c>
      <c r="AC53" s="208">
        <v>7533900</v>
      </c>
      <c r="AD53" s="271">
        <f t="shared" si="56"/>
        <v>79234600</v>
      </c>
      <c r="AE53" s="270">
        <f>SEPTIEMBRE!AG53</f>
        <v>71700700</v>
      </c>
      <c r="AF53" s="208">
        <v>7533900</v>
      </c>
      <c r="AG53" s="271">
        <f t="shared" si="57"/>
        <v>79234600</v>
      </c>
      <c r="AH53" s="270">
        <f t="shared" si="58"/>
        <v>79881292.795999974</v>
      </c>
      <c r="AI53" s="220">
        <f t="shared" si="59"/>
        <v>79881292.795999974</v>
      </c>
      <c r="AJ53" s="269">
        <f t="shared" si="60"/>
        <v>79881292.795999974</v>
      </c>
      <c r="AK53" s="101"/>
      <c r="AL53" s="204">
        <v>0</v>
      </c>
      <c r="AM53" s="210">
        <v>0</v>
      </c>
    </row>
    <row r="54" spans="1:39" ht="24.75" customHeight="1">
      <c r="A54" s="286" t="str">
        <f>+IF(SEPTIEMBRE!A54=0,"",SEPTIEMBRE!A54)</f>
        <v>1.1.02.05.001.09.02.17</v>
      </c>
      <c r="B54" s="319" t="str">
        <f>+IF(SEPTIEMBRE!B54=0,"",SEPTIEMBRE!B54)</f>
        <v>EMPRESAS MEDICINA PREPAGADA</v>
      </c>
      <c r="C54" s="288">
        <f t="shared" ref="C54:N54" si="62">SUM(C55:C56)</f>
        <v>968592.84788797423</v>
      </c>
      <c r="D54" s="320">
        <f t="shared" si="62"/>
        <v>0</v>
      </c>
      <c r="E54" s="320">
        <f t="shared" si="62"/>
        <v>0</v>
      </c>
      <c r="F54" s="320">
        <f t="shared" si="62"/>
        <v>968592.84788797423</v>
      </c>
      <c r="G54" s="320">
        <f t="shared" si="62"/>
        <v>13073443</v>
      </c>
      <c r="H54" s="320">
        <f t="shared" si="62"/>
        <v>888100</v>
      </c>
      <c r="I54" s="320">
        <f t="shared" si="62"/>
        <v>13961543</v>
      </c>
      <c r="J54" s="320">
        <f t="shared" si="62"/>
        <v>11142773</v>
      </c>
      <c r="K54" s="320">
        <f t="shared" si="62"/>
        <v>0</v>
      </c>
      <c r="L54" s="320">
        <f t="shared" si="62"/>
        <v>11142773</v>
      </c>
      <c r="M54" s="320">
        <f t="shared" si="62"/>
        <v>-12992950.152112026</v>
      </c>
      <c r="N54" s="661">
        <f t="shared" si="62"/>
        <v>-10174180.152112026</v>
      </c>
      <c r="O54" s="67"/>
      <c r="P54" s="288">
        <f>SUM(P55:P56)</f>
        <v>0</v>
      </c>
      <c r="Q54" s="289">
        <f>SUM(Q55:Q56)</f>
        <v>0</v>
      </c>
      <c r="R54" s="101"/>
      <c r="S54" s="311" t="str">
        <f>+IF(SEPTIEMBRE!S54=0,"",SEPTIEMBRE!S54)</f>
        <v>2.1.1.01.02.004</v>
      </c>
      <c r="T54" s="312" t="str">
        <f>+IF(SEPTIEMBRE!T54=0,"",SEPTIEMBRE!T54)</f>
        <v>Aporte a Caja Compensación Familiar</v>
      </c>
      <c r="U54" s="373">
        <f>+ENERO!U54</f>
        <v>261274044</v>
      </c>
      <c r="V54" s="220">
        <f>SEPTIEMBRE!V54+OCTUBRE!AL54</f>
        <v>0</v>
      </c>
      <c r="W54" s="220">
        <f>SEPTIEMBRE!W54+OCTUBRE!AM54</f>
        <v>0</v>
      </c>
      <c r="X54" s="271">
        <f t="shared" si="54"/>
        <v>261274044</v>
      </c>
      <c r="Y54" s="270">
        <f>SEPTIEMBRE!AA54</f>
        <v>176440500</v>
      </c>
      <c r="Z54" s="208">
        <v>18902100</v>
      </c>
      <c r="AA54" s="271">
        <f t="shared" si="55"/>
        <v>195342600</v>
      </c>
      <c r="AB54" s="270">
        <f>SEPTIEMBRE!AD54</f>
        <v>176440500</v>
      </c>
      <c r="AC54" s="208">
        <v>18902100</v>
      </c>
      <c r="AD54" s="271">
        <f>SUM(AB54:AC54)</f>
        <v>195342600</v>
      </c>
      <c r="AE54" s="270">
        <f>SEPTIEMBRE!AG54</f>
        <v>176440500</v>
      </c>
      <c r="AF54" s="208">
        <v>18902100</v>
      </c>
      <c r="AG54" s="271">
        <f t="shared" si="57"/>
        <v>195342600</v>
      </c>
      <c r="AH54" s="270">
        <f t="shared" si="58"/>
        <v>65931444</v>
      </c>
      <c r="AI54" s="220">
        <f t="shared" si="59"/>
        <v>65931444</v>
      </c>
      <c r="AJ54" s="269">
        <f t="shared" si="60"/>
        <v>65931444</v>
      </c>
      <c r="AK54" s="101"/>
      <c r="AL54" s="204">
        <v>0</v>
      </c>
      <c r="AM54" s="210">
        <v>0</v>
      </c>
    </row>
    <row r="55" spans="1:39" ht="24.75" customHeight="1">
      <c r="A55" s="202" t="str">
        <f>+IF(SEPTIEMBRE!A55=0,"",SEPTIEMBRE!A55)</f>
        <v>1.1.02.05.001.09.02.17</v>
      </c>
      <c r="B55" s="331" t="str">
        <f>+CONCATENATE("Vigencia ",INSTRUCCIONES!$F$3)</f>
        <v>Vigencia 2025</v>
      </c>
      <c r="C55" s="204">
        <f>+ENERO!C55</f>
        <v>968592.84788797423</v>
      </c>
      <c r="D55" s="205">
        <f>SEPTIEMBRE!D55+OCTUBRE!P55</f>
        <v>0</v>
      </c>
      <c r="E55" s="205">
        <f>SEPTIEMBRE!E55+OCTUBRE!Q55</f>
        <v>0</v>
      </c>
      <c r="F55" s="205">
        <f>SUM(C55:E55)</f>
        <v>968592.84788797423</v>
      </c>
      <c r="G55" s="205">
        <f>SEPTIEMBRE!I55</f>
        <v>2732534</v>
      </c>
      <c r="H55" s="208">
        <v>888100</v>
      </c>
      <c r="I55" s="205">
        <f>SUM(G55:H55)</f>
        <v>3620634</v>
      </c>
      <c r="J55" s="205">
        <f>SEPTIEMBRE!L55</f>
        <v>801864</v>
      </c>
      <c r="K55" s="208">
        <v>0</v>
      </c>
      <c r="L55" s="205">
        <f>SUM(J55:K55)</f>
        <v>801864</v>
      </c>
      <c r="M55" s="205">
        <f>F55-I55</f>
        <v>-2652041.1521120258</v>
      </c>
      <c r="N55" s="671">
        <f>F55-L55</f>
        <v>166728.84788797423</v>
      </c>
      <c r="O55" s="67"/>
      <c r="P55" s="204">
        <v>0</v>
      </c>
      <c r="Q55" s="210">
        <v>0</v>
      </c>
      <c r="R55" s="101"/>
      <c r="S55" s="266" t="str">
        <f>+IF(SEPTIEMBRE!S55=0,"",SEPTIEMBRE!S55)</f>
        <v>2.1.1.01.02.003.99</v>
      </c>
      <c r="T55" s="267" t="str">
        <f>+IF(SEPTIEMBRE!T55=0,"",SEPTIEMBRE!T55)</f>
        <v>Vigencias Anteriores</v>
      </c>
      <c r="U55" s="373">
        <f>+ENERO!U55</f>
        <v>502141089.6665011</v>
      </c>
      <c r="V55" s="220">
        <f>SEPTIEMBRE!V55+OCTUBRE!AL55</f>
        <v>30000000</v>
      </c>
      <c r="W55" s="220">
        <f>SEPTIEMBRE!W55+OCTUBRE!AM55</f>
        <v>0</v>
      </c>
      <c r="X55" s="271">
        <f t="shared" si="54"/>
        <v>532141089.6665011</v>
      </c>
      <c r="Y55" s="270">
        <f>SEPTIEMBRE!AA55</f>
        <v>524307634</v>
      </c>
      <c r="Z55" s="208">
        <v>0</v>
      </c>
      <c r="AA55" s="271">
        <f t="shared" si="55"/>
        <v>524307634</v>
      </c>
      <c r="AB55" s="270">
        <f>SEPTIEMBRE!AD55</f>
        <v>524307634</v>
      </c>
      <c r="AC55" s="208"/>
      <c r="AD55" s="271">
        <f t="shared" si="56"/>
        <v>524307634</v>
      </c>
      <c r="AE55" s="270">
        <f>SEPTIEMBRE!AG55</f>
        <v>524307634</v>
      </c>
      <c r="AF55" s="208"/>
      <c r="AG55" s="271">
        <f t="shared" si="57"/>
        <v>524307634</v>
      </c>
      <c r="AH55" s="270">
        <f t="shared" si="58"/>
        <v>7833455.6665011048</v>
      </c>
      <c r="AI55" s="220">
        <f t="shared" si="59"/>
        <v>7833455.6665011048</v>
      </c>
      <c r="AJ55" s="269">
        <f t="shared" si="60"/>
        <v>7833455.6665011048</v>
      </c>
      <c r="AK55" s="101"/>
      <c r="AL55" s="204">
        <v>0</v>
      </c>
      <c r="AM55" s="210">
        <v>0</v>
      </c>
    </row>
    <row r="56" spans="1:39" ht="24.75" customHeight="1">
      <c r="A56" s="202" t="str">
        <f>+IF(SEPTIEMBRE!A56=0,"",SEPTIEMBRE!A56)</f>
        <v>1.1.02.05.001.09.02.17.99</v>
      </c>
      <c r="B56" s="331" t="str">
        <f>+IF(SEPTIEMBRE!B56=0,"",SEPTIEMBRE!B56)</f>
        <v>Vigencia Anterior</v>
      </c>
      <c r="C56" s="204">
        <f>+ENERO!C56</f>
        <v>0</v>
      </c>
      <c r="D56" s="205">
        <f>SEPTIEMBRE!D56+OCTUBRE!P56</f>
        <v>0</v>
      </c>
      <c r="E56" s="205">
        <f>SEPTIEMBRE!E56+OCTUBRE!Q56</f>
        <v>0</v>
      </c>
      <c r="F56" s="205">
        <f>SUM(C56:E56)</f>
        <v>0</v>
      </c>
      <c r="G56" s="205">
        <f>SEPTIEMBRE!I56</f>
        <v>10340909</v>
      </c>
      <c r="H56" s="208">
        <v>0</v>
      </c>
      <c r="I56" s="205">
        <f>SUM(G56:H56)</f>
        <v>10340909</v>
      </c>
      <c r="J56" s="205">
        <f>SEPTIEMBRE!L56</f>
        <v>10340909</v>
      </c>
      <c r="K56" s="208">
        <v>0</v>
      </c>
      <c r="L56" s="205">
        <f>SUM(J56:K56)</f>
        <v>10340909</v>
      </c>
      <c r="M56" s="205">
        <f>F56-I56</f>
        <v>-10340909</v>
      </c>
      <c r="N56" s="671">
        <f>F56-L56</f>
        <v>-10340909</v>
      </c>
      <c r="O56" s="67"/>
      <c r="P56" s="204">
        <v>0</v>
      </c>
      <c r="Q56" s="210">
        <v>0</v>
      </c>
      <c r="R56" s="101"/>
      <c r="S56" s="189">
        <f>+IF(SEPTIEMBRE!S56=0,"",SEPTIEMBRE!S56)</f>
        <v>10340904</v>
      </c>
      <c r="T56" s="488" t="str">
        <f>+IF(SEPTIEMBRE!T56=0,"",SEPTIEMBRE!T56)</f>
        <v/>
      </c>
      <c r="U56" s="191"/>
      <c r="V56" s="191"/>
      <c r="W56" s="191"/>
      <c r="X56" s="191"/>
      <c r="Y56" s="191"/>
      <c r="Z56" s="191"/>
      <c r="AA56" s="191"/>
      <c r="AB56" s="191"/>
      <c r="AC56" s="191"/>
      <c r="AD56" s="191"/>
      <c r="AE56" s="191"/>
      <c r="AF56" s="191"/>
      <c r="AG56" s="191"/>
      <c r="AH56" s="191"/>
      <c r="AI56" s="191"/>
      <c r="AJ56" s="192"/>
      <c r="AK56" s="216"/>
      <c r="AL56" s="370"/>
      <c r="AM56" s="371"/>
    </row>
    <row r="57" spans="1:39" ht="24.75" customHeight="1">
      <c r="A57" s="286" t="str">
        <f>+IF(SEPTIEMBRE!A57=0,"",SEPTIEMBRE!A57)</f>
        <v>1.1.02.05.001.09.02.09</v>
      </c>
      <c r="B57" s="319" t="str">
        <f>+IF(SEPTIEMBRE!B57=0,"",SEPTIEMBRE!B57)</f>
        <v>IPS PRIVADAS</v>
      </c>
      <c r="C57" s="288">
        <f t="shared" ref="C57:N57" si="63">SUM(C58:C59)</f>
        <v>8042608</v>
      </c>
      <c r="D57" s="320">
        <f t="shared" si="63"/>
        <v>0</v>
      </c>
      <c r="E57" s="320">
        <f t="shared" si="63"/>
        <v>0</v>
      </c>
      <c r="F57" s="320">
        <f t="shared" si="63"/>
        <v>8042608</v>
      </c>
      <c r="G57" s="320">
        <f t="shared" si="63"/>
        <v>0</v>
      </c>
      <c r="H57" s="320">
        <f t="shared" si="63"/>
        <v>0</v>
      </c>
      <c r="I57" s="320">
        <f t="shared" si="63"/>
        <v>0</v>
      </c>
      <c r="J57" s="320">
        <f t="shared" si="63"/>
        <v>0</v>
      </c>
      <c r="K57" s="320">
        <f t="shared" si="63"/>
        <v>0</v>
      </c>
      <c r="L57" s="320">
        <f t="shared" si="63"/>
        <v>0</v>
      </c>
      <c r="M57" s="320">
        <f t="shared" si="63"/>
        <v>8042608</v>
      </c>
      <c r="N57" s="661">
        <f t="shared" si="63"/>
        <v>8042608</v>
      </c>
      <c r="O57" s="67"/>
      <c r="P57" s="288">
        <f>SUM(P58:P59)</f>
        <v>0</v>
      </c>
      <c r="Q57" s="289">
        <f>SUM(Q58:Q59)</f>
        <v>0</v>
      </c>
      <c r="R57" s="101"/>
      <c r="S57" s="257">
        <f>+IF(SEPTIEMBRE!S57=0,"",SEPTIEMBRE!S57)</f>
        <v>1010400</v>
      </c>
      <c r="T57" s="546" t="str">
        <f>+IF(SEPTIEMBRE!T57=0,"",SEPTIEMBRE!T57)</f>
        <v>Contribuciones Inherentes nómina del Sector Publico</v>
      </c>
      <c r="U57" s="230">
        <f>U58+U61</f>
        <v>326592555</v>
      </c>
      <c r="V57" s="231">
        <f t="shared" ref="V57:AJ57" si="64">V58+V61</f>
        <v>0</v>
      </c>
      <c r="W57" s="231">
        <f t="shared" si="64"/>
        <v>0</v>
      </c>
      <c r="X57" s="234">
        <f t="shared" si="64"/>
        <v>326592555</v>
      </c>
      <c r="Y57" s="233">
        <f t="shared" si="64"/>
        <v>220601600</v>
      </c>
      <c r="Z57" s="231">
        <f t="shared" si="64"/>
        <v>23633100</v>
      </c>
      <c r="AA57" s="234">
        <f t="shared" si="64"/>
        <v>244234700</v>
      </c>
      <c r="AB57" s="233">
        <f t="shared" si="64"/>
        <v>220601600</v>
      </c>
      <c r="AC57" s="231">
        <f t="shared" si="64"/>
        <v>23633100</v>
      </c>
      <c r="AD57" s="234">
        <f t="shared" si="64"/>
        <v>244234700</v>
      </c>
      <c r="AE57" s="233">
        <f t="shared" si="64"/>
        <v>220601600</v>
      </c>
      <c r="AF57" s="231">
        <f t="shared" si="64"/>
        <v>23633100</v>
      </c>
      <c r="AG57" s="234">
        <f t="shared" si="64"/>
        <v>244234700</v>
      </c>
      <c r="AH57" s="233">
        <f t="shared" si="64"/>
        <v>82357855</v>
      </c>
      <c r="AI57" s="231">
        <f t="shared" si="64"/>
        <v>82357855</v>
      </c>
      <c r="AJ57" s="232">
        <f t="shared" si="64"/>
        <v>82357855</v>
      </c>
      <c r="AK57" s="101"/>
      <c r="AL57" s="233">
        <f>AL58+AL61</f>
        <v>0</v>
      </c>
      <c r="AM57" s="232">
        <f>AM58+AM61</f>
        <v>0</v>
      </c>
    </row>
    <row r="58" spans="1:39" ht="24.75" customHeight="1">
      <c r="A58" s="202" t="str">
        <f>+IF(SEPTIEMBRE!A58=0,"",SEPTIEMBRE!A58)</f>
        <v>1.1.02.05.001.09.02.09</v>
      </c>
      <c r="B58" s="331" t="str">
        <f>+CONCATENATE("Vigencia ",INSTRUCCIONES!$F$3)</f>
        <v>Vigencia 2025</v>
      </c>
      <c r="C58" s="204">
        <f>+ENERO!C58</f>
        <v>8042608</v>
      </c>
      <c r="D58" s="205">
        <f>SEPTIEMBRE!D58+OCTUBRE!P58</f>
        <v>0</v>
      </c>
      <c r="E58" s="205">
        <f>SEPTIEMBRE!E58+OCTUBRE!Q58</f>
        <v>0</v>
      </c>
      <c r="F58" s="205">
        <f>SUM(C58:E58)</f>
        <v>8042608</v>
      </c>
      <c r="G58" s="205">
        <f>SEPTIEMBRE!I58</f>
        <v>0</v>
      </c>
      <c r="H58" s="208"/>
      <c r="I58" s="205">
        <f>SUM(G58:H58)</f>
        <v>0</v>
      </c>
      <c r="J58" s="205">
        <f>SEPTIEMBRE!L58</f>
        <v>0</v>
      </c>
      <c r="K58" s="208">
        <v>0</v>
      </c>
      <c r="L58" s="205">
        <f>SUM(J58:K58)</f>
        <v>0</v>
      </c>
      <c r="M58" s="205">
        <f>F58-I58</f>
        <v>8042608</v>
      </c>
      <c r="N58" s="671">
        <f>F58-L58</f>
        <v>8042608</v>
      </c>
      <c r="O58" s="67"/>
      <c r="P58" s="204">
        <v>0</v>
      </c>
      <c r="Q58" s="210">
        <v>0</v>
      </c>
      <c r="R58" s="101"/>
      <c r="S58" s="266">
        <f>+IF(SEPTIEMBRE!S58=0,"",SEPTIEMBRE!S58)</f>
        <v>1010402</v>
      </c>
      <c r="T58" s="267" t="str">
        <f>+IF(SEPTIEMBRE!T58=0,"",SEPTIEMBRE!T58)</f>
        <v>Contribuciones - Otros</v>
      </c>
      <c r="U58" s="373">
        <f>SUM(U59:U60)</f>
        <v>326592555</v>
      </c>
      <c r="V58" s="1078">
        <f t="shared" ref="V58:AJ58" si="65">SUM(V59:V60)</f>
        <v>0</v>
      </c>
      <c r="W58" s="1078">
        <f t="shared" si="65"/>
        <v>0</v>
      </c>
      <c r="X58" s="271">
        <f>SUM(X59:X60)</f>
        <v>326592555</v>
      </c>
      <c r="Y58" s="270">
        <f t="shared" si="65"/>
        <v>220601600</v>
      </c>
      <c r="Z58" s="300">
        <f t="shared" si="65"/>
        <v>23633100</v>
      </c>
      <c r="AA58" s="271">
        <f t="shared" si="65"/>
        <v>244234700</v>
      </c>
      <c r="AB58" s="270">
        <f t="shared" si="65"/>
        <v>220601600</v>
      </c>
      <c r="AC58" s="300">
        <f t="shared" si="65"/>
        <v>23633100</v>
      </c>
      <c r="AD58" s="271">
        <f t="shared" si="65"/>
        <v>244234700</v>
      </c>
      <c r="AE58" s="270">
        <f t="shared" si="65"/>
        <v>220601600</v>
      </c>
      <c r="AF58" s="300">
        <f t="shared" si="65"/>
        <v>23633100</v>
      </c>
      <c r="AG58" s="271">
        <f t="shared" si="65"/>
        <v>244234700</v>
      </c>
      <c r="AH58" s="270">
        <f t="shared" si="65"/>
        <v>82357855</v>
      </c>
      <c r="AI58" s="220">
        <f t="shared" si="65"/>
        <v>82357855</v>
      </c>
      <c r="AJ58" s="269">
        <f t="shared" si="65"/>
        <v>82357855</v>
      </c>
      <c r="AK58" s="101"/>
      <c r="AL58" s="301">
        <f>SUM(AL59:AL60)</f>
        <v>0</v>
      </c>
      <c r="AM58" s="302">
        <f>SUM(AM59:AM60)</f>
        <v>0</v>
      </c>
    </row>
    <row r="59" spans="1:39" ht="24.75" customHeight="1">
      <c r="A59" s="202" t="str">
        <f>+IF(SEPTIEMBRE!A59=0,"",SEPTIEMBRE!A59)</f>
        <v>1.1.02.05.001.09.02.09.99</v>
      </c>
      <c r="B59" s="331" t="str">
        <f>+IF(SEPTIEMBRE!B59=0,"",SEPTIEMBRE!B59)</f>
        <v>Vigencia Anterior</v>
      </c>
      <c r="C59" s="204">
        <f>+ENERO!C59</f>
        <v>0</v>
      </c>
      <c r="D59" s="205">
        <f>SEPTIEMBRE!D59+OCTUBRE!P59</f>
        <v>0</v>
      </c>
      <c r="E59" s="205">
        <f>SEPTIEMBRE!E59+OCTUBRE!Q59</f>
        <v>0</v>
      </c>
      <c r="F59" s="205">
        <f>SUM(C59:E59)</f>
        <v>0</v>
      </c>
      <c r="G59" s="205">
        <f>SEPTIEMBRE!I59</f>
        <v>0</v>
      </c>
      <c r="H59" s="208"/>
      <c r="I59" s="205">
        <f>SUM(G59:H59)</f>
        <v>0</v>
      </c>
      <c r="J59" s="205">
        <f>SEPTIEMBRE!L59</f>
        <v>0</v>
      </c>
      <c r="K59" s="208">
        <v>0</v>
      </c>
      <c r="L59" s="205">
        <f>SUM(J59:K59)</f>
        <v>0</v>
      </c>
      <c r="M59" s="205">
        <f>F59-I59</f>
        <v>0</v>
      </c>
      <c r="N59" s="671">
        <f>F59-L59</f>
        <v>0</v>
      </c>
      <c r="O59" s="67"/>
      <c r="P59" s="204">
        <v>0</v>
      </c>
      <c r="Q59" s="210">
        <v>0</v>
      </c>
      <c r="R59" s="101"/>
      <c r="S59" s="311" t="str">
        <f>+IF(SEPTIEMBRE!S59=0,"",SEPTIEMBRE!S59)</f>
        <v>2.1.1.01.02.006</v>
      </c>
      <c r="T59" s="312" t="str">
        <f>+IF(SEPTIEMBRE!T59=0,"",SEPTIEMBRE!T59)</f>
        <v>I.C.B.F.</v>
      </c>
      <c r="U59" s="557">
        <f>+ENERO!U59</f>
        <v>195955533</v>
      </c>
      <c r="V59" s="1062">
        <f>SEPTIEMBRE!V59+OCTUBRE!AL59</f>
        <v>0</v>
      </c>
      <c r="W59" s="1062">
        <f>SEPTIEMBRE!W59+OCTUBRE!AM59</f>
        <v>0</v>
      </c>
      <c r="X59" s="560">
        <f>SUM(U59:W59)</f>
        <v>195955533</v>
      </c>
      <c r="Y59" s="270">
        <f>SEPTIEMBRE!AA59</f>
        <v>132346900</v>
      </c>
      <c r="Z59" s="208">
        <v>14178800</v>
      </c>
      <c r="AA59" s="271">
        <f>SUM(Y59:Z59)</f>
        <v>146525700</v>
      </c>
      <c r="AB59" s="270">
        <f>SEPTIEMBRE!AD59</f>
        <v>132346900</v>
      </c>
      <c r="AC59" s="208">
        <v>14178800</v>
      </c>
      <c r="AD59" s="271">
        <f>SUM(AB59:AC59)</f>
        <v>146525700</v>
      </c>
      <c r="AE59" s="270">
        <f>SEPTIEMBRE!AG59</f>
        <v>132346900</v>
      </c>
      <c r="AF59" s="208">
        <v>14178800</v>
      </c>
      <c r="AG59" s="271">
        <f>SUM(AE59:AF59)</f>
        <v>146525700</v>
      </c>
      <c r="AH59" s="270">
        <f>X59-AA59</f>
        <v>49429833</v>
      </c>
      <c r="AI59" s="220">
        <f>X59-AD59</f>
        <v>49429833</v>
      </c>
      <c r="AJ59" s="269">
        <f>X59-AG59</f>
        <v>49429833</v>
      </c>
      <c r="AK59" s="101"/>
      <c r="AL59" s="204">
        <v>0</v>
      </c>
      <c r="AM59" s="210">
        <v>0</v>
      </c>
    </row>
    <row r="60" spans="1:39" ht="24.75" customHeight="1">
      <c r="A60" s="286" t="str">
        <f>+IF(SEPTIEMBRE!A60=0,"",SEPTIEMBRE!A60)</f>
        <v>1.1.02.05.001.09.02.10</v>
      </c>
      <c r="B60" s="319" t="str">
        <f>+IF(SEPTIEMBRE!B60=0,"",SEPTIEMBRE!B60)</f>
        <v>IPS PUBLICAS</v>
      </c>
      <c r="C60" s="288">
        <f t="shared" ref="C60:N60" si="66">SUM(C61:C62)</f>
        <v>46623238</v>
      </c>
      <c r="D60" s="320">
        <f t="shared" si="66"/>
        <v>0</v>
      </c>
      <c r="E60" s="320">
        <f t="shared" si="66"/>
        <v>0</v>
      </c>
      <c r="F60" s="320">
        <f t="shared" si="66"/>
        <v>46623238</v>
      </c>
      <c r="G60" s="320">
        <f t="shared" si="66"/>
        <v>71723885</v>
      </c>
      <c r="H60" s="320">
        <f t="shared" si="66"/>
        <v>22607259</v>
      </c>
      <c r="I60" s="320">
        <f t="shared" si="66"/>
        <v>94331144</v>
      </c>
      <c r="J60" s="320">
        <f t="shared" si="66"/>
        <v>13201974</v>
      </c>
      <c r="K60" s="320">
        <f t="shared" si="66"/>
        <v>0</v>
      </c>
      <c r="L60" s="320">
        <f t="shared" si="66"/>
        <v>13201974</v>
      </c>
      <c r="M60" s="320">
        <f t="shared" si="66"/>
        <v>-47707906</v>
      </c>
      <c r="N60" s="661">
        <f t="shared" si="66"/>
        <v>33421264</v>
      </c>
      <c r="O60" s="67"/>
      <c r="P60" s="288">
        <f>SUM(P61:P62)</f>
        <v>0</v>
      </c>
      <c r="Q60" s="289">
        <f>SUM(Q61:Q62)</f>
        <v>0</v>
      </c>
      <c r="R60" s="101"/>
      <c r="S60" s="311" t="str">
        <f>+IF(SEPTIEMBRE!S60=0,"",SEPTIEMBRE!S60)</f>
        <v>2.1.1.01.02.007</v>
      </c>
      <c r="T60" s="312" t="str">
        <f>+IF(SEPTIEMBRE!T60=0,"",SEPTIEMBRE!T60)</f>
        <v>SENA</v>
      </c>
      <c r="U60" s="557">
        <f>+ENERO!U60</f>
        <v>130637022</v>
      </c>
      <c r="V60" s="1062">
        <f>SEPTIEMBRE!V60+OCTUBRE!AL60</f>
        <v>0</v>
      </c>
      <c r="W60" s="1062">
        <f>SEPTIEMBRE!W60+OCTUBRE!AM60</f>
        <v>0</v>
      </c>
      <c r="X60" s="560">
        <f>SUM(U60:W60)</f>
        <v>130637022</v>
      </c>
      <c r="Y60" s="270">
        <f>SEPTIEMBRE!AA60</f>
        <v>88254700</v>
      </c>
      <c r="Z60" s="208">
        <v>9454300</v>
      </c>
      <c r="AA60" s="271">
        <f>SUM(Y60:Z60)</f>
        <v>97709000</v>
      </c>
      <c r="AB60" s="270">
        <f>SEPTIEMBRE!AD60</f>
        <v>88254700</v>
      </c>
      <c r="AC60" s="208">
        <v>9454300</v>
      </c>
      <c r="AD60" s="271">
        <f>SUM(AB60:AC60)</f>
        <v>97709000</v>
      </c>
      <c r="AE60" s="270">
        <f>SEPTIEMBRE!AG60</f>
        <v>88254700</v>
      </c>
      <c r="AF60" s="208">
        <v>9454300</v>
      </c>
      <c r="AG60" s="271">
        <f>SUM(AE60:AF60)</f>
        <v>97709000</v>
      </c>
      <c r="AH60" s="270">
        <f>X60-AA60</f>
        <v>32928022</v>
      </c>
      <c r="AI60" s="220">
        <f>X60-AD60</f>
        <v>32928022</v>
      </c>
      <c r="AJ60" s="269">
        <f>X60-AG60</f>
        <v>32928022</v>
      </c>
      <c r="AK60" s="101"/>
      <c r="AL60" s="204">
        <v>0</v>
      </c>
      <c r="AM60" s="210">
        <v>0</v>
      </c>
    </row>
    <row r="61" spans="1:39" ht="24.75" customHeight="1">
      <c r="A61" s="202" t="str">
        <f>+IF(SEPTIEMBRE!A61=0,"",SEPTIEMBRE!A61)</f>
        <v>1.1.02.05.001.09.02.10</v>
      </c>
      <c r="B61" s="331" t="str">
        <f>+CONCATENATE("Vigencia ",INSTRUCCIONES!$F$3)</f>
        <v>Vigencia 2025</v>
      </c>
      <c r="C61" s="204">
        <f>+ENERO!C61</f>
        <v>46623238</v>
      </c>
      <c r="D61" s="205">
        <f>SEPTIEMBRE!D61+OCTUBRE!P61</f>
        <v>0</v>
      </c>
      <c r="E61" s="205">
        <f>SEPTIEMBRE!E61+OCTUBRE!Q61</f>
        <v>0</v>
      </c>
      <c r="F61" s="205">
        <f>SUM(C61:E61)</f>
        <v>46623238</v>
      </c>
      <c r="G61" s="205">
        <f>SEPTIEMBRE!I61</f>
        <v>61581024</v>
      </c>
      <c r="H61" s="208">
        <v>22607259</v>
      </c>
      <c r="I61" s="205">
        <f>SUM(G61:H61)</f>
        <v>84188283</v>
      </c>
      <c r="J61" s="205">
        <f>SEPTIEMBRE!L61</f>
        <v>3059113</v>
      </c>
      <c r="K61" s="208">
        <v>0</v>
      </c>
      <c r="L61" s="205">
        <f>SUM(J61:K61)</f>
        <v>3059113</v>
      </c>
      <c r="M61" s="205">
        <f>F61-I61</f>
        <v>-37565045</v>
      </c>
      <c r="N61" s="671">
        <f>F61-L61</f>
        <v>43564125</v>
      </c>
      <c r="O61" s="67"/>
      <c r="P61" s="204">
        <v>0</v>
      </c>
      <c r="Q61" s="210"/>
      <c r="R61" s="101"/>
      <c r="S61" s="266">
        <f>+IF(SEPTIEMBRE!S61=0,"",SEPTIEMBRE!S61)</f>
        <v>1010499</v>
      </c>
      <c r="T61" s="267" t="str">
        <f>+IF(SEPTIEMBRE!T61=0,"",SEPTIEMBRE!T61)</f>
        <v>Vigencias Anteriores</v>
      </c>
      <c r="U61" s="373">
        <f>+ENERO!U61</f>
        <v>0</v>
      </c>
      <c r="V61" s="1008">
        <f>SEPTIEMBRE!V61+OCTUBRE!AL61</f>
        <v>0</v>
      </c>
      <c r="W61" s="1008">
        <f>SEPTIEMBRE!W61+OCTUBRE!AM61</f>
        <v>0</v>
      </c>
      <c r="X61" s="271">
        <f>SUM(U61:W61)</f>
        <v>0</v>
      </c>
      <c r="Y61" s="270">
        <f>SEPTIEMBRE!AA61</f>
        <v>0</v>
      </c>
      <c r="Z61" s="208"/>
      <c r="AA61" s="271">
        <f>SUM(Y61:Z61)</f>
        <v>0</v>
      </c>
      <c r="AB61" s="270">
        <f>SEPTIEMBRE!AD61</f>
        <v>0</v>
      </c>
      <c r="AC61" s="208"/>
      <c r="AD61" s="271">
        <f>SUM(AB61:AC61)</f>
        <v>0</v>
      </c>
      <c r="AE61" s="270">
        <f>SEPTIEMBRE!AG61</f>
        <v>0</v>
      </c>
      <c r="AF61" s="208"/>
      <c r="AG61" s="271">
        <f>SUM(AE61:AF61)</f>
        <v>0</v>
      </c>
      <c r="AH61" s="270">
        <f>X61-AA61</f>
        <v>0</v>
      </c>
      <c r="AI61" s="220">
        <f>X61-AD61</f>
        <v>0</v>
      </c>
      <c r="AJ61" s="269">
        <f>X61-AG61</f>
        <v>0</v>
      </c>
      <c r="AK61" s="101"/>
      <c r="AL61" s="204">
        <v>0</v>
      </c>
      <c r="AM61" s="210">
        <v>0</v>
      </c>
    </row>
    <row r="62" spans="1:39" ht="24.75" customHeight="1">
      <c r="A62" s="202" t="str">
        <f>+IF(SEPTIEMBRE!A62=0,"",SEPTIEMBRE!A62)</f>
        <v>1.1.02.05.001.09.02.10.99</v>
      </c>
      <c r="B62" s="331" t="str">
        <f>+IF(SEPTIEMBRE!B62=0,"",SEPTIEMBRE!B62)</f>
        <v>Vigencia Anterior</v>
      </c>
      <c r="C62" s="204">
        <f>+ENERO!C62</f>
        <v>0</v>
      </c>
      <c r="D62" s="205">
        <f>SEPTIEMBRE!D62+OCTUBRE!P62</f>
        <v>0</v>
      </c>
      <c r="E62" s="205">
        <f>SEPTIEMBRE!E62+OCTUBRE!Q62</f>
        <v>0</v>
      </c>
      <c r="F62" s="205">
        <f>SUM(C62:E62)</f>
        <v>0</v>
      </c>
      <c r="G62" s="205">
        <f>SEPTIEMBRE!I62</f>
        <v>10142861</v>
      </c>
      <c r="H62" s="208"/>
      <c r="I62" s="205">
        <f>SUM(G62:H62)</f>
        <v>10142861</v>
      </c>
      <c r="J62" s="205">
        <f>SEPTIEMBRE!L62</f>
        <v>10142861</v>
      </c>
      <c r="K62" s="208">
        <v>0</v>
      </c>
      <c r="L62" s="205">
        <f>SUM(J62:K62)</f>
        <v>10142861</v>
      </c>
      <c r="M62" s="205">
        <f>F62-I62</f>
        <v>-10142861</v>
      </c>
      <c r="N62" s="671">
        <f>F62-L62</f>
        <v>-10142861</v>
      </c>
      <c r="O62" s="67"/>
      <c r="P62" s="204">
        <v>0</v>
      </c>
      <c r="Q62" s="210">
        <v>0</v>
      </c>
      <c r="R62" s="101"/>
      <c r="S62" s="189">
        <f>+IF(SEPTIEMBRE!S62=0,"",SEPTIEMBRE!S62)</f>
        <v>1174808</v>
      </c>
      <c r="T62" s="488" t="str">
        <f>+IF(SEPTIEMBRE!T62=0,"",SEPTIEMBRE!T62)</f>
        <v/>
      </c>
      <c r="U62" s="191"/>
      <c r="V62" s="191"/>
      <c r="W62" s="191"/>
      <c r="X62" s="191"/>
      <c r="Y62" s="191"/>
      <c r="Z62" s="191"/>
      <c r="AA62" s="191"/>
      <c r="AB62" s="191"/>
      <c r="AC62" s="191"/>
      <c r="AD62" s="191"/>
      <c r="AE62" s="191"/>
      <c r="AF62" s="191"/>
      <c r="AG62" s="191"/>
      <c r="AH62" s="191"/>
      <c r="AI62" s="191"/>
      <c r="AJ62" s="192"/>
      <c r="AK62" s="216"/>
      <c r="AL62" s="370"/>
      <c r="AM62" s="371"/>
    </row>
    <row r="63" spans="1:39" ht="24.75" customHeight="1">
      <c r="A63" s="286" t="str">
        <f>+IF(SEPTIEMBRE!A63=0,"",SEPTIEMBRE!A63)</f>
        <v>1.1.02.05.001.09.02.90.01</v>
      </c>
      <c r="B63" s="319" t="str">
        <f>+IF(SEPTIEMBRE!B63=0,"",SEPTIEMBRE!B63)</f>
        <v>COMPAÑIAS DE SEGUROS  - ACCIDENTES DE TRANSITO (SOAT)</v>
      </c>
      <c r="C63" s="288">
        <f t="shared" ref="C63:N63" si="67">SUM(C64:C65)</f>
        <v>2461795617.04175</v>
      </c>
      <c r="D63" s="320">
        <f t="shared" si="67"/>
        <v>0</v>
      </c>
      <c r="E63" s="320">
        <f t="shared" si="67"/>
        <v>0</v>
      </c>
      <c r="F63" s="320">
        <f t="shared" si="67"/>
        <v>2461795617.04175</v>
      </c>
      <c r="G63" s="320">
        <f t="shared" si="67"/>
        <v>1709097883</v>
      </c>
      <c r="H63" s="320">
        <f t="shared" si="67"/>
        <v>127851170</v>
      </c>
      <c r="I63" s="320">
        <f t="shared" si="67"/>
        <v>1836949053</v>
      </c>
      <c r="J63" s="320">
        <f t="shared" si="67"/>
        <v>1074953166</v>
      </c>
      <c r="K63" s="320">
        <f t="shared" si="67"/>
        <v>93650773</v>
      </c>
      <c r="L63" s="320">
        <f t="shared" si="67"/>
        <v>1168603939</v>
      </c>
      <c r="M63" s="320">
        <f t="shared" si="67"/>
        <v>624846564.04174984</v>
      </c>
      <c r="N63" s="661">
        <f t="shared" si="67"/>
        <v>1293191678.04175</v>
      </c>
      <c r="O63" s="67"/>
      <c r="P63" s="288">
        <f>SUM(P64:P65)</f>
        <v>0</v>
      </c>
      <c r="Q63" s="289">
        <f>SUM(Q64:Q65)</f>
        <v>0</v>
      </c>
      <c r="R63" s="101"/>
      <c r="S63" s="228">
        <f>+IF(SEPTIEMBRE!S63=0,"",SEPTIEMBRE!S63)</f>
        <v>1020010</v>
      </c>
      <c r="T63" s="229" t="str">
        <f>+IF(SEPTIEMBRE!T63=0,"",SEPTIEMBRE!T63)</f>
        <v>Gastos de Operación</v>
      </c>
      <c r="U63" s="230">
        <f>U65+U83+U90+U104</f>
        <v>64518803470</v>
      </c>
      <c r="V63" s="231">
        <f>V65+V83+V90+V104</f>
        <v>-3713000000</v>
      </c>
      <c r="W63" s="231">
        <f>W65+W83+W90+W104</f>
        <v>7490635160</v>
      </c>
      <c r="X63" s="234">
        <f>X65+X83+X90+X104</f>
        <v>68296438630</v>
      </c>
      <c r="Y63" s="233">
        <f>Y65+Y83+Y90+Y104</f>
        <v>62436527971</v>
      </c>
      <c r="Z63" s="231">
        <f t="shared" ref="Z63:AG63" si="68">Z65+Z83+Z90+Y104</f>
        <v>3694304244</v>
      </c>
      <c r="AA63" s="234">
        <f t="shared" si="68"/>
        <v>66094309073</v>
      </c>
      <c r="AB63" s="233">
        <f t="shared" si="68"/>
        <v>55896528518</v>
      </c>
      <c r="AC63" s="231">
        <f t="shared" si="68"/>
        <v>4912277624</v>
      </c>
      <c r="AD63" s="234">
        <f t="shared" si="68"/>
        <v>60772283000</v>
      </c>
      <c r="AE63" s="233">
        <f>AE65+AE83+AE90+AE104</f>
        <v>41562318897</v>
      </c>
      <c r="AF63" s="231">
        <f>AF65+AF83+AF90+AF104</f>
        <v>2985610159</v>
      </c>
      <c r="AG63" s="234">
        <f t="shared" si="68"/>
        <v>44529667485</v>
      </c>
      <c r="AH63" s="233">
        <f>AH65+AH83+AH90+AH104</f>
        <v>2183867986</v>
      </c>
      <c r="AI63" s="231">
        <f>AI65+AI83+AI90+AI104</f>
        <v>7505894059</v>
      </c>
      <c r="AJ63" s="232">
        <f>AJ65+AJ83+AJ90+AJ104</f>
        <v>23748509574</v>
      </c>
      <c r="AK63" s="101"/>
      <c r="AL63" s="233">
        <f>AL65+AL83+AL90+AL104</f>
        <v>-240000000</v>
      </c>
      <c r="AM63" s="233">
        <f>AM65+AM83+AM90+AM104</f>
        <v>0</v>
      </c>
    </row>
    <row r="64" spans="1:39" ht="24.75" customHeight="1">
      <c r="A64" s="202" t="str">
        <f>+IF(SEPTIEMBRE!A64=0,"",SEPTIEMBRE!A64)</f>
        <v>1.1.02.05.001.09.02.90.01</v>
      </c>
      <c r="B64" s="331" t="str">
        <f>+CONCATENATE("Vigencia ",INSTRUCCIONES!$F$3)</f>
        <v>Vigencia 2025</v>
      </c>
      <c r="C64" s="204">
        <f>+ENERO!C64</f>
        <v>2137731076.9417498</v>
      </c>
      <c r="D64" s="205">
        <f>SEPTIEMBRE!D64+OCTUBRE!P64</f>
        <v>0</v>
      </c>
      <c r="E64" s="205">
        <f>SEPTIEMBRE!E64+OCTUBRE!Q64</f>
        <v>0</v>
      </c>
      <c r="F64" s="205">
        <f>SUM(C64:E64)</f>
        <v>2137731076.9417498</v>
      </c>
      <c r="G64" s="205">
        <f>SEPTIEMBRE!I64</f>
        <v>1322410754</v>
      </c>
      <c r="H64" s="208">
        <v>118812533</v>
      </c>
      <c r="I64" s="205">
        <f>SUM(G64:H64)</f>
        <v>1441223287</v>
      </c>
      <c r="J64" s="205">
        <f>SEPTIEMBRE!L64</f>
        <v>688266037</v>
      </c>
      <c r="K64" s="208">
        <v>84612136</v>
      </c>
      <c r="L64" s="205">
        <f>SUM(J64:K64)</f>
        <v>772878173</v>
      </c>
      <c r="M64" s="205">
        <f>F64-I64</f>
        <v>696507789.94174981</v>
      </c>
      <c r="N64" s="671">
        <f>F64-L64</f>
        <v>1364852903.9417498</v>
      </c>
      <c r="O64" s="67"/>
      <c r="P64" s="204">
        <v>0</v>
      </c>
      <c r="Q64" s="210">
        <v>0</v>
      </c>
      <c r="R64" s="101"/>
      <c r="S64" s="189">
        <f>+IF(SEPTIEMBRE!S64=0,"",SEPTIEMBRE!S64)</f>
        <v>2290826</v>
      </c>
      <c r="T64" s="488" t="str">
        <f>+IF(SEPTIEMBRE!T64=0,"",SEPTIEMBRE!T64)</f>
        <v/>
      </c>
      <c r="U64" s="191"/>
      <c r="V64" s="191"/>
      <c r="W64" s="191"/>
      <c r="X64" s="191"/>
      <c r="Y64" s="191"/>
      <c r="Z64" s="191"/>
      <c r="AA64" s="191"/>
      <c r="AB64" s="191"/>
      <c r="AC64" s="191"/>
      <c r="AD64" s="191"/>
      <c r="AE64" s="191"/>
      <c r="AF64" s="191"/>
      <c r="AG64" s="191"/>
      <c r="AH64" s="191"/>
      <c r="AI64" s="191"/>
      <c r="AJ64" s="192"/>
      <c r="AK64" s="101"/>
      <c r="AL64" s="249"/>
      <c r="AM64" s="250"/>
    </row>
    <row r="65" spans="1:39" ht="24.75" customHeight="1">
      <c r="A65" s="202" t="str">
        <f>+IF(SEPTIEMBRE!A65=0,"",SEPTIEMBRE!A65)</f>
        <v>1.1.02.05.001.09.02.90.01.99</v>
      </c>
      <c r="B65" s="331" t="str">
        <f>+IF(SEPTIEMBRE!B65=0,"",SEPTIEMBRE!B65)</f>
        <v>Vigencia Anterior</v>
      </c>
      <c r="C65" s="204">
        <f>+ENERO!C65</f>
        <v>324064540.10000002</v>
      </c>
      <c r="D65" s="205">
        <f>SEPTIEMBRE!D65+OCTUBRE!P65</f>
        <v>0</v>
      </c>
      <c r="E65" s="205">
        <f>SEPTIEMBRE!E65+OCTUBRE!Q65</f>
        <v>0</v>
      </c>
      <c r="F65" s="205">
        <f>SUM(C65:E65)</f>
        <v>324064540.10000002</v>
      </c>
      <c r="G65" s="205">
        <f>SEPTIEMBRE!I65</f>
        <v>386687129</v>
      </c>
      <c r="H65" s="208">
        <v>9038637</v>
      </c>
      <c r="I65" s="205">
        <f>SUM(G65:H65)</f>
        <v>395725766</v>
      </c>
      <c r="J65" s="205">
        <f>SEPTIEMBRE!L65</f>
        <v>386687129</v>
      </c>
      <c r="K65" s="208">
        <v>9038637</v>
      </c>
      <c r="L65" s="205">
        <f>SUM(J65:K65)</f>
        <v>395725766</v>
      </c>
      <c r="M65" s="205">
        <f>F65-I65</f>
        <v>-71661225.899999976</v>
      </c>
      <c r="N65" s="671">
        <f>F65-L65</f>
        <v>-71661225.899999976</v>
      </c>
      <c r="O65" s="67"/>
      <c r="P65" s="204">
        <v>0</v>
      </c>
      <c r="Q65" s="210">
        <v>0</v>
      </c>
      <c r="R65" s="101"/>
      <c r="S65" s="257" t="str">
        <f>+IF(SEPTIEMBRE!S65=0,"",SEPTIEMBRE!S65)</f>
        <v>2.1.1.01.01-1</v>
      </c>
      <c r="T65" s="546" t="str">
        <f>+IF(SEPTIEMBRE!T65=0,"",SEPTIEMBRE!T65)</f>
        <v>Servicios Personales Asociados a Nómina</v>
      </c>
      <c r="U65" s="230">
        <f>SUM(U66:U69)+U81</f>
        <v>0</v>
      </c>
      <c r="V65" s="231">
        <f t="shared" ref="V65:AJ65" si="69">SUM(V66:V69)+V81</f>
        <v>0</v>
      </c>
      <c r="W65" s="231">
        <f t="shared" si="69"/>
        <v>0</v>
      </c>
      <c r="X65" s="234">
        <f>SUM(X66:X69)+X81</f>
        <v>0</v>
      </c>
      <c r="Y65" s="233">
        <f t="shared" si="69"/>
        <v>0</v>
      </c>
      <c r="Z65" s="231">
        <f t="shared" si="69"/>
        <v>0</v>
      </c>
      <c r="AA65" s="234">
        <f t="shared" si="69"/>
        <v>0</v>
      </c>
      <c r="AB65" s="233">
        <f t="shared" si="69"/>
        <v>0</v>
      </c>
      <c r="AC65" s="231">
        <f t="shared" si="69"/>
        <v>0</v>
      </c>
      <c r="AD65" s="234">
        <f t="shared" si="69"/>
        <v>0</v>
      </c>
      <c r="AE65" s="233">
        <f t="shared" si="69"/>
        <v>0</v>
      </c>
      <c r="AF65" s="231">
        <f t="shared" si="69"/>
        <v>0</v>
      </c>
      <c r="AG65" s="234">
        <f t="shared" si="69"/>
        <v>0</v>
      </c>
      <c r="AH65" s="233">
        <f t="shared" si="69"/>
        <v>0</v>
      </c>
      <c r="AI65" s="231">
        <f t="shared" si="69"/>
        <v>0</v>
      </c>
      <c r="AJ65" s="232">
        <f t="shared" si="69"/>
        <v>0</v>
      </c>
      <c r="AK65" s="101"/>
      <c r="AL65" s="233">
        <f>SUM(AL66:AL69)+AL81</f>
        <v>0</v>
      </c>
      <c r="AM65" s="232">
        <f>SUM(AM66:AM69)+AM81</f>
        <v>0</v>
      </c>
    </row>
    <row r="66" spans="1:39" ht="24.75" customHeight="1">
      <c r="A66" s="286" t="str">
        <f>+IF(SEPTIEMBRE!A66=0,"",SEPTIEMBRE!A66)</f>
        <v>1.1.02.05.001.09.02.18.01</v>
      </c>
      <c r="B66" s="319" t="str">
        <f>+IF(SEPTIEMBRE!B66=0,"",SEPTIEMBRE!B66)</f>
        <v xml:space="preserve">COMPAÑIAS DE SEGUROS  - PLANES DE SALUD </v>
      </c>
      <c r="C66" s="288">
        <f t="shared" ref="C66:N66" si="70">SUM(C67:C68)</f>
        <v>185631948</v>
      </c>
      <c r="D66" s="320">
        <f t="shared" si="70"/>
        <v>0</v>
      </c>
      <c r="E66" s="320">
        <f t="shared" si="70"/>
        <v>0</v>
      </c>
      <c r="F66" s="320">
        <f t="shared" si="70"/>
        <v>185631948</v>
      </c>
      <c r="G66" s="320">
        <f t="shared" si="70"/>
        <v>105702081</v>
      </c>
      <c r="H66" s="320">
        <f t="shared" si="70"/>
        <v>7814514</v>
      </c>
      <c r="I66" s="320">
        <f t="shared" si="70"/>
        <v>113516595</v>
      </c>
      <c r="J66" s="320">
        <f t="shared" si="70"/>
        <v>37062276</v>
      </c>
      <c r="K66" s="320">
        <f t="shared" si="70"/>
        <v>0</v>
      </c>
      <c r="L66" s="320">
        <f t="shared" si="70"/>
        <v>37062276</v>
      </c>
      <c r="M66" s="320">
        <f t="shared" si="70"/>
        <v>72115353</v>
      </c>
      <c r="N66" s="661">
        <f t="shared" si="70"/>
        <v>148569672</v>
      </c>
      <c r="O66" s="67"/>
      <c r="P66" s="288">
        <f>SUM(P67:P68)</f>
        <v>0</v>
      </c>
      <c r="Q66" s="289">
        <f>SUM(Q67:Q68)</f>
        <v>0</v>
      </c>
      <c r="R66" s="101"/>
      <c r="S66" s="266" t="str">
        <f>+IF(SEPTIEMBRE!S66=0,"",SEPTIEMBRE!S66)</f>
        <v>2.1.1.01.01.001.01-1</v>
      </c>
      <c r="T66" s="267" t="str">
        <f>+IF(SEPTIEMBRE!T66=0,"",SEPTIEMBRE!T66)</f>
        <v>Sueldos del Personal de nómina</v>
      </c>
      <c r="U66" s="373">
        <f>+ENERO!U66</f>
        <v>0</v>
      </c>
      <c r="V66" s="220">
        <f>SEPTIEMBRE!V66+OCTUBRE!AL66</f>
        <v>0</v>
      </c>
      <c r="W66" s="220">
        <f>SEPTIEMBRE!W66+OCTUBRE!AM66</f>
        <v>0</v>
      </c>
      <c r="X66" s="271">
        <f>SUM(U66:W66)</f>
        <v>0</v>
      </c>
      <c r="Y66" s="270">
        <f>SEPTIEMBRE!AA66</f>
        <v>0</v>
      </c>
      <c r="Z66" s="208">
        <v>0</v>
      </c>
      <c r="AA66" s="271">
        <f>SUM(Y66:Z66)</f>
        <v>0</v>
      </c>
      <c r="AB66" s="270">
        <f>SEPTIEMBRE!AD66</f>
        <v>0</v>
      </c>
      <c r="AC66" s="208">
        <v>0</v>
      </c>
      <c r="AD66" s="271">
        <f>SUM(AB66:AC66)</f>
        <v>0</v>
      </c>
      <c r="AE66" s="270">
        <f>SEPTIEMBRE!AG66</f>
        <v>0</v>
      </c>
      <c r="AF66" s="208">
        <v>0</v>
      </c>
      <c r="AG66" s="271">
        <f>SUM(AE66:AF66)</f>
        <v>0</v>
      </c>
      <c r="AH66" s="270">
        <f>X66-AA66</f>
        <v>0</v>
      </c>
      <c r="AI66" s="220">
        <f>X66-AD66</f>
        <v>0</v>
      </c>
      <c r="AJ66" s="269">
        <f>X66-AG66</f>
        <v>0</v>
      </c>
      <c r="AK66" s="101"/>
      <c r="AL66" s="204">
        <v>0</v>
      </c>
      <c r="AM66" s="210">
        <v>0</v>
      </c>
    </row>
    <row r="67" spans="1:39" ht="24.75" customHeight="1">
      <c r="A67" s="202" t="str">
        <f>+IF(SEPTIEMBRE!A67=0,"",SEPTIEMBRE!A67)</f>
        <v>1.1.02.05.001.09.02.18.01</v>
      </c>
      <c r="B67" s="331" t="str">
        <f>+CONCATENATE("Vigencia ",INSTRUCCIONES!$F$3)</f>
        <v>Vigencia 2025</v>
      </c>
      <c r="C67" s="204">
        <f>+ENERO!C67</f>
        <v>111911928</v>
      </c>
      <c r="D67" s="205">
        <f>SEPTIEMBRE!D67+OCTUBRE!P67</f>
        <v>0</v>
      </c>
      <c r="E67" s="205">
        <f>SEPTIEMBRE!E67+OCTUBRE!Q67</f>
        <v>0</v>
      </c>
      <c r="F67" s="205">
        <f>SUM(C67:E67)</f>
        <v>111911928</v>
      </c>
      <c r="G67" s="205">
        <f>SEPTIEMBRE!I67</f>
        <v>93789236</v>
      </c>
      <c r="H67" s="208">
        <v>7814514</v>
      </c>
      <c r="I67" s="205">
        <f>SUM(G67:H67)</f>
        <v>101603750</v>
      </c>
      <c r="J67" s="205">
        <f>SEPTIEMBRE!L67</f>
        <v>25149431</v>
      </c>
      <c r="K67" s="208">
        <v>0</v>
      </c>
      <c r="L67" s="205">
        <f>SUM(J67:K67)</f>
        <v>25149431</v>
      </c>
      <c r="M67" s="205">
        <f>F67-I67</f>
        <v>10308178</v>
      </c>
      <c r="N67" s="671">
        <f>F67-L67</f>
        <v>86762497</v>
      </c>
      <c r="O67" s="67"/>
      <c r="P67" s="204">
        <v>0</v>
      </c>
      <c r="Q67" s="210"/>
      <c r="R67" s="101"/>
      <c r="S67" s="266" t="str">
        <f>+IF(SEPTIEMBRE!S67=0,"",SEPTIEMBRE!S67)</f>
        <v>2.1.1.01.01.001.02-1</v>
      </c>
      <c r="T67" s="267" t="str">
        <f>+IF(SEPTIEMBRE!T67=0,"",SEPTIEMBRE!T67)</f>
        <v>Horas Extras,Dominic.,Festivos y Rec. Nocturnos</v>
      </c>
      <c r="U67" s="373">
        <f>+ENERO!U67</f>
        <v>0</v>
      </c>
      <c r="V67" s="220">
        <f>SEPTIEMBRE!V67+OCTUBRE!AL67</f>
        <v>0</v>
      </c>
      <c r="W67" s="220">
        <f>SEPTIEMBRE!W67+OCTUBRE!AM67</f>
        <v>0</v>
      </c>
      <c r="X67" s="271">
        <f>SUM(U67:W67)</f>
        <v>0</v>
      </c>
      <c r="Y67" s="270">
        <f>SEPTIEMBRE!AA67</f>
        <v>0</v>
      </c>
      <c r="Z67" s="208">
        <v>0</v>
      </c>
      <c r="AA67" s="271">
        <f>SUM(Y67:Z67)</f>
        <v>0</v>
      </c>
      <c r="AB67" s="270">
        <f>SEPTIEMBRE!AD67</f>
        <v>0</v>
      </c>
      <c r="AC67" s="208">
        <v>0</v>
      </c>
      <c r="AD67" s="271">
        <f>SUM(AB67:AC67)</f>
        <v>0</v>
      </c>
      <c r="AE67" s="270">
        <f>SEPTIEMBRE!AG67</f>
        <v>0</v>
      </c>
      <c r="AF67" s="208">
        <v>0</v>
      </c>
      <c r="AG67" s="271">
        <f>SUM(AE67:AF67)</f>
        <v>0</v>
      </c>
      <c r="AH67" s="270">
        <f>X67-AA67</f>
        <v>0</v>
      </c>
      <c r="AI67" s="220">
        <f>X67-AD67</f>
        <v>0</v>
      </c>
      <c r="AJ67" s="269">
        <f>X67-AG67</f>
        <v>0</v>
      </c>
      <c r="AK67" s="101"/>
      <c r="AL67" s="204">
        <v>0</v>
      </c>
      <c r="AM67" s="210">
        <v>0</v>
      </c>
    </row>
    <row r="68" spans="1:39" ht="24.75" customHeight="1">
      <c r="A68" s="202" t="str">
        <f>+IF(SEPTIEMBRE!A68=0,"",SEPTIEMBRE!A68)</f>
        <v>1.1.02.05.001.09.02.18.01.99</v>
      </c>
      <c r="B68" s="331" t="str">
        <f>+IF(SEPTIEMBRE!B68=0,"",SEPTIEMBRE!B68)</f>
        <v>Vigencia Anterior</v>
      </c>
      <c r="C68" s="204">
        <f>+ENERO!C68</f>
        <v>73720020</v>
      </c>
      <c r="D68" s="205">
        <f>SEPTIEMBRE!D68+OCTUBRE!P68</f>
        <v>0</v>
      </c>
      <c r="E68" s="205">
        <f>SEPTIEMBRE!E68+OCTUBRE!Q68</f>
        <v>0</v>
      </c>
      <c r="F68" s="205">
        <f>SUM(C68:E68)</f>
        <v>73720020</v>
      </c>
      <c r="G68" s="205">
        <f>SEPTIEMBRE!I68</f>
        <v>11912845</v>
      </c>
      <c r="H68" s="208">
        <v>0</v>
      </c>
      <c r="I68" s="205">
        <f>SUM(G68:H68)</f>
        <v>11912845</v>
      </c>
      <c r="J68" s="205">
        <f>SEPTIEMBRE!L68</f>
        <v>11912845</v>
      </c>
      <c r="K68" s="208">
        <v>0</v>
      </c>
      <c r="L68" s="205">
        <f>SUM(J68:K68)</f>
        <v>11912845</v>
      </c>
      <c r="M68" s="205">
        <f>F68-I68</f>
        <v>61807175</v>
      </c>
      <c r="N68" s="671">
        <f>F68-L68</f>
        <v>61807175</v>
      </c>
      <c r="O68" s="67"/>
      <c r="P68" s="204">
        <v>0</v>
      </c>
      <c r="Q68" s="210">
        <v>0</v>
      </c>
      <c r="R68" s="101"/>
      <c r="S68" s="266">
        <f>+IF(SEPTIEMBRE!S68=0,"",SEPTIEMBRE!S68)</f>
        <v>1010103</v>
      </c>
      <c r="T68" s="267" t="str">
        <f>+IF(SEPTIEMBRE!T68=0,"",SEPTIEMBRE!T68)</f>
        <v>Prima Técnica</v>
      </c>
      <c r="U68" s="373">
        <f>+ENERO!U68</f>
        <v>0</v>
      </c>
      <c r="V68" s="220">
        <f>SEPTIEMBRE!V68+OCTUBRE!AL68</f>
        <v>0</v>
      </c>
      <c r="W68" s="220">
        <f>SEPTIEMBRE!W68+OCTUBRE!AM68</f>
        <v>0</v>
      </c>
      <c r="X68" s="271">
        <f>SUM(U68:W68)</f>
        <v>0</v>
      </c>
      <c r="Y68" s="270">
        <f>SEPTIEMBRE!AA68</f>
        <v>0</v>
      </c>
      <c r="Z68" s="208">
        <v>0</v>
      </c>
      <c r="AA68" s="271">
        <f>SUM(Y68:Z68)</f>
        <v>0</v>
      </c>
      <c r="AB68" s="270">
        <f>SEPTIEMBRE!AD68</f>
        <v>0</v>
      </c>
      <c r="AC68" s="208">
        <v>0</v>
      </c>
      <c r="AD68" s="271">
        <f>SUM(AB68:AC68)</f>
        <v>0</v>
      </c>
      <c r="AE68" s="270">
        <f>SEPTIEMBRE!AG68</f>
        <v>0</v>
      </c>
      <c r="AF68" s="208">
        <v>0</v>
      </c>
      <c r="AG68" s="271">
        <f>SUM(AE68:AF68)</f>
        <v>0</v>
      </c>
      <c r="AH68" s="270">
        <f>X68-AA68</f>
        <v>0</v>
      </c>
      <c r="AI68" s="220">
        <f>X68-AD68</f>
        <v>0</v>
      </c>
      <c r="AJ68" s="269">
        <f>X68-AG68</f>
        <v>0</v>
      </c>
      <c r="AK68" s="101"/>
      <c r="AL68" s="204">
        <v>0</v>
      </c>
      <c r="AM68" s="210">
        <v>0</v>
      </c>
    </row>
    <row r="69" spans="1:39" ht="24.75" customHeight="1">
      <c r="A69" s="286" t="str">
        <f>+IF(SEPTIEMBRE!A69=0,"",SEPTIEMBRE!A69)</f>
        <v>1.1.02.05.001.09.02.90.02</v>
      </c>
      <c r="B69" s="319" t="str">
        <f>+IF(SEPTIEMBRE!B69=0,"",SEPTIEMBRE!B69)</f>
        <v>ENTIDADES DE REGIMEN ESPECIAL (Magisterio, Fuerza Pca.)</v>
      </c>
      <c r="C69" s="288">
        <f t="shared" ref="C69:N69" si="71">SUM(C70:C71)</f>
        <v>1378696551</v>
      </c>
      <c r="D69" s="320">
        <f t="shared" si="71"/>
        <v>0</v>
      </c>
      <c r="E69" s="320">
        <f t="shared" si="71"/>
        <v>0</v>
      </c>
      <c r="F69" s="320">
        <f t="shared" si="71"/>
        <v>1378696551</v>
      </c>
      <c r="G69" s="320">
        <f t="shared" si="71"/>
        <v>1978154295</v>
      </c>
      <c r="H69" s="320">
        <f t="shared" si="71"/>
        <v>105713203</v>
      </c>
      <c r="I69" s="320">
        <f t="shared" si="71"/>
        <v>2083867498</v>
      </c>
      <c r="J69" s="320">
        <f t="shared" si="71"/>
        <v>1065592290</v>
      </c>
      <c r="K69" s="320">
        <f t="shared" si="71"/>
        <v>0</v>
      </c>
      <c r="L69" s="320">
        <f t="shared" si="71"/>
        <v>1065592290</v>
      </c>
      <c r="M69" s="320">
        <f t="shared" si="71"/>
        <v>-705170947</v>
      </c>
      <c r="N69" s="661">
        <f t="shared" si="71"/>
        <v>313104261</v>
      </c>
      <c r="O69" s="67"/>
      <c r="P69" s="288">
        <f>SUM(P70:P71)</f>
        <v>0</v>
      </c>
      <c r="Q69" s="289">
        <f>SUM(Q70:Q71)</f>
        <v>0</v>
      </c>
      <c r="R69" s="101"/>
      <c r="S69" s="266">
        <f>+IF(SEPTIEMBRE!S69=0,"",SEPTIEMBRE!S69)</f>
        <v>1010104</v>
      </c>
      <c r="T69" s="267" t="str">
        <f>+IF(SEPTIEMBRE!T69=0,"",SEPTIEMBRE!T69)</f>
        <v>Otros</v>
      </c>
      <c r="U69" s="373">
        <f>SUM(U70:U80)</f>
        <v>0</v>
      </c>
      <c r="V69" s="220">
        <f t="shared" ref="V69:AJ69" si="72">SUM(V70:V80)</f>
        <v>0</v>
      </c>
      <c r="W69" s="220">
        <f t="shared" si="72"/>
        <v>0</v>
      </c>
      <c r="X69" s="271">
        <f>SUM(X70:X80)</f>
        <v>0</v>
      </c>
      <c r="Y69" s="270">
        <f t="shared" si="72"/>
        <v>0</v>
      </c>
      <c r="Z69" s="300">
        <f t="shared" si="72"/>
        <v>0</v>
      </c>
      <c r="AA69" s="271">
        <f t="shared" si="72"/>
        <v>0</v>
      </c>
      <c r="AB69" s="270">
        <f t="shared" si="72"/>
        <v>0</v>
      </c>
      <c r="AC69" s="300">
        <f t="shared" si="72"/>
        <v>0</v>
      </c>
      <c r="AD69" s="271">
        <f t="shared" si="72"/>
        <v>0</v>
      </c>
      <c r="AE69" s="270">
        <f t="shared" si="72"/>
        <v>0</v>
      </c>
      <c r="AF69" s="300">
        <f t="shared" si="72"/>
        <v>0</v>
      </c>
      <c r="AG69" s="271">
        <f t="shared" si="72"/>
        <v>0</v>
      </c>
      <c r="AH69" s="270">
        <f t="shared" si="72"/>
        <v>0</v>
      </c>
      <c r="AI69" s="220">
        <f t="shared" si="72"/>
        <v>0</v>
      </c>
      <c r="AJ69" s="269">
        <f t="shared" si="72"/>
        <v>0</v>
      </c>
      <c r="AK69" s="101"/>
      <c r="AL69" s="301">
        <f>SUM(AL70:AL80)</f>
        <v>0</v>
      </c>
      <c r="AM69" s="302">
        <f>SUM(AM70:AM80)</f>
        <v>0</v>
      </c>
    </row>
    <row r="70" spans="1:39" ht="24.75" customHeight="1">
      <c r="A70" s="202" t="str">
        <f>+IF(SEPTIEMBRE!A70=0,"",SEPTIEMBRE!A70)</f>
        <v>1.1.02.05.001.09.02.90.02</v>
      </c>
      <c r="B70" s="331" t="str">
        <f>+CONCATENATE("Vigencia ",INSTRUCCIONES!$F$3)</f>
        <v>Vigencia 2025</v>
      </c>
      <c r="C70" s="204">
        <f>+ENERO!C70</f>
        <v>898696551</v>
      </c>
      <c r="D70" s="205">
        <f>SEPTIEMBRE!D70+OCTUBRE!P70</f>
        <v>0</v>
      </c>
      <c r="E70" s="205">
        <f>SEPTIEMBRE!E70+OCTUBRE!Q70</f>
        <v>0</v>
      </c>
      <c r="F70" s="205">
        <f>SUM(C70:E70)</f>
        <v>898696551</v>
      </c>
      <c r="G70" s="205">
        <f>SEPTIEMBRE!I70</f>
        <v>1134978139</v>
      </c>
      <c r="H70" s="208">
        <v>105713203</v>
      </c>
      <c r="I70" s="205">
        <f>SUM(G70:H70)</f>
        <v>1240691342</v>
      </c>
      <c r="J70" s="205">
        <f>SEPTIEMBRE!L70</f>
        <v>222416134</v>
      </c>
      <c r="K70" s="208">
        <v>0</v>
      </c>
      <c r="L70" s="205">
        <f>SUM(J70:K70)</f>
        <v>222416134</v>
      </c>
      <c r="M70" s="205">
        <f>F70-I70</f>
        <v>-341994791</v>
      </c>
      <c r="N70" s="671">
        <f>F70-L70</f>
        <v>676280417</v>
      </c>
      <c r="O70" s="67"/>
      <c r="P70" s="204">
        <v>0</v>
      </c>
      <c r="Q70" s="210">
        <v>0</v>
      </c>
      <c r="R70" s="101"/>
      <c r="S70" s="311" t="str">
        <f>+IF(SEPTIEMBRE!S70=0,"",SEPTIEMBRE!S70)</f>
        <v>2.1.1.01.01.001.08.01-1</v>
      </c>
      <c r="T70" s="312" t="str">
        <f>+IF(SEPTIEMBRE!T70=0,"",SEPTIEMBRE!T70)</f>
        <v xml:space="preserve">Prima de Navidad </v>
      </c>
      <c r="U70" s="373">
        <f>+ENERO!U70</f>
        <v>0</v>
      </c>
      <c r="V70" s="220">
        <f>SEPTIEMBRE!V70+OCTUBRE!AL70</f>
        <v>0</v>
      </c>
      <c r="W70" s="220">
        <f>SEPTIEMBRE!W70+OCTUBRE!AM70</f>
        <v>0</v>
      </c>
      <c r="X70" s="271">
        <f t="shared" ref="X70:X81" si="73">SUM(U70:W70)</f>
        <v>0</v>
      </c>
      <c r="Y70" s="270">
        <f>SEPTIEMBRE!AA70</f>
        <v>0</v>
      </c>
      <c r="Z70" s="208">
        <v>0</v>
      </c>
      <c r="AA70" s="271">
        <f t="shared" ref="AA70:AA81" si="74">SUM(Y70:Z70)</f>
        <v>0</v>
      </c>
      <c r="AB70" s="270">
        <f>SEPTIEMBRE!AD70</f>
        <v>0</v>
      </c>
      <c r="AC70" s="208">
        <v>0</v>
      </c>
      <c r="AD70" s="271">
        <f t="shared" ref="AD70:AD81" si="75">SUM(AB70:AC70)</f>
        <v>0</v>
      </c>
      <c r="AE70" s="270">
        <f>SEPTIEMBRE!AG70</f>
        <v>0</v>
      </c>
      <c r="AF70" s="208">
        <v>0</v>
      </c>
      <c r="AG70" s="271">
        <f t="shared" ref="AG70:AG81" si="76">SUM(AE70:AF70)</f>
        <v>0</v>
      </c>
      <c r="AH70" s="270">
        <f t="shared" ref="AH70:AH81" si="77">X70-AA70</f>
        <v>0</v>
      </c>
      <c r="AI70" s="220">
        <f t="shared" ref="AI70:AI81" si="78">X70-AD70</f>
        <v>0</v>
      </c>
      <c r="AJ70" s="269">
        <f t="shared" ref="AJ70:AJ81" si="79">X70-AG70</f>
        <v>0</v>
      </c>
      <c r="AK70" s="101"/>
      <c r="AL70" s="204">
        <v>0</v>
      </c>
      <c r="AM70" s="210">
        <v>0</v>
      </c>
    </row>
    <row r="71" spans="1:39" ht="24.75" customHeight="1">
      <c r="A71" s="202" t="str">
        <f>+IF(SEPTIEMBRE!A71=0,"",SEPTIEMBRE!A71)</f>
        <v>1.1.02.05.001.09.02.90.02.99</v>
      </c>
      <c r="B71" s="331" t="str">
        <f>+IF(SEPTIEMBRE!B71=0,"",SEPTIEMBRE!B71)</f>
        <v>Vigencia Anterior</v>
      </c>
      <c r="C71" s="204">
        <f>+ENERO!C71</f>
        <v>480000000</v>
      </c>
      <c r="D71" s="205">
        <f>SEPTIEMBRE!D71+OCTUBRE!P71</f>
        <v>0</v>
      </c>
      <c r="E71" s="205">
        <f>SEPTIEMBRE!E71+OCTUBRE!Q71</f>
        <v>0</v>
      </c>
      <c r="F71" s="205">
        <f>SUM(C71:E71)</f>
        <v>480000000</v>
      </c>
      <c r="G71" s="205">
        <f>SEPTIEMBRE!I71</f>
        <v>843176156</v>
      </c>
      <c r="H71" s="208">
        <v>0</v>
      </c>
      <c r="I71" s="205">
        <f>SUM(G71:H71)</f>
        <v>843176156</v>
      </c>
      <c r="J71" s="205">
        <f>SEPTIEMBRE!L71</f>
        <v>843176156</v>
      </c>
      <c r="K71" s="208">
        <v>0</v>
      </c>
      <c r="L71" s="205">
        <f>SUM(J71:K71)</f>
        <v>843176156</v>
      </c>
      <c r="M71" s="205">
        <f>F71-I71</f>
        <v>-363176156</v>
      </c>
      <c r="N71" s="671">
        <f>F71-L71</f>
        <v>-363176156</v>
      </c>
      <c r="O71" s="67"/>
      <c r="P71" s="204">
        <v>0</v>
      </c>
      <c r="Q71" s="210">
        <v>0</v>
      </c>
      <c r="R71" s="101"/>
      <c r="S71" s="311" t="str">
        <f>+IF(SEPTIEMBRE!S71=0,"",SEPTIEMBRE!S71)</f>
        <v>2.1.1.01.01.001.08.02-1</v>
      </c>
      <c r="T71" s="312" t="str">
        <f>+IF(SEPTIEMBRE!T71=0,"",SEPTIEMBRE!T71)</f>
        <v>Prima de Vacaciones</v>
      </c>
      <c r="U71" s="373">
        <f>+ENERO!U71</f>
        <v>0</v>
      </c>
      <c r="V71" s="220">
        <f>SEPTIEMBRE!V71+OCTUBRE!AL71</f>
        <v>0</v>
      </c>
      <c r="W71" s="220">
        <f>SEPTIEMBRE!W71+OCTUBRE!AM71</f>
        <v>0</v>
      </c>
      <c r="X71" s="271">
        <f t="shared" si="73"/>
        <v>0</v>
      </c>
      <c r="Y71" s="270">
        <f>SEPTIEMBRE!AA71</f>
        <v>0</v>
      </c>
      <c r="Z71" s="208">
        <v>0</v>
      </c>
      <c r="AA71" s="271">
        <f t="shared" si="74"/>
        <v>0</v>
      </c>
      <c r="AB71" s="270">
        <f>SEPTIEMBRE!AD71</f>
        <v>0</v>
      </c>
      <c r="AC71" s="208">
        <v>0</v>
      </c>
      <c r="AD71" s="271">
        <f t="shared" si="75"/>
        <v>0</v>
      </c>
      <c r="AE71" s="270">
        <f>SEPTIEMBRE!AG71</f>
        <v>0</v>
      </c>
      <c r="AF71" s="208">
        <v>0</v>
      </c>
      <c r="AG71" s="271">
        <f t="shared" si="76"/>
        <v>0</v>
      </c>
      <c r="AH71" s="270">
        <f t="shared" si="77"/>
        <v>0</v>
      </c>
      <c r="AI71" s="220">
        <f t="shared" si="78"/>
        <v>0</v>
      </c>
      <c r="AJ71" s="269">
        <f t="shared" si="79"/>
        <v>0</v>
      </c>
      <c r="AK71" s="101"/>
      <c r="AL71" s="204">
        <v>0</v>
      </c>
      <c r="AM71" s="210">
        <v>0</v>
      </c>
    </row>
    <row r="72" spans="1:39" ht="24.75" customHeight="1">
      <c r="A72" s="286" t="str">
        <f>+IF(SEPTIEMBRE!A72=0,"",SEPTIEMBRE!A72)</f>
        <v>1.1.02.05.001.09.02.06</v>
      </c>
      <c r="B72" s="319" t="str">
        <f>+IF(SEPTIEMBRE!B72=0,"",SEPTIEMBRE!B72)</f>
        <v>ADMINISTRADORAS DE RIESGOS LABORALES</v>
      </c>
      <c r="C72" s="288">
        <f t="shared" ref="C72:N72" si="80">SUM(C73:C74)</f>
        <v>374950682</v>
      </c>
      <c r="D72" s="320">
        <f t="shared" si="80"/>
        <v>0</v>
      </c>
      <c r="E72" s="320">
        <f t="shared" si="80"/>
        <v>0</v>
      </c>
      <c r="F72" s="320">
        <f t="shared" si="80"/>
        <v>374950682</v>
      </c>
      <c r="G72" s="320">
        <f t="shared" si="80"/>
        <v>319731677</v>
      </c>
      <c r="H72" s="320">
        <f t="shared" si="80"/>
        <v>29829258</v>
      </c>
      <c r="I72" s="320">
        <f t="shared" si="80"/>
        <v>349560935</v>
      </c>
      <c r="J72" s="320">
        <f t="shared" si="80"/>
        <v>243125806</v>
      </c>
      <c r="K72" s="320">
        <f t="shared" si="80"/>
        <v>34262166</v>
      </c>
      <c r="L72" s="320">
        <f t="shared" si="80"/>
        <v>277387972</v>
      </c>
      <c r="M72" s="320">
        <f t="shared" si="80"/>
        <v>25389747</v>
      </c>
      <c r="N72" s="661">
        <f t="shared" si="80"/>
        <v>97562710</v>
      </c>
      <c r="O72" s="67"/>
      <c r="P72" s="288">
        <f>SUM(P73:P74)</f>
        <v>0</v>
      </c>
      <c r="Q72" s="289">
        <f>SUM(Q73:Q74)</f>
        <v>0</v>
      </c>
      <c r="R72" s="101"/>
      <c r="S72" s="311" t="str">
        <f>+IF(SEPTIEMBRE!S72=0,"",SEPTIEMBRE!S72)</f>
        <v>2.1.1.01.01.001.07-1</v>
      </c>
      <c r="T72" s="312" t="str">
        <f>+IF(SEPTIEMBRE!T72=0,"",SEPTIEMBRE!T72)</f>
        <v>Bonificación  por servicios prestados</v>
      </c>
      <c r="U72" s="373">
        <f>+ENERO!U72</f>
        <v>0</v>
      </c>
      <c r="V72" s="220">
        <f>SEPTIEMBRE!V72+OCTUBRE!AL72</f>
        <v>0</v>
      </c>
      <c r="W72" s="220">
        <f>SEPTIEMBRE!W72+OCTUBRE!AM72</f>
        <v>0</v>
      </c>
      <c r="X72" s="271">
        <f t="shared" si="73"/>
        <v>0</v>
      </c>
      <c r="Y72" s="270">
        <f>SEPTIEMBRE!AA72</f>
        <v>0</v>
      </c>
      <c r="Z72" s="208">
        <v>0</v>
      </c>
      <c r="AA72" s="271">
        <f t="shared" si="74"/>
        <v>0</v>
      </c>
      <c r="AB72" s="270">
        <f>SEPTIEMBRE!AD72</f>
        <v>0</v>
      </c>
      <c r="AC72" s="208">
        <v>0</v>
      </c>
      <c r="AD72" s="271">
        <f t="shared" si="75"/>
        <v>0</v>
      </c>
      <c r="AE72" s="270">
        <f>SEPTIEMBRE!AG72</f>
        <v>0</v>
      </c>
      <c r="AF72" s="208">
        <v>0</v>
      </c>
      <c r="AG72" s="271">
        <f t="shared" si="76"/>
        <v>0</v>
      </c>
      <c r="AH72" s="270">
        <f t="shared" si="77"/>
        <v>0</v>
      </c>
      <c r="AI72" s="220">
        <f t="shared" si="78"/>
        <v>0</v>
      </c>
      <c r="AJ72" s="269">
        <f t="shared" si="79"/>
        <v>0</v>
      </c>
      <c r="AK72" s="101"/>
      <c r="AL72" s="204">
        <v>0</v>
      </c>
      <c r="AM72" s="210">
        <v>0</v>
      </c>
    </row>
    <row r="73" spans="1:39" ht="24.75" customHeight="1">
      <c r="A73" s="202" t="str">
        <f>+IF(SEPTIEMBRE!A73=0,"",SEPTIEMBRE!A73)</f>
        <v>1.1.02.05.001.09.02.06</v>
      </c>
      <c r="B73" s="331" t="str">
        <f>+CONCATENATE("Vigencia ",INSTRUCCIONES!$F$3)</f>
        <v>Vigencia 2025</v>
      </c>
      <c r="C73" s="204">
        <f>+ENERO!C73</f>
        <v>337999834</v>
      </c>
      <c r="D73" s="205">
        <f>SEPTIEMBRE!D73+OCTUBRE!P73</f>
        <v>0</v>
      </c>
      <c r="E73" s="205">
        <f>SEPTIEMBRE!E73+OCTUBRE!Q73</f>
        <v>0</v>
      </c>
      <c r="F73" s="205">
        <f>SUM(C73:E73)</f>
        <v>337999834</v>
      </c>
      <c r="G73" s="205">
        <f>SEPTIEMBRE!I73</f>
        <v>263079285</v>
      </c>
      <c r="H73" s="208">
        <v>29829258</v>
      </c>
      <c r="I73" s="205">
        <f>SUM(G73:H73)</f>
        <v>292908543</v>
      </c>
      <c r="J73" s="205">
        <f>SEPTIEMBRE!L73</f>
        <v>186473414</v>
      </c>
      <c r="K73" s="208">
        <v>34262166</v>
      </c>
      <c r="L73" s="205">
        <f>SUM(J73:K73)</f>
        <v>220735580</v>
      </c>
      <c r="M73" s="205">
        <f>F73-I73</f>
        <v>45091291</v>
      </c>
      <c r="N73" s="671">
        <f>F73-L73</f>
        <v>117264254</v>
      </c>
      <c r="O73" s="67"/>
      <c r="P73" s="204">
        <v>0</v>
      </c>
      <c r="Q73" s="210">
        <v>0</v>
      </c>
      <c r="R73" s="101"/>
      <c r="S73" s="311" t="str">
        <f>+IF(SEPTIEMBRE!S73=0,"",SEPTIEMBRE!S73)</f>
        <v>2.1.1.01.01.001.06-1</v>
      </c>
      <c r="T73" s="312" t="str">
        <f>+IF(SEPTIEMBRE!T73=0,"",SEPTIEMBRE!T73)</f>
        <v>Prima de Servicios</v>
      </c>
      <c r="U73" s="373">
        <f>+ENERO!U73</f>
        <v>0</v>
      </c>
      <c r="V73" s="220">
        <f>SEPTIEMBRE!V73+OCTUBRE!AL73</f>
        <v>0</v>
      </c>
      <c r="W73" s="220">
        <f>SEPTIEMBRE!W73+OCTUBRE!AM73</f>
        <v>0</v>
      </c>
      <c r="X73" s="271">
        <f t="shared" si="73"/>
        <v>0</v>
      </c>
      <c r="Y73" s="270">
        <f>SEPTIEMBRE!AA73</f>
        <v>0</v>
      </c>
      <c r="Z73" s="208">
        <v>0</v>
      </c>
      <c r="AA73" s="271">
        <f t="shared" si="74"/>
        <v>0</v>
      </c>
      <c r="AB73" s="270">
        <f>SEPTIEMBRE!AD73</f>
        <v>0</v>
      </c>
      <c r="AC73" s="208">
        <v>0</v>
      </c>
      <c r="AD73" s="271">
        <f t="shared" si="75"/>
        <v>0</v>
      </c>
      <c r="AE73" s="270">
        <f>SEPTIEMBRE!AG73</f>
        <v>0</v>
      </c>
      <c r="AF73" s="208">
        <v>0</v>
      </c>
      <c r="AG73" s="271">
        <f t="shared" si="76"/>
        <v>0</v>
      </c>
      <c r="AH73" s="270">
        <f t="shared" si="77"/>
        <v>0</v>
      </c>
      <c r="AI73" s="220">
        <f t="shared" si="78"/>
        <v>0</v>
      </c>
      <c r="AJ73" s="269">
        <f t="shared" si="79"/>
        <v>0</v>
      </c>
      <c r="AK73" s="101"/>
      <c r="AL73" s="204">
        <v>0</v>
      </c>
      <c r="AM73" s="210">
        <v>0</v>
      </c>
    </row>
    <row r="74" spans="1:39" ht="24.75" customHeight="1">
      <c r="A74" s="202" t="str">
        <f>+IF(SEPTIEMBRE!A74=0,"",SEPTIEMBRE!A74)</f>
        <v>1.1.02.05.001.09.02.06.99</v>
      </c>
      <c r="B74" s="331" t="str">
        <f>+IF(SEPTIEMBRE!B74=0,"",SEPTIEMBRE!B74)</f>
        <v>Vigencia Anterior</v>
      </c>
      <c r="C74" s="204">
        <f>+ENERO!C74</f>
        <v>36950848</v>
      </c>
      <c r="D74" s="205">
        <f>SEPTIEMBRE!D74+OCTUBRE!P74</f>
        <v>0</v>
      </c>
      <c r="E74" s="205">
        <f>SEPTIEMBRE!E74+OCTUBRE!Q74</f>
        <v>0</v>
      </c>
      <c r="F74" s="205">
        <f>SUM(C74:E74)</f>
        <v>36950848</v>
      </c>
      <c r="G74" s="205">
        <f>SEPTIEMBRE!I74</f>
        <v>56652392</v>
      </c>
      <c r="H74" s="208">
        <v>0</v>
      </c>
      <c r="I74" s="205">
        <f>SUM(G74:H74)</f>
        <v>56652392</v>
      </c>
      <c r="J74" s="205">
        <f>SEPTIEMBRE!L74</f>
        <v>56652392</v>
      </c>
      <c r="K74" s="208">
        <v>0</v>
      </c>
      <c r="L74" s="205">
        <f>SUM(J74:K74)</f>
        <v>56652392</v>
      </c>
      <c r="M74" s="205">
        <f>F74-I74</f>
        <v>-19701544</v>
      </c>
      <c r="N74" s="671">
        <f>F74-L74</f>
        <v>-19701544</v>
      </c>
      <c r="O74" s="67"/>
      <c r="P74" s="204">
        <v>0</v>
      </c>
      <c r="Q74" s="210">
        <v>0</v>
      </c>
      <c r="R74" s="101"/>
      <c r="S74" s="311" t="str">
        <f>+IF(SEPTIEMBRE!S74=0,"",SEPTIEMBRE!S74)</f>
        <v>1010104-5</v>
      </c>
      <c r="T74" s="312" t="str">
        <f>+IF(SEPTIEMBRE!T74=0,"",SEPTIEMBRE!T74)</f>
        <v>Bonificación Convencional</v>
      </c>
      <c r="U74" s="373">
        <f>+ENERO!U74</f>
        <v>0</v>
      </c>
      <c r="V74" s="220">
        <f>SEPTIEMBRE!V74+OCTUBRE!AL74</f>
        <v>0</v>
      </c>
      <c r="W74" s="220">
        <f>SEPTIEMBRE!W74+OCTUBRE!AM74</f>
        <v>0</v>
      </c>
      <c r="X74" s="271">
        <f t="shared" si="73"/>
        <v>0</v>
      </c>
      <c r="Y74" s="270">
        <f>SEPTIEMBRE!AA74</f>
        <v>0</v>
      </c>
      <c r="Z74" s="208">
        <v>0</v>
      </c>
      <c r="AA74" s="271">
        <f t="shared" si="74"/>
        <v>0</v>
      </c>
      <c r="AB74" s="270">
        <f>SEPTIEMBRE!AD74</f>
        <v>0</v>
      </c>
      <c r="AC74" s="208">
        <v>0</v>
      </c>
      <c r="AD74" s="271">
        <f t="shared" si="75"/>
        <v>0</v>
      </c>
      <c r="AE74" s="270">
        <f>SEPTIEMBRE!AG74</f>
        <v>0</v>
      </c>
      <c r="AF74" s="208">
        <v>0</v>
      </c>
      <c r="AG74" s="271">
        <f t="shared" si="76"/>
        <v>0</v>
      </c>
      <c r="AH74" s="270">
        <f t="shared" si="77"/>
        <v>0</v>
      </c>
      <c r="AI74" s="220">
        <f t="shared" si="78"/>
        <v>0</v>
      </c>
      <c r="AJ74" s="269">
        <f t="shared" si="79"/>
        <v>0</v>
      </c>
      <c r="AK74" s="101"/>
      <c r="AL74" s="204">
        <v>0</v>
      </c>
      <c r="AM74" s="210">
        <v>0</v>
      </c>
    </row>
    <row r="75" spans="1:39" ht="24.75" customHeight="1">
      <c r="A75" s="286" t="str">
        <f>+IF(SEPTIEMBRE!A75=0,"",SEPTIEMBRE!A75)</f>
        <v>1.1.02.05.001.09.02.07</v>
      </c>
      <c r="B75" s="319" t="str">
        <f>+IF(SEPTIEMBRE!B75=0,"",SEPTIEMBRE!B75)</f>
        <v>FUERZAS MILITARES</v>
      </c>
      <c r="C75" s="288">
        <f t="shared" ref="C75:N75" si="81">SUM(C76:C77)</f>
        <v>448721976</v>
      </c>
      <c r="D75" s="320">
        <f t="shared" si="81"/>
        <v>0</v>
      </c>
      <c r="E75" s="320">
        <f t="shared" si="81"/>
        <v>0</v>
      </c>
      <c r="F75" s="320">
        <f t="shared" si="81"/>
        <v>448721976</v>
      </c>
      <c r="G75" s="320">
        <f t="shared" si="81"/>
        <v>399843496</v>
      </c>
      <c r="H75" s="320">
        <f t="shared" si="81"/>
        <v>2761831</v>
      </c>
      <c r="I75" s="320">
        <f t="shared" si="81"/>
        <v>402605327</v>
      </c>
      <c r="J75" s="320">
        <f t="shared" si="81"/>
        <v>271349298</v>
      </c>
      <c r="K75" s="320">
        <f t="shared" si="81"/>
        <v>0</v>
      </c>
      <c r="L75" s="320">
        <f t="shared" si="81"/>
        <v>271349298</v>
      </c>
      <c r="M75" s="320">
        <f t="shared" si="81"/>
        <v>46116649</v>
      </c>
      <c r="N75" s="661">
        <f t="shared" si="81"/>
        <v>177372678</v>
      </c>
      <c r="O75" s="67"/>
      <c r="P75" s="288">
        <f>SUM(P76:P77)</f>
        <v>0</v>
      </c>
      <c r="Q75" s="289">
        <f>SUM(Q76:Q77)</f>
        <v>0</v>
      </c>
      <c r="R75" s="101"/>
      <c r="S75" s="311" t="str">
        <f>+IF(SEPTIEMBRE!S75=0,"",SEPTIEMBRE!S75)</f>
        <v>2.1.1.01.01.001.05-1</v>
      </c>
      <c r="T75" s="312" t="str">
        <f>+IF(SEPTIEMBRE!T75=0,"",SEPTIEMBRE!T75)</f>
        <v>Auxilio de Transporte</v>
      </c>
      <c r="U75" s="373">
        <f>+ENERO!U75</f>
        <v>0</v>
      </c>
      <c r="V75" s="220">
        <f>SEPTIEMBRE!V75+OCTUBRE!AL75</f>
        <v>0</v>
      </c>
      <c r="W75" s="220">
        <f>SEPTIEMBRE!W75+OCTUBRE!AM75</f>
        <v>0</v>
      </c>
      <c r="X75" s="271">
        <f t="shared" si="73"/>
        <v>0</v>
      </c>
      <c r="Y75" s="270">
        <f>SEPTIEMBRE!AA75</f>
        <v>0</v>
      </c>
      <c r="Z75" s="208">
        <v>0</v>
      </c>
      <c r="AA75" s="271">
        <f t="shared" si="74"/>
        <v>0</v>
      </c>
      <c r="AB75" s="270">
        <f>SEPTIEMBRE!AD75</f>
        <v>0</v>
      </c>
      <c r="AC75" s="208">
        <v>0</v>
      </c>
      <c r="AD75" s="271">
        <f t="shared" si="75"/>
        <v>0</v>
      </c>
      <c r="AE75" s="270">
        <f>SEPTIEMBRE!AG75</f>
        <v>0</v>
      </c>
      <c r="AF75" s="208">
        <v>0</v>
      </c>
      <c r="AG75" s="271">
        <f t="shared" si="76"/>
        <v>0</v>
      </c>
      <c r="AH75" s="270">
        <f t="shared" si="77"/>
        <v>0</v>
      </c>
      <c r="AI75" s="220">
        <f t="shared" si="78"/>
        <v>0</v>
      </c>
      <c r="AJ75" s="269">
        <f t="shared" si="79"/>
        <v>0</v>
      </c>
      <c r="AK75" s="101"/>
      <c r="AL75" s="204">
        <v>0</v>
      </c>
      <c r="AM75" s="210">
        <v>0</v>
      </c>
    </row>
    <row r="76" spans="1:39" ht="24.75" customHeight="1">
      <c r="A76" s="202" t="str">
        <f>+IF(SEPTIEMBRE!A76=0,"",SEPTIEMBRE!A76)</f>
        <v>1.1.02.05.001.09.02.07</v>
      </c>
      <c r="B76" s="331" t="str">
        <f>+CONCATENATE("Vigencia ",INSTRUCCIONES!$F$3)</f>
        <v>Vigencia 2025</v>
      </c>
      <c r="C76" s="204">
        <f>+ENERO!C76</f>
        <v>341067989</v>
      </c>
      <c r="D76" s="205">
        <f>SEPTIEMBRE!D76+OCTUBRE!P76</f>
        <v>0</v>
      </c>
      <c r="E76" s="205">
        <f>SEPTIEMBRE!E76+OCTUBRE!Q76</f>
        <v>0</v>
      </c>
      <c r="F76" s="205">
        <f>SUM(C76:E76)</f>
        <v>341067989</v>
      </c>
      <c r="G76" s="205">
        <f>SEPTIEMBRE!I76</f>
        <v>128666498</v>
      </c>
      <c r="H76" s="208">
        <v>2761831</v>
      </c>
      <c r="I76" s="205">
        <f>SUM(G76:H76)</f>
        <v>131428329</v>
      </c>
      <c r="J76" s="205">
        <f>SEPTIEMBRE!L76</f>
        <v>172300</v>
      </c>
      <c r="K76" s="208"/>
      <c r="L76" s="205">
        <f>SUM(J76:K76)</f>
        <v>172300</v>
      </c>
      <c r="M76" s="205">
        <f>F76-I76</f>
        <v>209639660</v>
      </c>
      <c r="N76" s="671">
        <f>F76-L76</f>
        <v>340895689</v>
      </c>
      <c r="O76" s="67"/>
      <c r="P76" s="204">
        <v>0</v>
      </c>
      <c r="Q76" s="210">
        <v>0</v>
      </c>
      <c r="R76" s="101"/>
      <c r="S76" s="311" t="str">
        <f>+IF(SEPTIEMBRE!S76=0,"",SEPTIEMBRE!S76)</f>
        <v>2.1.1.01.01.001.04-1</v>
      </c>
      <c r="T76" s="312" t="str">
        <f>+IF(SEPTIEMBRE!T76=0,"",SEPTIEMBRE!T76)</f>
        <v>Auxilio de Alimentación</v>
      </c>
      <c r="U76" s="373">
        <f>+ENERO!U76</f>
        <v>0</v>
      </c>
      <c r="V76" s="220">
        <f>SEPTIEMBRE!V76+OCTUBRE!AL76</f>
        <v>0</v>
      </c>
      <c r="W76" s="220">
        <f>SEPTIEMBRE!W76+OCTUBRE!AM76</f>
        <v>0</v>
      </c>
      <c r="X76" s="271">
        <f t="shared" si="73"/>
        <v>0</v>
      </c>
      <c r="Y76" s="270">
        <f>SEPTIEMBRE!AA76</f>
        <v>0</v>
      </c>
      <c r="Z76" s="208">
        <v>0</v>
      </c>
      <c r="AA76" s="271">
        <f t="shared" si="74"/>
        <v>0</v>
      </c>
      <c r="AB76" s="270">
        <f>SEPTIEMBRE!AD76</f>
        <v>0</v>
      </c>
      <c r="AC76" s="208">
        <v>0</v>
      </c>
      <c r="AD76" s="271">
        <f t="shared" si="75"/>
        <v>0</v>
      </c>
      <c r="AE76" s="270">
        <f>SEPTIEMBRE!AG76</f>
        <v>0</v>
      </c>
      <c r="AF76" s="208">
        <v>0</v>
      </c>
      <c r="AG76" s="271">
        <f t="shared" si="76"/>
        <v>0</v>
      </c>
      <c r="AH76" s="270">
        <f t="shared" si="77"/>
        <v>0</v>
      </c>
      <c r="AI76" s="220">
        <f t="shared" si="78"/>
        <v>0</v>
      </c>
      <c r="AJ76" s="269">
        <f t="shared" si="79"/>
        <v>0</v>
      </c>
      <c r="AK76" s="101"/>
      <c r="AL76" s="204">
        <v>0</v>
      </c>
      <c r="AM76" s="210">
        <v>0</v>
      </c>
    </row>
    <row r="77" spans="1:39" ht="24.75" customHeight="1">
      <c r="A77" s="202" t="str">
        <f>+IF(SEPTIEMBRE!A77=0,"",SEPTIEMBRE!A77)</f>
        <v>1.1.02.05.001.09.02.07.99</v>
      </c>
      <c r="B77" s="331" t="str">
        <f>+IF(SEPTIEMBRE!B77=0,"",SEPTIEMBRE!B77)</f>
        <v>Vigencia Anterior</v>
      </c>
      <c r="C77" s="204">
        <f>+ENERO!C77</f>
        <v>107653987</v>
      </c>
      <c r="D77" s="205">
        <f>SEPTIEMBRE!D77+OCTUBRE!P77</f>
        <v>0</v>
      </c>
      <c r="E77" s="205">
        <f>SEPTIEMBRE!E77+OCTUBRE!Q77</f>
        <v>0</v>
      </c>
      <c r="F77" s="205">
        <f>SUM(C77:E77)</f>
        <v>107653987</v>
      </c>
      <c r="G77" s="205">
        <f>SEPTIEMBRE!I77</f>
        <v>271176998</v>
      </c>
      <c r="H77" s="208"/>
      <c r="I77" s="205">
        <f>SUM(G77:H77)</f>
        <v>271176998</v>
      </c>
      <c r="J77" s="205">
        <f>SEPTIEMBRE!L77</f>
        <v>271176998</v>
      </c>
      <c r="K77" s="208"/>
      <c r="L77" s="205">
        <f>SUM(J77:K77)</f>
        <v>271176998</v>
      </c>
      <c r="M77" s="205">
        <f>F77-I77</f>
        <v>-163523011</v>
      </c>
      <c r="N77" s="671">
        <f>F77-L77</f>
        <v>-163523011</v>
      </c>
      <c r="O77" s="67"/>
      <c r="P77" s="204">
        <v>0</v>
      </c>
      <c r="Q77" s="210">
        <v>0</v>
      </c>
      <c r="R77" s="101"/>
      <c r="S77" s="311" t="str">
        <f>+IF(SEPTIEMBRE!S77=0,"",SEPTIEMBRE!S77)</f>
        <v>1010104-8</v>
      </c>
      <c r="T77" s="312" t="str">
        <f>+IF(SEPTIEMBRE!T77=0,"",SEPTIEMBRE!T77)</f>
        <v>Indemnizaciones por Vacaciones o Supresión de Cargos por Reestructuración</v>
      </c>
      <c r="U77" s="373">
        <f>+ENERO!U77</f>
        <v>0</v>
      </c>
      <c r="V77" s="220">
        <f>SEPTIEMBRE!V77+OCTUBRE!AL77</f>
        <v>0</v>
      </c>
      <c r="W77" s="220">
        <f>SEPTIEMBRE!W77+OCTUBRE!AM77</f>
        <v>0</v>
      </c>
      <c r="X77" s="271">
        <f t="shared" si="73"/>
        <v>0</v>
      </c>
      <c r="Y77" s="270">
        <f>SEPTIEMBRE!AA77</f>
        <v>0</v>
      </c>
      <c r="Z77" s="208">
        <v>0</v>
      </c>
      <c r="AA77" s="271">
        <f t="shared" si="74"/>
        <v>0</v>
      </c>
      <c r="AB77" s="270">
        <f>SEPTIEMBRE!AD77</f>
        <v>0</v>
      </c>
      <c r="AC77" s="208">
        <v>0</v>
      </c>
      <c r="AD77" s="271">
        <f t="shared" si="75"/>
        <v>0</v>
      </c>
      <c r="AE77" s="270">
        <f>SEPTIEMBRE!AG77</f>
        <v>0</v>
      </c>
      <c r="AF77" s="208">
        <v>0</v>
      </c>
      <c r="AG77" s="271">
        <f t="shared" si="76"/>
        <v>0</v>
      </c>
      <c r="AH77" s="270">
        <f t="shared" si="77"/>
        <v>0</v>
      </c>
      <c r="AI77" s="220">
        <f t="shared" si="78"/>
        <v>0</v>
      </c>
      <c r="AJ77" s="269">
        <f t="shared" si="79"/>
        <v>0</v>
      </c>
      <c r="AK77" s="101"/>
      <c r="AL77" s="204">
        <v>0</v>
      </c>
      <c r="AM77" s="210">
        <v>0</v>
      </c>
    </row>
    <row r="78" spans="1:39" ht="24.75" customHeight="1">
      <c r="A78" s="286" t="str">
        <f>+IF(SEPTIEMBRE!A78=0,"",SEPTIEMBRE!A78)</f>
        <v>1.1.02.05.001.09.02.13-1</v>
      </c>
      <c r="B78" s="319" t="str">
        <f>+IF(SEPTIEMBRE!B78=0,"",SEPTIEMBRE!B78)</f>
        <v>PARTICULARES   (Venta de Contado)</v>
      </c>
      <c r="C78" s="288">
        <f>SUM(C79:C80)</f>
        <v>681131551</v>
      </c>
      <c r="D78" s="320">
        <f>SUM(D79:D80)</f>
        <v>0</v>
      </c>
      <c r="E78" s="320">
        <f>SUM(E79:E80)</f>
        <v>0</v>
      </c>
      <c r="F78" s="320">
        <f>SUM(C78:E78)</f>
        <v>681131551</v>
      </c>
      <c r="G78" s="320">
        <f>SUM(G79:G80)</f>
        <v>257686439</v>
      </c>
      <c r="H78" s="320">
        <f>SUM(H79:H80)</f>
        <v>3234300</v>
      </c>
      <c r="I78" s="320">
        <f>SUM(G78:H78)</f>
        <v>260920739</v>
      </c>
      <c r="J78" s="320">
        <f>SUM(J79:J80)</f>
        <v>100374478</v>
      </c>
      <c r="K78" s="320">
        <f>SUM(K79:K80)</f>
        <v>8044806</v>
      </c>
      <c r="L78" s="320">
        <f>SUM(J78:K78)</f>
        <v>108419284</v>
      </c>
      <c r="M78" s="320">
        <f>F78-I78</f>
        <v>420210812</v>
      </c>
      <c r="N78" s="661">
        <f>F78-L78</f>
        <v>572712267</v>
      </c>
      <c r="O78" s="67"/>
      <c r="P78" s="288">
        <f>SUM(P79:P80)</f>
        <v>0</v>
      </c>
      <c r="Q78" s="289">
        <f>SUM(Q79:Q80)</f>
        <v>0</v>
      </c>
      <c r="R78" s="101"/>
      <c r="S78" s="311" t="str">
        <f>+IF(SEPTIEMBRE!S78=0,"",SEPTIEMBRE!S78)</f>
        <v>1010104-9</v>
      </c>
      <c r="T78" s="312" t="str">
        <f>+IF(SEPTIEMBRE!T78=0,"",SEPTIEMBRE!T78)</f>
        <v/>
      </c>
      <c r="U78" s="373">
        <f>+ENERO!U78</f>
        <v>0</v>
      </c>
      <c r="V78" s="220">
        <f>SEPTIEMBRE!V78+OCTUBRE!AL78</f>
        <v>0</v>
      </c>
      <c r="W78" s="220">
        <f>SEPTIEMBRE!W78+OCTUBRE!AM78</f>
        <v>0</v>
      </c>
      <c r="X78" s="271">
        <f t="shared" si="73"/>
        <v>0</v>
      </c>
      <c r="Y78" s="270">
        <f>SEPTIEMBRE!AA78</f>
        <v>0</v>
      </c>
      <c r="Z78" s="208">
        <v>0</v>
      </c>
      <c r="AA78" s="271">
        <f t="shared" si="74"/>
        <v>0</v>
      </c>
      <c r="AB78" s="270">
        <f>SEPTIEMBRE!AD78</f>
        <v>0</v>
      </c>
      <c r="AC78" s="208">
        <v>0</v>
      </c>
      <c r="AD78" s="271">
        <f t="shared" si="75"/>
        <v>0</v>
      </c>
      <c r="AE78" s="270">
        <f>SEPTIEMBRE!AG78</f>
        <v>0</v>
      </c>
      <c r="AF78" s="208">
        <v>0</v>
      </c>
      <c r="AG78" s="271">
        <f t="shared" si="76"/>
        <v>0</v>
      </c>
      <c r="AH78" s="270">
        <f t="shared" si="77"/>
        <v>0</v>
      </c>
      <c r="AI78" s="220">
        <f t="shared" si="78"/>
        <v>0</v>
      </c>
      <c r="AJ78" s="269">
        <f t="shared" si="79"/>
        <v>0</v>
      </c>
      <c r="AK78" s="101"/>
      <c r="AL78" s="204">
        <v>0</v>
      </c>
      <c r="AM78" s="210">
        <v>0</v>
      </c>
    </row>
    <row r="79" spans="1:39" ht="24.75" customHeight="1">
      <c r="A79" s="202" t="str">
        <f>+IF(SEPTIEMBRE!A79=0,"",SEPTIEMBRE!A79)</f>
        <v>1.1.02.05.001.09.02.13-1</v>
      </c>
      <c r="B79" s="331" t="str">
        <f>+CONCATENATE("Vigencia ",INSTRUCCIONES!$F$3)</f>
        <v>Vigencia 2025</v>
      </c>
      <c r="C79" s="204">
        <f>+ENERO!C79</f>
        <v>531131551</v>
      </c>
      <c r="D79" s="205">
        <f>SEPTIEMBRE!D79+OCTUBRE!P79</f>
        <v>0</v>
      </c>
      <c r="E79" s="205">
        <f>SEPTIEMBRE!E79+OCTUBRE!Q79</f>
        <v>0</v>
      </c>
      <c r="F79" s="205">
        <f>SUM(C79:E79)</f>
        <v>531131551</v>
      </c>
      <c r="G79" s="205">
        <f>SEPTIEMBRE!I79</f>
        <v>229950939</v>
      </c>
      <c r="H79" s="208">
        <v>0</v>
      </c>
      <c r="I79" s="205">
        <f>SUM(G79:H79)</f>
        <v>229950939</v>
      </c>
      <c r="J79" s="205">
        <f>SEPTIEMBRE!L79</f>
        <v>72638978</v>
      </c>
      <c r="K79" s="208">
        <v>4810506</v>
      </c>
      <c r="L79" s="205">
        <f>SUM(J79:K79)</f>
        <v>77449484</v>
      </c>
      <c r="M79" s="205">
        <f>F79-I79</f>
        <v>301180612</v>
      </c>
      <c r="N79" s="671">
        <f>F79-L79</f>
        <v>453682067</v>
      </c>
      <c r="O79" s="67"/>
      <c r="P79" s="204">
        <v>0</v>
      </c>
      <c r="Q79" s="210">
        <v>0</v>
      </c>
      <c r="R79" s="101"/>
      <c r="S79" s="311" t="str">
        <f>+IF(SEPTIEMBRE!S79=0,"",SEPTIEMBRE!S79)</f>
        <v>2.1.1.01.03.001.03-1</v>
      </c>
      <c r="T79" s="312" t="str">
        <f>+IF(SEPTIEMBRE!T79=0,"",SEPTIEMBRE!T79)</f>
        <v>Bonificación Especial por Recreación</v>
      </c>
      <c r="U79" s="373">
        <f>+ENERO!U79</f>
        <v>0</v>
      </c>
      <c r="V79" s="220">
        <f>SEPTIEMBRE!V79+OCTUBRE!AL79</f>
        <v>0</v>
      </c>
      <c r="W79" s="220">
        <f>SEPTIEMBRE!W79+OCTUBRE!AM79</f>
        <v>0</v>
      </c>
      <c r="X79" s="271">
        <f t="shared" si="73"/>
        <v>0</v>
      </c>
      <c r="Y79" s="270">
        <f>SEPTIEMBRE!AA79</f>
        <v>0</v>
      </c>
      <c r="Z79" s="208">
        <v>0</v>
      </c>
      <c r="AA79" s="271">
        <f t="shared" si="74"/>
        <v>0</v>
      </c>
      <c r="AB79" s="270">
        <f>SEPTIEMBRE!AD79</f>
        <v>0</v>
      </c>
      <c r="AC79" s="208">
        <v>0</v>
      </c>
      <c r="AD79" s="271">
        <f t="shared" si="75"/>
        <v>0</v>
      </c>
      <c r="AE79" s="270">
        <f>SEPTIEMBRE!AG79</f>
        <v>0</v>
      </c>
      <c r="AF79" s="208">
        <v>0</v>
      </c>
      <c r="AG79" s="271">
        <f t="shared" si="76"/>
        <v>0</v>
      </c>
      <c r="AH79" s="270">
        <f t="shared" si="77"/>
        <v>0</v>
      </c>
      <c r="AI79" s="220">
        <f t="shared" si="78"/>
        <v>0</v>
      </c>
      <c r="AJ79" s="269">
        <f t="shared" si="79"/>
        <v>0</v>
      </c>
      <c r="AK79" s="101"/>
      <c r="AL79" s="204">
        <v>0</v>
      </c>
      <c r="AM79" s="210">
        <v>0</v>
      </c>
    </row>
    <row r="80" spans="1:39" ht="24.75" customHeight="1">
      <c r="A80" s="202" t="str">
        <f>+IF(SEPTIEMBRE!A80=0,"",SEPTIEMBRE!A80)</f>
        <v>1.1.02.05.001.09.02.13.99-1</v>
      </c>
      <c r="B80" s="331" t="str">
        <f>+IF(SEPTIEMBRE!B80=0,"",SEPTIEMBRE!B80)</f>
        <v>Vigencia Anterior</v>
      </c>
      <c r="C80" s="204">
        <f>+ENERO!C80</f>
        <v>150000000</v>
      </c>
      <c r="D80" s="205">
        <f>SEPTIEMBRE!D80+OCTUBRE!P80</f>
        <v>0</v>
      </c>
      <c r="E80" s="205">
        <f>SEPTIEMBRE!E80+OCTUBRE!Q80</f>
        <v>0</v>
      </c>
      <c r="F80" s="205">
        <f>SUM(C80:E80)</f>
        <v>150000000</v>
      </c>
      <c r="G80" s="205">
        <f>SEPTIEMBRE!I80</f>
        <v>27735500</v>
      </c>
      <c r="H80" s="208">
        <v>3234300</v>
      </c>
      <c r="I80" s="205">
        <f>SUM(G80:H80)</f>
        <v>30969800</v>
      </c>
      <c r="J80" s="205">
        <f>SEPTIEMBRE!L80</f>
        <v>27735500</v>
      </c>
      <c r="K80" s="208">
        <v>3234300</v>
      </c>
      <c r="L80" s="205">
        <f>SUM(J80:K80)</f>
        <v>30969800</v>
      </c>
      <c r="M80" s="205">
        <f>F80-I80</f>
        <v>119030200</v>
      </c>
      <c r="N80" s="671">
        <f>F80-L80</f>
        <v>119030200</v>
      </c>
      <c r="O80" s="67"/>
      <c r="P80" s="204">
        <v>0</v>
      </c>
      <c r="Q80" s="210">
        <v>0</v>
      </c>
      <c r="R80" s="101"/>
      <c r="S80" s="311" t="str">
        <f>+IF(SEPTIEMBRE!S80=0,"",SEPTIEMBRE!S80)</f>
        <v>2.1.1.01.03.001.01-1</v>
      </c>
      <c r="T80" s="312" t="str">
        <f>+IF(SEPTIEMBRE!T80=0,"",SEPTIEMBRE!T80)</f>
        <v>Vacaciones</v>
      </c>
      <c r="U80" s="373">
        <f>+ENERO!U80</f>
        <v>0</v>
      </c>
      <c r="V80" s="220">
        <f>SEPTIEMBRE!V80+OCTUBRE!AL80</f>
        <v>0</v>
      </c>
      <c r="W80" s="220">
        <f>SEPTIEMBRE!W80+OCTUBRE!AM80</f>
        <v>0</v>
      </c>
      <c r="X80" s="271">
        <f t="shared" si="73"/>
        <v>0</v>
      </c>
      <c r="Y80" s="270">
        <f>SEPTIEMBRE!AA80</f>
        <v>0</v>
      </c>
      <c r="Z80" s="208">
        <v>0</v>
      </c>
      <c r="AA80" s="271">
        <f t="shared" si="74"/>
        <v>0</v>
      </c>
      <c r="AB80" s="270">
        <f>SEPTIEMBRE!AD80</f>
        <v>0</v>
      </c>
      <c r="AC80" s="208">
        <v>0</v>
      </c>
      <c r="AD80" s="271">
        <f t="shared" si="75"/>
        <v>0</v>
      </c>
      <c r="AE80" s="270">
        <f>SEPTIEMBRE!AG80</f>
        <v>0</v>
      </c>
      <c r="AF80" s="208">
        <v>0</v>
      </c>
      <c r="AG80" s="271">
        <f t="shared" si="76"/>
        <v>0</v>
      </c>
      <c r="AH80" s="270">
        <f t="shared" si="77"/>
        <v>0</v>
      </c>
      <c r="AI80" s="220">
        <f t="shared" si="78"/>
        <v>0</v>
      </c>
      <c r="AJ80" s="269">
        <f t="shared" si="79"/>
        <v>0</v>
      </c>
      <c r="AK80" s="101"/>
      <c r="AL80" s="204">
        <v>0</v>
      </c>
      <c r="AM80" s="210">
        <v>0</v>
      </c>
    </row>
    <row r="81" spans="1:39" ht="24.75" customHeight="1">
      <c r="A81" s="286" t="str">
        <f>+IF(SEPTIEMBRE!A81=0,"",SEPTIEMBRE!A81)</f>
        <v>1.1.02.05.001.09.02.08</v>
      </c>
      <c r="B81" s="319" t="str">
        <f>+IF(SEPTIEMBRE!B81=0,"",SEPTIEMBRE!B81)</f>
        <v>POLICIA NACIONAL</v>
      </c>
      <c r="C81" s="288">
        <f>ENERO!C81</f>
        <v>386698320</v>
      </c>
      <c r="D81" s="320">
        <f t="shared" ref="D81:N81" si="82">SUM(D82:D83)</f>
        <v>0</v>
      </c>
      <c r="E81" s="205">
        <f>SEPTIEMBRE!E81+OCTUBRE!Q81</f>
        <v>0</v>
      </c>
      <c r="F81" s="320">
        <f t="shared" si="82"/>
        <v>386698320</v>
      </c>
      <c r="G81" s="320">
        <f t="shared" si="82"/>
        <v>320752660</v>
      </c>
      <c r="H81" s="320">
        <f t="shared" si="82"/>
        <v>15658504</v>
      </c>
      <c r="I81" s="320">
        <f t="shared" si="82"/>
        <v>336411164</v>
      </c>
      <c r="J81" s="320">
        <f t="shared" si="82"/>
        <v>254120570</v>
      </c>
      <c r="K81" s="320">
        <f t="shared" si="82"/>
        <v>9074671</v>
      </c>
      <c r="L81" s="320">
        <f t="shared" si="82"/>
        <v>263195241</v>
      </c>
      <c r="M81" s="320">
        <f t="shared" si="82"/>
        <v>50287156</v>
      </c>
      <c r="N81" s="661">
        <f t="shared" si="82"/>
        <v>123503079</v>
      </c>
      <c r="O81" s="67"/>
      <c r="P81" s="288">
        <f>SUM(P82:P83)</f>
        <v>0</v>
      </c>
      <c r="Q81" s="289">
        <f>SUM(Q82:Q83)</f>
        <v>0</v>
      </c>
      <c r="R81" s="101"/>
      <c r="S81" s="266" t="str">
        <f>+IF(SEPTIEMBRE!S81=0,"",SEPTIEMBRE!S81)</f>
        <v>2.1.2.02.02.009.902.99</v>
      </c>
      <c r="T81" s="267" t="str">
        <f>+IF(SEPTIEMBRE!T81=0,"",SEPTIEMBRE!T81)</f>
        <v>Vigencias Anteriores</v>
      </c>
      <c r="U81" s="373">
        <f>+ENERO!U81</f>
        <v>0</v>
      </c>
      <c r="V81" s="220">
        <f>SEPTIEMBRE!V81+OCTUBRE!AL81</f>
        <v>0</v>
      </c>
      <c r="W81" s="220">
        <f>SEPTIEMBRE!W81+OCTUBRE!AM81</f>
        <v>0</v>
      </c>
      <c r="X81" s="271">
        <f t="shared" si="73"/>
        <v>0</v>
      </c>
      <c r="Y81" s="270">
        <f>SEPTIEMBRE!AA81</f>
        <v>0</v>
      </c>
      <c r="Z81" s="208">
        <v>0</v>
      </c>
      <c r="AA81" s="271">
        <f t="shared" si="74"/>
        <v>0</v>
      </c>
      <c r="AB81" s="270">
        <f>SEPTIEMBRE!AD81</f>
        <v>0</v>
      </c>
      <c r="AC81" s="208">
        <v>0</v>
      </c>
      <c r="AD81" s="271">
        <f t="shared" si="75"/>
        <v>0</v>
      </c>
      <c r="AE81" s="270">
        <f>SEPTIEMBRE!AG81</f>
        <v>0</v>
      </c>
      <c r="AF81" s="208">
        <v>0</v>
      </c>
      <c r="AG81" s="271">
        <f t="shared" si="76"/>
        <v>0</v>
      </c>
      <c r="AH81" s="270">
        <f t="shared" si="77"/>
        <v>0</v>
      </c>
      <c r="AI81" s="220">
        <f t="shared" si="78"/>
        <v>0</v>
      </c>
      <c r="AJ81" s="269">
        <f t="shared" si="79"/>
        <v>0</v>
      </c>
      <c r="AK81" s="101"/>
      <c r="AL81" s="204">
        <v>0</v>
      </c>
      <c r="AM81" s="210">
        <v>0</v>
      </c>
    </row>
    <row r="82" spans="1:39" ht="24.75" customHeight="1">
      <c r="A82" s="202" t="str">
        <f>+IF(SEPTIEMBRE!A82=0,"",SEPTIEMBRE!A82)</f>
        <v>1.1.02.05.001.09.02.08</v>
      </c>
      <c r="B82" s="331" t="str">
        <f>+CONCATENATE("Vigencia ",INSTRUCCIONES!$F$3)</f>
        <v>Vigencia 2025</v>
      </c>
      <c r="C82" s="204">
        <f>+ENERO!C82</f>
        <v>376911385</v>
      </c>
      <c r="D82" s="205">
        <f>SEPTIEMBRE!D82+OCTUBRE!P82</f>
        <v>0</v>
      </c>
      <c r="E82" s="205">
        <f>SEPTIEMBRE!E82+OCTUBRE!Q82</f>
        <v>0</v>
      </c>
      <c r="F82" s="205">
        <f>SUM(C82:E82)</f>
        <v>376911385</v>
      </c>
      <c r="G82" s="205">
        <f>SEPTIEMBRE!I82</f>
        <v>178633517</v>
      </c>
      <c r="H82" s="208">
        <v>15658504</v>
      </c>
      <c r="I82" s="205">
        <f>SUM(G82:H82)</f>
        <v>194292021</v>
      </c>
      <c r="J82" s="205">
        <f>SEPTIEMBRE!L82</f>
        <v>112001427</v>
      </c>
      <c r="K82" s="208">
        <v>9074671</v>
      </c>
      <c r="L82" s="205">
        <f>SUM(J82:K82)</f>
        <v>121076098</v>
      </c>
      <c r="M82" s="205">
        <f>F82-I82</f>
        <v>182619364</v>
      </c>
      <c r="N82" s="671">
        <f>F82-L82</f>
        <v>255835287</v>
      </c>
      <c r="O82" s="67"/>
      <c r="P82" s="204">
        <v>0</v>
      </c>
      <c r="Q82" s="210">
        <v>0</v>
      </c>
      <c r="R82" s="101"/>
      <c r="S82" s="189" t="str">
        <f>+IF(SEPTIEMBRE!S82=0,"",SEPTIEMBRE!S82)</f>
        <v/>
      </c>
      <c r="T82" s="488" t="str">
        <f>+IF(SEPTIEMBRE!T82=0,"",SEPTIEMBRE!T82)</f>
        <v/>
      </c>
      <c r="U82" s="191"/>
      <c r="V82" s="191"/>
      <c r="W82" s="191"/>
      <c r="X82" s="191"/>
      <c r="Y82" s="191"/>
      <c r="Z82" s="191"/>
      <c r="AA82" s="191"/>
      <c r="AB82" s="191"/>
      <c r="AC82" s="191"/>
      <c r="AD82" s="191"/>
      <c r="AE82" s="191"/>
      <c r="AF82" s="191"/>
      <c r="AG82" s="191"/>
      <c r="AH82" s="191"/>
      <c r="AI82" s="191"/>
      <c r="AJ82" s="192"/>
      <c r="AK82" s="101"/>
      <c r="AL82" s="370"/>
      <c r="AM82" s="371"/>
    </row>
    <row r="83" spans="1:39" ht="24.75" customHeight="1" thickBot="1">
      <c r="A83" s="202" t="str">
        <f>+IF(SEPTIEMBRE!A83=0,"",SEPTIEMBRE!A83)</f>
        <v>1.1.02.05.001.09.02.08,99</v>
      </c>
      <c r="B83" s="377" t="str">
        <f>+IF(SEPTIEMBRE!B83=0,"",SEPTIEMBRE!B83)</f>
        <v>Vigencia Anterior</v>
      </c>
      <c r="C83" s="242">
        <f>+ENERO!C83</f>
        <v>9786935</v>
      </c>
      <c r="D83" s="243">
        <f>SEPTIEMBRE!D83+OCTUBRE!P83</f>
        <v>0</v>
      </c>
      <c r="E83" s="243">
        <f>SEPTIEMBRE!E83+OCTUBRE!Q83</f>
        <v>0</v>
      </c>
      <c r="F83" s="243">
        <f>SUM(C83:E83)</f>
        <v>9786935</v>
      </c>
      <c r="G83" s="243">
        <f>SEPTIEMBRE!I83</f>
        <v>142119143</v>
      </c>
      <c r="H83" s="246">
        <v>0</v>
      </c>
      <c r="I83" s="243">
        <f>SUM(G83:H83)</f>
        <v>142119143</v>
      </c>
      <c r="J83" s="243">
        <f>SEPTIEMBRE!L83</f>
        <v>142119143</v>
      </c>
      <c r="K83" s="246">
        <v>0</v>
      </c>
      <c r="L83" s="243">
        <f>SUM(J83:K83)</f>
        <v>142119143</v>
      </c>
      <c r="M83" s="243">
        <f>F83-I83</f>
        <v>-132332208</v>
      </c>
      <c r="N83" s="673">
        <f>F83-L83</f>
        <v>-132332208</v>
      </c>
      <c r="O83" s="67"/>
      <c r="P83" s="204">
        <v>0</v>
      </c>
      <c r="Q83" s="210">
        <v>0</v>
      </c>
      <c r="R83" s="101"/>
      <c r="S83" s="257">
        <f>+IF(SEPTIEMBRE!S83=0,"",SEPTIEMBRE!S83)</f>
        <v>1020200</v>
      </c>
      <c r="T83" s="546" t="str">
        <f>+IF(SEPTIEMBRE!T83=0,"",SEPTIEMBRE!T83)</f>
        <v>Servicios Personales Indirectos</v>
      </c>
      <c r="U83" s="230">
        <f>SUM(U84:U88)</f>
        <v>64518803470</v>
      </c>
      <c r="V83" s="230">
        <f>SUM(V84:V88)</f>
        <v>-3713000000</v>
      </c>
      <c r="W83" s="230">
        <f>SUM(W84:W88)</f>
        <v>7470635160</v>
      </c>
      <c r="X83" s="230">
        <f>SUM(X84:X88)</f>
        <v>68276438630</v>
      </c>
      <c r="Y83" s="233">
        <f t="shared" ref="Y83:AM83" si="83">SUM(Y84:Y88)</f>
        <v>62418266400</v>
      </c>
      <c r="Z83" s="231">
        <f t="shared" si="83"/>
        <v>3676042673</v>
      </c>
      <c r="AA83" s="234">
        <f t="shared" si="83"/>
        <v>66094309073</v>
      </c>
      <c r="AB83" s="233">
        <f t="shared" si="83"/>
        <v>55878266947</v>
      </c>
      <c r="AC83" s="231">
        <f t="shared" si="83"/>
        <v>4894016053</v>
      </c>
      <c r="AD83" s="234">
        <f t="shared" si="83"/>
        <v>60772283000</v>
      </c>
      <c r="AE83" s="233">
        <f t="shared" si="83"/>
        <v>41544057326</v>
      </c>
      <c r="AF83" s="231">
        <f t="shared" si="83"/>
        <v>2985610159</v>
      </c>
      <c r="AG83" s="234">
        <f t="shared" si="83"/>
        <v>44529667485</v>
      </c>
      <c r="AH83" s="233">
        <f t="shared" si="83"/>
        <v>2182129557</v>
      </c>
      <c r="AI83" s="231">
        <f t="shared" si="83"/>
        <v>7504155630</v>
      </c>
      <c r="AJ83" s="232">
        <f t="shared" si="83"/>
        <v>23746771145</v>
      </c>
      <c r="AK83" s="232"/>
      <c r="AL83" s="232">
        <f t="shared" si="83"/>
        <v>-240000000</v>
      </c>
      <c r="AM83" s="232">
        <f t="shared" si="83"/>
        <v>0</v>
      </c>
    </row>
    <row r="84" spans="1:39" ht="24.75" customHeight="1" thickBot="1">
      <c r="A84" s="378" t="str">
        <f>+IF(SEPTIEMBRE!A84=0,"",SEPTIEMBRE!A84)</f>
        <v/>
      </c>
      <c r="B84" s="379" t="str">
        <f>+IF(SEPTIEMBRE!B84=0,"",SEPTIEMBRE!B84)</f>
        <v/>
      </c>
      <c r="C84" s="67"/>
      <c r="D84" s="67"/>
      <c r="E84" s="67"/>
      <c r="F84" s="67"/>
      <c r="G84" s="67"/>
      <c r="H84" s="67"/>
      <c r="I84" s="67"/>
      <c r="J84" s="67"/>
      <c r="K84" s="67"/>
      <c r="L84" s="67"/>
      <c r="M84" s="67"/>
      <c r="N84" s="1091"/>
      <c r="O84" s="369"/>
      <c r="P84" s="380"/>
      <c r="Q84" s="254"/>
      <c r="R84" s="101"/>
      <c r="S84" s="266" t="str">
        <f>+IF(SEPTIEMBRE!S84=0,"",SEPTIEMBRE!S84)</f>
        <v>2.1.2.02.02.009.902</v>
      </c>
      <c r="T84" s="267" t="str">
        <f>+IF(SEPTIEMBRE!T84=0,"",SEPTIEMBRE!T84)</f>
        <v>Servicios Personales (Personal Asistencial)</v>
      </c>
      <c r="U84" s="557">
        <f>+ENERO!U84</f>
        <v>55683487770</v>
      </c>
      <c r="V84" s="1062">
        <f>SEPTIEMBRE!V84+OCTUBRE!AL84</f>
        <v>-5775698533</v>
      </c>
      <c r="W84" s="1062">
        <f>SEPTIEMBRE!W84+OCTUBRE!AM84</f>
        <v>4562452399</v>
      </c>
      <c r="X84" s="271">
        <f>SUM(U84:W84)</f>
        <v>54470241636</v>
      </c>
      <c r="Y84" s="270">
        <f>SEPTIEMBRE!AA84</f>
        <v>48614750950</v>
      </c>
      <c r="Z84" s="208">
        <v>3676042673</v>
      </c>
      <c r="AA84" s="271">
        <f>SUM(Y84:Z84)</f>
        <v>52290793623</v>
      </c>
      <c r="AB84" s="270">
        <f>SEPTIEMBRE!AD84</f>
        <v>42074751497</v>
      </c>
      <c r="AC84" s="208">
        <v>4894016053</v>
      </c>
      <c r="AD84" s="271">
        <f>SUM(AB84:AC84)</f>
        <v>46968767550</v>
      </c>
      <c r="AE84" s="270">
        <f>SEPTIEMBRE!AG84</f>
        <v>27740541876</v>
      </c>
      <c r="AF84" s="208">
        <v>2985610159</v>
      </c>
      <c r="AG84" s="271">
        <f>SUM(AE84:AF84)</f>
        <v>30726152035</v>
      </c>
      <c r="AH84" s="270">
        <f>X84-AA84</f>
        <v>2179448013</v>
      </c>
      <c r="AI84" s="220">
        <f>X84-AD84</f>
        <v>7501474086</v>
      </c>
      <c r="AJ84" s="269">
        <f>X84-AG84</f>
        <v>23744089601</v>
      </c>
      <c r="AK84" s="101"/>
      <c r="AL84" s="204">
        <v>-240000000</v>
      </c>
      <c r="AM84" s="210">
        <v>0</v>
      </c>
    </row>
    <row r="85" spans="1:39" ht="24.75" customHeight="1">
      <c r="A85" s="381" t="str">
        <f>+IF(SEPTIEMBRE!A85=0,"",SEPTIEMBRE!A85)</f>
        <v>1.1.02.05.001.09.02.90</v>
      </c>
      <c r="B85" s="382" t="str">
        <f>+IF(SEPTIEMBRE!B85=0,"",SEPTIEMBRE!B85)</f>
        <v>Otras Ventas de Servicios de Salud</v>
      </c>
      <c r="C85" s="383">
        <f t="shared" ref="C85:N85" si="84">SUM(C86:C92)</f>
        <v>0</v>
      </c>
      <c r="D85" s="384">
        <f t="shared" si="84"/>
        <v>0</v>
      </c>
      <c r="E85" s="384">
        <f t="shared" si="84"/>
        <v>21721160195</v>
      </c>
      <c r="F85" s="384">
        <f t="shared" si="84"/>
        <v>21721160195</v>
      </c>
      <c r="G85" s="384">
        <f t="shared" si="84"/>
        <v>17360570677</v>
      </c>
      <c r="H85" s="384">
        <f t="shared" si="84"/>
        <v>2502426880</v>
      </c>
      <c r="I85" s="384">
        <f t="shared" si="84"/>
        <v>19862997557</v>
      </c>
      <c r="J85" s="384">
        <f t="shared" si="84"/>
        <v>12370428447</v>
      </c>
      <c r="K85" s="384">
        <f t="shared" si="84"/>
        <v>2102426880</v>
      </c>
      <c r="L85" s="384">
        <f t="shared" si="84"/>
        <v>14472855327</v>
      </c>
      <c r="M85" s="384">
        <f t="shared" si="84"/>
        <v>1858162638</v>
      </c>
      <c r="N85" s="1092">
        <f t="shared" si="84"/>
        <v>7248304868</v>
      </c>
      <c r="O85" s="67"/>
      <c r="P85" s="288">
        <f>SUM(P86:P92)</f>
        <v>0</v>
      </c>
      <c r="Q85" s="289">
        <f>SUM(Q86:Q92)</f>
        <v>146439829</v>
      </c>
      <c r="R85" s="101"/>
      <c r="S85" s="266" t="str">
        <f>+IF(SEPTIEMBRE!S85=0,"",SEPTIEMBRE!S85)</f>
        <v>1020200-2</v>
      </c>
      <c r="T85" s="267" t="str">
        <f>+IF(SEPTIEMBRE!T85=0,"",SEPTIEMBRE!T85)</f>
        <v>Personal Supernumerario</v>
      </c>
      <c r="U85" s="557">
        <f>+ENERO!U85</f>
        <v>0</v>
      </c>
      <c r="V85" s="1062">
        <f>SEPTIEMBRE!V85+OCTUBRE!AL85</f>
        <v>0</v>
      </c>
      <c r="W85" s="1062">
        <f>SEPTIEMBRE!W85+OCTUBRE!AM85</f>
        <v>0</v>
      </c>
      <c r="X85" s="271">
        <f>SUM(U85:W85)</f>
        <v>0</v>
      </c>
      <c r="Y85" s="270">
        <f>SEPTIEMBRE!AA85</f>
        <v>0</v>
      </c>
      <c r="Z85" s="208">
        <v>0</v>
      </c>
      <c r="AA85" s="271">
        <f>SUM(Y85:Z85)</f>
        <v>0</v>
      </c>
      <c r="AB85" s="270">
        <f>SEPTIEMBRE!AD85</f>
        <v>0</v>
      </c>
      <c r="AC85" s="208"/>
      <c r="AD85" s="271">
        <f>SUM(AB85:AC85)</f>
        <v>0</v>
      </c>
      <c r="AE85" s="270">
        <f>SEPTIEMBRE!AG85</f>
        <v>0</v>
      </c>
      <c r="AF85" s="208"/>
      <c r="AG85" s="271">
        <f>SUM(AE85:AF85)</f>
        <v>0</v>
      </c>
      <c r="AH85" s="270">
        <f>X85-AA85</f>
        <v>0</v>
      </c>
      <c r="AI85" s="220">
        <f>X85-AD85</f>
        <v>0</v>
      </c>
      <c r="AJ85" s="269">
        <f>X85-AG85</f>
        <v>0</v>
      </c>
      <c r="AK85" s="101"/>
      <c r="AL85" s="204">
        <v>0</v>
      </c>
      <c r="AM85" s="210">
        <v>0</v>
      </c>
    </row>
    <row r="86" spans="1:39" ht="24.75" customHeight="1">
      <c r="A86" s="386" t="str">
        <f>+IF(SEPTIEMBRE!A86=0,"",SEPTIEMBRE!A86)</f>
        <v>1.1.02.05.001.09.02.90.05.99</v>
      </c>
      <c r="B86" s="387" t="str">
        <f>+IF(SEPTIEMBRE!B86=0,"",SEPTIEMBRE!B86)</f>
        <v>Agendamiento y aplicación de la vacuna COVID 19(Res.166/2021) INSTITUCIONAL</v>
      </c>
      <c r="C86" s="268">
        <f>+ENERO!C86</f>
        <v>0</v>
      </c>
      <c r="D86" s="205">
        <f>SEPTIEMBRE!D86+OCTUBRE!P86</f>
        <v>0</v>
      </c>
      <c r="E86" s="205">
        <f>SEPTIEMBRE!E86+OCTUBRE!Q86</f>
        <v>0</v>
      </c>
      <c r="F86" s="205">
        <f t="shared" ref="F86:F92" si="85">SUM(C86:E86)</f>
        <v>0</v>
      </c>
      <c r="G86" s="205">
        <f>SEPTIEMBRE!I86</f>
        <v>0</v>
      </c>
      <c r="H86" s="208">
        <v>0</v>
      </c>
      <c r="I86" s="205">
        <f t="shared" ref="I86:I92" si="86">SUM(G86:H86)</f>
        <v>0</v>
      </c>
      <c r="J86" s="205">
        <f>SEPTIEMBRE!L86</f>
        <v>0</v>
      </c>
      <c r="K86" s="208">
        <v>0</v>
      </c>
      <c r="L86" s="205">
        <f t="shared" ref="L86:L92" si="87">SUM(J86:K86)</f>
        <v>0</v>
      </c>
      <c r="M86" s="205">
        <f t="shared" ref="M86:M92" si="88">F86-I86</f>
        <v>0</v>
      </c>
      <c r="N86" s="671">
        <f t="shared" ref="N86:N92" si="89">F86-L86</f>
        <v>0</v>
      </c>
      <c r="O86" s="67"/>
      <c r="P86" s="204">
        <v>0</v>
      </c>
      <c r="Q86" s="210">
        <v>0</v>
      </c>
      <c r="R86" s="101"/>
      <c r="S86" s="266" t="str">
        <f>+IF(SEPTIEMBRE!S86=0,"",SEPTIEMBRE!S86)</f>
        <v>1020200-3</v>
      </c>
      <c r="T86" s="267" t="str">
        <f>+IF(SEPTIEMBRE!T86=0,"",SEPTIEMBRE!T86)</f>
        <v>Otros Honorarios</v>
      </c>
      <c r="U86" s="557">
        <f>+ENERO!U86</f>
        <v>0</v>
      </c>
      <c r="V86" s="1062">
        <f>SEPTIEMBRE!V86+OCTUBRE!AL86</f>
        <v>0</v>
      </c>
      <c r="W86" s="1062">
        <f>SEPTIEMBRE!W86+OCTUBRE!AM86</f>
        <v>0</v>
      </c>
      <c r="X86" s="271">
        <f>SUM(U86:W86)</f>
        <v>0</v>
      </c>
      <c r="Y86" s="270">
        <f>SEPTIEMBRE!AA86</f>
        <v>0</v>
      </c>
      <c r="Z86" s="208">
        <v>0</v>
      </c>
      <c r="AA86" s="271">
        <f>SUM(Y86:Z86)</f>
        <v>0</v>
      </c>
      <c r="AB86" s="270">
        <f>SEPTIEMBRE!AD86</f>
        <v>0</v>
      </c>
      <c r="AC86" s="208">
        <v>0</v>
      </c>
      <c r="AD86" s="271">
        <f>SUM(AB86:AC86)</f>
        <v>0</v>
      </c>
      <c r="AE86" s="270">
        <f>SEPTIEMBRE!AG86</f>
        <v>0</v>
      </c>
      <c r="AF86" s="208"/>
      <c r="AG86" s="271">
        <f>SUM(AE86:AF86)</f>
        <v>0</v>
      </c>
      <c r="AH86" s="270">
        <f>X86-AA86</f>
        <v>0</v>
      </c>
      <c r="AI86" s="220">
        <f>X86-AD86</f>
        <v>0</v>
      </c>
      <c r="AJ86" s="269">
        <f>X86-AG86</f>
        <v>0</v>
      </c>
      <c r="AK86" s="101"/>
      <c r="AL86" s="204">
        <v>0</v>
      </c>
      <c r="AM86" s="210">
        <v>0</v>
      </c>
    </row>
    <row r="87" spans="1:39" ht="24.75" customHeight="1">
      <c r="A87" s="386">
        <f>+IF(SEPTIEMBRE!A87=0,"",SEPTIEMBRE!A87)</f>
        <v>1130202</v>
      </c>
      <c r="B87" s="387">
        <f>+IF(SEPTIEMBRE!B87=0,"",SEPTIEMBRE!B87)</f>
        <v>1130202</v>
      </c>
      <c r="C87" s="268">
        <f>+ENERO!C87</f>
        <v>0</v>
      </c>
      <c r="D87" s="205">
        <f>SEPTIEMBRE!D87+OCTUBRE!P87</f>
        <v>0</v>
      </c>
      <c r="E87" s="205">
        <f>SEPTIEMBRE!E87+OCTUBRE!Q87</f>
        <v>0</v>
      </c>
      <c r="F87" s="205">
        <f t="shared" si="85"/>
        <v>0</v>
      </c>
      <c r="G87" s="205">
        <f>SEPTIEMBRE!I87</f>
        <v>0</v>
      </c>
      <c r="H87" s="208">
        <v>0</v>
      </c>
      <c r="I87" s="205">
        <f t="shared" si="86"/>
        <v>0</v>
      </c>
      <c r="J87" s="205">
        <f>SEPTIEMBRE!L87</f>
        <v>0</v>
      </c>
      <c r="K87" s="208">
        <v>0</v>
      </c>
      <c r="L87" s="205">
        <f t="shared" si="87"/>
        <v>0</v>
      </c>
      <c r="M87" s="205">
        <f t="shared" si="88"/>
        <v>0</v>
      </c>
      <c r="N87" s="671">
        <f t="shared" si="89"/>
        <v>0</v>
      </c>
      <c r="O87" s="67"/>
      <c r="P87" s="204">
        <v>0</v>
      </c>
      <c r="Q87" s="210">
        <v>0</v>
      </c>
      <c r="R87" s="101"/>
      <c r="S87" s="266" t="str">
        <f>+IF(SEPTIEMBRE!S87=0,"",SEPTIEMBRE!S87)</f>
        <v>1020200-4</v>
      </c>
      <c r="T87" s="267" t="str">
        <f>+IF(SEPTIEMBRE!T87=0,"",SEPTIEMBRE!T87)</f>
        <v>Otros Honorarios</v>
      </c>
      <c r="U87" s="557">
        <f>+ENERO!U87</f>
        <v>0</v>
      </c>
      <c r="V87" s="1062">
        <f>SEPTIEMBRE!V87+OCTUBRE!AL87</f>
        <v>0</v>
      </c>
      <c r="W87" s="1062">
        <f>SEPTIEMBRE!W87+OCTUBRE!AM87</f>
        <v>0</v>
      </c>
      <c r="X87" s="271">
        <f>SUM(U87:W87)</f>
        <v>0</v>
      </c>
      <c r="Y87" s="270">
        <f>SEPTIEMBRE!AA87</f>
        <v>0</v>
      </c>
      <c r="Z87" s="208">
        <v>0</v>
      </c>
      <c r="AA87" s="271">
        <f>SUM(Y87:Z87)</f>
        <v>0</v>
      </c>
      <c r="AB87" s="270">
        <f>SEPTIEMBRE!AD87</f>
        <v>0</v>
      </c>
      <c r="AC87" s="208">
        <v>0</v>
      </c>
      <c r="AD87" s="271">
        <f>SUM(AB87:AC87)</f>
        <v>0</v>
      </c>
      <c r="AE87" s="270">
        <f>SEPTIEMBRE!AG87</f>
        <v>0</v>
      </c>
      <c r="AF87" s="208"/>
      <c r="AG87" s="271">
        <f>SUM(AE87:AF87)</f>
        <v>0</v>
      </c>
      <c r="AH87" s="270">
        <f>X87-AA87</f>
        <v>0</v>
      </c>
      <c r="AI87" s="220">
        <f>X87-AD87</f>
        <v>0</v>
      </c>
      <c r="AJ87" s="269">
        <f>X87-AG87</f>
        <v>0</v>
      </c>
      <c r="AK87" s="101"/>
      <c r="AL87" s="204">
        <v>0</v>
      </c>
      <c r="AM87" s="210">
        <v>0</v>
      </c>
    </row>
    <row r="88" spans="1:39" ht="24.75" customHeight="1" thickBot="1">
      <c r="A88" s="386" t="str">
        <f>+IF(SEPTIEMBRE!A88=0,"",SEPTIEMBRE!A88)</f>
        <v>1.1.02.05.001.08</v>
      </c>
      <c r="B88" s="388" t="str">
        <f>+IF(SEPTIEMBRE!B88=0,"",SEPTIEMBRE!B88)</f>
        <v>Servicios Prestados a las empresas y servicios de produccion</v>
      </c>
      <c r="C88" s="268">
        <f>+ENERO!C88</f>
        <v>0</v>
      </c>
      <c r="D88" s="205">
        <f>SEPTIEMBRE!D88+OCTUBRE!P88</f>
        <v>0</v>
      </c>
      <c r="E88" s="205">
        <f>SEPTIEMBRE!E88+OCTUBRE!Q88</f>
        <v>2337265046</v>
      </c>
      <c r="F88" s="205">
        <f t="shared" si="85"/>
        <v>2337265046</v>
      </c>
      <c r="G88" s="205">
        <f>SEPTIEMBRE!I88</f>
        <v>2337265046</v>
      </c>
      <c r="H88" s="208">
        <v>0</v>
      </c>
      <c r="I88" s="205">
        <f t="shared" si="86"/>
        <v>2337265046</v>
      </c>
      <c r="J88" s="205">
        <f>SEPTIEMBRE!L88</f>
        <v>2278833420</v>
      </c>
      <c r="K88" s="208">
        <v>0</v>
      </c>
      <c r="L88" s="205">
        <f t="shared" si="87"/>
        <v>2278833420</v>
      </c>
      <c r="M88" s="205">
        <f t="shared" si="88"/>
        <v>0</v>
      </c>
      <c r="N88" s="671">
        <f t="shared" si="89"/>
        <v>58431626</v>
      </c>
      <c r="O88" s="67"/>
      <c r="P88" s="204">
        <v>0</v>
      </c>
      <c r="Q88" s="210">
        <v>0</v>
      </c>
      <c r="R88" s="101"/>
      <c r="S88" s="266" t="str">
        <f>+IF(SEPTIEMBRE!S88=0,"",SEPTIEMBRE!S88)</f>
        <v>2.1.2.02.02.009.99.01</v>
      </c>
      <c r="T88" s="267" t="str">
        <f>+IF(SEPTIEMBRE!T88=0,"",SEPTIEMBRE!T88)</f>
        <v>Vigencias Anteriores</v>
      </c>
      <c r="U88" s="373">
        <f>+ENERO!U88</f>
        <v>8835315700</v>
      </c>
      <c r="V88" s="1077">
        <f>SEPTIEMBRE!V88+OCTUBRE!AL88</f>
        <v>2062698533</v>
      </c>
      <c r="W88" s="1077">
        <f>SEPTIEMBRE!W88+OCTUBRE!AM88</f>
        <v>2908182761</v>
      </c>
      <c r="X88" s="271">
        <f>SUM(U88:W88)</f>
        <v>13806196994</v>
      </c>
      <c r="Y88" s="270">
        <f>SEPTIEMBRE!AA88</f>
        <v>13803515450</v>
      </c>
      <c r="Z88" s="208">
        <v>0</v>
      </c>
      <c r="AA88" s="271">
        <f>SUM(Y88:Z88)</f>
        <v>13803515450</v>
      </c>
      <c r="AB88" s="270">
        <f>SEPTIEMBRE!AD88</f>
        <v>13803515450</v>
      </c>
      <c r="AC88" s="208">
        <v>0</v>
      </c>
      <c r="AD88" s="271">
        <f>SUM(AB88:AC88)</f>
        <v>13803515450</v>
      </c>
      <c r="AE88" s="270">
        <f>SEPTIEMBRE!AG88</f>
        <v>13803515450</v>
      </c>
      <c r="AF88" s="208">
        <v>0</v>
      </c>
      <c r="AG88" s="271">
        <f>SUM(AE88:AF88)</f>
        <v>13803515450</v>
      </c>
      <c r="AH88" s="270">
        <f>X88-AA88</f>
        <v>2681544</v>
      </c>
      <c r="AI88" s="220">
        <f>X88-AD88</f>
        <v>2681544</v>
      </c>
      <c r="AJ88" s="269">
        <f>X88-AG88</f>
        <v>2681544</v>
      </c>
      <c r="AK88" s="101"/>
      <c r="AL88" s="204">
        <v>0</v>
      </c>
      <c r="AM88" s="210">
        <v>0</v>
      </c>
    </row>
    <row r="89" spans="1:39" ht="24.75" customHeight="1">
      <c r="A89" s="386" t="str">
        <f>+IF(SEPTIEMBRE!A89=0,"",SEPTIEMBRE!A89)</f>
        <v>1.1.02.05.001.09.02.90.04</v>
      </c>
      <c r="B89" s="388" t="str">
        <f>+IF(SEPTIEMBRE!B89=0,"",SEPTIEMBRE!B89)</f>
        <v>CONVENIOS CON EL DEPARTAMENTO LIGADOS A LA VENTA SERVICIOS</v>
      </c>
      <c r="C89" s="268">
        <f>+ENERO!C89</f>
        <v>0</v>
      </c>
      <c r="D89" s="205">
        <f>SEPTIEMBRE!D89+OCTUBRE!P89</f>
        <v>0</v>
      </c>
      <c r="E89" s="205">
        <f>SEPTIEMBRE!E89+OCTUBRE!Q89</f>
        <v>9574697797</v>
      </c>
      <c r="F89" s="205">
        <f t="shared" si="85"/>
        <v>9574697797</v>
      </c>
      <c r="G89" s="205">
        <f>SEPTIEMBRE!I89</f>
        <v>6783878985</v>
      </c>
      <c r="H89" s="208">
        <v>1843333547</v>
      </c>
      <c r="I89" s="205">
        <f t="shared" si="86"/>
        <v>8627212532</v>
      </c>
      <c r="J89" s="205">
        <f>SEPTIEMBRE!L89</f>
        <v>6759157481</v>
      </c>
      <c r="K89" s="208">
        <v>1843333547</v>
      </c>
      <c r="L89" s="205">
        <f t="shared" si="87"/>
        <v>8602491028</v>
      </c>
      <c r="M89" s="205">
        <f t="shared" si="88"/>
        <v>947485265</v>
      </c>
      <c r="N89" s="671">
        <f t="shared" si="89"/>
        <v>972206769</v>
      </c>
      <c r="O89" s="67"/>
      <c r="P89" s="204">
        <v>0</v>
      </c>
      <c r="Q89" s="210">
        <v>0</v>
      </c>
      <c r="R89" s="101"/>
      <c r="S89" s="189" t="str">
        <f>+IF(SEPTIEMBRE!S89=0,"",SEPTIEMBRE!S89)</f>
        <v/>
      </c>
      <c r="T89" s="488" t="str">
        <f>+IF(SEPTIEMBRE!T89=0,"",SEPTIEMBRE!T89)</f>
        <v/>
      </c>
      <c r="U89" s="191"/>
      <c r="V89" s="191"/>
      <c r="W89" s="191"/>
      <c r="X89" s="191"/>
      <c r="Y89" s="191"/>
      <c r="Z89" s="191"/>
      <c r="AA89" s="191"/>
      <c r="AB89" s="191"/>
      <c r="AC89" s="191"/>
      <c r="AD89" s="191"/>
      <c r="AE89" s="191"/>
      <c r="AF89" s="191"/>
      <c r="AG89" s="191"/>
      <c r="AH89" s="191"/>
      <c r="AI89" s="191"/>
      <c r="AJ89" s="192"/>
      <c r="AK89" s="101"/>
      <c r="AL89" s="370"/>
      <c r="AM89" s="371"/>
    </row>
    <row r="90" spans="1:39" ht="24.75" customHeight="1">
      <c r="A90" s="386" t="str">
        <f>+IF(SEPTIEMBRE!A90=0,"",SEPTIEMBRE!A90)</f>
        <v>1.1.02.05.001.09.02.18.03</v>
      </c>
      <c r="B90" s="388" t="str">
        <f>+IF(SEPTIEMBRE!B90=0,"",SEPTIEMBRE!B90)</f>
        <v xml:space="preserve">CONVENIOS CON EL MUNICIPIO LIGADOS A LA VENTA DE SERVICIOS </v>
      </c>
      <c r="C90" s="268">
        <f>+ENERO!C90</f>
        <v>0</v>
      </c>
      <c r="D90" s="205">
        <f>SEPTIEMBRE!D90+OCTUBRE!P90</f>
        <v>0</v>
      </c>
      <c r="E90" s="205">
        <f>SEPTIEMBRE!E90+OCTUBRE!Q90</f>
        <v>9809197352</v>
      </c>
      <c r="F90" s="205">
        <f t="shared" si="85"/>
        <v>9809197352</v>
      </c>
      <c r="G90" s="205">
        <f>SEPTIEMBRE!I90</f>
        <v>8239426646</v>
      </c>
      <c r="H90" s="208">
        <f>400000000+175760000+83333333</f>
        <v>659093333</v>
      </c>
      <c r="I90" s="205">
        <f t="shared" si="86"/>
        <v>8898519979</v>
      </c>
      <c r="J90" s="205">
        <f>SEPTIEMBRE!L90</f>
        <v>3332437546</v>
      </c>
      <c r="K90" s="208">
        <f>175760000+83333333</f>
        <v>259093333</v>
      </c>
      <c r="L90" s="205">
        <f t="shared" si="87"/>
        <v>3591530879</v>
      </c>
      <c r="M90" s="205">
        <f t="shared" si="88"/>
        <v>910677373</v>
      </c>
      <c r="N90" s="671">
        <f t="shared" si="89"/>
        <v>6217666473</v>
      </c>
      <c r="O90" s="67"/>
      <c r="P90" s="204">
        <v>0</v>
      </c>
      <c r="Q90" s="210">
        <v>146439829</v>
      </c>
      <c r="R90" s="389"/>
      <c r="S90" s="257">
        <f>+IF(SEPTIEMBRE!S90=0,"",SEPTIEMBRE!S90)</f>
        <v>1020300</v>
      </c>
      <c r="T90" s="546" t="str">
        <f>+IF(SEPTIEMBRE!T90=0,"",SEPTIEMBRE!T90)</f>
        <v>Contribuciones Inherentes nómina al Sector Privado</v>
      </c>
      <c r="U90" s="230">
        <f>U91+U96+U102</f>
        <v>0</v>
      </c>
      <c r="V90" s="231">
        <f t="shared" ref="V90:AJ90" si="90">V91+V96+V102</f>
        <v>0</v>
      </c>
      <c r="W90" s="231">
        <f t="shared" si="90"/>
        <v>0</v>
      </c>
      <c r="X90" s="234">
        <f t="shared" si="90"/>
        <v>0</v>
      </c>
      <c r="Y90" s="233">
        <f t="shared" si="90"/>
        <v>0</v>
      </c>
      <c r="Z90" s="231">
        <f t="shared" si="90"/>
        <v>0</v>
      </c>
      <c r="AA90" s="234">
        <f t="shared" si="90"/>
        <v>0</v>
      </c>
      <c r="AB90" s="233">
        <f t="shared" si="90"/>
        <v>0</v>
      </c>
      <c r="AC90" s="231">
        <f t="shared" si="90"/>
        <v>0</v>
      </c>
      <c r="AD90" s="234">
        <f t="shared" si="90"/>
        <v>0</v>
      </c>
      <c r="AE90" s="233">
        <f t="shared" si="90"/>
        <v>0</v>
      </c>
      <c r="AF90" s="231">
        <f t="shared" si="90"/>
        <v>0</v>
      </c>
      <c r="AG90" s="234">
        <f t="shared" si="90"/>
        <v>0</v>
      </c>
      <c r="AH90" s="233">
        <f t="shared" si="90"/>
        <v>0</v>
      </c>
      <c r="AI90" s="231">
        <f t="shared" si="90"/>
        <v>0</v>
      </c>
      <c r="AJ90" s="232">
        <f t="shared" si="90"/>
        <v>0</v>
      </c>
      <c r="AK90" s="101"/>
      <c r="AL90" s="233">
        <f>AL91+AL96+AL102</f>
        <v>0</v>
      </c>
      <c r="AM90" s="232">
        <f>AM91+AM96+AM102</f>
        <v>0</v>
      </c>
    </row>
    <row r="91" spans="1:39" ht="24.75" customHeight="1">
      <c r="A91" s="386">
        <f>+IF(SEPTIEMBRE!A91=0,"",SEPTIEMBRE!A91)</f>
        <v>1130206</v>
      </c>
      <c r="B91" s="388" t="str">
        <f>+IF(SEPTIEMBRE!B91=0,"",SEPTIEMBRE!B91)</f>
        <v>OTROS CONVENIOS LIGADOS A LA VENTA DE SERVICIOS</v>
      </c>
      <c r="C91" s="268">
        <f>+ENERO!C91</f>
        <v>0</v>
      </c>
      <c r="D91" s="205">
        <f>SEPTIEMBRE!D91+OCTUBRE!P91</f>
        <v>0</v>
      </c>
      <c r="E91" s="205">
        <f>SEPTIEMBRE!E91+OCTUBRE!Q91</f>
        <v>0</v>
      </c>
      <c r="F91" s="205">
        <f t="shared" si="85"/>
        <v>0</v>
      </c>
      <c r="G91" s="205">
        <f>SEPTIEMBRE!I91</f>
        <v>0</v>
      </c>
      <c r="H91" s="208">
        <v>0</v>
      </c>
      <c r="I91" s="205">
        <f t="shared" si="86"/>
        <v>0</v>
      </c>
      <c r="J91" s="205">
        <f>SEPTIEMBRE!L91</f>
        <v>0</v>
      </c>
      <c r="K91" s="208">
        <v>0</v>
      </c>
      <c r="L91" s="205">
        <f t="shared" si="87"/>
        <v>0</v>
      </c>
      <c r="M91" s="205">
        <f t="shared" si="88"/>
        <v>0</v>
      </c>
      <c r="N91" s="671">
        <f t="shared" si="89"/>
        <v>0</v>
      </c>
      <c r="O91" s="67"/>
      <c r="P91" s="204">
        <v>0</v>
      </c>
      <c r="Q91" s="210">
        <v>0</v>
      </c>
      <c r="R91" s="389"/>
      <c r="S91" s="266">
        <f>+IF(SEPTIEMBRE!S91=0,"",SEPTIEMBRE!S91)</f>
        <v>1020301</v>
      </c>
      <c r="T91" s="267" t="str">
        <f>+IF(SEPTIEMBRE!T91=0,"",SEPTIEMBRE!T91)</f>
        <v>Contribuciones - SGP - Aportes Patronales - Cuenta Maestra</v>
      </c>
      <c r="U91" s="373">
        <f>SUM(U92:U95)</f>
        <v>0</v>
      </c>
      <c r="V91" s="220">
        <f t="shared" ref="V91:AG91" si="91">SUM(V92:V95)</f>
        <v>0</v>
      </c>
      <c r="W91" s="220">
        <f t="shared" si="91"/>
        <v>0</v>
      </c>
      <c r="X91" s="271">
        <f>SUM(X92:X95)</f>
        <v>0</v>
      </c>
      <c r="Y91" s="270">
        <f t="shared" si="91"/>
        <v>0</v>
      </c>
      <c r="Z91" s="300">
        <f t="shared" si="91"/>
        <v>0</v>
      </c>
      <c r="AA91" s="271">
        <f t="shared" si="91"/>
        <v>0</v>
      </c>
      <c r="AB91" s="270">
        <f t="shared" si="91"/>
        <v>0</v>
      </c>
      <c r="AC91" s="300">
        <f t="shared" si="91"/>
        <v>0</v>
      </c>
      <c r="AD91" s="271">
        <f t="shared" si="91"/>
        <v>0</v>
      </c>
      <c r="AE91" s="270">
        <f>SUM(AE92:AE95)</f>
        <v>0</v>
      </c>
      <c r="AF91" s="300">
        <f t="shared" si="91"/>
        <v>0</v>
      </c>
      <c r="AG91" s="271">
        <f t="shared" si="91"/>
        <v>0</v>
      </c>
      <c r="AH91" s="270">
        <f>SUM(AH92:AH95)</f>
        <v>0</v>
      </c>
      <c r="AI91" s="220">
        <f>SUM(AI92:AI95)</f>
        <v>0</v>
      </c>
      <c r="AJ91" s="269">
        <f>SUM(AJ92:AJ95)</f>
        <v>0</v>
      </c>
      <c r="AK91" s="101"/>
      <c r="AL91" s="301">
        <f>SUM(AL92:AL95)</f>
        <v>0</v>
      </c>
      <c r="AM91" s="302">
        <f>SUM(AM92:AM95)</f>
        <v>0</v>
      </c>
    </row>
    <row r="92" spans="1:39" ht="24.75" customHeight="1" thickBot="1">
      <c r="A92" s="386" t="str">
        <f>+IF(SEPTIEMBRE!A92=0,"",SEPTIEMBRE!A92)</f>
        <v>1.1.02.05.001.09.02.90.05.99</v>
      </c>
      <c r="B92" s="390" t="str">
        <f>+IF(SEPTIEMBRE!B92=0,"",SEPTIEMBRE!B92)</f>
        <v>Vigencia Anterior de Otros Convenios de Salud Nacionales (vacunacion covid-19 agendamiento y aplicación)</v>
      </c>
      <c r="C92" s="391">
        <f>+ENERO!C92</f>
        <v>0</v>
      </c>
      <c r="D92" s="243">
        <f>SEPTIEMBRE!D92+OCTUBRE!P92</f>
        <v>0</v>
      </c>
      <c r="E92" s="243">
        <f>SEPTIEMBRE!E92+OCTUBRE!Q92</f>
        <v>0</v>
      </c>
      <c r="F92" s="243">
        <f t="shared" si="85"/>
        <v>0</v>
      </c>
      <c r="G92" s="243">
        <f>SEPTIEMBRE!I92</f>
        <v>0</v>
      </c>
      <c r="H92" s="246">
        <v>0</v>
      </c>
      <c r="I92" s="243">
        <f t="shared" si="86"/>
        <v>0</v>
      </c>
      <c r="J92" s="243">
        <f>SEPTIEMBRE!L92</f>
        <v>0</v>
      </c>
      <c r="K92" s="246">
        <v>0</v>
      </c>
      <c r="L92" s="243">
        <f t="shared" si="87"/>
        <v>0</v>
      </c>
      <c r="M92" s="243">
        <f t="shared" si="88"/>
        <v>0</v>
      </c>
      <c r="N92" s="673">
        <f t="shared" si="89"/>
        <v>0</v>
      </c>
      <c r="O92" s="67"/>
      <c r="P92" s="204">
        <v>0</v>
      </c>
      <c r="Q92" s="210">
        <v>0</v>
      </c>
      <c r="R92" s="389"/>
      <c r="S92" s="311" t="str">
        <f>+IF(SEPTIEMBRE!S92=0,"",SEPTIEMBRE!S92)</f>
        <v>1020301-1</v>
      </c>
      <c r="T92" s="312" t="str">
        <f>+IF(SEPTIEMBRE!T92=0,"",SEPTIEMBRE!T92)</f>
        <v>E.P.S. - Aportes cuenta maestra</v>
      </c>
      <c r="U92" s="373">
        <f>+ENERO!U92</f>
        <v>0</v>
      </c>
      <c r="V92" s="220">
        <f>SEPTIEMBRE!V92+OCTUBRE!AL92</f>
        <v>0</v>
      </c>
      <c r="W92" s="220">
        <f>SEPTIEMBRE!W92+OCTUBRE!AM92</f>
        <v>0</v>
      </c>
      <c r="X92" s="271">
        <f>SUM(U92:W92)</f>
        <v>0</v>
      </c>
      <c r="Y92" s="270">
        <f>SEPTIEMBRE!AA92</f>
        <v>0</v>
      </c>
      <c r="Z92" s="208">
        <v>0</v>
      </c>
      <c r="AA92" s="271">
        <f>SUM(Y92:Z92)</f>
        <v>0</v>
      </c>
      <c r="AB92" s="270">
        <f>SEPTIEMBRE!AD92</f>
        <v>0</v>
      </c>
      <c r="AC92" s="208">
        <v>0</v>
      </c>
      <c r="AD92" s="271">
        <f>SUM(AB92:AC92)</f>
        <v>0</v>
      </c>
      <c r="AE92" s="270">
        <f>SEPTIEMBRE!AG92</f>
        <v>0</v>
      </c>
      <c r="AF92" s="208">
        <v>0</v>
      </c>
      <c r="AG92" s="271">
        <f>SUM(AE92:AF92)</f>
        <v>0</v>
      </c>
      <c r="AH92" s="270">
        <f>X92-AA92</f>
        <v>0</v>
      </c>
      <c r="AI92" s="220">
        <f>X92-AD92</f>
        <v>0</v>
      </c>
      <c r="AJ92" s="269">
        <f>X92-AG92</f>
        <v>0</v>
      </c>
      <c r="AK92" s="101"/>
      <c r="AL92" s="204">
        <v>0</v>
      </c>
      <c r="AM92" s="210">
        <v>0</v>
      </c>
    </row>
    <row r="93" spans="1:39" ht="24.75" customHeight="1" thickBot="1">
      <c r="A93" s="378" t="str">
        <f>+IF(SEPTIEMBRE!A93=0,"",SEPTIEMBRE!A93)</f>
        <v/>
      </c>
      <c r="B93" s="379" t="str">
        <f>+IF(SEPTIEMBRE!B93=0,"",SEPTIEMBRE!B93)</f>
        <v/>
      </c>
      <c r="C93" s="67"/>
      <c r="D93" s="67"/>
      <c r="E93" s="67"/>
      <c r="F93" s="67"/>
      <c r="G93" s="67"/>
      <c r="H93" s="67"/>
      <c r="I93" s="67"/>
      <c r="J93" s="67"/>
      <c r="K93" s="67"/>
      <c r="L93" s="67"/>
      <c r="M93" s="67"/>
      <c r="N93" s="1091"/>
      <c r="O93" s="369"/>
      <c r="P93" s="380"/>
      <c r="Q93" s="254"/>
      <c r="R93" s="389"/>
      <c r="S93" s="311" t="str">
        <f>+IF(SEPTIEMBRE!S93=0,"",SEPTIEMBRE!S93)</f>
        <v>1020301-2</v>
      </c>
      <c r="T93" s="312" t="str">
        <f>+IF(SEPTIEMBRE!T93=0,"",SEPTIEMBRE!T93)</f>
        <v>Fondos pensionales - Aportes cuenta maestra</v>
      </c>
      <c r="U93" s="373">
        <f>+ENERO!U93</f>
        <v>0</v>
      </c>
      <c r="V93" s="220">
        <f>SEPTIEMBRE!V93+OCTUBRE!AL93</f>
        <v>0</v>
      </c>
      <c r="W93" s="220">
        <f>SEPTIEMBRE!W93+OCTUBRE!AM93</f>
        <v>0</v>
      </c>
      <c r="X93" s="271">
        <f>SUM(U93:W93)</f>
        <v>0</v>
      </c>
      <c r="Y93" s="270">
        <f>SEPTIEMBRE!AA93</f>
        <v>0</v>
      </c>
      <c r="Z93" s="208">
        <v>0</v>
      </c>
      <c r="AA93" s="271">
        <f>SUM(Y93:Z93)</f>
        <v>0</v>
      </c>
      <c r="AB93" s="270">
        <f>SEPTIEMBRE!AD93</f>
        <v>0</v>
      </c>
      <c r="AC93" s="208">
        <v>0</v>
      </c>
      <c r="AD93" s="271">
        <f>SUM(AB93:AC93)</f>
        <v>0</v>
      </c>
      <c r="AE93" s="270">
        <f>SEPTIEMBRE!AG93</f>
        <v>0</v>
      </c>
      <c r="AF93" s="208">
        <v>0</v>
      </c>
      <c r="AG93" s="271">
        <f>SUM(AE93:AF93)</f>
        <v>0</v>
      </c>
      <c r="AH93" s="270">
        <f>X93-AA93</f>
        <v>0</v>
      </c>
      <c r="AI93" s="220">
        <f>X93-AD93</f>
        <v>0</v>
      </c>
      <c r="AJ93" s="269">
        <f>X93-AG93</f>
        <v>0</v>
      </c>
      <c r="AK93" s="101"/>
      <c r="AL93" s="204">
        <v>0</v>
      </c>
      <c r="AM93" s="210">
        <v>0</v>
      </c>
    </row>
    <row r="94" spans="1:39" ht="35.25" customHeight="1">
      <c r="A94" s="392" t="str">
        <f>+IF(SEPTIEMBRE!A94=0,"",SEPTIEMBRE!A94)</f>
        <v>1.1.02.06.006.06</v>
      </c>
      <c r="B94" s="393" t="str">
        <f>+IF(SEPTIEMBRE!B94=0,"",SEPTIEMBRE!B94)</f>
        <v>Aportes (No ligados a la venta de servicios de salud)</v>
      </c>
      <c r="C94" s="383">
        <f t="shared" ref="C94:N94" si="92">SUM(C95:C102)</f>
        <v>650000000</v>
      </c>
      <c r="D94" s="384">
        <f t="shared" si="92"/>
        <v>0</v>
      </c>
      <c r="E94" s="384">
        <f t="shared" si="92"/>
        <v>5356844562</v>
      </c>
      <c r="F94" s="384">
        <f t="shared" si="92"/>
        <v>6006844562</v>
      </c>
      <c r="G94" s="384">
        <f t="shared" si="92"/>
        <v>1513880037</v>
      </c>
      <c r="H94" s="384">
        <f t="shared" si="92"/>
        <v>1306632408</v>
      </c>
      <c r="I94" s="384">
        <f t="shared" si="92"/>
        <v>2820512445</v>
      </c>
      <c r="J94" s="384">
        <f t="shared" si="92"/>
        <v>1513880037</v>
      </c>
      <c r="K94" s="384">
        <f t="shared" si="92"/>
        <v>1306632408</v>
      </c>
      <c r="L94" s="384">
        <f t="shared" si="92"/>
        <v>2820512445</v>
      </c>
      <c r="M94" s="384">
        <f t="shared" si="92"/>
        <v>3186332117</v>
      </c>
      <c r="N94" s="1092">
        <f t="shared" si="92"/>
        <v>3186332117</v>
      </c>
      <c r="O94" s="67"/>
      <c r="P94" s="288">
        <f>SUM(P95:P102)</f>
        <v>0</v>
      </c>
      <c r="Q94" s="289">
        <f>SUM(Q95:Q102)</f>
        <v>4699291162</v>
      </c>
      <c r="R94" s="389"/>
      <c r="S94" s="311" t="str">
        <f>+IF(SEPTIEMBRE!S94=0,"",SEPTIEMBRE!S94)</f>
        <v>1020301-3</v>
      </c>
      <c r="T94" s="312" t="str">
        <f>+IF(SEPTIEMBRE!T94=0,"",SEPTIEMBRE!T94)</f>
        <v>Fondos de cesantías - Aportes cuenta maestra</v>
      </c>
      <c r="U94" s="373">
        <f>+ENERO!U94</f>
        <v>0</v>
      </c>
      <c r="V94" s="220">
        <f>SEPTIEMBRE!V94+OCTUBRE!AL94</f>
        <v>0</v>
      </c>
      <c r="W94" s="220">
        <f>SEPTIEMBRE!W94+OCTUBRE!AM94</f>
        <v>0</v>
      </c>
      <c r="X94" s="271">
        <f>SUM(U94:W94)</f>
        <v>0</v>
      </c>
      <c r="Y94" s="270">
        <f>SEPTIEMBRE!AA94</f>
        <v>0</v>
      </c>
      <c r="Z94" s="208">
        <v>0</v>
      </c>
      <c r="AA94" s="271">
        <f>SUM(Y94:Z94)</f>
        <v>0</v>
      </c>
      <c r="AB94" s="270">
        <f>SEPTIEMBRE!AD94</f>
        <v>0</v>
      </c>
      <c r="AC94" s="208">
        <v>0</v>
      </c>
      <c r="AD94" s="271">
        <f>SUM(AB94:AC94)</f>
        <v>0</v>
      </c>
      <c r="AE94" s="270">
        <f>SEPTIEMBRE!AG94</f>
        <v>0</v>
      </c>
      <c r="AF94" s="208">
        <v>0</v>
      </c>
      <c r="AG94" s="271">
        <f>SUM(AE94:AF94)</f>
        <v>0</v>
      </c>
      <c r="AH94" s="270">
        <f>X94-AA94</f>
        <v>0</v>
      </c>
      <c r="AI94" s="220">
        <f>X94-AD94</f>
        <v>0</v>
      </c>
      <c r="AJ94" s="269">
        <f>X94-AG94</f>
        <v>0</v>
      </c>
      <c r="AK94" s="101"/>
      <c r="AL94" s="204">
        <v>0</v>
      </c>
      <c r="AM94" s="210">
        <v>0</v>
      </c>
    </row>
    <row r="95" spans="1:39" ht="24.75" customHeight="1">
      <c r="A95" s="394" t="str">
        <f>+IF(SEPTIEMBRE!A95=0,"",SEPTIEMBRE!A95)</f>
        <v>1.2.08.06.002</v>
      </c>
      <c r="B95" s="397" t="str">
        <f>+IF(SEPTIEMBRE!B95=0,"",SEPTIEMBRE!B95)</f>
        <v>Condicionadas a la adquisicion de un activo</v>
      </c>
      <c r="C95" s="268">
        <f>+ENERO!C95</f>
        <v>0</v>
      </c>
      <c r="D95" s="205">
        <f>SEPTIEMBRE!D95+OCTUBRE!P95</f>
        <v>0</v>
      </c>
      <c r="E95" s="205">
        <f>SEPTIEMBRE!E95+OCTUBRE!Q95</f>
        <v>0</v>
      </c>
      <c r="F95" s="205">
        <f t="shared" ref="F95:F102" si="93">SUM(C95:E95)</f>
        <v>0</v>
      </c>
      <c r="G95" s="205">
        <f>SEPTIEMBRE!I95</f>
        <v>0</v>
      </c>
      <c r="H95" s="208">
        <v>0</v>
      </c>
      <c r="I95" s="205">
        <f t="shared" ref="I95:I102" si="94">SUM(G95:H95)</f>
        <v>0</v>
      </c>
      <c r="J95" s="205">
        <f>SEPTIEMBRE!L95</f>
        <v>0</v>
      </c>
      <c r="K95" s="208">
        <v>0</v>
      </c>
      <c r="L95" s="205">
        <f t="shared" ref="L95:L102" si="95">SUM(J95:K95)</f>
        <v>0</v>
      </c>
      <c r="M95" s="205">
        <f t="shared" ref="M95:M102" si="96">F95-I95</f>
        <v>0</v>
      </c>
      <c r="N95" s="671">
        <f t="shared" ref="N95:N102" si="97">F95-L95</f>
        <v>0</v>
      </c>
      <c r="O95" s="67"/>
      <c r="P95" s="204">
        <v>0</v>
      </c>
      <c r="Q95" s="210">
        <v>0</v>
      </c>
      <c r="R95" s="389"/>
      <c r="S95" s="311" t="str">
        <f>+IF(SEPTIEMBRE!S95=0,"",SEPTIEMBRE!S95)</f>
        <v>1020301-4</v>
      </c>
      <c r="T95" s="312" t="str">
        <f>+IF(SEPTIEMBRE!T95=0,"",SEPTIEMBRE!T95)</f>
        <v>Riesgos laborales - Aportes cuenta maestra</v>
      </c>
      <c r="U95" s="373">
        <f>+ENERO!U95</f>
        <v>0</v>
      </c>
      <c r="V95" s="220">
        <f>SEPTIEMBRE!V95+OCTUBRE!AL95</f>
        <v>0</v>
      </c>
      <c r="W95" s="220">
        <f>SEPTIEMBRE!W95+OCTUBRE!AM95</f>
        <v>0</v>
      </c>
      <c r="X95" s="271">
        <f>SUM(U95:W95)</f>
        <v>0</v>
      </c>
      <c r="Y95" s="270">
        <f>SEPTIEMBRE!AA95</f>
        <v>0</v>
      </c>
      <c r="Z95" s="208">
        <v>0</v>
      </c>
      <c r="AA95" s="271">
        <f>SUM(Y95:Z95)</f>
        <v>0</v>
      </c>
      <c r="AB95" s="270">
        <f>SEPTIEMBRE!AD95</f>
        <v>0</v>
      </c>
      <c r="AC95" s="208">
        <v>0</v>
      </c>
      <c r="AD95" s="271">
        <f>SUM(AB95:AC95)</f>
        <v>0</v>
      </c>
      <c r="AE95" s="270">
        <f>SEPTIEMBRE!AG95</f>
        <v>0</v>
      </c>
      <c r="AF95" s="208">
        <v>0</v>
      </c>
      <c r="AG95" s="271">
        <f>SUM(AE95:AF95)</f>
        <v>0</v>
      </c>
      <c r="AH95" s="270">
        <f>X95-AA95</f>
        <v>0</v>
      </c>
      <c r="AI95" s="220">
        <f>X95-AD95</f>
        <v>0</v>
      </c>
      <c r="AJ95" s="269">
        <f>X95-AG95</f>
        <v>0</v>
      </c>
      <c r="AK95" s="101"/>
      <c r="AL95" s="204">
        <v>0</v>
      </c>
      <c r="AM95" s="210">
        <v>0</v>
      </c>
    </row>
    <row r="96" spans="1:39" ht="24.75" customHeight="1">
      <c r="A96" s="394" t="str">
        <f>+IF(SEPTIEMBRE!A96=0,"",SEPTIEMBRE!A96)</f>
        <v>1.2.08.06.002</v>
      </c>
      <c r="B96" s="397" t="str">
        <f>+IF(SEPTIEMBRE!B96=0,"",SEPTIEMBRE!B96)</f>
        <v>Condicionados a la adquisición de un activo (DSSA)</v>
      </c>
      <c r="C96" s="268">
        <f>+ENERO!C96</f>
        <v>0</v>
      </c>
      <c r="D96" s="205">
        <f>SEPTIEMBRE!D96+OCTUBRE!P96</f>
        <v>0</v>
      </c>
      <c r="E96" s="205">
        <f>SEPTIEMBRE!E96+OCTUBRE!Q96</f>
        <v>0</v>
      </c>
      <c r="F96" s="205">
        <f t="shared" si="93"/>
        <v>0</v>
      </c>
      <c r="G96" s="205">
        <f>SEPTIEMBRE!I96</f>
        <v>0</v>
      </c>
      <c r="H96" s="208"/>
      <c r="I96" s="205">
        <f t="shared" si="94"/>
        <v>0</v>
      </c>
      <c r="J96" s="205">
        <f>SEPTIEMBRE!L96</f>
        <v>0</v>
      </c>
      <c r="K96" s="208"/>
      <c r="L96" s="205">
        <f t="shared" si="95"/>
        <v>0</v>
      </c>
      <c r="M96" s="205">
        <f t="shared" si="96"/>
        <v>0</v>
      </c>
      <c r="N96" s="671">
        <f t="shared" si="97"/>
        <v>0</v>
      </c>
      <c r="O96" s="67"/>
      <c r="P96" s="204">
        <v>0</v>
      </c>
      <c r="Q96" s="210">
        <v>0</v>
      </c>
      <c r="R96" s="389"/>
      <c r="S96" s="266">
        <f>+IF(SEPTIEMBRE!S96=0,"",SEPTIEMBRE!S96)</f>
        <v>1020302</v>
      </c>
      <c r="T96" s="267" t="str">
        <f>+IF(SEPTIEMBRE!T96=0,"",SEPTIEMBRE!T96)</f>
        <v>Contribuciones - Otros</v>
      </c>
      <c r="U96" s="373">
        <f>SUM(U97:U101)</f>
        <v>0</v>
      </c>
      <c r="V96" s="220">
        <f t="shared" ref="V96:AG96" si="98">SUM(V97:V101)</f>
        <v>0</v>
      </c>
      <c r="W96" s="220">
        <f t="shared" si="98"/>
        <v>0</v>
      </c>
      <c r="X96" s="271">
        <f>SUM(X97:X101)</f>
        <v>0</v>
      </c>
      <c r="Y96" s="270">
        <f t="shared" si="98"/>
        <v>0</v>
      </c>
      <c r="Z96" s="300">
        <f t="shared" si="98"/>
        <v>0</v>
      </c>
      <c r="AA96" s="271">
        <f t="shared" si="98"/>
        <v>0</v>
      </c>
      <c r="AB96" s="270">
        <f t="shared" si="98"/>
        <v>0</v>
      </c>
      <c r="AC96" s="300">
        <f t="shared" si="98"/>
        <v>0</v>
      </c>
      <c r="AD96" s="271">
        <f t="shared" si="98"/>
        <v>0</v>
      </c>
      <c r="AE96" s="270">
        <f>SUM(AE97:AE101)</f>
        <v>0</v>
      </c>
      <c r="AF96" s="300">
        <f t="shared" si="98"/>
        <v>0</v>
      </c>
      <c r="AG96" s="271">
        <f t="shared" si="98"/>
        <v>0</v>
      </c>
      <c r="AH96" s="270">
        <f>SUM(AH97:AH101)</f>
        <v>0</v>
      </c>
      <c r="AI96" s="220">
        <f>SUM(AI97:AI101)</f>
        <v>0</v>
      </c>
      <c r="AJ96" s="269">
        <f>SUM(AJ97:AJ101)</f>
        <v>0</v>
      </c>
      <c r="AK96" s="389"/>
      <c r="AL96" s="395">
        <f>SUM(AL97:AL101)</f>
        <v>0</v>
      </c>
      <c r="AM96" s="396">
        <f>SUM(AM97:AM101)</f>
        <v>0</v>
      </c>
    </row>
    <row r="97" spans="1:39" ht="24.75" customHeight="1">
      <c r="A97" s="394" t="str">
        <f>+IF(SEPTIEMBRE!A97=0,"",SEPTIEMBRE!A97)</f>
        <v>1.2.08.02</v>
      </c>
      <c r="B97" s="397" t="str">
        <f>+IF(SEPTIEMBRE!B97=0,"",SEPTIEMBRE!B97)</f>
        <v>Indemnizaciones Relacionadas con seguros No de vida</v>
      </c>
      <c r="C97" s="268">
        <f>+ENERO!C97</f>
        <v>0</v>
      </c>
      <c r="D97" s="205">
        <f>SEPTIEMBRE!D97+OCTUBRE!P97</f>
        <v>0</v>
      </c>
      <c r="E97" s="205">
        <f>SEPTIEMBRE!E97+OCTUBRE!Q97</f>
        <v>0</v>
      </c>
      <c r="F97" s="205">
        <f t="shared" si="93"/>
        <v>0</v>
      </c>
      <c r="G97" s="205">
        <f>SEPTIEMBRE!I97</f>
        <v>0</v>
      </c>
      <c r="H97" s="208">
        <v>0</v>
      </c>
      <c r="I97" s="205">
        <f t="shared" si="94"/>
        <v>0</v>
      </c>
      <c r="J97" s="205">
        <f>SEPTIEMBRE!L97</f>
        <v>0</v>
      </c>
      <c r="K97" s="208">
        <v>0</v>
      </c>
      <c r="L97" s="205">
        <f t="shared" si="95"/>
        <v>0</v>
      </c>
      <c r="M97" s="205">
        <f t="shared" si="96"/>
        <v>0</v>
      </c>
      <c r="N97" s="671">
        <f t="shared" si="97"/>
        <v>0</v>
      </c>
      <c r="O97" s="67"/>
      <c r="P97" s="204">
        <v>0</v>
      </c>
      <c r="Q97" s="210">
        <v>0</v>
      </c>
      <c r="R97" s="389"/>
      <c r="S97" s="311" t="str">
        <f>+IF(SEPTIEMBRE!S97=0,"",SEPTIEMBRE!S97)</f>
        <v>2.1.1.01.02.002-1</v>
      </c>
      <c r="T97" s="312" t="str">
        <f>+IF(SEPTIEMBRE!T97=0,"",SEPTIEMBRE!T97)</f>
        <v>Aportes a E.P.S. - recursos propios</v>
      </c>
      <c r="U97" s="373">
        <f>+ENERO!U97</f>
        <v>0</v>
      </c>
      <c r="V97" s="220">
        <f>SEPTIEMBRE!V97+OCTUBRE!AL97</f>
        <v>0</v>
      </c>
      <c r="W97" s="220">
        <f>SEPTIEMBRE!W97+OCTUBRE!AM97</f>
        <v>0</v>
      </c>
      <c r="X97" s="271">
        <f t="shared" ref="X97:X102" si="99">SUM(U97:W97)</f>
        <v>0</v>
      </c>
      <c r="Y97" s="270">
        <f>SEPTIEMBRE!AA97</f>
        <v>0</v>
      </c>
      <c r="Z97" s="208">
        <v>0</v>
      </c>
      <c r="AA97" s="271">
        <f t="shared" ref="AA97:AA102" si="100">SUM(Y97:Z97)</f>
        <v>0</v>
      </c>
      <c r="AB97" s="270">
        <f>SEPTIEMBRE!AD97</f>
        <v>0</v>
      </c>
      <c r="AC97" s="208">
        <v>0</v>
      </c>
      <c r="AD97" s="271">
        <f t="shared" ref="AD97:AD102" si="101">SUM(AB97:AC97)</f>
        <v>0</v>
      </c>
      <c r="AE97" s="270">
        <f>SEPTIEMBRE!AG97</f>
        <v>0</v>
      </c>
      <c r="AF97" s="208">
        <v>0</v>
      </c>
      <c r="AG97" s="271">
        <f t="shared" ref="AG97:AG102" si="102">SUM(AE97:AF97)</f>
        <v>0</v>
      </c>
      <c r="AH97" s="270">
        <f t="shared" ref="AH97:AH102" si="103">X97-AA97</f>
        <v>0</v>
      </c>
      <c r="AI97" s="220">
        <f t="shared" ref="AI97:AI102" si="104">X97-AD97</f>
        <v>0</v>
      </c>
      <c r="AJ97" s="269">
        <f t="shared" ref="AJ97:AJ102" si="105">X97-AG97</f>
        <v>0</v>
      </c>
      <c r="AK97" s="389"/>
      <c r="AL97" s="204">
        <v>0</v>
      </c>
      <c r="AM97" s="210">
        <v>0</v>
      </c>
    </row>
    <row r="98" spans="1:39" ht="24.75" customHeight="1">
      <c r="A98" s="394" t="str">
        <f>+IF(SEPTIEMBRE!A98=0,"",SEPTIEMBRE!A98)</f>
        <v>1.1.02.06.007.02.08</v>
      </c>
      <c r="B98" s="397" t="str">
        <f>+IF(SEPTIEMBRE!B98=0,"",SEPTIEMBRE!B98)</f>
        <v>Transferencias para las Empresas Sociales del Estado</v>
      </c>
      <c r="C98" s="268">
        <f>+ENERO!C98</f>
        <v>0</v>
      </c>
      <c r="D98" s="205">
        <f>SEPTIEMBRE!D98+OCTUBRE!P98</f>
        <v>0</v>
      </c>
      <c r="E98" s="205">
        <f>SEPTIEMBRE!E98+OCTUBRE!Q98</f>
        <v>5150517925</v>
      </c>
      <c r="F98" s="205">
        <f t="shared" si="93"/>
        <v>5150517925</v>
      </c>
      <c r="G98" s="205">
        <f>SEPTIEMBRE!I98</f>
        <v>657553400</v>
      </c>
      <c r="H98" s="208">
        <v>1306632408</v>
      </c>
      <c r="I98" s="205">
        <f t="shared" si="94"/>
        <v>1964185808</v>
      </c>
      <c r="J98" s="205">
        <f>SEPTIEMBRE!L98</f>
        <v>657553400</v>
      </c>
      <c r="K98" s="208">
        <v>1306632408</v>
      </c>
      <c r="L98" s="205">
        <f t="shared" si="95"/>
        <v>1964185808</v>
      </c>
      <c r="M98" s="205">
        <f t="shared" si="96"/>
        <v>3186332117</v>
      </c>
      <c r="N98" s="671">
        <f t="shared" si="97"/>
        <v>3186332117</v>
      </c>
      <c r="O98" s="67"/>
      <c r="P98" s="204">
        <v>0</v>
      </c>
      <c r="Q98" s="210">
        <f>1306632408+1700000000+1486332117</f>
        <v>4492964525</v>
      </c>
      <c r="R98" s="389"/>
      <c r="S98" s="311" t="str">
        <f>+IF(SEPTIEMBRE!S98=0,"",SEPTIEMBRE!S98)</f>
        <v>2.1.1.01.02.001-1</v>
      </c>
      <c r="T98" s="312" t="str">
        <f>+IF(SEPTIEMBRE!T98=0,"",SEPTIEMBRE!T98)</f>
        <v>Aportes Fondos Pensionales - recursos propios</v>
      </c>
      <c r="U98" s="373">
        <f>+ENERO!U98</f>
        <v>0</v>
      </c>
      <c r="V98" s="220">
        <f>SEPTIEMBRE!V98+OCTUBRE!AL98</f>
        <v>0</v>
      </c>
      <c r="W98" s="220">
        <f>SEPTIEMBRE!W98+OCTUBRE!AM98</f>
        <v>0</v>
      </c>
      <c r="X98" s="271">
        <f t="shared" si="99"/>
        <v>0</v>
      </c>
      <c r="Y98" s="270">
        <f>SEPTIEMBRE!AA98</f>
        <v>0</v>
      </c>
      <c r="Z98" s="208">
        <v>0</v>
      </c>
      <c r="AA98" s="271">
        <f t="shared" si="100"/>
        <v>0</v>
      </c>
      <c r="AB98" s="270">
        <f>SEPTIEMBRE!AD98</f>
        <v>0</v>
      </c>
      <c r="AC98" s="208">
        <v>0</v>
      </c>
      <c r="AD98" s="271">
        <f t="shared" si="101"/>
        <v>0</v>
      </c>
      <c r="AE98" s="270">
        <f>SEPTIEMBRE!AG98</f>
        <v>0</v>
      </c>
      <c r="AF98" s="208">
        <v>0</v>
      </c>
      <c r="AG98" s="271">
        <f t="shared" si="102"/>
        <v>0</v>
      </c>
      <c r="AH98" s="270">
        <f t="shared" si="103"/>
        <v>0</v>
      </c>
      <c r="AI98" s="220">
        <f t="shared" si="104"/>
        <v>0</v>
      </c>
      <c r="AJ98" s="269">
        <f t="shared" si="105"/>
        <v>0</v>
      </c>
      <c r="AK98" s="389"/>
      <c r="AL98" s="204">
        <v>0</v>
      </c>
      <c r="AM98" s="210">
        <v>0</v>
      </c>
    </row>
    <row r="99" spans="1:39" ht="24.75" customHeight="1">
      <c r="A99" s="394" t="str">
        <f>+IF(SEPTIEMBRE!A99=0,"",SEPTIEMBRE!A99)</f>
        <v>11303-5</v>
      </c>
      <c r="B99" s="397" t="str">
        <f>+IF(SEPTIEMBRE!B99=0,"",SEPTIEMBRE!B99)</f>
        <v>RECURSOS PARA PROGRAMA DE SANEAMIENTO FINANCIERO</v>
      </c>
      <c r="C99" s="268">
        <f>+ENERO!C99</f>
        <v>0</v>
      </c>
      <c r="D99" s="205">
        <f>SEPTIEMBRE!D99+OCTUBRE!P99</f>
        <v>0</v>
      </c>
      <c r="E99" s="205">
        <f>SEPTIEMBRE!E99+OCTUBRE!Q99</f>
        <v>0</v>
      </c>
      <c r="F99" s="205">
        <f t="shared" si="93"/>
        <v>0</v>
      </c>
      <c r="G99" s="205">
        <f>SEPTIEMBRE!I99</f>
        <v>0</v>
      </c>
      <c r="H99" s="208">
        <v>0</v>
      </c>
      <c r="I99" s="205">
        <f t="shared" si="94"/>
        <v>0</v>
      </c>
      <c r="J99" s="205">
        <f>SEPTIEMBRE!L99</f>
        <v>0</v>
      </c>
      <c r="K99" s="208">
        <v>0</v>
      </c>
      <c r="L99" s="205">
        <f t="shared" si="95"/>
        <v>0</v>
      </c>
      <c r="M99" s="205">
        <f t="shared" si="96"/>
        <v>0</v>
      </c>
      <c r="N99" s="671">
        <f t="shared" si="97"/>
        <v>0</v>
      </c>
      <c r="O99" s="67"/>
      <c r="P99" s="204">
        <v>0</v>
      </c>
      <c r="Q99" s="210">
        <v>0</v>
      </c>
      <c r="R99" s="389"/>
      <c r="S99" s="311" t="str">
        <f>+IF(SEPTIEMBRE!S99=0,"",SEPTIEMBRE!S99)</f>
        <v>2.1.1.01.02.003-1</v>
      </c>
      <c r="T99" s="312" t="str">
        <f>+IF(SEPTIEMBRE!T99=0,"",SEPTIEMBRE!T99)</f>
        <v>Aportes a Fondos de Cesantia - recursos propios</v>
      </c>
      <c r="U99" s="373">
        <f>+ENERO!U99</f>
        <v>0</v>
      </c>
      <c r="V99" s="220">
        <f>SEPTIEMBRE!V99+OCTUBRE!AL99</f>
        <v>0</v>
      </c>
      <c r="W99" s="220">
        <f>SEPTIEMBRE!W99+OCTUBRE!AM99</f>
        <v>0</v>
      </c>
      <c r="X99" s="271">
        <f t="shared" si="99"/>
        <v>0</v>
      </c>
      <c r="Y99" s="270">
        <f>SEPTIEMBRE!AA99</f>
        <v>0</v>
      </c>
      <c r="Z99" s="208">
        <v>0</v>
      </c>
      <c r="AA99" s="271">
        <f t="shared" si="100"/>
        <v>0</v>
      </c>
      <c r="AB99" s="270">
        <f>SEPTIEMBRE!AD99</f>
        <v>0</v>
      </c>
      <c r="AC99" s="208">
        <v>0</v>
      </c>
      <c r="AD99" s="271">
        <f t="shared" si="101"/>
        <v>0</v>
      </c>
      <c r="AE99" s="270">
        <f>SEPTIEMBRE!AG99</f>
        <v>0</v>
      </c>
      <c r="AF99" s="208">
        <v>0</v>
      </c>
      <c r="AG99" s="271">
        <f t="shared" si="102"/>
        <v>0</v>
      </c>
      <c r="AH99" s="270">
        <f t="shared" si="103"/>
        <v>0</v>
      </c>
      <c r="AI99" s="220">
        <f t="shared" si="104"/>
        <v>0</v>
      </c>
      <c r="AJ99" s="269">
        <f t="shared" si="105"/>
        <v>0</v>
      </c>
      <c r="AK99" s="389"/>
      <c r="AL99" s="204">
        <v>0</v>
      </c>
      <c r="AM99" s="210">
        <v>0</v>
      </c>
    </row>
    <row r="100" spans="1:39" ht="24.75" customHeight="1">
      <c r="A100" s="394" t="str">
        <f>+IF(SEPTIEMBRE!A100=0,"",SEPTIEMBRE!A100)</f>
        <v>1.1.02.06.006.07</v>
      </c>
      <c r="B100" s="397" t="str">
        <f>+IF(SEPTIEMBRE!B100=0,"",SEPTIEMBRE!B100)</f>
        <v>ESTAMPILLA PROHOSPITALES</v>
      </c>
      <c r="C100" s="268">
        <f>+ENERO!C100</f>
        <v>650000000</v>
      </c>
      <c r="D100" s="205">
        <f>SEPTIEMBRE!D100+OCTUBRE!P100</f>
        <v>0</v>
      </c>
      <c r="E100" s="205">
        <f>SEPTIEMBRE!E100+OCTUBRE!Q100</f>
        <v>206326637</v>
      </c>
      <c r="F100" s="205">
        <f t="shared" si="93"/>
        <v>856326637</v>
      </c>
      <c r="G100" s="205">
        <f>SEPTIEMBRE!I100</f>
        <v>856326637</v>
      </c>
      <c r="H100" s="208">
        <v>0</v>
      </c>
      <c r="I100" s="205">
        <f t="shared" si="94"/>
        <v>856326637</v>
      </c>
      <c r="J100" s="205">
        <f>SEPTIEMBRE!L100</f>
        <v>856326637</v>
      </c>
      <c r="K100" s="208">
        <v>0</v>
      </c>
      <c r="L100" s="205">
        <f t="shared" si="95"/>
        <v>856326637</v>
      </c>
      <c r="M100" s="205">
        <f t="shared" si="96"/>
        <v>0</v>
      </c>
      <c r="N100" s="671">
        <f t="shared" si="97"/>
        <v>0</v>
      </c>
      <c r="O100" s="67"/>
      <c r="P100" s="204">
        <v>0</v>
      </c>
      <c r="Q100" s="210">
        <v>206326637</v>
      </c>
      <c r="R100" s="101"/>
      <c r="S100" s="311" t="str">
        <f>+IF(SEPTIEMBRE!S100=0,"",SEPTIEMBRE!S100)</f>
        <v>2.1.1.01.02.005-1</v>
      </c>
      <c r="T100" s="312" t="str">
        <f>+IF(SEPTIEMBRE!T100=0,"",SEPTIEMBRE!T100)</f>
        <v>Aporte a ARL. - recursos propios</v>
      </c>
      <c r="U100" s="373">
        <f>+ENERO!U100</f>
        <v>0</v>
      </c>
      <c r="V100" s="220">
        <f>SEPTIEMBRE!V100+OCTUBRE!AL100</f>
        <v>0</v>
      </c>
      <c r="W100" s="220">
        <f>SEPTIEMBRE!W100+OCTUBRE!AM100</f>
        <v>0</v>
      </c>
      <c r="X100" s="271">
        <f t="shared" si="99"/>
        <v>0</v>
      </c>
      <c r="Y100" s="270">
        <f>SEPTIEMBRE!AA100</f>
        <v>0</v>
      </c>
      <c r="Z100" s="208">
        <v>0</v>
      </c>
      <c r="AA100" s="271">
        <f t="shared" si="100"/>
        <v>0</v>
      </c>
      <c r="AB100" s="270">
        <f>SEPTIEMBRE!AD100</f>
        <v>0</v>
      </c>
      <c r="AC100" s="208">
        <v>0</v>
      </c>
      <c r="AD100" s="271">
        <f t="shared" si="101"/>
        <v>0</v>
      </c>
      <c r="AE100" s="270">
        <f>SEPTIEMBRE!AG100</f>
        <v>0</v>
      </c>
      <c r="AF100" s="208">
        <v>0</v>
      </c>
      <c r="AG100" s="271">
        <f t="shared" si="102"/>
        <v>0</v>
      </c>
      <c r="AH100" s="270">
        <f t="shared" si="103"/>
        <v>0</v>
      </c>
      <c r="AI100" s="220">
        <f t="shared" si="104"/>
        <v>0</v>
      </c>
      <c r="AJ100" s="269">
        <f t="shared" si="105"/>
        <v>0</v>
      </c>
      <c r="AK100" s="389"/>
      <c r="AL100" s="204">
        <v>0</v>
      </c>
      <c r="AM100" s="210">
        <v>0</v>
      </c>
    </row>
    <row r="101" spans="1:39" ht="24.75" customHeight="1">
      <c r="A101" s="394" t="str">
        <f>+IF(SEPTIEMBRE!A101=0,"",SEPTIEMBRE!A101)</f>
        <v>11303-7</v>
      </c>
      <c r="B101" s="397" t="str">
        <f>+IF(SEPTIEMBRE!B101=0,"",SEPTIEMBRE!B101)</f>
        <v>SUBSIDIO A LA OFERTA (ART. 2.4.2.6 DECRETO 268 DE 2020)</v>
      </c>
      <c r="C101" s="268">
        <f>+ENERO!C101</f>
        <v>0</v>
      </c>
      <c r="D101" s="205">
        <f>SEPTIEMBRE!D101+OCTUBRE!P101</f>
        <v>0</v>
      </c>
      <c r="E101" s="205">
        <f>SEPTIEMBRE!E101+OCTUBRE!Q101</f>
        <v>0</v>
      </c>
      <c r="F101" s="205">
        <f t="shared" si="93"/>
        <v>0</v>
      </c>
      <c r="G101" s="205">
        <f>SEPTIEMBRE!I101</f>
        <v>0</v>
      </c>
      <c r="H101" s="208">
        <v>0</v>
      </c>
      <c r="I101" s="205">
        <f t="shared" si="94"/>
        <v>0</v>
      </c>
      <c r="J101" s="205">
        <f>SEPTIEMBRE!L101</f>
        <v>0</v>
      </c>
      <c r="K101" s="208">
        <v>0</v>
      </c>
      <c r="L101" s="205">
        <f t="shared" si="95"/>
        <v>0</v>
      </c>
      <c r="M101" s="205">
        <f t="shared" si="96"/>
        <v>0</v>
      </c>
      <c r="N101" s="671">
        <f t="shared" si="97"/>
        <v>0</v>
      </c>
      <c r="O101" s="67"/>
      <c r="P101" s="204">
        <v>0</v>
      </c>
      <c r="Q101" s="210">
        <v>0</v>
      </c>
      <c r="R101" s="101"/>
      <c r="S101" s="311" t="str">
        <f>+IF(SEPTIEMBRE!S101=0,"",SEPTIEMBRE!S101)</f>
        <v>2.1.1.01.02.004-1</v>
      </c>
      <c r="T101" s="312" t="str">
        <f>+IF(SEPTIEMBRE!T101=0,"",SEPTIEMBRE!T101)</f>
        <v>Aporte a Caja Compensación Familiar</v>
      </c>
      <c r="U101" s="373">
        <f>+ENERO!U101</f>
        <v>0</v>
      </c>
      <c r="V101" s="220">
        <f>SEPTIEMBRE!V101+OCTUBRE!AL101</f>
        <v>0</v>
      </c>
      <c r="W101" s="220">
        <f>SEPTIEMBRE!W101+OCTUBRE!AM101</f>
        <v>0</v>
      </c>
      <c r="X101" s="271">
        <f t="shared" si="99"/>
        <v>0</v>
      </c>
      <c r="Y101" s="270">
        <f>SEPTIEMBRE!AA101</f>
        <v>0</v>
      </c>
      <c r="Z101" s="208">
        <v>0</v>
      </c>
      <c r="AA101" s="271">
        <f t="shared" si="100"/>
        <v>0</v>
      </c>
      <c r="AB101" s="270">
        <f>SEPTIEMBRE!AD101</f>
        <v>0</v>
      </c>
      <c r="AC101" s="208">
        <v>0</v>
      </c>
      <c r="AD101" s="271">
        <f t="shared" si="101"/>
        <v>0</v>
      </c>
      <c r="AE101" s="270">
        <f>SEPTIEMBRE!AG101</f>
        <v>0</v>
      </c>
      <c r="AF101" s="208">
        <v>0</v>
      </c>
      <c r="AG101" s="271">
        <f t="shared" si="102"/>
        <v>0</v>
      </c>
      <c r="AH101" s="270">
        <f t="shared" si="103"/>
        <v>0</v>
      </c>
      <c r="AI101" s="220">
        <f t="shared" si="104"/>
        <v>0</v>
      </c>
      <c r="AJ101" s="269">
        <f t="shared" si="105"/>
        <v>0</v>
      </c>
      <c r="AK101" s="389"/>
      <c r="AL101" s="204">
        <v>0</v>
      </c>
      <c r="AM101" s="210">
        <v>0</v>
      </c>
    </row>
    <row r="102" spans="1:39" ht="24.75" customHeight="1" thickBot="1">
      <c r="A102" s="394" t="str">
        <f>+IF(SEPTIEMBRE!A102=0,"",SEPTIEMBRE!A102)</f>
        <v>1.1.02.06.006.07.99</v>
      </c>
      <c r="B102" s="390" t="str">
        <f>+IF(SEPTIEMBRE!B102=0,"",SEPTIEMBRE!B102)</f>
        <v>Vigencia Anterior estampilla</v>
      </c>
      <c r="C102" s="391">
        <f>+ENERO!C102</f>
        <v>0</v>
      </c>
      <c r="D102" s="243">
        <f>SEPTIEMBRE!D102+OCTUBRE!P102</f>
        <v>0</v>
      </c>
      <c r="E102" s="243">
        <f>SEPTIEMBRE!E102+OCTUBRE!Q102</f>
        <v>0</v>
      </c>
      <c r="F102" s="243">
        <f t="shared" si="93"/>
        <v>0</v>
      </c>
      <c r="G102" s="243">
        <f>SEPTIEMBRE!I102</f>
        <v>0</v>
      </c>
      <c r="H102" s="246">
        <v>0</v>
      </c>
      <c r="I102" s="243">
        <f t="shared" si="94"/>
        <v>0</v>
      </c>
      <c r="J102" s="205">
        <f>SEPTIEMBRE!L102</f>
        <v>0</v>
      </c>
      <c r="K102" s="246">
        <v>0</v>
      </c>
      <c r="L102" s="243">
        <f t="shared" si="95"/>
        <v>0</v>
      </c>
      <c r="M102" s="243">
        <f t="shared" si="96"/>
        <v>0</v>
      </c>
      <c r="N102" s="673">
        <f t="shared" si="97"/>
        <v>0</v>
      </c>
      <c r="O102" s="67"/>
      <c r="P102" s="204">
        <v>0</v>
      </c>
      <c r="Q102" s="210">
        <v>0</v>
      </c>
      <c r="R102" s="101"/>
      <c r="S102" s="266">
        <f>+IF(SEPTIEMBRE!S102=0,"",SEPTIEMBRE!S102)</f>
        <v>1020399</v>
      </c>
      <c r="T102" s="267" t="str">
        <f>+IF(SEPTIEMBRE!T102=0,"",SEPTIEMBRE!T102)</f>
        <v>Vigencias Anteriores</v>
      </c>
      <c r="U102" s="373">
        <f>+ENERO!U102</f>
        <v>0</v>
      </c>
      <c r="V102" s="220">
        <f>SEPTIEMBRE!V102+OCTUBRE!AL102</f>
        <v>0</v>
      </c>
      <c r="W102" s="220">
        <f>SEPTIEMBRE!W102+OCTUBRE!AM102</f>
        <v>0</v>
      </c>
      <c r="X102" s="271">
        <f t="shared" si="99"/>
        <v>0</v>
      </c>
      <c r="Y102" s="270">
        <f>SEPTIEMBRE!AA102</f>
        <v>0</v>
      </c>
      <c r="Z102" s="208">
        <v>0</v>
      </c>
      <c r="AA102" s="271">
        <f t="shared" si="100"/>
        <v>0</v>
      </c>
      <c r="AB102" s="270">
        <f>SEPTIEMBRE!AD102</f>
        <v>0</v>
      </c>
      <c r="AC102" s="208">
        <v>0</v>
      </c>
      <c r="AD102" s="271">
        <f t="shared" si="101"/>
        <v>0</v>
      </c>
      <c r="AE102" s="270">
        <f>SEPTIEMBRE!AG102</f>
        <v>0</v>
      </c>
      <c r="AF102" s="208">
        <v>0</v>
      </c>
      <c r="AG102" s="271">
        <f t="shared" si="102"/>
        <v>0</v>
      </c>
      <c r="AH102" s="270">
        <f t="shared" si="103"/>
        <v>0</v>
      </c>
      <c r="AI102" s="220">
        <f t="shared" si="104"/>
        <v>0</v>
      </c>
      <c r="AJ102" s="269">
        <f t="shared" si="105"/>
        <v>0</v>
      </c>
      <c r="AK102" s="101"/>
      <c r="AL102" s="204">
        <v>0</v>
      </c>
      <c r="AM102" s="210">
        <v>0</v>
      </c>
    </row>
    <row r="103" spans="1:39" ht="24.75" customHeight="1" thickBot="1">
      <c r="R103" s="101"/>
      <c r="X103" s="191"/>
      <c r="AK103" s="216"/>
      <c r="AL103" s="249">
        <f>SUM(AL104:AL105)</f>
        <v>0</v>
      </c>
      <c r="AM103" s="250">
        <f>SUM(AM104:AM105)</f>
        <v>0</v>
      </c>
    </row>
    <row r="104" spans="1:39" ht="24.75" customHeight="1">
      <c r="A104" s="392">
        <f>+IF(JULIO!A104=0,"",JULIO!A104)</f>
        <v>11304</v>
      </c>
      <c r="B104" s="393" t="str">
        <f>+IF(JULIO!B104=0,"",JULIO!B104)</f>
        <v>Otros ingresos corrientes</v>
      </c>
      <c r="C104" s="384">
        <f t="shared" ref="C104:Q104" si="106">SUM(C105:C111)</f>
        <v>235000000</v>
      </c>
      <c r="D104" s="384">
        <f t="shared" si="106"/>
        <v>0</v>
      </c>
      <c r="E104" s="384">
        <f t="shared" si="106"/>
        <v>46961679</v>
      </c>
      <c r="F104" s="384">
        <f t="shared" si="106"/>
        <v>281961679</v>
      </c>
      <c r="G104" s="384">
        <f t="shared" si="106"/>
        <v>353273557</v>
      </c>
      <c r="H104" s="384">
        <f t="shared" si="106"/>
        <v>28661552</v>
      </c>
      <c r="I104" s="384">
        <f t="shared" si="106"/>
        <v>381935109</v>
      </c>
      <c r="J104" s="384">
        <f t="shared" si="106"/>
        <v>314146739</v>
      </c>
      <c r="K104" s="384">
        <f t="shared" si="106"/>
        <v>20567718</v>
      </c>
      <c r="L104" s="385">
        <f t="shared" si="106"/>
        <v>334714457</v>
      </c>
      <c r="M104" s="385">
        <f t="shared" si="106"/>
        <v>-99973430</v>
      </c>
      <c r="N104" s="1092">
        <f t="shared" si="106"/>
        <v>-52752778</v>
      </c>
      <c r="O104" s="289">
        <f>SUM(O105:O111)</f>
        <v>0</v>
      </c>
      <c r="P104" s="385">
        <f t="shared" si="106"/>
        <v>0</v>
      </c>
      <c r="Q104" s="1068">
        <f t="shared" si="106"/>
        <v>0</v>
      </c>
      <c r="R104" s="101"/>
      <c r="S104" s="257">
        <f>+IF(JULIO!S104=0,"",JULIO!S104)</f>
        <v>1020400</v>
      </c>
      <c r="T104" s="257" t="str">
        <f>+IF(JULIO!T104=0,"",JULIO!T104)</f>
        <v>Contribuciones Inherentes nómina del Sector Publico</v>
      </c>
      <c r="U104" s="230">
        <f>U105+U108</f>
        <v>0</v>
      </c>
      <c r="V104" s="230">
        <f>V105+V108</f>
        <v>0</v>
      </c>
      <c r="W104" s="231">
        <f>W105+W108</f>
        <v>20000000</v>
      </c>
      <c r="X104" s="234">
        <f>X105+X108</f>
        <v>20000000</v>
      </c>
      <c r="Y104" s="233">
        <f t="shared" ref="Y104:AJ104" si="107">Y105+Y108</f>
        <v>18261571</v>
      </c>
      <c r="Z104" s="231">
        <f t="shared" si="107"/>
        <v>0</v>
      </c>
      <c r="AA104" s="234">
        <f t="shared" si="107"/>
        <v>18261571</v>
      </c>
      <c r="AB104" s="233">
        <f t="shared" si="107"/>
        <v>18261571</v>
      </c>
      <c r="AC104" s="231">
        <f t="shared" si="107"/>
        <v>0</v>
      </c>
      <c r="AD104" s="234">
        <f t="shared" si="107"/>
        <v>18261571</v>
      </c>
      <c r="AE104" s="233">
        <f t="shared" si="107"/>
        <v>18261571</v>
      </c>
      <c r="AF104" s="231">
        <f t="shared" si="107"/>
        <v>0</v>
      </c>
      <c r="AG104" s="234">
        <f t="shared" si="107"/>
        <v>18261571</v>
      </c>
      <c r="AH104" s="233">
        <f t="shared" si="107"/>
        <v>1738429</v>
      </c>
      <c r="AI104" s="231">
        <f t="shared" si="107"/>
        <v>1738429</v>
      </c>
      <c r="AJ104" s="232">
        <f t="shared" si="107"/>
        <v>1738429</v>
      </c>
      <c r="AL104" s="233">
        <f>AL105+AL108</f>
        <v>0</v>
      </c>
      <c r="AM104" s="232">
        <f>AM105+AM108</f>
        <v>0</v>
      </c>
    </row>
    <row r="105" spans="1:39" ht="24.75" customHeight="1">
      <c r="A105" s="1005" t="str">
        <f>+IF(AGOSTO!A105=0,"",AGOSTO!A105)</f>
        <v>1.1.02.05.002.07</v>
      </c>
      <c r="B105" s="1000" t="str">
        <f>+IF(AGOSTO!B105=0,"",AGOSTO!B105)</f>
        <v>Servicios financieros y servicios conexos, servicios inmobiliarios y servicios de leasing (ARRENDAMIENTOS)</v>
      </c>
      <c r="C105" s="1001">
        <f>+ENERO!C105</f>
        <v>235000000</v>
      </c>
      <c r="D105" s="1002">
        <f>AGOSTO!D105+SEPTIEMBRE!P107</f>
        <v>0</v>
      </c>
      <c r="E105" s="205">
        <f>SEPTIEMBRE!E105+OCTUBRE!Q105</f>
        <v>0</v>
      </c>
      <c r="F105" s="1002">
        <f t="shared" ref="F105:F111" si="108">SUM(C105:E105)</f>
        <v>235000000</v>
      </c>
      <c r="G105" s="205">
        <f>SEPTIEMBRE!I105</f>
        <v>247929978</v>
      </c>
      <c r="H105" s="208">
        <v>28661552</v>
      </c>
      <c r="I105" s="1002">
        <f t="shared" ref="I105:I111" si="109">SUM(G105:H105)</f>
        <v>276591530</v>
      </c>
      <c r="J105" s="205">
        <f>SEPTIEMBRE!L105</f>
        <v>216108841</v>
      </c>
      <c r="K105" s="208">
        <v>20336707</v>
      </c>
      <c r="L105" s="1002">
        <f t="shared" ref="L105:L111" si="110">SUM(J105:K105)</f>
        <v>236445548</v>
      </c>
      <c r="M105" s="1002">
        <f t="shared" ref="M105:M111" si="111">F105-I105</f>
        <v>-41591530</v>
      </c>
      <c r="N105" s="1097">
        <f t="shared" ref="N105:N111" si="112">F105-L105</f>
        <v>-1445548</v>
      </c>
      <c r="O105" s="1002"/>
      <c r="P105" s="1001">
        <v>0</v>
      </c>
      <c r="Q105" s="1001">
        <v>0</v>
      </c>
      <c r="R105" s="101"/>
      <c r="S105" s="558">
        <f>+IF(AGOSTO!S105=0,"",AGOSTO!S105)</f>
        <v>1020402</v>
      </c>
      <c r="T105" s="1085" t="str">
        <f>+IF(JULIO!T105=0,"",JULIO!T105)</f>
        <v>Contribuciones - Otros</v>
      </c>
      <c r="U105" s="373">
        <f>SUM(U106:U107)</f>
        <v>0</v>
      </c>
      <c r="V105" s="373">
        <f>SUM(V106:V107)</f>
        <v>0</v>
      </c>
      <c r="W105" s="220">
        <f>SEPTIEMBRE!W105+OCTUBRE!AM105</f>
        <v>0</v>
      </c>
      <c r="X105" s="271">
        <f>SUM(X106:X107)</f>
        <v>0</v>
      </c>
      <c r="Y105" s="270">
        <f t="shared" ref="Y105:AG105" si="113">SUM(Y106:Y107)</f>
        <v>0</v>
      </c>
      <c r="Z105" s="300">
        <f t="shared" si="113"/>
        <v>0</v>
      </c>
      <c r="AA105" s="271">
        <f t="shared" si="113"/>
        <v>0</v>
      </c>
      <c r="AB105" s="270">
        <f t="shared" si="113"/>
        <v>0</v>
      </c>
      <c r="AC105" s="300">
        <f t="shared" si="113"/>
        <v>0</v>
      </c>
      <c r="AD105" s="271">
        <f t="shared" si="113"/>
        <v>0</v>
      </c>
      <c r="AE105" s="270">
        <f>SUM(AE106:AE107)</f>
        <v>0</v>
      </c>
      <c r="AF105" s="300">
        <f t="shared" si="113"/>
        <v>0</v>
      </c>
      <c r="AG105" s="271">
        <f t="shared" si="113"/>
        <v>0</v>
      </c>
      <c r="AH105" s="270">
        <f>SUM(AH106:AH107)</f>
        <v>0</v>
      </c>
      <c r="AI105" s="220">
        <f>SUM(AI106:AI107)</f>
        <v>0</v>
      </c>
      <c r="AJ105" s="269">
        <f>SUM(AJ106:AJ107)</f>
        <v>0</v>
      </c>
      <c r="AL105" s="220">
        <f>SUM(AL106:AL107)</f>
        <v>0</v>
      </c>
      <c r="AM105" s="220">
        <f>SUM(AM106:AM107)</f>
        <v>0</v>
      </c>
    </row>
    <row r="106" spans="1:39" ht="24.75" customHeight="1">
      <c r="A106" s="1005">
        <f>+IF(JUNIO!A106=0,"",JUNIO!A106)</f>
        <v>1020402</v>
      </c>
      <c r="B106" s="1003" t="str">
        <f>+IF(JUNIO!B106=0,"",JUNIO!B106)</f>
        <v/>
      </c>
      <c r="C106" s="1001">
        <f>+ENERO!C106</f>
        <v>0</v>
      </c>
      <c r="D106" s="1002">
        <f>JULIO!D106+AGOSTO!P106</f>
        <v>0</v>
      </c>
      <c r="E106" s="205">
        <f>SEPTIEMBRE!E106+OCTUBRE!Q106</f>
        <v>0</v>
      </c>
      <c r="F106" s="1002">
        <f t="shared" si="108"/>
        <v>0</v>
      </c>
      <c r="G106" s="205">
        <f>SEPTIEMBRE!I106</f>
        <v>0</v>
      </c>
      <c r="H106" s="208">
        <v>0</v>
      </c>
      <c r="I106" s="1002">
        <f t="shared" si="109"/>
        <v>0</v>
      </c>
      <c r="J106" s="205">
        <f>SEPTIEMBRE!L106</f>
        <v>0</v>
      </c>
      <c r="K106" s="208">
        <v>0</v>
      </c>
      <c r="L106" s="1002">
        <f t="shared" si="110"/>
        <v>0</v>
      </c>
      <c r="M106" s="1002">
        <f t="shared" si="111"/>
        <v>0</v>
      </c>
      <c r="N106" s="1097">
        <f t="shared" si="112"/>
        <v>0</v>
      </c>
      <c r="O106" s="1002"/>
      <c r="P106" s="1001">
        <v>0</v>
      </c>
      <c r="Q106" s="1069"/>
      <c r="R106" s="101"/>
      <c r="S106" s="311" t="str">
        <f>+IF(AGOSTO!S106=0,"",AGOSTO!S106)</f>
        <v>2.1.1.01.02.007-1</v>
      </c>
      <c r="T106" s="1086" t="str">
        <f>+IF(JULIO!T106=0,"",JULIO!T106)</f>
        <v>S.E.N.A.</v>
      </c>
      <c r="U106" s="373">
        <f>+ENERO!U106</f>
        <v>0</v>
      </c>
      <c r="V106" s="373">
        <f>+ENERO!V106</f>
        <v>0</v>
      </c>
      <c r="W106" s="220">
        <f>SEPTIEMBRE!W106+OCTUBRE!AM106</f>
        <v>0</v>
      </c>
      <c r="X106" s="271">
        <f>SUM(U106:W106)</f>
        <v>0</v>
      </c>
      <c r="Y106" s="270">
        <f>SEPTIEMBRE!AA106</f>
        <v>0</v>
      </c>
      <c r="Z106" s="208">
        <v>0</v>
      </c>
      <c r="AA106" s="271">
        <f>SUM(Y106:Z106)</f>
        <v>0</v>
      </c>
      <c r="AB106" s="270">
        <f>SEPTIEMBRE!AD106</f>
        <v>0</v>
      </c>
      <c r="AC106" s="208">
        <v>0</v>
      </c>
      <c r="AD106" s="271">
        <f>SUM(AB106:AC106)</f>
        <v>0</v>
      </c>
      <c r="AE106" s="270">
        <f>SEPTIEMBRE!AG106</f>
        <v>0</v>
      </c>
      <c r="AF106" s="208">
        <v>0</v>
      </c>
      <c r="AG106" s="271">
        <f>SUM(AE106:AF106)</f>
        <v>0</v>
      </c>
      <c r="AH106" s="270">
        <f>X106-AA106</f>
        <v>0</v>
      </c>
      <c r="AI106" s="220">
        <f>X106-AD106</f>
        <v>0</v>
      </c>
      <c r="AJ106" s="269">
        <f>X106-AG106</f>
        <v>0</v>
      </c>
      <c r="AL106" s="204">
        <v>0</v>
      </c>
      <c r="AM106" s="210">
        <v>0</v>
      </c>
    </row>
    <row r="107" spans="1:39" ht="24.75" customHeight="1">
      <c r="A107" s="1005" t="str">
        <f>+IF(AGOSTO!A107=0,"",AGOSTO!A107)</f>
        <v/>
      </c>
      <c r="B107" s="1000" t="str">
        <f>+IF(AGOSTO!B107=0,"",AGOSTO!B107)</f>
        <v/>
      </c>
      <c r="C107" s="1001">
        <f>+ENERO!C107</f>
        <v>0</v>
      </c>
      <c r="D107" s="1002">
        <f>AGOSTO!D107+SEPTIEMBRE!P109</f>
        <v>0</v>
      </c>
      <c r="E107" s="205">
        <f>SEPTIEMBRE!E107+OCTUBRE!Q107</f>
        <v>0</v>
      </c>
      <c r="F107" s="1002">
        <f t="shared" si="108"/>
        <v>0</v>
      </c>
      <c r="G107" s="205">
        <f>SEPTIEMBRE!I107</f>
        <v>0</v>
      </c>
      <c r="H107" s="208">
        <v>0</v>
      </c>
      <c r="I107" s="1002">
        <f t="shared" si="109"/>
        <v>0</v>
      </c>
      <c r="J107" s="205">
        <f>SEPTIEMBRE!L107</f>
        <v>0</v>
      </c>
      <c r="K107" s="208">
        <v>0</v>
      </c>
      <c r="L107" s="1002">
        <f t="shared" si="110"/>
        <v>0</v>
      </c>
      <c r="M107" s="1002">
        <f t="shared" si="111"/>
        <v>0</v>
      </c>
      <c r="N107" s="1097">
        <f t="shared" si="112"/>
        <v>0</v>
      </c>
      <c r="O107" s="1002"/>
      <c r="P107" s="1001">
        <v>0</v>
      </c>
      <c r="Q107" s="563">
        <v>0</v>
      </c>
      <c r="R107" s="101"/>
      <c r="S107" s="311" t="str">
        <f>+IF(AGOSTO!S107=0,"",AGOSTO!S107)</f>
        <v>2.1.1.01.02.006-1</v>
      </c>
      <c r="T107" s="1086" t="str">
        <f>+IF(JULIO!T107=0,"",JULIO!T107)</f>
        <v>I.C.B.F.</v>
      </c>
      <c r="U107" s="373">
        <f>+ENERO!U107</f>
        <v>0</v>
      </c>
      <c r="V107" s="373">
        <f>+ENERO!V107</f>
        <v>0</v>
      </c>
      <c r="W107" s="220">
        <f>SEPTIEMBRE!W107+OCTUBRE!AM107</f>
        <v>0</v>
      </c>
      <c r="X107" s="271">
        <f>SUM(U107:W107)</f>
        <v>0</v>
      </c>
      <c r="Y107" s="270">
        <f>SEPTIEMBRE!AA107</f>
        <v>0</v>
      </c>
      <c r="Z107" s="208">
        <v>0</v>
      </c>
      <c r="AA107" s="271">
        <f>SUM(Y107:Z107)</f>
        <v>0</v>
      </c>
      <c r="AB107" s="270">
        <f>SEPTIEMBRE!AD107</f>
        <v>0</v>
      </c>
      <c r="AC107" s="208">
        <v>0</v>
      </c>
      <c r="AD107" s="271">
        <f>SUM(AB107:AC107)</f>
        <v>0</v>
      </c>
      <c r="AE107" s="270">
        <f>SEPTIEMBRE!AG107</f>
        <v>0</v>
      </c>
      <c r="AF107" s="208">
        <v>0</v>
      </c>
      <c r="AG107" s="271">
        <f>SUM(AE107:AF107)</f>
        <v>0</v>
      </c>
      <c r="AH107" s="270">
        <f>X107-AA107</f>
        <v>0</v>
      </c>
      <c r="AI107" s="220">
        <f>X107-AD107</f>
        <v>0</v>
      </c>
      <c r="AJ107" s="269">
        <f>X107-AG107</f>
        <v>0</v>
      </c>
      <c r="AL107" s="204">
        <v>0</v>
      </c>
      <c r="AM107" s="210">
        <v>0</v>
      </c>
    </row>
    <row r="108" spans="1:39" ht="24.75" customHeight="1">
      <c r="A108" s="1005" t="str">
        <f>+IF(AGOSTO!A108=0,"",AGOSTO!A108)</f>
        <v/>
      </c>
      <c r="B108" s="1000" t="str">
        <f>+IF(AGOSTO!B108=0,"",AGOSTO!B108)</f>
        <v/>
      </c>
      <c r="C108" s="1001">
        <f>+ENERO!C108</f>
        <v>0</v>
      </c>
      <c r="D108" s="1002">
        <f>AGOSTO!D108+SEPTIEMBRE!P110</f>
        <v>0</v>
      </c>
      <c r="E108" s="205">
        <f>SEPTIEMBRE!E108+OCTUBRE!Q108</f>
        <v>0</v>
      </c>
      <c r="F108" s="1002">
        <f t="shared" si="108"/>
        <v>0</v>
      </c>
      <c r="G108" s="205">
        <f>SEPTIEMBRE!I108</f>
        <v>0</v>
      </c>
      <c r="H108" s="208">
        <v>0</v>
      </c>
      <c r="I108" s="1002">
        <f t="shared" si="109"/>
        <v>0</v>
      </c>
      <c r="J108" s="205">
        <f>SEPTIEMBRE!L108</f>
        <v>0</v>
      </c>
      <c r="K108" s="208">
        <v>0</v>
      </c>
      <c r="L108" s="1002">
        <f t="shared" si="110"/>
        <v>0</v>
      </c>
      <c r="M108" s="1002">
        <f t="shared" si="111"/>
        <v>0</v>
      </c>
      <c r="N108" s="1097">
        <f t="shared" si="112"/>
        <v>0</v>
      </c>
      <c r="O108" s="1002"/>
      <c r="P108" s="1001">
        <v>0</v>
      </c>
      <c r="Q108" s="563">
        <v>0</v>
      </c>
      <c r="R108" s="101"/>
      <c r="S108" s="266" t="str">
        <f>+IF(AGOSTO!S108=0,"",AGOSTO!S108)</f>
        <v>2.1.2.02.02.008.99.04</v>
      </c>
      <c r="T108" s="1085" t="str">
        <f>+IF(JULIO!T108=0,"",JULIO!T108)</f>
        <v>Vigencias Anteriores Servicios personales administrativos</v>
      </c>
      <c r="U108" s="373">
        <f>+ENERO!U108</f>
        <v>0</v>
      </c>
      <c r="V108" s="373">
        <f>+ENERO!V108</f>
        <v>0</v>
      </c>
      <c r="W108" s="220">
        <f>SEPTIEMBRE!W108+OCTUBRE!AM108</f>
        <v>20000000</v>
      </c>
      <c r="X108" s="271">
        <f>SUM(U108:W108)</f>
        <v>20000000</v>
      </c>
      <c r="Y108" s="270">
        <f>SEPTIEMBRE!AA108</f>
        <v>18261571</v>
      </c>
      <c r="Z108" s="208">
        <v>0</v>
      </c>
      <c r="AA108" s="271">
        <f>SUM(Y108:Z108)</f>
        <v>18261571</v>
      </c>
      <c r="AB108" s="270">
        <f>SEPTIEMBRE!AD108</f>
        <v>18261571</v>
      </c>
      <c r="AC108" s="208">
        <v>0</v>
      </c>
      <c r="AD108" s="271">
        <f>SUM(AB108:AC108)</f>
        <v>18261571</v>
      </c>
      <c r="AE108" s="270">
        <f>SEPTIEMBRE!AG108</f>
        <v>18261571</v>
      </c>
      <c r="AF108" s="208">
        <v>0</v>
      </c>
      <c r="AG108" s="271">
        <f>SUM(AE108:AF108)</f>
        <v>18261571</v>
      </c>
      <c r="AH108" s="270">
        <f>X108-AA108</f>
        <v>1738429</v>
      </c>
      <c r="AI108" s="220">
        <f>X108-AD108</f>
        <v>1738429</v>
      </c>
      <c r="AJ108" s="269">
        <f>X108-AG108</f>
        <v>1738429</v>
      </c>
      <c r="AL108" s="204">
        <v>0</v>
      </c>
      <c r="AM108" s="210">
        <v>0</v>
      </c>
    </row>
    <row r="109" spans="1:39" ht="24.75" customHeight="1">
      <c r="A109" s="1005" t="str">
        <f>+IF(AGOSTO!A109=0,"",AGOSTO!A109)</f>
        <v>1.1.02.05.002.08</v>
      </c>
      <c r="B109" s="1000" t="str">
        <f>+IF(AGOSTO!B109=0,"",AGOSTO!B109)</f>
        <v>Servicios prestados a las empresas y servicios de producción(APROVECHAMIENTOS)</v>
      </c>
      <c r="C109" s="1001">
        <f>+ENERO!C109</f>
        <v>0</v>
      </c>
      <c r="D109" s="1002">
        <f>AGOSTO!D109+SEPTIEMBRE!P111</f>
        <v>0</v>
      </c>
      <c r="E109" s="205">
        <f>SEPTIEMBRE!E109+OCTUBRE!Q109</f>
        <v>27224890</v>
      </c>
      <c r="F109" s="1002">
        <f t="shared" si="108"/>
        <v>27224890</v>
      </c>
      <c r="G109" s="205">
        <f>SEPTIEMBRE!I109</f>
        <v>85606790</v>
      </c>
      <c r="H109" s="208">
        <v>0</v>
      </c>
      <c r="I109" s="1002">
        <f t="shared" si="109"/>
        <v>85606790</v>
      </c>
      <c r="J109" s="205">
        <f>SEPTIEMBRE!L109</f>
        <v>78301109</v>
      </c>
      <c r="K109" s="208">
        <v>231011</v>
      </c>
      <c r="L109" s="1002">
        <f t="shared" si="110"/>
        <v>78532120</v>
      </c>
      <c r="M109" s="1002">
        <f t="shared" si="111"/>
        <v>-58381900</v>
      </c>
      <c r="N109" s="1097">
        <f t="shared" si="112"/>
        <v>-51307230</v>
      </c>
      <c r="O109" s="1002"/>
      <c r="P109" s="1001">
        <v>0</v>
      </c>
      <c r="Q109" s="563">
        <v>0</v>
      </c>
      <c r="R109" s="101"/>
      <c r="S109" s="699">
        <f>+IF(AGOSTO!S109=0,"",AGOSTO!S109)</f>
        <v>23625024</v>
      </c>
      <c r="T109" s="700" t="str">
        <f>+IF(AGOSTO!T109=0,"",AGOSTO!T109)</f>
        <v/>
      </c>
      <c r="U109" s="373"/>
      <c r="V109" s="220"/>
      <c r="W109" s="220"/>
      <c r="X109" s="191"/>
      <c r="Y109" s="703"/>
      <c r="Z109" s="701"/>
      <c r="AA109" s="702"/>
      <c r="AB109" s="703"/>
      <c r="AC109" s="701"/>
      <c r="AD109" s="702"/>
      <c r="AE109" s="703"/>
      <c r="AF109" s="701"/>
      <c r="AG109" s="702"/>
      <c r="AH109" s="703"/>
      <c r="AI109" s="701"/>
      <c r="AJ109" s="704"/>
      <c r="AK109" s="101"/>
      <c r="AL109" s="194"/>
      <c r="AM109" s="195"/>
    </row>
    <row r="110" spans="1:39" ht="24.75" customHeight="1">
      <c r="A110" s="1005" t="str">
        <f>+IF(AGOSTO!A110=0,"",AGOSTO!A110)</f>
        <v>1.1.02.05.002.09</v>
      </c>
      <c r="B110" s="1000" t="str">
        <f>+IF(AGOSTO!B110=0,"",AGOSTO!B110)</f>
        <v>Convenio Docencia Servicio</v>
      </c>
      <c r="C110" s="1001">
        <f>+ENERO!C110</f>
        <v>0</v>
      </c>
      <c r="D110" s="1002">
        <f>AGOSTO!D110+SEPTIEMBRE!P138</f>
        <v>0</v>
      </c>
      <c r="E110" s="205">
        <f>SEPTIEMBRE!E110+OCTUBRE!Q110</f>
        <v>0</v>
      </c>
      <c r="F110" s="1002">
        <f t="shared" si="108"/>
        <v>0</v>
      </c>
      <c r="G110" s="205">
        <f>SEPTIEMBRE!I110</f>
        <v>0</v>
      </c>
      <c r="H110" s="208">
        <v>0</v>
      </c>
      <c r="I110" s="1002">
        <f t="shared" si="109"/>
        <v>0</v>
      </c>
      <c r="J110" s="205">
        <f>SEPTIEMBRE!L110</f>
        <v>0</v>
      </c>
      <c r="K110" s="208">
        <v>0</v>
      </c>
      <c r="L110" s="1002">
        <f t="shared" si="110"/>
        <v>0</v>
      </c>
      <c r="M110" s="1002">
        <f t="shared" si="111"/>
        <v>0</v>
      </c>
      <c r="N110" s="1097">
        <f t="shared" si="112"/>
        <v>0</v>
      </c>
      <c r="O110" s="1002"/>
      <c r="P110" s="1001">
        <v>0</v>
      </c>
      <c r="Q110" s="563">
        <v>0</v>
      </c>
      <c r="R110" s="101"/>
      <c r="S110" s="228">
        <f>+IF(AGOSTO!S110=0,"",AGOSTO!S110)</f>
        <v>2000000</v>
      </c>
      <c r="T110" s="404" t="str">
        <f>+IF(AGOSTO!T110=0,"",AGOSTO!T110)</f>
        <v>GASTOS GENERALES</v>
      </c>
      <c r="U110" s="405">
        <f>U112+U145</f>
        <v>21968169670.620834</v>
      </c>
      <c r="V110" s="406">
        <f>V112+V145</f>
        <v>538478115</v>
      </c>
      <c r="W110" s="406">
        <f>W112+W145</f>
        <v>1593508020</v>
      </c>
      <c r="X110" s="407">
        <f>X112+X145</f>
        <v>24100155805.620831</v>
      </c>
      <c r="Y110" s="217">
        <f t="shared" ref="Y110:AJ110" si="114">Y112+Y145</f>
        <v>14733073954</v>
      </c>
      <c r="Z110" s="406">
        <f t="shared" si="114"/>
        <v>1186951384</v>
      </c>
      <c r="AA110" s="407">
        <f t="shared" si="114"/>
        <v>15920025338</v>
      </c>
      <c r="AB110" s="217">
        <f t="shared" si="114"/>
        <v>12391311551</v>
      </c>
      <c r="AC110" s="406">
        <f t="shared" si="114"/>
        <v>1434672403</v>
      </c>
      <c r="AD110" s="407">
        <f t="shared" si="114"/>
        <v>13825983954</v>
      </c>
      <c r="AE110" s="217">
        <f t="shared" si="114"/>
        <v>9289815017</v>
      </c>
      <c r="AF110" s="406">
        <f t="shared" si="114"/>
        <v>971399921</v>
      </c>
      <c r="AG110" s="407">
        <f t="shared" si="114"/>
        <v>10261214938</v>
      </c>
      <c r="AH110" s="217">
        <f t="shared" si="114"/>
        <v>8180130467.6208324</v>
      </c>
      <c r="AI110" s="406">
        <f t="shared" si="114"/>
        <v>10274171851.620832</v>
      </c>
      <c r="AJ110" s="218">
        <f t="shared" si="114"/>
        <v>13838940867.620832</v>
      </c>
      <c r="AK110" s="218"/>
      <c r="AL110" s="233">
        <f>AL112+AL145</f>
        <v>123540245</v>
      </c>
      <c r="AM110" s="232">
        <f>AM112+AM145</f>
        <v>0</v>
      </c>
    </row>
    <row r="111" spans="1:39" ht="24.75" customHeight="1">
      <c r="A111" s="1005" t="str">
        <f>+IF(AGOSTO!A111=0,"",AGOSTO!A111)</f>
        <v>1.1.02.05.002.07.99</v>
      </c>
      <c r="B111" s="1004" t="str">
        <f>+IF(AGOSTO!B111=0,"",AGOSTO!B111)</f>
        <v>Vigencia anterior Servicios financieros y servicios conexos, servicios inmobiliarios y servicios de leasing (ARRENDAMIENTOS)</v>
      </c>
      <c r="C111" s="1001">
        <f>+ENERO!C111</f>
        <v>0</v>
      </c>
      <c r="D111" s="1002">
        <f>AGOSTO!D111+SEPTIEMBRE!P139</f>
        <v>0</v>
      </c>
      <c r="E111" s="205">
        <f>SEPTIEMBRE!E111+OCTUBRE!Q111</f>
        <v>19736789</v>
      </c>
      <c r="F111" s="1002">
        <f t="shared" si="108"/>
        <v>19736789</v>
      </c>
      <c r="G111" s="205">
        <f>SEPTIEMBRE!I111</f>
        <v>19736789</v>
      </c>
      <c r="H111" s="1001"/>
      <c r="I111" s="1002">
        <f t="shared" si="109"/>
        <v>19736789</v>
      </c>
      <c r="J111" s="205">
        <f>SEPTIEMBRE!L111</f>
        <v>19736789</v>
      </c>
      <c r="K111" s="1001"/>
      <c r="L111" s="1002">
        <f t="shared" si="110"/>
        <v>19736789</v>
      </c>
      <c r="M111" s="1002">
        <f t="shared" si="111"/>
        <v>0</v>
      </c>
      <c r="N111" s="1097">
        <f t="shared" si="112"/>
        <v>0</v>
      </c>
      <c r="O111" s="1002"/>
      <c r="P111" s="1001">
        <v>0</v>
      </c>
      <c r="Q111" s="563">
        <v>0</v>
      </c>
      <c r="R111" s="101"/>
      <c r="S111" s="189">
        <f>+IF(AGOSTO!S111=0,"",AGOSTO!S111)</f>
        <v>18355520</v>
      </c>
      <c r="T111" s="488" t="str">
        <f>+IF(AGOSTO!T111=0,"",AGOSTO!T111)</f>
        <v/>
      </c>
      <c r="U111" s="191"/>
      <c r="V111" s="191"/>
      <c r="W111" s="191"/>
      <c r="X111" s="191"/>
      <c r="Y111" s="191"/>
      <c r="Z111" s="191"/>
      <c r="AA111" s="191"/>
      <c r="AB111" s="191"/>
      <c r="AC111" s="191"/>
      <c r="AD111" s="191"/>
      <c r="AE111" s="191"/>
      <c r="AF111" s="191"/>
      <c r="AG111" s="191"/>
      <c r="AH111" s="191"/>
      <c r="AI111" s="191"/>
      <c r="AJ111" s="192"/>
      <c r="AK111" s="101"/>
      <c r="AL111" s="194"/>
      <c r="AM111" s="195"/>
    </row>
    <row r="112" spans="1:39" ht="24.75" customHeight="1" thickBot="1">
      <c r="R112" s="101"/>
      <c r="S112" s="228">
        <f>+IF(JULIO!S112=0,"",JULIO!S112)</f>
        <v>2010000</v>
      </c>
      <c r="T112" s="229" t="str">
        <f>+IF(JULIO!T112=0,"",JULIO!T112)</f>
        <v>Gastos de Administración</v>
      </c>
      <c r="U112" s="230">
        <f>U114+U123+U141</f>
        <v>10075238362.444445</v>
      </c>
      <c r="V112" s="231">
        <f>V114+V123+V141</f>
        <v>183478115</v>
      </c>
      <c r="W112" s="231">
        <f>W114+W123+W141</f>
        <v>169879991</v>
      </c>
      <c r="X112" s="234">
        <f>X114+X123+X141</f>
        <v>10428596468.444443</v>
      </c>
      <c r="Y112" s="233">
        <f t="shared" ref="Y112:AJ112" si="115">Y114+Y123+Y141</f>
        <v>7932166516</v>
      </c>
      <c r="Z112" s="231">
        <f t="shared" si="115"/>
        <v>713487449</v>
      </c>
      <c r="AA112" s="234">
        <f t="shared" si="115"/>
        <v>8645653965</v>
      </c>
      <c r="AB112" s="233">
        <f t="shared" si="115"/>
        <v>6805361059</v>
      </c>
      <c r="AC112" s="231">
        <f t="shared" si="115"/>
        <v>992645133</v>
      </c>
      <c r="AD112" s="234">
        <f t="shared" si="115"/>
        <v>7798006192</v>
      </c>
      <c r="AE112" s="233">
        <f t="shared" si="115"/>
        <v>6032840671</v>
      </c>
      <c r="AF112" s="231">
        <f t="shared" si="115"/>
        <v>721268680</v>
      </c>
      <c r="AG112" s="234">
        <f t="shared" si="115"/>
        <v>6754109351</v>
      </c>
      <c r="AH112" s="233">
        <f t="shared" si="115"/>
        <v>1782942503.4444442</v>
      </c>
      <c r="AI112" s="231">
        <f t="shared" si="115"/>
        <v>2630590276.4444442</v>
      </c>
      <c r="AJ112" s="232">
        <f t="shared" si="115"/>
        <v>3674487117.4444442</v>
      </c>
      <c r="AK112" s="101"/>
      <c r="AL112" s="233">
        <f>AL114+AL123+AL141</f>
        <v>123540245</v>
      </c>
      <c r="AM112" s="232">
        <f>AM114+AM123+AM141</f>
        <v>0</v>
      </c>
    </row>
    <row r="113" spans="1:39" ht="24.75" customHeight="1" thickBot="1">
      <c r="A113" s="286">
        <f>+IF(AGOSTO!A113=0,"",AGOSTO!A113)</f>
        <v>2000</v>
      </c>
      <c r="B113" s="695" t="str">
        <f>+IF(AGOSTO!B113=0,"",AGOSTO!B113)</f>
        <v>INGRESOS DE CAPITAL</v>
      </c>
      <c r="C113" s="409">
        <f t="shared" ref="C113:N113" si="116">SUM(C115:C124)</f>
        <v>0</v>
      </c>
      <c r="D113" s="410">
        <f t="shared" si="116"/>
        <v>0</v>
      </c>
      <c r="E113" s="410">
        <f t="shared" si="116"/>
        <v>0</v>
      </c>
      <c r="F113" s="410">
        <f t="shared" si="116"/>
        <v>0</v>
      </c>
      <c r="G113" s="410">
        <f t="shared" si="116"/>
        <v>0</v>
      </c>
      <c r="H113" s="410">
        <f t="shared" si="116"/>
        <v>0</v>
      </c>
      <c r="I113" s="410">
        <f t="shared" si="116"/>
        <v>0</v>
      </c>
      <c r="J113" s="410">
        <f t="shared" si="116"/>
        <v>0</v>
      </c>
      <c r="K113" s="410">
        <f t="shared" si="116"/>
        <v>0</v>
      </c>
      <c r="L113" s="410">
        <f t="shared" si="116"/>
        <v>0</v>
      </c>
      <c r="M113" s="410">
        <f t="shared" si="116"/>
        <v>0</v>
      </c>
      <c r="N113" s="1098">
        <f t="shared" si="116"/>
        <v>0</v>
      </c>
      <c r="O113" s="369"/>
      <c r="P113" s="171">
        <f>SUM(P115:P124)</f>
        <v>0</v>
      </c>
      <c r="Q113" s="173">
        <f>SUM(Q115:Q124)</f>
        <v>0</v>
      </c>
      <c r="R113" s="101"/>
      <c r="X113" s="191"/>
    </row>
    <row r="114" spans="1:39" ht="24.75" customHeight="1">
      <c r="N114" s="1099"/>
      <c r="R114" s="101"/>
      <c r="S114" s="1014">
        <f>+IF(JULIO!S114=0,"",JULIO!S114)</f>
        <v>2010100</v>
      </c>
      <c r="T114" s="1015" t="str">
        <f>+IF(JULIO!T114=0,"",JULIO!T114)</f>
        <v>Adquisición de bienes</v>
      </c>
      <c r="U114" s="230">
        <f>SUM(U115:U121)</f>
        <v>1246863273.1666665</v>
      </c>
      <c r="V114" s="230">
        <f>SUM(V115:V121)</f>
        <v>0</v>
      </c>
      <c r="W114" s="230">
        <f>SUM(W115:W121)</f>
        <v>0</v>
      </c>
      <c r="X114" s="230">
        <f>SUM(X115:X121)</f>
        <v>1246863273.1666665</v>
      </c>
      <c r="Y114" s="234">
        <f t="shared" ref="Y114:AK114" si="117">SUM(Y115:Y121)</f>
        <v>442625250</v>
      </c>
      <c r="Z114" s="233">
        <f t="shared" si="117"/>
        <v>14851887</v>
      </c>
      <c r="AA114" s="231">
        <f t="shared" si="117"/>
        <v>457477137</v>
      </c>
      <c r="AB114" s="234">
        <f t="shared" si="117"/>
        <v>387168157</v>
      </c>
      <c r="AC114" s="233">
        <f t="shared" si="117"/>
        <v>34900673</v>
      </c>
      <c r="AD114" s="231">
        <f t="shared" si="117"/>
        <v>422068830</v>
      </c>
      <c r="AE114" s="234">
        <f>SUM(AE115:AE121)</f>
        <v>303506905</v>
      </c>
      <c r="AF114" s="233">
        <f t="shared" si="117"/>
        <v>20966286</v>
      </c>
      <c r="AG114" s="231">
        <f t="shared" si="117"/>
        <v>324473191</v>
      </c>
      <c r="AH114" s="234">
        <f>SUM(AH115:AH121)</f>
        <v>789386136.16666663</v>
      </c>
      <c r="AI114" s="233">
        <f>SUM(AI115:AI121)</f>
        <v>824794443.16666663</v>
      </c>
      <c r="AJ114" s="231">
        <f>SUM(AJ115:AJ121)</f>
        <v>922390082.16666663</v>
      </c>
      <c r="AK114" s="232">
        <f t="shared" si="117"/>
        <v>0</v>
      </c>
      <c r="AL114" s="233">
        <f>SUM(AL115:AL121)</f>
        <v>0</v>
      </c>
      <c r="AM114" s="232">
        <f>SUM(AM115:AM121)</f>
        <v>0</v>
      </c>
    </row>
    <row r="115" spans="1:39" ht="24.75" customHeight="1">
      <c r="A115" s="412">
        <f>+IF(JULIO!A115=0,"",JULIO!A115)</f>
        <v>2100</v>
      </c>
      <c r="B115" s="387" t="str">
        <f>+IF(JULIO!B115=0,"",JULIO!B115)</f>
        <v>CREDITO INTERNO</v>
      </c>
      <c r="C115" s="204">
        <f>+ENERO!C115</f>
        <v>0</v>
      </c>
      <c r="D115" s="413">
        <f>JULIO!D115+AGOSTO!P115</f>
        <v>0</v>
      </c>
      <c r="E115" s="205">
        <f>SEPTIEMBRE!E115+OCTUBRE!Q115</f>
        <v>0</v>
      </c>
      <c r="F115" s="414">
        <f t="shared" ref="F115:F124" si="118">SUM(C115:E115)</f>
        <v>0</v>
      </c>
      <c r="G115" s="205">
        <f>SEPTIEMBRE!I115</f>
        <v>0</v>
      </c>
      <c r="H115" s="208">
        <v>0</v>
      </c>
      <c r="I115" s="414">
        <f t="shared" ref="I115:I124" si="119">SUM(G115:H115)</f>
        <v>0</v>
      </c>
      <c r="J115" s="205">
        <f>SEPTIEMBRE!L115</f>
        <v>0</v>
      </c>
      <c r="K115" s="208">
        <v>0</v>
      </c>
      <c r="L115" s="416">
        <f t="shared" ref="L115:L124" si="120">SUM(J115:K115)</f>
        <v>0</v>
      </c>
      <c r="M115" s="417">
        <f t="shared" ref="M115:M124" si="121">F115-I115</f>
        <v>0</v>
      </c>
      <c r="N115" s="694">
        <f t="shared" ref="N115:N124" si="122">F115-L115</f>
        <v>0</v>
      </c>
      <c r="O115" s="369"/>
      <c r="P115" s="204">
        <v>0</v>
      </c>
      <c r="Q115" s="210">
        <v>0</v>
      </c>
      <c r="R115" s="101"/>
      <c r="S115" s="1016" t="str">
        <f>+IF(AGOSTO!S115=0,"",AGOSTO!S115)</f>
        <v>2.1.2.02.01.003.302</v>
      </c>
      <c r="T115" s="1013" t="str">
        <f>+IF(AGOSTO!T115=0,"",AGOSTO!T115)</f>
        <v>Papeleria</v>
      </c>
      <c r="U115" s="557">
        <f>+ENERO!U115</f>
        <v>252782338.5</v>
      </c>
      <c r="V115" s="1062">
        <f>SEPTIEMBRE!V115+OCTUBRE!AL115</f>
        <v>0</v>
      </c>
      <c r="W115" s="1062">
        <f>SEPTIEMBRE!W115+OCTUBRE!AM115</f>
        <v>0</v>
      </c>
      <c r="X115" s="271">
        <f t="shared" ref="X115:X121" si="123">SUM(U115:W115)</f>
        <v>252782338.5</v>
      </c>
      <c r="Y115" s="270">
        <f>SEPTIEMBRE!AA115</f>
        <v>196994319</v>
      </c>
      <c r="Z115" s="208">
        <v>14851887</v>
      </c>
      <c r="AA115" s="271">
        <f t="shared" ref="AA115:AA121" si="124">SUM(Y115:Z115)</f>
        <v>211846206</v>
      </c>
      <c r="AB115" s="270">
        <f>SEPTIEMBRE!AD115</f>
        <v>173949955</v>
      </c>
      <c r="AC115" s="208">
        <v>30131901</v>
      </c>
      <c r="AD115" s="271">
        <f t="shared" ref="AD115:AD121" si="125">SUM(AB115:AC115)</f>
        <v>204081856</v>
      </c>
      <c r="AE115" s="270">
        <f>SEPTIEMBRE!AG115</f>
        <v>104394973</v>
      </c>
      <c r="AF115" s="208">
        <v>17660525</v>
      </c>
      <c r="AG115" s="271">
        <f t="shared" ref="AG115:AG121" si="126">SUM(AE115:AF115)</f>
        <v>122055498</v>
      </c>
      <c r="AH115" s="270">
        <f t="shared" ref="AH115:AH121" si="127">X115-AA115</f>
        <v>40936132.5</v>
      </c>
      <c r="AI115" s="220">
        <f t="shared" ref="AI115:AI121" si="128">X115-AD115</f>
        <v>48700482.5</v>
      </c>
      <c r="AJ115" s="269">
        <f t="shared" ref="AJ115:AJ121" si="129">X115-AG115</f>
        <v>130726840.5</v>
      </c>
      <c r="AK115" s="101"/>
      <c r="AL115" s="204">
        <v>0</v>
      </c>
      <c r="AM115" s="210">
        <v>0</v>
      </c>
    </row>
    <row r="116" spans="1:39" ht="24.75" customHeight="1">
      <c r="A116" s="412" t="str">
        <f>+IF(JULIO!A116=0,"",JULIO!A116)</f>
        <v>2100-1</v>
      </c>
      <c r="B116" s="388" t="str">
        <f>+IF(JULIO!B116=0,"",JULIO!B116)</f>
        <v>Vigencia Anterior</v>
      </c>
      <c r="C116" s="204">
        <f>+ENERO!C116</f>
        <v>0</v>
      </c>
      <c r="D116" s="413">
        <f>JULIO!D116+AGOSTO!P116</f>
        <v>0</v>
      </c>
      <c r="E116" s="205">
        <f>SEPTIEMBRE!E116+OCTUBRE!Q116</f>
        <v>0</v>
      </c>
      <c r="F116" s="414">
        <f t="shared" si="118"/>
        <v>0</v>
      </c>
      <c r="G116" s="205">
        <f>SEPTIEMBRE!I116</f>
        <v>0</v>
      </c>
      <c r="H116" s="208">
        <v>0</v>
      </c>
      <c r="I116" s="414">
        <f t="shared" si="119"/>
        <v>0</v>
      </c>
      <c r="J116" s="205">
        <f>SEPTIEMBRE!L116</f>
        <v>0</v>
      </c>
      <c r="K116" s="208">
        <v>0</v>
      </c>
      <c r="L116" s="416">
        <f t="shared" si="120"/>
        <v>0</v>
      </c>
      <c r="M116" s="417">
        <f t="shared" si="121"/>
        <v>0</v>
      </c>
      <c r="N116" s="694">
        <f t="shared" si="122"/>
        <v>0</v>
      </c>
      <c r="O116" s="369"/>
      <c r="P116" s="204">
        <v>0</v>
      </c>
      <c r="Q116" s="210">
        <v>0</v>
      </c>
      <c r="R116" s="101"/>
      <c r="S116" s="1016" t="str">
        <f>+IF(AGOSTO!S116=0,"",AGOSTO!S116)</f>
        <v>2.1.2.02.01.003.301</v>
      </c>
      <c r="T116" s="1013" t="str">
        <f>+IF(AGOSTO!T116=0,"",AGOSTO!T116)</f>
        <v>Combustible</v>
      </c>
      <c r="U116" s="557">
        <f>+ENERO!U116</f>
        <v>77916666.666666657</v>
      </c>
      <c r="V116" s="1062">
        <f>SEPTIEMBRE!V116+OCTUBRE!AL116</f>
        <v>0</v>
      </c>
      <c r="W116" s="1062">
        <f>SEPTIEMBRE!W116+OCTUBRE!AM116</f>
        <v>0</v>
      </c>
      <c r="X116" s="271">
        <f t="shared" si="123"/>
        <v>77916666.666666657</v>
      </c>
      <c r="Y116" s="270">
        <f>SEPTIEMBRE!AA116</f>
        <v>60000000</v>
      </c>
      <c r="Z116" s="208"/>
      <c r="AA116" s="271">
        <f t="shared" si="124"/>
        <v>60000000</v>
      </c>
      <c r="AB116" s="270">
        <f>SEPTIEMBRE!AD116</f>
        <v>29513573</v>
      </c>
      <c r="AC116" s="208">
        <v>2842470</v>
      </c>
      <c r="AD116" s="271">
        <f t="shared" si="125"/>
        <v>32356043</v>
      </c>
      <c r="AE116" s="270">
        <f>SEPTIEMBRE!AG116</f>
        <v>24558506</v>
      </c>
      <c r="AF116" s="208">
        <v>3305761</v>
      </c>
      <c r="AG116" s="271">
        <f t="shared" si="126"/>
        <v>27864267</v>
      </c>
      <c r="AH116" s="270">
        <f t="shared" si="127"/>
        <v>17916666.666666657</v>
      </c>
      <c r="AI116" s="220">
        <f t="shared" si="128"/>
        <v>45560623.666666657</v>
      </c>
      <c r="AJ116" s="269">
        <f t="shared" si="129"/>
        <v>50052399.666666657</v>
      </c>
      <c r="AK116" s="101"/>
      <c r="AL116" s="204">
        <v>0</v>
      </c>
      <c r="AM116" s="210">
        <v>0</v>
      </c>
    </row>
    <row r="117" spans="1:39" ht="24.75" customHeight="1">
      <c r="A117" s="412">
        <f>+IF(JULIO!A117=0,"",JULIO!A117)</f>
        <v>2200</v>
      </c>
      <c r="B117" s="387" t="str">
        <f>+IF(JULIO!B117=0,"",JULIO!B117)</f>
        <v>CREDITO EXTERNO</v>
      </c>
      <c r="C117" s="204">
        <f>+ENERO!C117</f>
        <v>0</v>
      </c>
      <c r="D117" s="413">
        <f>JULIO!D117+AGOSTO!P117</f>
        <v>0</v>
      </c>
      <c r="E117" s="205">
        <f>SEPTIEMBRE!E117+OCTUBRE!Q117</f>
        <v>0</v>
      </c>
      <c r="F117" s="414">
        <f t="shared" si="118"/>
        <v>0</v>
      </c>
      <c r="G117" s="205">
        <f>SEPTIEMBRE!I117</f>
        <v>0</v>
      </c>
      <c r="H117" s="208">
        <v>0</v>
      </c>
      <c r="I117" s="414">
        <f t="shared" si="119"/>
        <v>0</v>
      </c>
      <c r="J117" s="205">
        <f>SEPTIEMBRE!L117</f>
        <v>0</v>
      </c>
      <c r="K117" s="208">
        <v>0</v>
      </c>
      <c r="L117" s="416">
        <f t="shared" si="120"/>
        <v>0</v>
      </c>
      <c r="M117" s="417">
        <f t="shared" si="121"/>
        <v>0</v>
      </c>
      <c r="N117" s="694">
        <f t="shared" si="122"/>
        <v>0</v>
      </c>
      <c r="O117" s="369"/>
      <c r="P117" s="204">
        <v>0</v>
      </c>
      <c r="Q117" s="210">
        <v>0</v>
      </c>
      <c r="R117" s="101"/>
      <c r="S117" s="1016" t="str">
        <f>+IF(AGOSTO!S117=0,"",AGOSTO!S117)</f>
        <v>2.1.3.07.02.031</v>
      </c>
      <c r="T117" s="1013" t="str">
        <f>+IF(AGOSTO!T117=0,"",AGOSTO!T117)</f>
        <v>Programa de Salud Ocupacional</v>
      </c>
      <c r="U117" s="557">
        <f>+ENERO!U117</f>
        <v>20000000</v>
      </c>
      <c r="V117" s="1062">
        <f>SEPTIEMBRE!V117+OCTUBRE!AL117</f>
        <v>0</v>
      </c>
      <c r="W117" s="1062">
        <f>SEPTIEMBRE!W117+OCTUBRE!AM117</f>
        <v>0</v>
      </c>
      <c r="X117" s="271">
        <f t="shared" si="123"/>
        <v>20000000</v>
      </c>
      <c r="Y117" s="270">
        <f>SEPTIEMBRE!AA117</f>
        <v>4278050</v>
      </c>
      <c r="Z117" s="208">
        <v>0</v>
      </c>
      <c r="AA117" s="271">
        <f t="shared" si="124"/>
        <v>4278050</v>
      </c>
      <c r="AB117" s="270">
        <f>SEPTIEMBRE!AD117</f>
        <v>4278050</v>
      </c>
      <c r="AC117" s="208">
        <v>0</v>
      </c>
      <c r="AD117" s="271">
        <f t="shared" si="125"/>
        <v>4278050</v>
      </c>
      <c r="AE117" s="270">
        <f>SEPTIEMBRE!AG117</f>
        <v>842520</v>
      </c>
      <c r="AF117" s="208">
        <v>0</v>
      </c>
      <c r="AG117" s="271">
        <f t="shared" si="126"/>
        <v>842520</v>
      </c>
      <c r="AH117" s="270">
        <f t="shared" si="127"/>
        <v>15721950</v>
      </c>
      <c r="AI117" s="220">
        <f t="shared" si="128"/>
        <v>15721950</v>
      </c>
      <c r="AJ117" s="269">
        <f t="shared" si="129"/>
        <v>19157480</v>
      </c>
      <c r="AK117" s="101"/>
      <c r="AL117" s="204">
        <v>0</v>
      </c>
      <c r="AM117" s="210">
        <v>0</v>
      </c>
    </row>
    <row r="118" spans="1:39" ht="24.75" customHeight="1">
      <c r="A118" s="412" t="str">
        <f>+IF(JULIO!A118=0,"",JULIO!A118)</f>
        <v>2200-1</v>
      </c>
      <c r="B118" s="388" t="str">
        <f>+IF(JULIO!B118=0,"",JULIO!B118)</f>
        <v>Vigencia Anterior</v>
      </c>
      <c r="C118" s="204">
        <f>+ENERO!C118</f>
        <v>0</v>
      </c>
      <c r="D118" s="413">
        <f>JULIO!D118+AGOSTO!P118</f>
        <v>0</v>
      </c>
      <c r="E118" s="205">
        <f>SEPTIEMBRE!E118+OCTUBRE!Q118</f>
        <v>0</v>
      </c>
      <c r="F118" s="414">
        <f t="shared" si="118"/>
        <v>0</v>
      </c>
      <c r="G118" s="205">
        <f>SEPTIEMBRE!I118</f>
        <v>0</v>
      </c>
      <c r="H118" s="208">
        <v>0</v>
      </c>
      <c r="I118" s="414">
        <f t="shared" si="119"/>
        <v>0</v>
      </c>
      <c r="J118" s="205">
        <f>SEPTIEMBRE!L118</f>
        <v>0</v>
      </c>
      <c r="K118" s="208">
        <v>0</v>
      </c>
      <c r="L118" s="416">
        <f t="shared" si="120"/>
        <v>0</v>
      </c>
      <c r="M118" s="417">
        <f t="shared" si="121"/>
        <v>0</v>
      </c>
      <c r="N118" s="694">
        <f t="shared" si="122"/>
        <v>0</v>
      </c>
      <c r="O118" s="369"/>
      <c r="P118" s="204">
        <v>0</v>
      </c>
      <c r="Q118" s="210">
        <v>0</v>
      </c>
      <c r="R118" s="101"/>
      <c r="S118" s="1016" t="str">
        <f>+IF(AGOSTO!S118=0,"",AGOSTO!S118)</f>
        <v>2.1.2.02.01.003.307</v>
      </c>
      <c r="T118" s="1013" t="str">
        <f>+IF(AGOSTO!T118=0,"",AGOSTO!T118)</f>
        <v>Mantenimiento - Bienes Ambiental y Sanitaria</v>
      </c>
      <c r="U118" s="557">
        <f>+ENERO!U118</f>
        <v>15180000</v>
      </c>
      <c r="V118" s="1062">
        <f>SEPTIEMBRE!V118+OCTUBRE!AL118</f>
        <v>0</v>
      </c>
      <c r="W118" s="1062">
        <f>SEPTIEMBRE!W118+OCTUBRE!AM118</f>
        <v>0</v>
      </c>
      <c r="X118" s="271">
        <f t="shared" si="123"/>
        <v>15180000</v>
      </c>
      <c r="Y118" s="270">
        <f>SEPTIEMBRE!AA118</f>
        <v>7641975</v>
      </c>
      <c r="Z118" s="208">
        <v>0</v>
      </c>
      <c r="AA118" s="271">
        <f t="shared" si="124"/>
        <v>7641975</v>
      </c>
      <c r="AB118" s="270">
        <f>SEPTIEMBRE!AD118</f>
        <v>5715673</v>
      </c>
      <c r="AC118" s="208">
        <v>1926302</v>
      </c>
      <c r="AD118" s="271">
        <f t="shared" si="125"/>
        <v>7641975</v>
      </c>
      <c r="AE118" s="270">
        <f>SEPTIEMBRE!AG118</f>
        <v>0</v>
      </c>
      <c r="AF118" s="208">
        <v>0</v>
      </c>
      <c r="AG118" s="271">
        <f t="shared" si="126"/>
        <v>0</v>
      </c>
      <c r="AH118" s="270">
        <f t="shared" si="127"/>
        <v>7538025</v>
      </c>
      <c r="AI118" s="220">
        <f t="shared" si="128"/>
        <v>7538025</v>
      </c>
      <c r="AJ118" s="269">
        <f t="shared" si="129"/>
        <v>15180000</v>
      </c>
      <c r="AK118" s="101"/>
      <c r="AL118" s="204">
        <v>0</v>
      </c>
      <c r="AM118" s="210">
        <v>0</v>
      </c>
    </row>
    <row r="119" spans="1:39" ht="24.75" customHeight="1">
      <c r="A119" s="412" t="str">
        <f>+IF(JULIO!A119=0,"",JULIO!A119)</f>
        <v>1.2.05.02</v>
      </c>
      <c r="B119" s="387" t="str">
        <f>+IF(JULIO!B119=0,"",JULIO!B119)</f>
        <v>Depositos (RENDIMIENTOS FINANCIEROS)</v>
      </c>
      <c r="C119" s="204">
        <f>+ENERO!C119</f>
        <v>0</v>
      </c>
      <c r="D119" s="413">
        <f>JULIO!D119+AGOSTO!P119</f>
        <v>0</v>
      </c>
      <c r="E119" s="205">
        <f>SEPTIEMBRE!E119+OCTUBRE!Q119</f>
        <v>0</v>
      </c>
      <c r="F119" s="414">
        <f t="shared" si="118"/>
        <v>0</v>
      </c>
      <c r="G119" s="205">
        <f>SEPTIEMBRE!I119</f>
        <v>0</v>
      </c>
      <c r="H119" s="208">
        <v>0</v>
      </c>
      <c r="I119" s="419">
        <f t="shared" si="119"/>
        <v>0</v>
      </c>
      <c r="J119" s="205">
        <f>SEPTIEMBRE!L119</f>
        <v>0</v>
      </c>
      <c r="K119" s="208">
        <v>0</v>
      </c>
      <c r="L119" s="206">
        <f t="shared" si="120"/>
        <v>0</v>
      </c>
      <c r="M119" s="420">
        <f t="shared" si="121"/>
        <v>0</v>
      </c>
      <c r="N119" s="671">
        <f t="shared" si="122"/>
        <v>0</v>
      </c>
      <c r="O119" s="369"/>
      <c r="P119" s="204">
        <v>0</v>
      </c>
      <c r="Q119" s="210">
        <v>0</v>
      </c>
      <c r="R119" s="101"/>
      <c r="S119" s="1016" t="str">
        <f>+IF(AGOSTO!S119=0,"",AGOSTO!S119)</f>
        <v>2.1.2.02.01.003.305</v>
      </c>
      <c r="T119" s="1013" t="str">
        <f>+IF(AGOSTO!T119=0,"",AGOSTO!T119)</f>
        <v>Mantenimiento -  Partes, accesorios, herramientas</v>
      </c>
      <c r="U119" s="557">
        <f>+ENERO!U119</f>
        <v>0</v>
      </c>
      <c r="V119" s="1062">
        <f>SEPTIEMBRE!V119+OCTUBRE!AL119</f>
        <v>0</v>
      </c>
      <c r="W119" s="1062">
        <f>SEPTIEMBRE!W119+OCTUBRE!AM119</f>
        <v>0</v>
      </c>
      <c r="X119" s="271">
        <f t="shared" si="123"/>
        <v>0</v>
      </c>
      <c r="Y119" s="270">
        <f>SEPTIEMBRE!AA119</f>
        <v>0</v>
      </c>
      <c r="Z119" s="208">
        <v>0</v>
      </c>
      <c r="AA119" s="271">
        <f t="shared" si="124"/>
        <v>0</v>
      </c>
      <c r="AB119" s="270">
        <f>SEPTIEMBRE!AD119</f>
        <v>0</v>
      </c>
      <c r="AC119" s="208">
        <v>0</v>
      </c>
      <c r="AD119" s="271">
        <f t="shared" si="125"/>
        <v>0</v>
      </c>
      <c r="AE119" s="270">
        <f>SEPTIEMBRE!AG119</f>
        <v>0</v>
      </c>
      <c r="AF119" s="208">
        <v>0</v>
      </c>
      <c r="AG119" s="271">
        <f t="shared" si="126"/>
        <v>0</v>
      </c>
      <c r="AH119" s="270">
        <f t="shared" si="127"/>
        <v>0</v>
      </c>
      <c r="AI119" s="220">
        <f t="shared" si="128"/>
        <v>0</v>
      </c>
      <c r="AJ119" s="269">
        <f t="shared" si="129"/>
        <v>0</v>
      </c>
      <c r="AK119" s="101"/>
      <c r="AL119" s="204">
        <v>0</v>
      </c>
      <c r="AM119" s="210">
        <v>0</v>
      </c>
    </row>
    <row r="120" spans="1:39" ht="24.75" customHeight="1">
      <c r="A120" s="421">
        <f>+IF(JULIO!A120=0,"",JULIO!A120)</f>
        <v>2400</v>
      </c>
      <c r="B120" s="388" t="str">
        <f>+IF(JULIO!B120=0,"",JULIO!B120)</f>
        <v>VENTA DE ACTIVOS</v>
      </c>
      <c r="C120" s="204">
        <f>+ENERO!C120</f>
        <v>0</v>
      </c>
      <c r="D120" s="413">
        <f>JULIO!D120+AGOSTO!P120</f>
        <v>0</v>
      </c>
      <c r="E120" s="205">
        <f>SEPTIEMBRE!E120+OCTUBRE!Q120</f>
        <v>0</v>
      </c>
      <c r="F120" s="414">
        <f t="shared" si="118"/>
        <v>0</v>
      </c>
      <c r="G120" s="205">
        <f>SEPTIEMBRE!I120</f>
        <v>0</v>
      </c>
      <c r="H120" s="208">
        <v>0</v>
      </c>
      <c r="I120" s="419">
        <f t="shared" si="119"/>
        <v>0</v>
      </c>
      <c r="J120" s="205">
        <f>SEPTIEMBRE!L120</f>
        <v>0</v>
      </c>
      <c r="K120" s="208">
        <v>0</v>
      </c>
      <c r="L120" s="206">
        <f t="shared" si="120"/>
        <v>0</v>
      </c>
      <c r="M120" s="420">
        <f t="shared" si="121"/>
        <v>0</v>
      </c>
      <c r="N120" s="671">
        <f t="shared" si="122"/>
        <v>0</v>
      </c>
      <c r="O120" s="67"/>
      <c r="P120" s="204">
        <v>0</v>
      </c>
      <c r="Q120" s="210">
        <v>0</v>
      </c>
      <c r="R120" s="101"/>
      <c r="S120" s="1016" t="str">
        <f>+IF(AGOSTO!S120=0,"",AGOSTO!S120)</f>
        <v>2.1.2.02.01.003.308</v>
      </c>
      <c r="T120" s="1013" t="str">
        <f>+IF(AGOSTO!T120=0,"",AGOSTO!T120)</f>
        <v>Mantenimiento - Bienes Adecuaciones locativas</v>
      </c>
      <c r="U120" s="557">
        <f>+ENERO!U120</f>
        <v>704984268</v>
      </c>
      <c r="V120" s="1062">
        <f>SEPTIEMBRE!V120+OCTUBRE!AL120</f>
        <v>0</v>
      </c>
      <c r="W120" s="1062">
        <f>SEPTIEMBRE!W120+OCTUBRE!AM120</f>
        <v>0</v>
      </c>
      <c r="X120" s="271">
        <f t="shared" si="123"/>
        <v>704984268</v>
      </c>
      <c r="Y120" s="270">
        <f>SEPTIEMBRE!AA120</f>
        <v>0</v>
      </c>
      <c r="Z120" s="208">
        <v>0</v>
      </c>
      <c r="AA120" s="271">
        <f t="shared" si="124"/>
        <v>0</v>
      </c>
      <c r="AB120" s="270">
        <f>SEPTIEMBRE!AD120</f>
        <v>0</v>
      </c>
      <c r="AC120" s="208">
        <v>0</v>
      </c>
      <c r="AD120" s="271">
        <f t="shared" si="125"/>
        <v>0</v>
      </c>
      <c r="AE120" s="270">
        <f>SEPTIEMBRE!AG120</f>
        <v>0</v>
      </c>
      <c r="AF120" s="208">
        <v>0</v>
      </c>
      <c r="AG120" s="271">
        <f t="shared" si="126"/>
        <v>0</v>
      </c>
      <c r="AH120" s="270">
        <f t="shared" si="127"/>
        <v>704984268</v>
      </c>
      <c r="AI120" s="220">
        <f t="shared" si="128"/>
        <v>704984268</v>
      </c>
      <c r="AJ120" s="269">
        <f t="shared" si="129"/>
        <v>704984268</v>
      </c>
      <c r="AK120" s="101"/>
      <c r="AL120" s="204">
        <v>0</v>
      </c>
      <c r="AM120" s="210">
        <v>0</v>
      </c>
    </row>
    <row r="121" spans="1:39" ht="24.75" customHeight="1">
      <c r="A121" s="421">
        <f>+IF(JULIO!A121=0,"",JULIO!A121)</f>
        <v>2500</v>
      </c>
      <c r="B121" s="388" t="str">
        <f>+IF(JULIO!B121=0,"",JULIO!B121)</f>
        <v>DONACIONES</v>
      </c>
      <c r="C121" s="204">
        <f>+ENERO!C121</f>
        <v>0</v>
      </c>
      <c r="D121" s="413">
        <f>JULIO!D121+AGOSTO!P121</f>
        <v>0</v>
      </c>
      <c r="E121" s="205">
        <f>SEPTIEMBRE!E121+OCTUBRE!Q121</f>
        <v>0</v>
      </c>
      <c r="F121" s="414">
        <f t="shared" si="118"/>
        <v>0</v>
      </c>
      <c r="G121" s="205">
        <f>SEPTIEMBRE!I121</f>
        <v>0</v>
      </c>
      <c r="H121" s="208">
        <v>0</v>
      </c>
      <c r="I121" s="419">
        <f t="shared" si="119"/>
        <v>0</v>
      </c>
      <c r="J121" s="205">
        <f>SEPTIEMBRE!L121</f>
        <v>0</v>
      </c>
      <c r="K121" s="208">
        <v>0</v>
      </c>
      <c r="L121" s="206">
        <f t="shared" si="120"/>
        <v>0</v>
      </c>
      <c r="M121" s="420">
        <f t="shared" si="121"/>
        <v>0</v>
      </c>
      <c r="N121" s="671">
        <f t="shared" si="122"/>
        <v>0</v>
      </c>
      <c r="O121" s="67"/>
      <c r="P121" s="204">
        <v>0</v>
      </c>
      <c r="Q121" s="210">
        <v>0</v>
      </c>
      <c r="R121" s="101"/>
      <c r="S121" s="1016" t="str">
        <f>+IF(AGOSTO!S121=0,"",AGOSTO!S121)</f>
        <v>2.1.2.02.02.008.99.02</v>
      </c>
      <c r="T121" s="1013" t="str">
        <f>+IF(AGOSTO!T121=0,"",AGOSTO!T121)</f>
        <v>Vigencias Anteriores</v>
      </c>
      <c r="U121" s="557">
        <f>+ENERO!U121</f>
        <v>176000000</v>
      </c>
      <c r="V121" s="1062">
        <f>SEPTIEMBRE!V121+OCTUBRE!AL121</f>
        <v>0</v>
      </c>
      <c r="W121" s="1062">
        <f>SEPTIEMBRE!W121+OCTUBRE!AM121</f>
        <v>0</v>
      </c>
      <c r="X121" s="271">
        <f t="shared" si="123"/>
        <v>176000000</v>
      </c>
      <c r="Y121" s="270">
        <f>SEPTIEMBRE!AA121</f>
        <v>173710906</v>
      </c>
      <c r="Z121" s="208">
        <v>0</v>
      </c>
      <c r="AA121" s="271">
        <f t="shared" si="124"/>
        <v>173710906</v>
      </c>
      <c r="AB121" s="270">
        <f>SEPTIEMBRE!AD121</f>
        <v>173710906</v>
      </c>
      <c r="AC121" s="208">
        <v>0</v>
      </c>
      <c r="AD121" s="271">
        <f t="shared" si="125"/>
        <v>173710906</v>
      </c>
      <c r="AE121" s="270">
        <f>SEPTIEMBRE!AG121</f>
        <v>173710906</v>
      </c>
      <c r="AF121" s="208">
        <v>0</v>
      </c>
      <c r="AG121" s="271">
        <f t="shared" si="126"/>
        <v>173710906</v>
      </c>
      <c r="AH121" s="270">
        <f t="shared" si="127"/>
        <v>2289094</v>
      </c>
      <c r="AI121" s="220">
        <f t="shared" si="128"/>
        <v>2289094</v>
      </c>
      <c r="AJ121" s="269">
        <f t="shared" si="129"/>
        <v>2289094</v>
      </c>
      <c r="AK121" s="101"/>
      <c r="AL121" s="204">
        <v>0</v>
      </c>
      <c r="AM121" s="210">
        <v>0</v>
      </c>
    </row>
    <row r="122" spans="1:39" ht="24.75" customHeight="1">
      <c r="A122" s="421">
        <f>+IF(JULIO!A122=0,"",JULIO!A122)</f>
        <v>2600</v>
      </c>
      <c r="B122" s="388" t="str">
        <f>+IF(JULIO!B122=0,"",JULIO!B122)</f>
        <v>RECUPERACIÓN DE CARTERA (AÑO 2023 Y ANTERIORES)</v>
      </c>
      <c r="C122" s="204">
        <f>+ENERO!C122</f>
        <v>0</v>
      </c>
      <c r="D122" s="413">
        <f>JULIO!D122+AGOSTO!P122</f>
        <v>0</v>
      </c>
      <c r="E122" s="205">
        <f>SEPTIEMBRE!E122+OCTUBRE!Q122</f>
        <v>0</v>
      </c>
      <c r="F122" s="414">
        <f t="shared" si="118"/>
        <v>0</v>
      </c>
      <c r="G122" s="205">
        <f>SEPTIEMBRE!I122</f>
        <v>0</v>
      </c>
      <c r="H122" s="208">
        <v>0</v>
      </c>
      <c r="I122" s="419">
        <f t="shared" si="119"/>
        <v>0</v>
      </c>
      <c r="J122" s="205">
        <f>SEPTIEMBRE!L122</f>
        <v>0</v>
      </c>
      <c r="K122" s="208">
        <v>0</v>
      </c>
      <c r="L122" s="206">
        <f t="shared" si="120"/>
        <v>0</v>
      </c>
      <c r="M122" s="420">
        <f t="shared" si="121"/>
        <v>0</v>
      </c>
      <c r="N122" s="671">
        <f t="shared" si="122"/>
        <v>0</v>
      </c>
      <c r="O122" s="67"/>
      <c r="P122" s="204">
        <v>0</v>
      </c>
      <c r="Q122" s="210">
        <v>0</v>
      </c>
      <c r="R122" s="101"/>
      <c r="S122" s="1017" t="str">
        <f>+IF(AGOSTO!S122=0,"",AGOSTO!S122)</f>
        <v/>
      </c>
      <c r="T122" s="1006" t="str">
        <f>+IF(AGOSTO!T122=0,"",AGOSTO!T122)</f>
        <v/>
      </c>
      <c r="U122" s="1081"/>
      <c r="V122" s="1059"/>
      <c r="W122" s="1059"/>
      <c r="X122" s="1070"/>
      <c r="Y122" s="799"/>
      <c r="Z122" s="1082"/>
      <c r="AA122" s="1083"/>
      <c r="AB122" s="799"/>
      <c r="AC122" s="1082"/>
      <c r="AD122" s="1083"/>
      <c r="AE122" s="1010"/>
      <c r="AF122" s="1082"/>
      <c r="AG122" s="1083"/>
      <c r="AH122" s="1010"/>
      <c r="AI122" s="1011"/>
      <c r="AJ122" s="1018"/>
      <c r="AK122" s="101"/>
      <c r="AL122" s="655"/>
      <c r="AM122" s="656"/>
    </row>
    <row r="123" spans="1:39" ht="24.75" customHeight="1">
      <c r="A123" s="421">
        <f>+IF(JULIO!A123=0,"",JULIO!A123)</f>
        <v>2700</v>
      </c>
      <c r="B123" s="388" t="str">
        <f>+IF(JULIO!B123=0,"",JULIO!B123)</f>
        <v>OTROS INGRESOS DE CAPITAL</v>
      </c>
      <c r="C123" s="204">
        <f>+ENERO!C123</f>
        <v>0</v>
      </c>
      <c r="D123" s="413">
        <f>JULIO!D123+AGOSTO!P123</f>
        <v>0</v>
      </c>
      <c r="E123" s="205">
        <f>SEPTIEMBRE!E123+OCTUBRE!Q123</f>
        <v>0</v>
      </c>
      <c r="F123" s="414">
        <f t="shared" si="118"/>
        <v>0</v>
      </c>
      <c r="G123" s="205">
        <f>SEPTIEMBRE!I123</f>
        <v>0</v>
      </c>
      <c r="H123" s="208">
        <v>0</v>
      </c>
      <c r="I123" s="419">
        <f t="shared" si="119"/>
        <v>0</v>
      </c>
      <c r="J123" s="205">
        <f>SEPTIEMBRE!L123</f>
        <v>0</v>
      </c>
      <c r="K123" s="208">
        <v>0</v>
      </c>
      <c r="L123" s="206">
        <f t="shared" si="120"/>
        <v>0</v>
      </c>
      <c r="M123" s="420">
        <f t="shared" si="121"/>
        <v>0</v>
      </c>
      <c r="N123" s="671">
        <f t="shared" si="122"/>
        <v>0</v>
      </c>
      <c r="O123" s="67"/>
      <c r="P123" s="204">
        <v>0</v>
      </c>
      <c r="Q123" s="210">
        <v>0</v>
      </c>
      <c r="R123" s="101"/>
      <c r="S123" s="1019">
        <f>+IF(AGOSTO!S123=0,"",AGOSTO!S123)</f>
        <v>2010200</v>
      </c>
      <c r="T123" s="532" t="str">
        <f>+IF(AGOSTO!T123=0,"",AGOSTO!T123)</f>
        <v>Adquisición de Servicios</v>
      </c>
      <c r="U123" s="1061">
        <f>SUM(U124:U139)</f>
        <v>8280375089.2777777</v>
      </c>
      <c r="V123" s="1061">
        <f>SUM(V124:V139)</f>
        <v>93478115</v>
      </c>
      <c r="W123" s="1061">
        <f>SUM(W124:W139)</f>
        <v>169879991</v>
      </c>
      <c r="X123" s="1061">
        <f>SUM(X124:X139)</f>
        <v>8543733195.2777767</v>
      </c>
      <c r="Y123" s="1061">
        <f t="shared" ref="Y123:AG123" si="130">SUM(Y124:Y139)</f>
        <v>7168107316</v>
      </c>
      <c r="Z123" s="1061">
        <f t="shared" si="130"/>
        <v>646877212</v>
      </c>
      <c r="AA123" s="1061">
        <f t="shared" si="130"/>
        <v>7814984528</v>
      </c>
      <c r="AB123" s="1061">
        <f t="shared" si="130"/>
        <v>6096758952</v>
      </c>
      <c r="AC123" s="1061">
        <f t="shared" si="130"/>
        <v>905986110</v>
      </c>
      <c r="AD123" s="1061">
        <f t="shared" si="130"/>
        <v>7002745062</v>
      </c>
      <c r="AE123" s="233">
        <f>SUM(AE124:AE139)</f>
        <v>5407899816</v>
      </c>
      <c r="AF123" s="1061">
        <f t="shared" si="130"/>
        <v>648544044</v>
      </c>
      <c r="AG123" s="1061">
        <f t="shared" si="130"/>
        <v>6056443860</v>
      </c>
      <c r="AH123" s="233">
        <f>SUM(AH124:AH139)</f>
        <v>728748667.27777743</v>
      </c>
      <c r="AI123" s="231">
        <f>SUM(AI124:AI139)</f>
        <v>1540988133.2777774</v>
      </c>
      <c r="AJ123" s="232">
        <f>SUM(AJ124:AJ139)</f>
        <v>2487289335.2777777</v>
      </c>
      <c r="AK123" s="101"/>
      <c r="AL123" s="233">
        <f>SUM(AL124:AL139)</f>
        <v>33540245</v>
      </c>
      <c r="AM123" s="232">
        <f>SUM(AM124:AM139)</f>
        <v>0</v>
      </c>
    </row>
    <row r="124" spans="1:39" ht="24.75" customHeight="1" thickBot="1">
      <c r="A124" s="428">
        <f>+IF(JULIO!A124=0,"",JULIO!A124)</f>
        <v>2800</v>
      </c>
      <c r="B124" s="390" t="str">
        <f>+IF(JULIO!B124=0,"",JULIO!B124)</f>
        <v/>
      </c>
      <c r="C124" s="242">
        <f>+ENERO!C124</f>
        <v>0</v>
      </c>
      <c r="D124" s="429">
        <f>JULIO!D124+AGOSTO!P124</f>
        <v>0</v>
      </c>
      <c r="E124" s="429">
        <f>JULIO!E124+AGOSTO!Q124</f>
        <v>0</v>
      </c>
      <c r="F124" s="430">
        <f t="shared" si="118"/>
        <v>0</v>
      </c>
      <c r="G124" s="205">
        <f>SEPTIEMBRE!I124</f>
        <v>0</v>
      </c>
      <c r="H124" s="246">
        <v>0</v>
      </c>
      <c r="I124" s="431">
        <f t="shared" si="119"/>
        <v>0</v>
      </c>
      <c r="J124" s="205">
        <f>SEPTIEMBRE!L124</f>
        <v>0</v>
      </c>
      <c r="K124" s="246">
        <v>0</v>
      </c>
      <c r="L124" s="244">
        <f t="shared" si="120"/>
        <v>0</v>
      </c>
      <c r="M124" s="432">
        <f t="shared" si="121"/>
        <v>0</v>
      </c>
      <c r="N124" s="673">
        <f t="shared" si="122"/>
        <v>0</v>
      </c>
      <c r="O124" s="67"/>
      <c r="P124" s="242">
        <v>0</v>
      </c>
      <c r="Q124" s="248">
        <v>0</v>
      </c>
      <c r="R124" s="101"/>
      <c r="S124" s="1021" t="str">
        <f>+IF(AGOSTO!S124=0,"",AGOSTO!S124)</f>
        <v>2.1.2.02.02.007.702</v>
      </c>
      <c r="T124" s="534" t="str">
        <f>+IF(AGOSTO!T124=0,"",AGOSTO!T124)</f>
        <v>Seguros</v>
      </c>
      <c r="U124" s="1073">
        <f>+ENERO!U124</f>
        <v>1040000000</v>
      </c>
      <c r="V124" s="1062">
        <f>SEPTIEMBRE!V124+OCTUBRE!AL124</f>
        <v>-75000000</v>
      </c>
      <c r="W124" s="1062">
        <f>SEPTIEMBRE!W124+OCTUBRE!AM124</f>
        <v>0</v>
      </c>
      <c r="X124" s="1062">
        <f t="shared" ref="X124:X139" si="131">SUM(U124:W124)</f>
        <v>965000000</v>
      </c>
      <c r="Y124" s="1062">
        <f>SEPTIEMBRE!AA124</f>
        <v>882044272</v>
      </c>
      <c r="Z124" s="1001">
        <v>5014298</v>
      </c>
      <c r="AA124" s="1062">
        <f>SUM(Y124:Z124)</f>
        <v>887058570</v>
      </c>
      <c r="AB124" s="1062">
        <f>SEPTIEMBRE!AD124</f>
        <v>880699574</v>
      </c>
      <c r="AC124" s="1001">
        <v>6224992</v>
      </c>
      <c r="AD124" s="1062">
        <f>SUM(AB124:AC124)</f>
        <v>886924566</v>
      </c>
      <c r="AE124" s="270">
        <f>SEPTIEMBRE!AG124</f>
        <v>879928668</v>
      </c>
      <c r="AF124" s="1001">
        <v>608256</v>
      </c>
      <c r="AG124" s="1062">
        <f>SUM(AE124:AF124)</f>
        <v>880536924</v>
      </c>
      <c r="AH124" s="270">
        <f>X124-AA124</f>
        <v>77941430</v>
      </c>
      <c r="AI124" s="220">
        <f>X124-AD124</f>
        <v>78075434</v>
      </c>
      <c r="AJ124" s="1022">
        <f>X124-AG124</f>
        <v>84463076</v>
      </c>
      <c r="AK124" s="101"/>
      <c r="AL124" s="204">
        <v>0</v>
      </c>
      <c r="AM124" s="210">
        <v>0</v>
      </c>
    </row>
    <row r="125" spans="1:39" ht="24.75" customHeight="1" thickBot="1">
      <c r="K125" t="s">
        <v>750</v>
      </c>
      <c r="R125" s="101"/>
      <c r="S125" s="1021" t="str">
        <f>+IF(AGOSTO!S125=0,"",AGOSTO!S125)</f>
        <v>2.1.2.02.02.007.703</v>
      </c>
      <c r="T125" s="534" t="str">
        <f>+IF(AGOSTO!T125=0,"",AGOSTO!T125)</f>
        <v>Arrendamientos</v>
      </c>
      <c r="U125" s="1073">
        <f>+ENERO!U125</f>
        <v>75000000</v>
      </c>
      <c r="V125" s="1062">
        <f>SEPTIEMBRE!V125+OCTUBRE!AL125</f>
        <v>10000000</v>
      </c>
      <c r="W125" s="1062">
        <f>SEPTIEMBRE!W125+OCTUBRE!AM125</f>
        <v>0</v>
      </c>
      <c r="X125" s="1062">
        <f t="shared" si="131"/>
        <v>85000000</v>
      </c>
      <c r="Y125" s="1062">
        <f>SEPTIEMBRE!AA125</f>
        <v>80000000</v>
      </c>
      <c r="Z125" s="1001">
        <v>0</v>
      </c>
      <c r="AA125" s="1062">
        <f t="shared" ref="AA125:AA139" si="132">SUM(Y125:Z125)</f>
        <v>80000000</v>
      </c>
      <c r="AB125" s="1062">
        <f>SEPTIEMBRE!AD125</f>
        <v>50109900</v>
      </c>
      <c r="AC125" s="1001">
        <v>10000000</v>
      </c>
      <c r="AD125" s="1062">
        <f t="shared" ref="AD125:AD139" si="133">SUM(AB125:AC125)</f>
        <v>60109900</v>
      </c>
      <c r="AE125" s="270">
        <f>SEPTIEMBRE!AG125</f>
        <v>40000000</v>
      </c>
      <c r="AF125" s="1001">
        <v>0</v>
      </c>
      <c r="AG125" s="1062">
        <f t="shared" ref="AG125:AG139" si="134">SUM(AE125:AF125)</f>
        <v>40000000</v>
      </c>
      <c r="AH125" s="270">
        <f t="shared" ref="AH125:AH139" si="135">X125-AA125</f>
        <v>5000000</v>
      </c>
      <c r="AI125" s="220">
        <f t="shared" ref="AI125:AI139" si="136">X125-AD125</f>
        <v>24890100</v>
      </c>
      <c r="AJ125" s="1022">
        <f t="shared" ref="AJ125:AJ139" si="137">X125-AG125</f>
        <v>45000000</v>
      </c>
      <c r="AK125" s="101"/>
      <c r="AL125" s="204">
        <v>0</v>
      </c>
      <c r="AM125" s="210">
        <v>0</v>
      </c>
    </row>
    <row r="126" spans="1:39" ht="24.75" customHeight="1" thickBot="1">
      <c r="A126" s="566" t="s">
        <v>278</v>
      </c>
      <c r="B126" s="567"/>
      <c r="C126" s="435">
        <f t="shared" ref="C126:N126" si="138">C8-C128</f>
        <v>138960268668.37653</v>
      </c>
      <c r="D126" s="435">
        <f t="shared" si="138"/>
        <v>0</v>
      </c>
      <c r="E126" s="435">
        <f t="shared" si="138"/>
        <v>28284706912</v>
      </c>
      <c r="F126" s="435">
        <f t="shared" si="138"/>
        <v>167244975580.37653</v>
      </c>
      <c r="G126" s="435">
        <f t="shared" si="138"/>
        <v>136914166542</v>
      </c>
      <c r="H126" s="435">
        <f t="shared" si="138"/>
        <v>17173866002</v>
      </c>
      <c r="I126" s="435">
        <f t="shared" si="138"/>
        <v>154068295755</v>
      </c>
      <c r="J126" s="435">
        <f t="shared" si="138"/>
        <v>64144469735</v>
      </c>
      <c r="K126" s="435">
        <f t="shared" si="138"/>
        <v>9616791426</v>
      </c>
      <c r="L126" s="435">
        <f t="shared" si="138"/>
        <v>73741524372</v>
      </c>
      <c r="M126" s="435">
        <f t="shared" si="138"/>
        <v>13176679825.376513</v>
      </c>
      <c r="N126" s="1100">
        <f t="shared" si="138"/>
        <v>93503451208.376511</v>
      </c>
      <c r="O126" s="67"/>
      <c r="P126" s="437">
        <f>P8-P128</f>
        <v>0</v>
      </c>
      <c r="Q126" s="438">
        <f>Q8-Q128</f>
        <v>4845730991</v>
      </c>
      <c r="R126" s="101"/>
      <c r="S126" s="1021" t="str">
        <f>+IF(AGOSTO!S126=0,"",AGOSTO!S126)</f>
        <v>2.1.2.02.02.008.801</v>
      </c>
      <c r="T126" s="534" t="str">
        <f>+IF(AGOSTO!T126=0,"",AGOSTO!T126)</f>
        <v>Servicios Publicos (energia, Gas, Agua, Internet, Telefonia Fija y Movil)</v>
      </c>
      <c r="U126" s="1073">
        <f>+ENERO!U126</f>
        <v>2804022659</v>
      </c>
      <c r="V126" s="1062">
        <f>SEPTIEMBRE!V126+OCTUBRE!AL126</f>
        <v>520000000</v>
      </c>
      <c r="W126" s="1062">
        <f>SEPTIEMBRE!W126+OCTUBRE!AM126</f>
        <v>0</v>
      </c>
      <c r="X126" s="1062">
        <f t="shared" si="131"/>
        <v>3324022659</v>
      </c>
      <c r="Y126" s="1062">
        <f>SEPTIEMBRE!AA126</f>
        <v>2599701837</v>
      </c>
      <c r="Z126" s="1001">
        <v>550493894</v>
      </c>
      <c r="AA126" s="1062">
        <f t="shared" si="132"/>
        <v>3150195731</v>
      </c>
      <c r="AB126" s="1062">
        <f>SEPTIEMBRE!AD126</f>
        <v>2372046306</v>
      </c>
      <c r="AC126" s="1001">
        <v>549708493</v>
      </c>
      <c r="AD126" s="1062">
        <f t="shared" si="133"/>
        <v>2921754799</v>
      </c>
      <c r="AE126" s="270">
        <f>SEPTIEMBRE!AG126</f>
        <v>2307016928</v>
      </c>
      <c r="AF126" s="1001">
        <v>391175306</v>
      </c>
      <c r="AG126" s="1062">
        <f t="shared" si="134"/>
        <v>2698192234</v>
      </c>
      <c r="AH126" s="270">
        <f t="shared" si="135"/>
        <v>173826928</v>
      </c>
      <c r="AI126" s="220">
        <f t="shared" si="136"/>
        <v>402267860</v>
      </c>
      <c r="AJ126" s="1022">
        <f t="shared" si="137"/>
        <v>625830425</v>
      </c>
      <c r="AK126" s="101"/>
      <c r="AL126" s="204">
        <v>0</v>
      </c>
      <c r="AM126" s="210">
        <v>0</v>
      </c>
    </row>
    <row r="127" spans="1:39" ht="24.75" customHeight="1" thickBot="1">
      <c r="A127" s="568"/>
      <c r="B127" s="569"/>
      <c r="C127" s="400"/>
      <c r="D127" s="400"/>
      <c r="E127" s="400"/>
      <c r="F127" s="400"/>
      <c r="G127" s="400"/>
      <c r="H127" s="400"/>
      <c r="I127" s="400"/>
      <c r="J127" s="400"/>
      <c r="K127" s="400"/>
      <c r="L127" s="400"/>
      <c r="M127" s="400"/>
      <c r="N127" s="1101"/>
      <c r="O127" s="67"/>
      <c r="P127" s="402"/>
      <c r="Q127" s="401"/>
      <c r="R127" s="101"/>
      <c r="S127" s="1021" t="str">
        <f>+IF(AGOSTO!S127=0,"",AGOSTO!S127)</f>
        <v>2.1.2.02.02.006.603</v>
      </c>
      <c r="T127" s="534" t="str">
        <f>+IF(AGOSTO!T127=0,"",AGOSTO!T127)</f>
        <v>Comunicaciones y Transportes</v>
      </c>
      <c r="U127" s="1073">
        <f>+ENERO!U127</f>
        <v>341244561.11111116</v>
      </c>
      <c r="V127" s="1062">
        <f>SEPTIEMBRE!V127+OCTUBRE!AL127</f>
        <v>0</v>
      </c>
      <c r="W127" s="1062">
        <f>SEPTIEMBRE!W127+OCTUBRE!AM127</f>
        <v>0</v>
      </c>
      <c r="X127" s="1062">
        <f t="shared" si="131"/>
        <v>341244561.11111116</v>
      </c>
      <c r="Y127" s="1062">
        <f>SEPTIEMBRE!AA127</f>
        <v>215296150</v>
      </c>
      <c r="Z127" s="1001">
        <v>-19119596</v>
      </c>
      <c r="AA127" s="1062">
        <f t="shared" si="132"/>
        <v>196176554</v>
      </c>
      <c r="AB127" s="1062">
        <f>SEPTIEMBRE!AD127</f>
        <v>137455311</v>
      </c>
      <c r="AC127" s="1001">
        <v>13425578</v>
      </c>
      <c r="AD127" s="1062">
        <f t="shared" si="133"/>
        <v>150880889</v>
      </c>
      <c r="AE127" s="270">
        <f>SEPTIEMBRE!AG127</f>
        <v>112733340</v>
      </c>
      <c r="AF127" s="1001">
        <v>8195950</v>
      </c>
      <c r="AG127" s="1062">
        <f t="shared" si="134"/>
        <v>120929290</v>
      </c>
      <c r="AH127" s="270">
        <f t="shared" si="135"/>
        <v>145068007.11111116</v>
      </c>
      <c r="AI127" s="220">
        <f t="shared" si="136"/>
        <v>190363672.11111116</v>
      </c>
      <c r="AJ127" s="1022">
        <f t="shared" si="137"/>
        <v>220315271.11111116</v>
      </c>
      <c r="AK127" s="101"/>
      <c r="AL127" s="204">
        <v>0</v>
      </c>
      <c r="AM127" s="210">
        <v>0</v>
      </c>
    </row>
    <row r="128" spans="1:39" ht="24.75" customHeight="1" thickBot="1">
      <c r="A128" s="570" t="s">
        <v>280</v>
      </c>
      <c r="B128" s="571"/>
      <c r="C128" s="876">
        <f>SUM(C124+C111+C102+C92+C83+C80+C77+C74+C71+C68+C65+C62+C59+C56+C53+C50+C47+C44+C37+C34+C31+C27+C24)</f>
        <v>19182884469.099998</v>
      </c>
      <c r="D128" s="876">
        <f>SUMIF($B8:$B$122,$B$24,D8:D122)+D122</f>
        <v>0</v>
      </c>
      <c r="E128" s="876">
        <f>SUM(E124+E111+E102+E92+E83+E80+E77+E74+E71+E68+E65+E62+E59+E56+E53+E50+E47+E44+E37+E34+E31+E27+E24)</f>
        <v>26177223554</v>
      </c>
      <c r="F128" s="876">
        <f>SUM(F124+F111+F102+F92+F83+F80+F77+F74+F71+F68+F65+F62+F59+F56+F53+F50+F47+F44+F37+F34+F31+F27+F24)</f>
        <v>45360108023.099998</v>
      </c>
      <c r="G128" s="876">
        <f>SUMIF($B8:$B$122,$B$24,G8:G122)+G122</f>
        <v>49557175058</v>
      </c>
      <c r="H128" s="876">
        <f>SUM(H124+H111+H102+H92+H83+H80+H77+H74+H71+H68+H65+H62+H59+H56+H53+H50+H47+H44+H37+H34+H31+H27+H24)</f>
        <v>406042511</v>
      </c>
      <c r="I128" s="876">
        <f>SUM(I124+I111+I102+I92+I83+I80+I77+I74+I71+I68+I65+I62+I59+I56+I53+I50+I47+I44+I37+I34+I31+I27+I24)</f>
        <v>49982954358</v>
      </c>
      <c r="J128" s="876">
        <f>SUMIF($B8:$B$122,$B$24,J8:J122)+J1211</f>
        <v>49557175058</v>
      </c>
      <c r="K128" s="876">
        <f>SUM(K124+K111+K102+K92+K83+K80+K77+K74+K71+K68+K65+K62+K59+K56+K53+K50+K47+K44+K37+K34+K31+K27+K24)</f>
        <v>406042511</v>
      </c>
      <c r="L128" s="876">
        <f>SUM(L124+L111+L102+L92+L83+L80+L77+L74+L71+L68+L65+L62+L59+L56+L53+L50+L47+L44+L37+L34+L31+L27+L24)</f>
        <v>49982954358</v>
      </c>
      <c r="M128" s="876">
        <f>SUMIF($B8:$B$122,$B$24,M8:M122)+M12</f>
        <v>-4622846334.8999996</v>
      </c>
      <c r="N128" s="442">
        <f>SUMIF($B8:$B$122,$B$24,N8:N122)+N122</f>
        <v>-4622846334.8999996</v>
      </c>
      <c r="O128" s="369"/>
      <c r="P128" s="441">
        <f>SUMIF($B8:$B$122,$B$24,P8:P122)+P122</f>
        <v>0</v>
      </c>
      <c r="Q128" s="443">
        <f>SUMIF($B8:$B$122,$B$24,Q8:Q122)+Q122</f>
        <v>0</v>
      </c>
      <c r="R128" s="101"/>
      <c r="S128" s="1021" t="str">
        <f>+IF(AGOSTO!S128=0,"",AGOSTO!S128)</f>
        <v>2.1.2.02.02.006.604</v>
      </c>
      <c r="T128" s="534" t="str">
        <f>+IF(AGOSTO!T128=0,"",AGOSTO!T128)</f>
        <v>Impresos y Publicaciones</v>
      </c>
      <c r="U128" s="1073">
        <f>+ENERO!U128</f>
        <v>327220927.08333331</v>
      </c>
      <c r="V128" s="1062">
        <f>SEPTIEMBRE!V128+OCTUBRE!AL128</f>
        <v>105000000</v>
      </c>
      <c r="W128" s="1062">
        <f>SEPTIEMBRE!W128+OCTUBRE!AM128</f>
        <v>0</v>
      </c>
      <c r="X128" s="1062">
        <f t="shared" si="131"/>
        <v>432220927.08333331</v>
      </c>
      <c r="Y128" s="1062">
        <f>SEPTIEMBRE!AA128</f>
        <v>350783205</v>
      </c>
      <c r="Z128" s="1001">
        <v>80000000</v>
      </c>
      <c r="AA128" s="1062">
        <f t="shared" si="132"/>
        <v>430783205</v>
      </c>
      <c r="AB128" s="1062">
        <f>SEPTIEMBRE!AD128</f>
        <v>281651615</v>
      </c>
      <c r="AC128" s="1001">
        <v>33267802</v>
      </c>
      <c r="AD128" s="1062">
        <f t="shared" si="133"/>
        <v>314919417</v>
      </c>
      <c r="AE128" s="270">
        <f>SEPTIEMBRE!AG128</f>
        <v>122285474</v>
      </c>
      <c r="AF128" s="1001">
        <v>36067175</v>
      </c>
      <c r="AG128" s="1062">
        <f t="shared" si="134"/>
        <v>158352649</v>
      </c>
      <c r="AH128" s="270">
        <f t="shared" si="135"/>
        <v>1437722.0833333135</v>
      </c>
      <c r="AI128" s="220">
        <f t="shared" si="136"/>
        <v>117301510.08333331</v>
      </c>
      <c r="AJ128" s="1022">
        <f t="shared" si="137"/>
        <v>273868278.08333331</v>
      </c>
      <c r="AK128" s="101"/>
      <c r="AL128" s="204">
        <v>0</v>
      </c>
      <c r="AM128" s="210">
        <v>0</v>
      </c>
    </row>
    <row r="129" spans="1:39" ht="24.75" customHeight="1" thickBot="1">
      <c r="A129" s="568"/>
      <c r="B129" s="569"/>
      <c r="C129" s="400"/>
      <c r="D129" s="400"/>
      <c r="E129" s="400"/>
      <c r="F129" s="400"/>
      <c r="G129" s="400"/>
      <c r="H129" s="400"/>
      <c r="I129" s="400"/>
      <c r="J129" s="400"/>
      <c r="K129" s="400"/>
      <c r="L129" s="400"/>
      <c r="M129" s="400"/>
      <c r="N129" s="1101"/>
      <c r="O129" s="67"/>
      <c r="P129" s="402"/>
      <c r="Q129" s="401"/>
      <c r="R129" s="101"/>
      <c r="S129" s="1021" t="str">
        <f>+IF(AGOSTO!S129=0,"",AGOSTO!S129)</f>
        <v>2.1.2.02.02.009.905</v>
      </c>
      <c r="T129" s="534" t="str">
        <f>+IF(AGOSTO!T129=0,"",AGOSTO!T129)</f>
        <v>Servicios de Capacitacion</v>
      </c>
      <c r="U129" s="1073">
        <f>+ENERO!U129</f>
        <v>41029431.25</v>
      </c>
      <c r="V129" s="1062">
        <f>SEPTIEMBRE!V129+OCTUBRE!AL129</f>
        <v>0</v>
      </c>
      <c r="W129" s="1062">
        <f>SEPTIEMBRE!W129+OCTUBRE!AM129</f>
        <v>0</v>
      </c>
      <c r="X129" s="1062">
        <f t="shared" si="131"/>
        <v>41029431.25</v>
      </c>
      <c r="Y129" s="1062">
        <f>SEPTIEMBRE!AA129</f>
        <v>8356972</v>
      </c>
      <c r="Z129" s="1001">
        <v>0</v>
      </c>
      <c r="AA129" s="1062">
        <f t="shared" si="132"/>
        <v>8356972</v>
      </c>
      <c r="AB129" s="1062">
        <f>SEPTIEMBRE!AD129</f>
        <v>8356972</v>
      </c>
      <c r="AC129" s="1001">
        <v>0</v>
      </c>
      <c r="AD129" s="1062">
        <f t="shared" si="133"/>
        <v>8356972</v>
      </c>
      <c r="AE129" s="270">
        <f>SEPTIEMBRE!AG129</f>
        <v>0</v>
      </c>
      <c r="AF129" s="1001">
        <v>0</v>
      </c>
      <c r="AG129" s="1062">
        <f t="shared" si="134"/>
        <v>0</v>
      </c>
      <c r="AH129" s="270">
        <f t="shared" si="135"/>
        <v>32672459.25</v>
      </c>
      <c r="AI129" s="220">
        <f t="shared" si="136"/>
        <v>32672459.25</v>
      </c>
      <c r="AJ129" s="1022">
        <f t="shared" si="137"/>
        <v>41029431.25</v>
      </c>
      <c r="AK129" s="101"/>
      <c r="AL129" s="204">
        <v>0</v>
      </c>
      <c r="AM129" s="210">
        <v>0</v>
      </c>
    </row>
    <row r="130" spans="1:39" ht="24.75" customHeight="1" thickBot="1">
      <c r="A130" s="572" t="s">
        <v>282</v>
      </c>
      <c r="B130" s="573"/>
      <c r="C130" s="446">
        <f t="shared" ref="C130:N130" si="139">C128+C126</f>
        <v>158143153137.47653</v>
      </c>
      <c r="D130" s="447">
        <f t="shared" si="139"/>
        <v>0</v>
      </c>
      <c r="E130" s="447">
        <f t="shared" si="139"/>
        <v>54461930466</v>
      </c>
      <c r="F130" s="448">
        <f t="shared" si="139"/>
        <v>212605083603.47653</v>
      </c>
      <c r="G130" s="446">
        <f t="shared" si="139"/>
        <v>186471341600</v>
      </c>
      <c r="H130" s="447">
        <f t="shared" si="139"/>
        <v>17579908513</v>
      </c>
      <c r="I130" s="448">
        <f t="shared" si="139"/>
        <v>204051250113</v>
      </c>
      <c r="J130" s="446">
        <f t="shared" si="139"/>
        <v>113701644793</v>
      </c>
      <c r="K130" s="447">
        <f t="shared" si="139"/>
        <v>10022833937</v>
      </c>
      <c r="L130" s="448">
        <f t="shared" si="139"/>
        <v>123724478730</v>
      </c>
      <c r="M130" s="446">
        <f t="shared" si="139"/>
        <v>8553833490.4765129</v>
      </c>
      <c r="N130" s="691">
        <f t="shared" si="139"/>
        <v>88880604873.476517</v>
      </c>
      <c r="O130" s="67"/>
      <c r="P130" s="437">
        <f>P128+P126</f>
        <v>0</v>
      </c>
      <c r="Q130" s="438">
        <f>Q128+Q126</f>
        <v>4845730991</v>
      </c>
      <c r="R130" s="101"/>
      <c r="S130" s="1021" t="str">
        <f>+IF(AGOSTO!S130=0,"",AGOSTO!S130)</f>
        <v>2.1.2.02.02.008.804</v>
      </c>
      <c r="T130" s="534" t="str">
        <f>+IF(AGOSTO!T130=0,"",AGOSTO!T130)</f>
        <v xml:space="preserve">Vigilancia </v>
      </c>
      <c r="U130" s="1073">
        <f>+ENERO!U130</f>
        <v>2929064955.833333</v>
      </c>
      <c r="V130" s="1062">
        <f>SEPTIEMBRE!V130+OCTUBRE!AL130</f>
        <v>-566000000</v>
      </c>
      <c r="W130" s="1062">
        <f>SEPTIEMBRE!W130+OCTUBRE!AM130</f>
        <v>0</v>
      </c>
      <c r="X130" s="1062">
        <f t="shared" si="131"/>
        <v>2363064955.833333</v>
      </c>
      <c r="Y130" s="1062">
        <f>SEPTIEMBRE!AA130</f>
        <v>2320627096</v>
      </c>
      <c r="Z130" s="1001">
        <v>22179906</v>
      </c>
      <c r="AA130" s="1062">
        <f t="shared" si="132"/>
        <v>2342807002</v>
      </c>
      <c r="AB130" s="1062">
        <f>SEPTIEMBRE!AD130</f>
        <v>1734565513</v>
      </c>
      <c r="AC130" s="1001">
        <v>208121040</v>
      </c>
      <c r="AD130" s="1062">
        <f t="shared" si="133"/>
        <v>1942686553</v>
      </c>
      <c r="AE130" s="270">
        <f>SEPTIEMBRE!AG130</f>
        <v>1535119516</v>
      </c>
      <c r="AF130" s="1001">
        <v>199445997</v>
      </c>
      <c r="AG130" s="1062">
        <f t="shared" si="134"/>
        <v>1734565513</v>
      </c>
      <c r="AH130" s="270">
        <f t="shared" si="135"/>
        <v>20257953.833333015</v>
      </c>
      <c r="AI130" s="220">
        <f t="shared" si="136"/>
        <v>420378402.83333302</v>
      </c>
      <c r="AJ130" s="1022">
        <f t="shared" si="137"/>
        <v>628499442.83333302</v>
      </c>
      <c r="AK130" s="101"/>
      <c r="AL130" s="204">
        <v>0</v>
      </c>
      <c r="AM130" s="210">
        <v>0</v>
      </c>
    </row>
    <row r="131" spans="1:39" ht="24.75" customHeight="1">
      <c r="A131" s="542"/>
      <c r="B131" s="453"/>
      <c r="C131" s="67"/>
      <c r="D131" s="67"/>
      <c r="E131" s="67"/>
      <c r="F131" s="67"/>
      <c r="G131" s="67"/>
      <c r="H131" s="67"/>
      <c r="I131" s="67"/>
      <c r="J131" s="67"/>
      <c r="K131" s="67"/>
      <c r="L131" s="67"/>
      <c r="M131" s="67"/>
      <c r="N131" s="650"/>
      <c r="O131" s="67"/>
      <c r="P131" s="67"/>
      <c r="Q131" s="67"/>
      <c r="R131" s="101"/>
      <c r="S131" s="1021" t="str">
        <f>+IF(AGOSTO!S131=0,"",AGOSTO!S131)</f>
        <v>2.1.2.02.02.009.908</v>
      </c>
      <c r="T131" s="534" t="str">
        <f>+IF(AGOSTO!T131=0,"",AGOSTO!T131)</f>
        <v>Bienestar Social</v>
      </c>
      <c r="U131" s="1073">
        <f>+ENERO!U131</f>
        <v>326592555</v>
      </c>
      <c r="V131" s="1062">
        <f>SEPTIEMBRE!V131+OCTUBRE!AL131</f>
        <v>79478115</v>
      </c>
      <c r="W131" s="1062">
        <f>SEPTIEMBRE!W131+OCTUBRE!AM131</f>
        <v>169879991</v>
      </c>
      <c r="X131" s="1062">
        <f t="shared" si="131"/>
        <v>575950661</v>
      </c>
      <c r="Y131" s="1062">
        <f>SEPTIEMBRE!AA131</f>
        <v>469558098</v>
      </c>
      <c r="Z131" s="1001">
        <v>8308710</v>
      </c>
      <c r="AA131" s="1062">
        <f t="shared" si="132"/>
        <v>477866808</v>
      </c>
      <c r="AB131" s="1062">
        <f>SEPTIEMBRE!AD131</f>
        <v>390819865</v>
      </c>
      <c r="AC131" s="1001">
        <v>85238205</v>
      </c>
      <c r="AD131" s="1062">
        <f t="shared" si="133"/>
        <v>476058070</v>
      </c>
      <c r="AE131" s="270">
        <f>SEPTIEMBRE!AG131</f>
        <v>169761994</v>
      </c>
      <c r="AF131" s="1001">
        <v>13051360</v>
      </c>
      <c r="AG131" s="1062">
        <f t="shared" si="134"/>
        <v>182813354</v>
      </c>
      <c r="AH131" s="270">
        <f t="shared" si="135"/>
        <v>98083853</v>
      </c>
      <c r="AI131" s="220">
        <f t="shared" si="136"/>
        <v>99892591</v>
      </c>
      <c r="AJ131" s="1022">
        <f t="shared" si="137"/>
        <v>393137307</v>
      </c>
      <c r="AK131" s="101"/>
      <c r="AL131" s="204">
        <v>33540245</v>
      </c>
      <c r="AM131" s="210">
        <v>0</v>
      </c>
    </row>
    <row r="132" spans="1:39" ht="24.75" customHeight="1">
      <c r="R132" s="101"/>
      <c r="S132" s="1021" t="str">
        <f>+IF(AGOSTO!S132=0,"",AGOSTO!S132)</f>
        <v>2.1.2.02.02.010</v>
      </c>
      <c r="T132" s="534" t="str">
        <f>+IF(AGOSTO!T132=0,"",AGOSTO!T132)</f>
        <v>Viáticos de los funcionarios en comisión</v>
      </c>
      <c r="U132" s="1073">
        <f>+ENERO!U132</f>
        <v>3000000</v>
      </c>
      <c r="V132" s="1062">
        <f>SEPTIEMBRE!V132+OCTUBRE!AL132</f>
        <v>20000000</v>
      </c>
      <c r="W132" s="1062">
        <f>SEPTIEMBRE!W132+OCTUBRE!AM132</f>
        <v>0</v>
      </c>
      <c r="X132" s="1062">
        <f t="shared" si="131"/>
        <v>23000000</v>
      </c>
      <c r="Y132" s="1062">
        <f>SEPTIEMBRE!AA132</f>
        <v>7295251</v>
      </c>
      <c r="Z132" s="1001">
        <v>0</v>
      </c>
      <c r="AA132" s="1062">
        <f t="shared" si="132"/>
        <v>7295251</v>
      </c>
      <c r="AB132" s="1062">
        <f>SEPTIEMBRE!AD132</f>
        <v>6609461</v>
      </c>
      <c r="AC132" s="1001">
        <v>0</v>
      </c>
      <c r="AD132" s="1062">
        <f t="shared" si="133"/>
        <v>6609461</v>
      </c>
      <c r="AE132" s="270">
        <f>SEPTIEMBRE!AG132</f>
        <v>6609461</v>
      </c>
      <c r="AF132" s="1001">
        <v>0</v>
      </c>
      <c r="AG132" s="1062">
        <f t="shared" si="134"/>
        <v>6609461</v>
      </c>
      <c r="AH132" s="270">
        <f t="shared" si="135"/>
        <v>15704749</v>
      </c>
      <c r="AI132" s="220">
        <f t="shared" si="136"/>
        <v>16390539</v>
      </c>
      <c r="AJ132" s="1022">
        <f t="shared" si="137"/>
        <v>16390539</v>
      </c>
      <c r="AK132" s="101"/>
      <c r="AL132" s="204">
        <v>0</v>
      </c>
      <c r="AM132" s="210">
        <v>0</v>
      </c>
    </row>
    <row r="133" spans="1:39" ht="24.75" customHeight="1">
      <c r="R133" s="101"/>
      <c r="S133" s="1021" t="str">
        <f>+IF(AGOSTO!S133=0,"",AGOSTO!S133)</f>
        <v>2.1.2.02.02.009.903</v>
      </c>
      <c r="T133" s="534" t="str">
        <f>+IF(AGOSTO!T133=0,"",AGOSTO!T133)</f>
        <v>Servicios prestados por IPS</v>
      </c>
      <c r="U133" s="1073">
        <f>+ENERO!U133</f>
        <v>5000000</v>
      </c>
      <c r="V133" s="1062">
        <f>SEPTIEMBRE!V133+OCTUBRE!AL133</f>
        <v>0</v>
      </c>
      <c r="W133" s="1062">
        <f>SEPTIEMBRE!W133+OCTUBRE!AM133</f>
        <v>0</v>
      </c>
      <c r="X133" s="1062">
        <f t="shared" si="131"/>
        <v>5000000</v>
      </c>
      <c r="Y133" s="1062">
        <f>SEPTIEMBRE!AA133</f>
        <v>0</v>
      </c>
      <c r="Z133" s="1001">
        <v>0</v>
      </c>
      <c r="AA133" s="1062">
        <f t="shared" si="132"/>
        <v>0</v>
      </c>
      <c r="AB133" s="1062">
        <f>SEPTIEMBRE!AD133</f>
        <v>0</v>
      </c>
      <c r="AC133" s="1001">
        <v>0</v>
      </c>
      <c r="AD133" s="1062">
        <f t="shared" si="133"/>
        <v>0</v>
      </c>
      <c r="AE133" s="270">
        <f>SEPTIEMBRE!AG133</f>
        <v>0</v>
      </c>
      <c r="AF133" s="1001">
        <v>0</v>
      </c>
      <c r="AG133" s="1062">
        <f t="shared" si="134"/>
        <v>0</v>
      </c>
      <c r="AH133" s="270">
        <f t="shared" si="135"/>
        <v>5000000</v>
      </c>
      <c r="AI133" s="220">
        <f t="shared" si="136"/>
        <v>5000000</v>
      </c>
      <c r="AJ133" s="1022">
        <f t="shared" si="137"/>
        <v>5000000</v>
      </c>
      <c r="AK133" s="101"/>
      <c r="AL133" s="204">
        <v>0</v>
      </c>
      <c r="AM133" s="210">
        <v>0</v>
      </c>
    </row>
    <row r="134" spans="1:39" ht="24.75" customHeight="1">
      <c r="R134" s="101"/>
      <c r="S134" s="1021" t="str">
        <f>+IF(AGOSTO!S134=0,"",AGOSTO!S134)</f>
        <v>2010200-11</v>
      </c>
      <c r="T134" s="534" t="str">
        <f>+IF(AGOSTO!T134=0,"",AGOSTO!T134)</f>
        <v>Gastos Bancarios</v>
      </c>
      <c r="U134" s="1073">
        <f>+ENERO!U134</f>
        <v>0</v>
      </c>
      <c r="V134" s="1062">
        <f>SEPTIEMBRE!V134+OCTUBRE!AL134</f>
        <v>0</v>
      </c>
      <c r="W134" s="1062">
        <f>SEPTIEMBRE!W134+OCTUBRE!AM134</f>
        <v>0</v>
      </c>
      <c r="X134" s="1062">
        <f t="shared" si="131"/>
        <v>0</v>
      </c>
      <c r="Y134" s="1062">
        <f>SEPTIEMBRE!AA134</f>
        <v>0</v>
      </c>
      <c r="Z134" s="1001">
        <v>0</v>
      </c>
      <c r="AA134" s="1062">
        <f t="shared" si="132"/>
        <v>0</v>
      </c>
      <c r="AB134" s="1062">
        <f>SEPTIEMBRE!AD134</f>
        <v>0</v>
      </c>
      <c r="AC134" s="1001">
        <v>0</v>
      </c>
      <c r="AD134" s="1062">
        <f t="shared" si="133"/>
        <v>0</v>
      </c>
      <c r="AE134" s="270">
        <f>SEPTIEMBRE!AG134</f>
        <v>0</v>
      </c>
      <c r="AF134" s="1001">
        <v>0</v>
      </c>
      <c r="AG134" s="1062">
        <f t="shared" si="134"/>
        <v>0</v>
      </c>
      <c r="AH134" s="270">
        <f t="shared" si="135"/>
        <v>0</v>
      </c>
      <c r="AI134" s="220">
        <f t="shared" si="136"/>
        <v>0</v>
      </c>
      <c r="AJ134" s="1022">
        <f t="shared" si="137"/>
        <v>0</v>
      </c>
      <c r="AK134" s="101"/>
      <c r="AL134" s="204">
        <v>0</v>
      </c>
      <c r="AM134" s="210">
        <v>0</v>
      </c>
    </row>
    <row r="135" spans="1:39" ht="24.75" customHeight="1">
      <c r="R135" s="101"/>
      <c r="S135" s="1021" t="str">
        <f>+IF(AGOSTO!S135=0,"",AGOSTO!S135)</f>
        <v>2.1.2.02.02.009.909</v>
      </c>
      <c r="T135" s="534" t="str">
        <f>+IF(AGOSTO!T135=0,"",AGOSTO!T135)</f>
        <v>Convenio Docencia Servicios</v>
      </c>
      <c r="U135" s="1073">
        <f>+ENERO!U135</f>
        <v>20000000</v>
      </c>
      <c r="V135" s="1062">
        <f>SEPTIEMBRE!V135+OCTUBRE!AL135</f>
        <v>0</v>
      </c>
      <c r="W135" s="1062">
        <f>SEPTIEMBRE!W135+OCTUBRE!AM135</f>
        <v>0</v>
      </c>
      <c r="X135" s="1062">
        <f t="shared" si="131"/>
        <v>20000000</v>
      </c>
      <c r="Y135" s="1062">
        <f>SEPTIEMBRE!AA135</f>
        <v>0</v>
      </c>
      <c r="Z135" s="1001">
        <v>0</v>
      </c>
      <c r="AA135" s="1062">
        <f t="shared" si="132"/>
        <v>0</v>
      </c>
      <c r="AB135" s="1062">
        <f>SEPTIEMBRE!AD135</f>
        <v>0</v>
      </c>
      <c r="AC135" s="1001">
        <v>0</v>
      </c>
      <c r="AD135" s="1062">
        <f t="shared" si="133"/>
        <v>0</v>
      </c>
      <c r="AE135" s="270">
        <f>SEPTIEMBRE!AG135</f>
        <v>0</v>
      </c>
      <c r="AF135" s="1001">
        <v>0</v>
      </c>
      <c r="AG135" s="1062">
        <f t="shared" si="134"/>
        <v>0</v>
      </c>
      <c r="AH135" s="270">
        <f t="shared" si="135"/>
        <v>20000000</v>
      </c>
      <c r="AI135" s="220">
        <f t="shared" si="136"/>
        <v>20000000</v>
      </c>
      <c r="AJ135" s="1022">
        <f t="shared" si="137"/>
        <v>20000000</v>
      </c>
      <c r="AK135" s="101"/>
      <c r="AL135" s="204">
        <v>0</v>
      </c>
      <c r="AM135" s="210">
        <v>0</v>
      </c>
    </row>
    <row r="136" spans="1:39" ht="24.75" customHeight="1">
      <c r="R136" s="101"/>
      <c r="S136" s="1021" t="str">
        <f>+IF(AGOSTO!S136=0,"",AGOSTO!S136)</f>
        <v>2.1.2.02.02.008.809</v>
      </c>
      <c r="T136" s="534" t="str">
        <f>+IF(AGOSTO!T136=0,"",AGOSTO!T136)</f>
        <v>Publicidad</v>
      </c>
      <c r="U136" s="1073">
        <f>+ENERO!U136</f>
        <v>0</v>
      </c>
      <c r="V136" s="1062">
        <f>SEPTIEMBRE!V136+OCTUBRE!AL136</f>
        <v>0</v>
      </c>
      <c r="W136" s="1062">
        <f>SEPTIEMBRE!W136+OCTUBRE!AM136</f>
        <v>0</v>
      </c>
      <c r="X136" s="1062">
        <f t="shared" si="131"/>
        <v>0</v>
      </c>
      <c r="Y136" s="1062">
        <f>SEPTIEMBRE!AA136</f>
        <v>0</v>
      </c>
      <c r="Z136" s="1001">
        <v>0</v>
      </c>
      <c r="AA136" s="1062">
        <f t="shared" si="132"/>
        <v>0</v>
      </c>
      <c r="AB136" s="1062">
        <f>SEPTIEMBRE!AD136</f>
        <v>0</v>
      </c>
      <c r="AC136" s="1001">
        <v>0</v>
      </c>
      <c r="AD136" s="1062">
        <f t="shared" si="133"/>
        <v>0</v>
      </c>
      <c r="AE136" s="270">
        <f>SEPTIEMBRE!AG136</f>
        <v>0</v>
      </c>
      <c r="AF136" s="1001">
        <v>0</v>
      </c>
      <c r="AG136" s="1062">
        <f t="shared" si="134"/>
        <v>0</v>
      </c>
      <c r="AH136" s="270">
        <f t="shared" si="135"/>
        <v>0</v>
      </c>
      <c r="AI136" s="220">
        <f t="shared" si="136"/>
        <v>0</v>
      </c>
      <c r="AJ136" s="1022">
        <f t="shared" si="137"/>
        <v>0</v>
      </c>
      <c r="AK136" s="101"/>
      <c r="AL136" s="204">
        <v>0</v>
      </c>
      <c r="AM136" s="210">
        <v>0</v>
      </c>
    </row>
    <row r="137" spans="1:39" ht="24.75" customHeight="1">
      <c r="R137" s="101"/>
      <c r="S137" s="1021" t="str">
        <f>+IF(AGOSTO!S137=0,"",AGOSTO!S137)</f>
        <v/>
      </c>
      <c r="T137" s="534" t="str">
        <f>+IF(AGOSTO!T137=0,"",AGOSTO!T137)</f>
        <v/>
      </c>
      <c r="U137" s="1073">
        <f>+ENERO!U137</f>
        <v>0</v>
      </c>
      <c r="V137" s="1062">
        <f>SEPTIEMBRE!V137+OCTUBRE!AL137</f>
        <v>0</v>
      </c>
      <c r="W137" s="1062">
        <f>SEPTIEMBRE!W137+OCTUBRE!AM137</f>
        <v>0</v>
      </c>
      <c r="X137" s="1062">
        <f t="shared" si="131"/>
        <v>0</v>
      </c>
      <c r="Y137" s="1062">
        <f>SEPTIEMBRE!AA137</f>
        <v>0</v>
      </c>
      <c r="Z137" s="1001">
        <v>0</v>
      </c>
      <c r="AA137" s="1062">
        <f t="shared" si="132"/>
        <v>0</v>
      </c>
      <c r="AB137" s="1062">
        <f>SEPTIEMBRE!AD137</f>
        <v>0</v>
      </c>
      <c r="AC137" s="1001">
        <v>0</v>
      </c>
      <c r="AD137" s="1062">
        <f t="shared" si="133"/>
        <v>0</v>
      </c>
      <c r="AE137" s="270">
        <f>SEPTIEMBRE!AG137</f>
        <v>0</v>
      </c>
      <c r="AF137" s="1001">
        <v>0</v>
      </c>
      <c r="AG137" s="1062">
        <f t="shared" si="134"/>
        <v>0</v>
      </c>
      <c r="AH137" s="270">
        <f t="shared" si="135"/>
        <v>0</v>
      </c>
      <c r="AI137" s="220">
        <f t="shared" si="136"/>
        <v>0</v>
      </c>
      <c r="AJ137" s="1022">
        <f t="shared" si="137"/>
        <v>0</v>
      </c>
      <c r="AK137" s="101"/>
      <c r="AL137" s="204">
        <v>0</v>
      </c>
      <c r="AM137" s="210">
        <v>0</v>
      </c>
    </row>
    <row r="138" spans="1:39" ht="24.75" customHeight="1">
      <c r="A138" s="989"/>
      <c r="B138" s="990"/>
      <c r="C138" s="991"/>
      <c r="D138" s="992"/>
      <c r="E138" s="992"/>
      <c r="F138" s="992"/>
      <c r="G138" s="992"/>
      <c r="H138" s="991"/>
      <c r="I138" s="992"/>
      <c r="J138" s="992"/>
      <c r="K138" s="991"/>
      <c r="L138" s="992"/>
      <c r="M138" s="992"/>
      <c r="N138" s="992"/>
      <c r="O138" s="992"/>
      <c r="P138" s="991"/>
      <c r="Q138" s="991"/>
      <c r="R138" s="101"/>
      <c r="S138" s="1021" t="str">
        <f>+IF(AGOSTO!S138=0,"",AGOSTO!S138)</f>
        <v/>
      </c>
      <c r="T138" s="534" t="str">
        <f>+IF(AGOSTO!T138=0,"",AGOSTO!T138)</f>
        <v/>
      </c>
      <c r="U138" s="1073">
        <f>+ENERO!U138</f>
        <v>0</v>
      </c>
      <c r="V138" s="1062">
        <f>SEPTIEMBRE!V138+OCTUBRE!AL138</f>
        <v>0</v>
      </c>
      <c r="W138" s="1062">
        <f>SEPTIEMBRE!W138+OCTUBRE!AM138</f>
        <v>0</v>
      </c>
      <c r="X138" s="1062">
        <f t="shared" si="131"/>
        <v>0</v>
      </c>
      <c r="Y138" s="1062">
        <f>SEPTIEMBRE!AA138</f>
        <v>0</v>
      </c>
      <c r="Z138" s="1001">
        <v>0</v>
      </c>
      <c r="AA138" s="1062">
        <f t="shared" si="132"/>
        <v>0</v>
      </c>
      <c r="AB138" s="1062">
        <f>SEPTIEMBRE!AD138</f>
        <v>0</v>
      </c>
      <c r="AC138" s="1001">
        <v>0</v>
      </c>
      <c r="AD138" s="1062">
        <f t="shared" si="133"/>
        <v>0</v>
      </c>
      <c r="AE138" s="270">
        <f>SEPTIEMBRE!AG138</f>
        <v>0</v>
      </c>
      <c r="AF138" s="1001">
        <v>0</v>
      </c>
      <c r="AG138" s="1062">
        <f t="shared" si="134"/>
        <v>0</v>
      </c>
      <c r="AH138" s="270">
        <f t="shared" si="135"/>
        <v>0</v>
      </c>
      <c r="AI138" s="220">
        <f t="shared" si="136"/>
        <v>0</v>
      </c>
      <c r="AJ138" s="1022">
        <f t="shared" si="137"/>
        <v>0</v>
      </c>
      <c r="AK138" s="216"/>
      <c r="AL138" s="204">
        <v>0</v>
      </c>
      <c r="AM138" s="210">
        <v>0</v>
      </c>
    </row>
    <row r="139" spans="1:39" ht="24.75" customHeight="1">
      <c r="A139" s="989"/>
      <c r="B139" s="993"/>
      <c r="C139" s="991"/>
      <c r="D139" s="992"/>
      <c r="E139" s="992"/>
      <c r="F139" s="992"/>
      <c r="G139" s="992"/>
      <c r="H139" s="991"/>
      <c r="I139" s="992"/>
      <c r="J139" s="992"/>
      <c r="K139" s="991"/>
      <c r="L139" s="992"/>
      <c r="M139" s="992"/>
      <c r="N139" s="992"/>
      <c r="O139" s="992"/>
      <c r="P139" s="991"/>
      <c r="Q139" s="991"/>
      <c r="R139" s="101"/>
      <c r="S139" s="1021" t="str">
        <f>+IF(AGOSTO!S139=0,"",AGOSTO!S139)</f>
        <v>2.1.2.02.02.008.99.01</v>
      </c>
      <c r="T139" s="534" t="str">
        <f>+IF(AGOSTO!T139=0,"",AGOSTO!T139)</f>
        <v>Vigencias Anteriores</v>
      </c>
      <c r="U139" s="1073">
        <f>+ENERO!U139</f>
        <v>368200000</v>
      </c>
      <c r="V139" s="1062">
        <f>SEPTIEMBRE!V139+OCTUBRE!AL139</f>
        <v>0</v>
      </c>
      <c r="W139" s="1062">
        <f>SEPTIEMBRE!W139+OCTUBRE!AM139</f>
        <v>0</v>
      </c>
      <c r="X139" s="1062">
        <f t="shared" si="131"/>
        <v>368200000</v>
      </c>
      <c r="Y139" s="1062">
        <f>SEPTIEMBRE!AA139</f>
        <v>234444435</v>
      </c>
      <c r="Z139" s="1001">
        <v>0</v>
      </c>
      <c r="AA139" s="1062">
        <f t="shared" si="132"/>
        <v>234444435</v>
      </c>
      <c r="AB139" s="1062">
        <f>SEPTIEMBRE!AD139</f>
        <v>234444435</v>
      </c>
      <c r="AC139" s="1001">
        <v>0</v>
      </c>
      <c r="AD139" s="1062">
        <f t="shared" si="133"/>
        <v>234444435</v>
      </c>
      <c r="AE139" s="270">
        <f>SEPTIEMBRE!AG139</f>
        <v>234444435</v>
      </c>
      <c r="AF139" s="1001">
        <v>0</v>
      </c>
      <c r="AG139" s="1062">
        <f t="shared" si="134"/>
        <v>234444435</v>
      </c>
      <c r="AH139" s="270">
        <f t="shared" si="135"/>
        <v>133755565</v>
      </c>
      <c r="AI139" s="220">
        <f t="shared" si="136"/>
        <v>133755565</v>
      </c>
      <c r="AJ139" s="1022">
        <f t="shared" si="137"/>
        <v>133755565</v>
      </c>
      <c r="AK139" s="216"/>
      <c r="AL139" s="204">
        <v>0</v>
      </c>
      <c r="AM139" s="210">
        <v>0</v>
      </c>
    </row>
    <row r="140" spans="1:39" ht="24.75" customHeight="1">
      <c r="A140" s="989"/>
      <c r="B140" s="990"/>
      <c r="C140" s="991"/>
      <c r="D140" s="992"/>
      <c r="E140" s="992"/>
      <c r="F140" s="992"/>
      <c r="G140" s="992"/>
      <c r="H140" s="991"/>
      <c r="I140" s="992"/>
      <c r="J140" s="992"/>
      <c r="K140" s="991"/>
      <c r="L140" s="992"/>
      <c r="M140" s="992"/>
      <c r="N140" s="992"/>
      <c r="O140" s="992"/>
      <c r="P140" s="991"/>
      <c r="Q140" s="991"/>
      <c r="R140" s="101"/>
      <c r="S140" s="1023">
        <f>+IF(AGOSTO!S140=0,"",AGOSTO!S140)</f>
        <v>233459072</v>
      </c>
      <c r="T140" s="488" t="str">
        <f>+IF(AGOSTO!T140=0,"",AGOSTO!T140)</f>
        <v/>
      </c>
      <c r="U140" s="1060"/>
      <c r="V140" s="915"/>
      <c r="W140" s="915"/>
      <c r="X140" s="1060"/>
      <c r="Y140" s="1060"/>
      <c r="Z140" s="1060"/>
      <c r="AA140" s="1060"/>
      <c r="AB140" s="1060"/>
      <c r="AC140" s="1060"/>
      <c r="AD140" s="1060"/>
      <c r="AE140" s="191"/>
      <c r="AF140" s="1060"/>
      <c r="AG140" s="1060"/>
      <c r="AH140" s="191"/>
      <c r="AI140" s="191"/>
      <c r="AJ140" s="1024"/>
      <c r="AK140" s="101"/>
      <c r="AL140" s="655"/>
      <c r="AM140" s="656"/>
    </row>
    <row r="141" spans="1:39" ht="24.75" customHeight="1">
      <c r="A141" s="989"/>
      <c r="B141" s="993"/>
      <c r="C141" s="991"/>
      <c r="D141" s="992"/>
      <c r="E141" s="992"/>
      <c r="F141" s="992"/>
      <c r="G141" s="992"/>
      <c r="H141" s="991"/>
      <c r="I141" s="992"/>
      <c r="J141" s="992"/>
      <c r="K141" s="991"/>
      <c r="L141" s="992"/>
      <c r="M141" s="992"/>
      <c r="N141" s="992"/>
      <c r="O141" s="992"/>
      <c r="P141" s="991"/>
      <c r="Q141" s="991"/>
      <c r="R141" s="101"/>
      <c r="S141" s="1019" t="str">
        <f>+IF(AGOSTO!S141=0,"",AGOSTO!S141)</f>
        <v>2.1.8.01</v>
      </c>
      <c r="T141" s="546" t="str">
        <f>+IF(AGOSTO!T141=0,"",AGOSTO!T141)</f>
        <v>Impuestos y Multas</v>
      </c>
      <c r="U141" s="1058">
        <f>U142+U143</f>
        <v>548000000</v>
      </c>
      <c r="V141" s="1061">
        <f t="shared" ref="V141:AJ141" si="140">V142+V143</f>
        <v>90000000</v>
      </c>
      <c r="W141" s="1061">
        <f t="shared" si="140"/>
        <v>0</v>
      </c>
      <c r="X141" s="234">
        <f t="shared" si="140"/>
        <v>638000000</v>
      </c>
      <c r="Y141" s="233">
        <f t="shared" si="140"/>
        <v>321433950</v>
      </c>
      <c r="Z141" s="231">
        <f t="shared" si="140"/>
        <v>51758350</v>
      </c>
      <c r="AA141" s="234">
        <f t="shared" si="140"/>
        <v>373192300</v>
      </c>
      <c r="AB141" s="233">
        <f t="shared" si="140"/>
        <v>321433950</v>
      </c>
      <c r="AC141" s="231">
        <f t="shared" si="140"/>
        <v>51758350</v>
      </c>
      <c r="AD141" s="234">
        <f t="shared" si="140"/>
        <v>373192300</v>
      </c>
      <c r="AE141" s="233">
        <f t="shared" si="140"/>
        <v>321433950</v>
      </c>
      <c r="AF141" s="231">
        <f t="shared" si="140"/>
        <v>51758350</v>
      </c>
      <c r="AG141" s="234">
        <f t="shared" si="140"/>
        <v>373192300</v>
      </c>
      <c r="AH141" s="233">
        <f t="shared" si="140"/>
        <v>264807700</v>
      </c>
      <c r="AI141" s="231">
        <f t="shared" si="140"/>
        <v>264807700</v>
      </c>
      <c r="AJ141" s="1020">
        <f t="shared" si="140"/>
        <v>264807700</v>
      </c>
      <c r="AK141" s="101"/>
      <c r="AL141" s="233">
        <f>AL142+AL143</f>
        <v>90000000</v>
      </c>
      <c r="AM141" s="232">
        <f>AM142+AM143</f>
        <v>0</v>
      </c>
    </row>
    <row r="142" spans="1:39" ht="24.75" customHeight="1">
      <c r="A142" s="989"/>
      <c r="B142" s="990"/>
      <c r="C142" s="991"/>
      <c r="D142" s="992"/>
      <c r="E142" s="992"/>
      <c r="F142" s="992"/>
      <c r="G142" s="994"/>
      <c r="H142" s="991"/>
      <c r="I142" s="994"/>
      <c r="J142" s="994"/>
      <c r="K142" s="991"/>
      <c r="L142" s="994"/>
      <c r="M142" s="994"/>
      <c r="N142" s="994"/>
      <c r="O142" s="992"/>
      <c r="P142" s="991"/>
      <c r="Q142" s="991"/>
      <c r="R142" s="101"/>
      <c r="S142" s="1021" t="str">
        <f>+IF(AGOSTO!S142=0,"",AGOSTO!S142)</f>
        <v>2.1.8.01.52</v>
      </c>
      <c r="T142" s="267" t="str">
        <f>+IF(AGOSTO!T142=0,"",AGOSTO!T142)</f>
        <v>IMPUESTO PREDIAL UNIFICADO</v>
      </c>
      <c r="U142" s="557">
        <f>+ENERO!U142</f>
        <v>148000000</v>
      </c>
      <c r="V142" s="1062">
        <f>SEPTIEMBRE!V142+OCTUBRE!AL142</f>
        <v>90000000</v>
      </c>
      <c r="W142" s="1062">
        <f>SEPTIEMBRE!W142+OCTUBRE!AM142</f>
        <v>0</v>
      </c>
      <c r="X142" s="271">
        <f>SUM(U142:W142)</f>
        <v>238000000</v>
      </c>
      <c r="Y142" s="1027">
        <f>SEPTIEMBRE!AA142</f>
        <v>103516700</v>
      </c>
      <c r="Z142" s="208">
        <v>51758350</v>
      </c>
      <c r="AA142" s="271">
        <f>SUM(Y142:Z142)</f>
        <v>155275050</v>
      </c>
      <c r="AB142" s="270">
        <f>SEPTIEMBRE!AD142</f>
        <v>103516700</v>
      </c>
      <c r="AC142" s="208">
        <v>51758350</v>
      </c>
      <c r="AD142" s="271">
        <f>SUM(AB142:AC142)</f>
        <v>155275050</v>
      </c>
      <c r="AE142" s="270">
        <f>SEPTIEMBRE!AG142</f>
        <v>103516700</v>
      </c>
      <c r="AF142" s="208">
        <v>51758350</v>
      </c>
      <c r="AG142" s="271">
        <f>SUM(AE142:AF142)</f>
        <v>155275050</v>
      </c>
      <c r="AH142" s="270">
        <f>X142-AA142</f>
        <v>82724950</v>
      </c>
      <c r="AI142" s="220">
        <f>X142-AD142</f>
        <v>82724950</v>
      </c>
      <c r="AJ142" s="1022">
        <f>X142-AG142</f>
        <v>82724950</v>
      </c>
      <c r="AK142" s="101"/>
      <c r="AL142" s="204">
        <v>90000000</v>
      </c>
      <c r="AM142" s="210">
        <v>0</v>
      </c>
    </row>
    <row r="143" spans="1:39" ht="24.75" customHeight="1">
      <c r="A143" s="995"/>
      <c r="B143" s="993"/>
      <c r="C143" s="991"/>
      <c r="D143" s="992"/>
      <c r="E143" s="992"/>
      <c r="F143" s="992"/>
      <c r="G143" s="994"/>
      <c r="H143" s="991"/>
      <c r="I143" s="994"/>
      <c r="J143" s="994"/>
      <c r="K143" s="991"/>
      <c r="L143" s="994"/>
      <c r="M143" s="994"/>
      <c r="N143" s="994"/>
      <c r="O143" s="994"/>
      <c r="P143" s="991"/>
      <c r="Q143" s="991"/>
      <c r="R143" s="101"/>
      <c r="S143" s="1021" t="str">
        <f>+IF(AGOSTO!S143=0,"",AGOSTO!S143)</f>
        <v>2.1.8.01.54</v>
      </c>
      <c r="T143" s="267" t="str">
        <f>+IF(AGOSTO!T143=0,"",AGOSTO!T143)</f>
        <v>Impuesto de Industria y comercio</v>
      </c>
      <c r="U143" s="557">
        <f>+ENERO!U143</f>
        <v>400000000</v>
      </c>
      <c r="V143" s="1062">
        <f>SEPTIEMBRE!V143+OCTUBRE!AL143</f>
        <v>0</v>
      </c>
      <c r="W143" s="220">
        <f>SEPTIEMBRE!W143+OCTUBRE!AM143</f>
        <v>0</v>
      </c>
      <c r="X143" s="271">
        <f>SUM(U143:W143)</f>
        <v>400000000</v>
      </c>
      <c r="Y143" s="1027">
        <f>SEPTIEMBRE!AA143</f>
        <v>217917250</v>
      </c>
      <c r="Z143" s="208"/>
      <c r="AA143" s="271">
        <f>SUM(Y143:Z143)</f>
        <v>217917250</v>
      </c>
      <c r="AB143" s="270">
        <f>SEPTIEMBRE!AD143</f>
        <v>217917250</v>
      </c>
      <c r="AC143" s="208"/>
      <c r="AD143" s="271">
        <f>SUM(AB143:AC143)</f>
        <v>217917250</v>
      </c>
      <c r="AE143" s="270">
        <f>SEPTIEMBRE!AG143</f>
        <v>217917250</v>
      </c>
      <c r="AF143" s="208"/>
      <c r="AG143" s="271">
        <f>SUM(AE143:AF143)</f>
        <v>217917250</v>
      </c>
      <c r="AH143" s="270">
        <f>X143-AA143</f>
        <v>182082750</v>
      </c>
      <c r="AI143" s="220">
        <f>X143-AD143</f>
        <v>182082750</v>
      </c>
      <c r="AJ143" s="1022">
        <f>X143-AG143</f>
        <v>182082750</v>
      </c>
      <c r="AK143" s="216"/>
      <c r="AL143" s="204">
        <v>0</v>
      </c>
      <c r="AM143" s="210">
        <v>0</v>
      </c>
    </row>
    <row r="144" spans="1:39" ht="24.75" customHeight="1">
      <c r="A144" s="995"/>
      <c r="B144" s="993"/>
      <c r="C144" s="991"/>
      <c r="D144" s="992"/>
      <c r="E144" s="992"/>
      <c r="F144" s="992"/>
      <c r="G144" s="994"/>
      <c r="H144" s="991"/>
      <c r="I144" s="994"/>
      <c r="J144" s="994"/>
      <c r="K144" s="991"/>
      <c r="L144" s="994"/>
      <c r="M144" s="994"/>
      <c r="N144" s="994"/>
      <c r="O144" s="994"/>
      <c r="P144" s="991"/>
      <c r="Q144" s="991"/>
      <c r="R144" s="101"/>
      <c r="S144" s="1023">
        <f>+IF(AGOSTO!S144=0,"",AGOSTO!S144)</f>
        <v>8880056</v>
      </c>
      <c r="T144" s="488" t="str">
        <f>+IF(AGOSTO!T144=0,"",AGOSTO!T144)</f>
        <v/>
      </c>
      <c r="U144" s="191"/>
      <c r="V144" s="1060"/>
      <c r="W144" s="1060"/>
      <c r="X144" s="191"/>
      <c r="Y144" s="191"/>
      <c r="Z144" s="191"/>
      <c r="AA144" s="191"/>
      <c r="AB144" s="191"/>
      <c r="AC144" s="191"/>
      <c r="AD144" s="191"/>
      <c r="AE144" s="191"/>
      <c r="AF144" s="191"/>
      <c r="AG144" s="191"/>
      <c r="AH144" s="191"/>
      <c r="AI144" s="191"/>
      <c r="AJ144" s="1024"/>
      <c r="AK144" s="101"/>
      <c r="AL144" s="370"/>
      <c r="AM144" s="371"/>
    </row>
    <row r="145" spans="1:39" ht="24.75" customHeight="1">
      <c r="A145" s="995"/>
      <c r="B145" s="993"/>
      <c r="C145" s="991"/>
      <c r="D145" s="992"/>
      <c r="E145" s="992"/>
      <c r="F145" s="992"/>
      <c r="G145" s="994"/>
      <c r="H145" s="991"/>
      <c r="I145" s="994"/>
      <c r="J145" s="994"/>
      <c r="K145" s="991"/>
      <c r="L145" s="994"/>
      <c r="M145" s="994"/>
      <c r="N145" s="994"/>
      <c r="O145" s="994"/>
      <c r="P145" s="991"/>
      <c r="Q145" s="991"/>
      <c r="R145" s="101"/>
      <c r="S145" s="1025">
        <f>+IF(AGOSTO!S145=0,"",AGOSTO!S145)</f>
        <v>2020010</v>
      </c>
      <c r="T145" s="229" t="str">
        <f>+IF(AGOSTO!T145=0,"",AGOSTO!T145)</f>
        <v>Gastos de Operación</v>
      </c>
      <c r="U145" s="883">
        <f>U147+U155</f>
        <v>11892931308.176388</v>
      </c>
      <c r="V145" s="883">
        <f>V147+V155</f>
        <v>355000000</v>
      </c>
      <c r="W145" s="883">
        <f>W147+W155</f>
        <v>1423628029</v>
      </c>
      <c r="X145" s="883">
        <f>X147+X155</f>
        <v>13671559337.176388</v>
      </c>
      <c r="Y145" s="233">
        <f t="shared" ref="Y145:AJ145" si="141">Y147+Y155</f>
        <v>6800907438</v>
      </c>
      <c r="Z145" s="231">
        <f t="shared" si="141"/>
        <v>473463935</v>
      </c>
      <c r="AA145" s="234">
        <f t="shared" si="141"/>
        <v>7274371373</v>
      </c>
      <c r="AB145" s="233">
        <f t="shared" si="141"/>
        <v>5585950492</v>
      </c>
      <c r="AC145" s="231">
        <f t="shared" si="141"/>
        <v>442027270</v>
      </c>
      <c r="AD145" s="234">
        <f t="shared" si="141"/>
        <v>6027977762</v>
      </c>
      <c r="AE145" s="233">
        <f t="shared" si="141"/>
        <v>3256974346</v>
      </c>
      <c r="AF145" s="231">
        <f t="shared" si="141"/>
        <v>250131241</v>
      </c>
      <c r="AG145" s="234">
        <f t="shared" si="141"/>
        <v>3507105587</v>
      </c>
      <c r="AH145" s="233">
        <f t="shared" si="141"/>
        <v>6397187964.1763887</v>
      </c>
      <c r="AI145" s="231">
        <f t="shared" si="141"/>
        <v>7643581575.1763887</v>
      </c>
      <c r="AJ145" s="1020">
        <f t="shared" si="141"/>
        <v>10164453750.176388</v>
      </c>
      <c r="AK145" s="101"/>
      <c r="AL145" s="233">
        <f>AL147+AL155</f>
        <v>0</v>
      </c>
      <c r="AM145" s="232">
        <f>AM147+AM155</f>
        <v>0</v>
      </c>
    </row>
    <row r="146" spans="1:39" ht="24.75" customHeight="1">
      <c r="A146" s="995"/>
      <c r="B146" s="993"/>
      <c r="C146" s="991"/>
      <c r="D146" s="992"/>
      <c r="E146" s="992"/>
      <c r="F146" s="992"/>
      <c r="G146" s="994"/>
      <c r="H146" s="991"/>
      <c r="I146" s="994"/>
      <c r="J146" s="994"/>
      <c r="K146" s="991"/>
      <c r="L146" s="994"/>
      <c r="M146" s="994"/>
      <c r="N146" s="994"/>
      <c r="O146" s="994"/>
      <c r="P146" s="991"/>
      <c r="Q146" s="991"/>
      <c r="R146" s="101"/>
      <c r="S146" s="1026">
        <f>+IF(AGOSTO!S146=0,"",AGOSTO!S146)</f>
        <v>2020010</v>
      </c>
      <c r="T146" s="312" t="str">
        <f>+IF(AGOSTO!T146=0,"",AGOSTO!T146)</f>
        <v/>
      </c>
      <c r="U146" s="1079"/>
      <c r="V146" s="1078"/>
      <c r="W146" s="1078"/>
      <c r="X146" s="1080"/>
      <c r="Y146" s="270"/>
      <c r="Z146" s="220"/>
      <c r="AA146" s="271"/>
      <c r="AB146" s="270"/>
      <c r="AC146" s="220"/>
      <c r="AD146" s="271"/>
      <c r="AE146" s="270"/>
      <c r="AF146" s="220"/>
      <c r="AG146" s="271"/>
      <c r="AH146" s="270"/>
      <c r="AI146" s="220"/>
      <c r="AJ146" s="1022"/>
      <c r="AK146" s="101"/>
      <c r="AL146" s="204">
        <v>0</v>
      </c>
      <c r="AM146" s="210">
        <v>0</v>
      </c>
    </row>
    <row r="147" spans="1:39" ht="24.75" customHeight="1">
      <c r="A147" s="995"/>
      <c r="B147" s="993"/>
      <c r="C147" s="991"/>
      <c r="D147" s="992"/>
      <c r="E147" s="992"/>
      <c r="F147" s="992"/>
      <c r="G147" s="994"/>
      <c r="H147" s="991"/>
      <c r="I147" s="994"/>
      <c r="J147" s="994"/>
      <c r="K147" s="991"/>
      <c r="L147" s="994"/>
      <c r="M147" s="994"/>
      <c r="N147" s="994"/>
      <c r="O147" s="994"/>
      <c r="P147" s="991"/>
      <c r="Q147" s="991"/>
      <c r="R147" s="101"/>
      <c r="S147" s="1019" t="str">
        <f>+IF(AGOSTO!S147=0,"",AGOSTO!S147)</f>
        <v>2.1.2</v>
      </c>
      <c r="T147" s="532" t="str">
        <f>+IF(AGOSTO!T147=0,"",AGOSTO!T147)</f>
        <v>Adquisición de bienes</v>
      </c>
      <c r="U147" s="1061">
        <f>SUM(U148:U149)+U153</f>
        <v>3776193053.9541664</v>
      </c>
      <c r="V147" s="1061">
        <f>SUM(V148:V149)+V153</f>
        <v>355000000</v>
      </c>
      <c r="W147" s="1061">
        <f>SUM(W148:W149)+W153</f>
        <v>1264813284</v>
      </c>
      <c r="X147" s="1061">
        <f>SUM(X148:X149)+X153</f>
        <v>5396006337.9541664</v>
      </c>
      <c r="Y147" s="883">
        <f t="shared" ref="Y147:AL147" si="142">SUM(Y148:Y149)+Y153</f>
        <v>2833237154</v>
      </c>
      <c r="Z147" s="231">
        <f>SUM(Z148:Z149)+Z153</f>
        <v>287697996</v>
      </c>
      <c r="AA147" s="234">
        <f t="shared" si="142"/>
        <v>3120935150</v>
      </c>
      <c r="AB147" s="233">
        <f t="shared" si="142"/>
        <v>2516887280</v>
      </c>
      <c r="AC147" s="231">
        <f>SUM(AC148:AC149)+AC153</f>
        <v>183193478</v>
      </c>
      <c r="AD147" s="234">
        <f t="shared" si="142"/>
        <v>2700080758</v>
      </c>
      <c r="AE147" s="233">
        <f>SUM(AE148:AE149)+AE153</f>
        <v>1253864611</v>
      </c>
      <c r="AF147" s="231">
        <f t="shared" si="142"/>
        <v>141859239</v>
      </c>
      <c r="AG147" s="234">
        <f t="shared" si="142"/>
        <v>1395723850</v>
      </c>
      <c r="AH147" s="233">
        <f>SUM(AH148:AH149)+AH153</f>
        <v>2275071187.9541664</v>
      </c>
      <c r="AI147" s="231">
        <f>SUM(AI148:AI149)+AI153</f>
        <v>2695925579.9541664</v>
      </c>
      <c r="AJ147" s="1020">
        <f>SUM(AJ148:AJ149)+AJ153</f>
        <v>4000282487.9541664</v>
      </c>
      <c r="AK147" s="101"/>
      <c r="AL147" s="1020">
        <f t="shared" si="142"/>
        <v>0</v>
      </c>
      <c r="AM147" s="302">
        <f>SUM(AM148:AM150)</f>
        <v>0</v>
      </c>
    </row>
    <row r="148" spans="1:39" ht="24.75" customHeight="1">
      <c r="A148" s="996"/>
      <c r="B148" s="997"/>
      <c r="C148" s="998"/>
      <c r="D148" s="998"/>
      <c r="E148" s="998"/>
      <c r="F148" s="998"/>
      <c r="G148" s="998"/>
      <c r="H148" s="998"/>
      <c r="I148" s="998"/>
      <c r="J148" s="998"/>
      <c r="K148" s="998"/>
      <c r="L148" s="998"/>
      <c r="M148" s="998"/>
      <c r="N148" s="998"/>
      <c r="O148" s="994"/>
      <c r="P148" s="998"/>
      <c r="Q148" s="998"/>
      <c r="R148" s="101"/>
      <c r="S148" s="1021" t="str">
        <f>+IF(AGOSTO!S148=0,"",AGOSTO!S148)</f>
        <v>2.1.2.02.01.003.305</v>
      </c>
      <c r="T148" s="534" t="str">
        <f>+IF(AGOSTO!T148=0,"",AGOSTO!T148)</f>
        <v>Mantenimiento -  Partes, accesorios, herramientas</v>
      </c>
      <c r="U148" s="1073">
        <f>+ENERO!U148</f>
        <v>2090969100</v>
      </c>
      <c r="V148" s="1062">
        <f>SEPTIEMBRE!V148+OCTUBRE!AL148</f>
        <v>0</v>
      </c>
      <c r="W148" s="1062">
        <f>SEPTIEMBRE!W148+OCTUBRE!AM148</f>
        <v>964813284</v>
      </c>
      <c r="X148" s="1062">
        <f>SUM(U148:W148)</f>
        <v>3055782384</v>
      </c>
      <c r="Y148" s="1027">
        <f>SEPTIEMBRE!AA148</f>
        <v>1203884436</v>
      </c>
      <c r="Z148" s="208">
        <v>170536160</v>
      </c>
      <c r="AA148" s="271">
        <f>SUM(Y148:Z148)</f>
        <v>1374420596</v>
      </c>
      <c r="AB148" s="270">
        <f>SEPTIEMBRE!AD148</f>
        <v>1002969485</v>
      </c>
      <c r="AC148" s="208">
        <v>68566106</v>
      </c>
      <c r="AD148" s="271">
        <f>SUM(AB148:AC148)</f>
        <v>1071535591</v>
      </c>
      <c r="AE148" s="270">
        <f>SEPTIEMBRE!AG148</f>
        <v>417619521</v>
      </c>
      <c r="AF148" s="208">
        <v>56780355</v>
      </c>
      <c r="AG148" s="271">
        <f>SUM(AE148:AF148)</f>
        <v>474399876</v>
      </c>
      <c r="AH148" s="270">
        <f>X148-AA148</f>
        <v>1681361788</v>
      </c>
      <c r="AI148" s="220">
        <f>X148-AD148</f>
        <v>1984246793</v>
      </c>
      <c r="AJ148" s="1022">
        <f>X148-AG148</f>
        <v>2581382508</v>
      </c>
      <c r="AK148" s="101"/>
      <c r="AL148" s="204">
        <v>0</v>
      </c>
      <c r="AM148" s="210">
        <v>0</v>
      </c>
    </row>
    <row r="149" spans="1:39" ht="24.75" customHeight="1">
      <c r="R149" s="101"/>
      <c r="S149" s="1021">
        <f>+IF(AGOSTO!S149=0,"",AGOSTO!S149)</f>
        <v>2020102</v>
      </c>
      <c r="T149" s="534" t="str">
        <f>+IF(AGOSTO!T149=0,"",AGOSTO!T149)</f>
        <v>Otros</v>
      </c>
      <c r="U149" s="1073">
        <f>SUM(U150:U152)</f>
        <v>1232308696.9541667</v>
      </c>
      <c r="V149" s="1062">
        <f>SUM(V150:V152)</f>
        <v>355000000</v>
      </c>
      <c r="W149" s="1062">
        <f>SUM(W150:W152)</f>
        <v>0</v>
      </c>
      <c r="X149" s="1062">
        <f>SUM(X150:X152)</f>
        <v>1587308696.9541667</v>
      </c>
      <c r="Y149" s="1027">
        <f t="shared" ref="Y149:AG149" si="143">SUM(Y150:Y152)</f>
        <v>1187606637</v>
      </c>
      <c r="Z149" s="300">
        <f>SUM(Z150:Z152)</f>
        <v>117161836</v>
      </c>
      <c r="AA149" s="271">
        <f t="shared" si="143"/>
        <v>1304768473</v>
      </c>
      <c r="AB149" s="270">
        <f t="shared" si="143"/>
        <v>1072171714</v>
      </c>
      <c r="AC149" s="300">
        <f>SUM(AC150:AC152)</f>
        <v>114627372</v>
      </c>
      <c r="AD149" s="271">
        <f t="shared" si="143"/>
        <v>1186799086</v>
      </c>
      <c r="AE149" s="270">
        <f>SUM(AE150:AE152)</f>
        <v>398049010</v>
      </c>
      <c r="AF149" s="300">
        <f t="shared" si="143"/>
        <v>85078884</v>
      </c>
      <c r="AG149" s="271">
        <f t="shared" si="143"/>
        <v>483127894</v>
      </c>
      <c r="AH149" s="270">
        <f>SUM(AH150:AH152)</f>
        <v>282540223.95416665</v>
      </c>
      <c r="AI149" s="220">
        <f>SUM(AI150:AI152)</f>
        <v>400509610.95416665</v>
      </c>
      <c r="AJ149" s="1022">
        <f>SUM(AJ150:AJ152)</f>
        <v>1104180802.9541667</v>
      </c>
      <c r="AK149" s="101"/>
      <c r="AL149" s="204">
        <v>0</v>
      </c>
      <c r="AM149" s="210">
        <v>0</v>
      </c>
    </row>
    <row r="150" spans="1:39" ht="24.75" customHeight="1">
      <c r="A150" s="986"/>
      <c r="B150" s="987"/>
      <c r="C150" s="988"/>
      <c r="D150" s="988"/>
      <c r="E150" s="988"/>
      <c r="F150" s="988"/>
      <c r="G150" s="988"/>
      <c r="H150" s="988"/>
      <c r="I150" s="988"/>
      <c r="J150" s="988"/>
      <c r="K150" s="988"/>
      <c r="L150" s="988"/>
      <c r="M150" s="988"/>
      <c r="N150" s="998"/>
      <c r="O150" s="736"/>
      <c r="P150" s="988"/>
      <c r="Q150" s="988"/>
      <c r="R150" s="101"/>
      <c r="S150" s="1026" t="str">
        <f>+IF(AGOSTO!S150=0,"",AGOSTO!S150)</f>
        <v>2.1.2.02.01.002,001</v>
      </c>
      <c r="T150" s="534" t="str">
        <f>+IF(AGOSTO!T150=0,"",AGOSTO!T150)</f>
        <v>Roperia</v>
      </c>
      <c r="U150" s="1073">
        <f>+ENERO!U150</f>
        <v>300724825</v>
      </c>
      <c r="V150" s="1062">
        <f>SEPTIEMBRE!V150+OCTUBRE!AL150</f>
        <v>0</v>
      </c>
      <c r="W150" s="1062">
        <f>SEPTIEMBRE!W150+OCTUBRE!AM150</f>
        <v>0</v>
      </c>
      <c r="X150" s="1062">
        <f>SUM(U150:W150)</f>
        <v>300724825</v>
      </c>
      <c r="Y150" s="1027">
        <f>SEPTIEMBRE!AA150</f>
        <v>184178680</v>
      </c>
      <c r="Z150" s="208">
        <v>0</v>
      </c>
      <c r="AA150" s="271">
        <f>SUM(Y150:Z150)</f>
        <v>184178680</v>
      </c>
      <c r="AB150" s="270">
        <f>SEPTIEMBRE!AD150</f>
        <v>184178680</v>
      </c>
      <c r="AC150" s="208">
        <v>0</v>
      </c>
      <c r="AD150" s="271">
        <f>SUM(AB150:AC150)</f>
        <v>184178680</v>
      </c>
      <c r="AE150" s="270">
        <f>SEPTIEMBRE!AG150</f>
        <v>0</v>
      </c>
      <c r="AF150" s="208">
        <v>0</v>
      </c>
      <c r="AG150" s="271">
        <f>SUM(AE150:AF150)</f>
        <v>0</v>
      </c>
      <c r="AH150" s="270">
        <f>X150-AA150</f>
        <v>116546145</v>
      </c>
      <c r="AI150" s="220">
        <f>X150-AD150</f>
        <v>116546145</v>
      </c>
      <c r="AJ150" s="1022">
        <f>X150-AG150</f>
        <v>300724825</v>
      </c>
      <c r="AK150" s="101"/>
      <c r="AL150" s="204">
        <v>0</v>
      </c>
      <c r="AM150" s="210">
        <v>0</v>
      </c>
    </row>
    <row r="151" spans="1:39" ht="24.75" customHeight="1">
      <c r="A151" s="1050"/>
      <c r="B151" s="1050"/>
      <c r="C151" s="1050"/>
      <c r="D151" s="1050"/>
      <c r="E151" s="1050"/>
      <c r="F151" s="1050"/>
      <c r="G151" s="1050"/>
      <c r="H151" s="1050"/>
      <c r="I151" s="1050"/>
      <c r="J151" s="1050"/>
      <c r="K151" s="1050"/>
      <c r="L151" s="1050"/>
      <c r="M151" s="1050"/>
      <c r="N151" s="1102"/>
      <c r="O151" s="1050"/>
      <c r="P151" s="1050"/>
      <c r="Q151" s="1050"/>
      <c r="R151" s="101"/>
      <c r="S151" s="1026" t="str">
        <f>+IF(AGOSTO!S151=0,"",AGOSTO!S151)</f>
        <v>2.1.2.02.01.003.303</v>
      </c>
      <c r="T151" s="534" t="str">
        <f>+IF(AGOSTO!T151=0,"",AGOSTO!T151)</f>
        <v>Elementos de Aseo</v>
      </c>
      <c r="U151" s="1073">
        <f>+ENERO!U151</f>
        <v>684513688.9375</v>
      </c>
      <c r="V151" s="1062">
        <f>SEPTIEMBRE!V151+OCTUBRE!AL151</f>
        <v>110000000</v>
      </c>
      <c r="W151" s="1062">
        <f>SEPTIEMBRE!W151+OCTUBRE!AM151</f>
        <v>0</v>
      </c>
      <c r="X151" s="1062">
        <f>SUM(U151:W151)</f>
        <v>794513688.9375</v>
      </c>
      <c r="Y151" s="1027">
        <f>SEPTIEMBRE!AA151</f>
        <v>685822305</v>
      </c>
      <c r="Z151" s="208">
        <v>88227945</v>
      </c>
      <c r="AA151" s="271">
        <f>SUM(Y151:Z151)</f>
        <v>774050250</v>
      </c>
      <c r="AB151" s="270">
        <f>SEPTIEMBRE!AD151</f>
        <v>606484586</v>
      </c>
      <c r="AC151" s="208">
        <v>81148109</v>
      </c>
      <c r="AD151" s="271">
        <f>SUM(AB151:AC151)</f>
        <v>687632695</v>
      </c>
      <c r="AE151" s="270">
        <f>SEPTIEMBRE!AG151</f>
        <v>208661594</v>
      </c>
      <c r="AF151" s="208">
        <v>61532529</v>
      </c>
      <c r="AG151" s="271">
        <f>SUM(AE151:AF151)</f>
        <v>270194123</v>
      </c>
      <c r="AH151" s="270">
        <f>X151-AA151</f>
        <v>20463438.9375</v>
      </c>
      <c r="AI151" s="220">
        <f>X151-AD151</f>
        <v>106880993.9375</v>
      </c>
      <c r="AJ151" s="1022">
        <f>X151-AG151</f>
        <v>524319565.9375</v>
      </c>
      <c r="AK151" s="101"/>
      <c r="AL151" s="204">
        <v>0</v>
      </c>
      <c r="AM151" s="210">
        <v>0</v>
      </c>
    </row>
    <row r="152" spans="1:39" ht="24.75" customHeight="1">
      <c r="A152" s="986"/>
      <c r="B152" s="987"/>
      <c r="C152" s="988"/>
      <c r="D152" s="988"/>
      <c r="E152" s="988"/>
      <c r="F152" s="988"/>
      <c r="G152" s="988"/>
      <c r="H152" s="988"/>
      <c r="I152" s="988"/>
      <c r="J152" s="988"/>
      <c r="K152" s="988"/>
      <c r="L152" s="988"/>
      <c r="M152" s="988"/>
      <c r="N152" s="998"/>
      <c r="O152" s="736"/>
      <c r="P152" s="988"/>
      <c r="Q152" s="988"/>
      <c r="R152" s="101"/>
      <c r="S152" s="1026" t="str">
        <f>+IF(AGOSTO!S152=0,"",AGOSTO!S152)</f>
        <v>2.1.2.02.01.003.304</v>
      </c>
      <c r="T152" s="534" t="str">
        <f>+IF(AGOSTO!T152=0,"",AGOSTO!T152)</f>
        <v xml:space="preserve">Insumos hospitalarios </v>
      </c>
      <c r="U152" s="1073">
        <f>+ENERO!U152</f>
        <v>247070183.01666665</v>
      </c>
      <c r="V152" s="1062">
        <f>SEPTIEMBRE!V152+OCTUBRE!AL152</f>
        <v>245000000</v>
      </c>
      <c r="W152" s="1062">
        <f>SEPTIEMBRE!W152+OCTUBRE!AM152</f>
        <v>0</v>
      </c>
      <c r="X152" s="1062">
        <f>SUM(U152:W152)</f>
        <v>492070183.01666665</v>
      </c>
      <c r="Y152" s="1027">
        <f>SEPTIEMBRE!AA152</f>
        <v>317605652</v>
      </c>
      <c r="Z152" s="208">
        <v>28933891</v>
      </c>
      <c r="AA152" s="271">
        <f>SUM(Y152:Z152)</f>
        <v>346539543</v>
      </c>
      <c r="AB152" s="270">
        <f>SEPTIEMBRE!AD152</f>
        <v>281508448</v>
      </c>
      <c r="AC152" s="208">
        <v>33479263</v>
      </c>
      <c r="AD152" s="271">
        <f>SUM(AB152:AC152)</f>
        <v>314987711</v>
      </c>
      <c r="AE152" s="270">
        <f>SEPTIEMBRE!AG152</f>
        <v>189387416</v>
      </c>
      <c r="AF152" s="208">
        <v>23546355</v>
      </c>
      <c r="AG152" s="271">
        <f>SUM(AE152:AF152)</f>
        <v>212933771</v>
      </c>
      <c r="AH152" s="270">
        <f>X152-AA152</f>
        <v>145530640.01666665</v>
      </c>
      <c r="AI152" s="220">
        <f>X152-AD152</f>
        <v>177082472.01666665</v>
      </c>
      <c r="AJ152" s="1022">
        <f>X152-AG152</f>
        <v>279136412.01666665</v>
      </c>
      <c r="AK152" s="101"/>
      <c r="AL152" s="204">
        <v>0</v>
      </c>
      <c r="AM152" s="204">
        <v>0</v>
      </c>
    </row>
    <row r="153" spans="1:39" ht="24.75" customHeight="1">
      <c r="A153" s="986"/>
      <c r="B153" s="987"/>
      <c r="C153" s="988"/>
      <c r="D153" s="988"/>
      <c r="E153" s="988"/>
      <c r="F153" s="988"/>
      <c r="G153" s="988"/>
      <c r="H153" s="988"/>
      <c r="I153" s="988"/>
      <c r="J153" s="988"/>
      <c r="K153" s="988"/>
      <c r="L153" s="988"/>
      <c r="M153" s="988"/>
      <c r="N153" s="998"/>
      <c r="O153" s="736"/>
      <c r="P153" s="988"/>
      <c r="Q153" s="988"/>
      <c r="R153" s="101"/>
      <c r="S153" s="1021" t="str">
        <f>+IF(AGOSTO!S153=0,"",AGOSTO!S153)</f>
        <v>2.1.2.02.01.003.99</v>
      </c>
      <c r="T153" s="534" t="str">
        <f>+IF(AGOSTO!T153=0,"",AGOSTO!T153)</f>
        <v>Vigencias Anteriores</v>
      </c>
      <c r="U153" s="1073">
        <f>+ENERO!U153</f>
        <v>452915257</v>
      </c>
      <c r="V153" s="1062">
        <f>SEPTIEMBRE!V153+OCTUBRE!AL153</f>
        <v>0</v>
      </c>
      <c r="W153" s="1062">
        <f>SEPTIEMBRE!W153+OCTUBRE!AM152</f>
        <v>300000000</v>
      </c>
      <c r="X153" s="1062">
        <f>SUM(U153:W153)</f>
        <v>752915257</v>
      </c>
      <c r="Y153" s="1027">
        <f>SEPTIEMBRE!AA153</f>
        <v>441746081</v>
      </c>
      <c r="Z153" s="208">
        <v>0</v>
      </c>
      <c r="AA153" s="271">
        <f>SUM(Y153:Z153)</f>
        <v>441746081</v>
      </c>
      <c r="AB153" s="270">
        <f>SEPTIEMBRE!AD153</f>
        <v>441746081</v>
      </c>
      <c r="AC153" s="208">
        <v>0</v>
      </c>
      <c r="AD153" s="271">
        <f>SUM(AB153:AC153)</f>
        <v>441746081</v>
      </c>
      <c r="AE153" s="270">
        <f>SEPTIEMBRE!AG153</f>
        <v>438196080</v>
      </c>
      <c r="AF153" s="208">
        <v>0</v>
      </c>
      <c r="AG153" s="271">
        <f>SUM(AE153:AF153)</f>
        <v>438196080</v>
      </c>
      <c r="AH153" s="270">
        <f>X153-AA153</f>
        <v>311169176</v>
      </c>
      <c r="AI153" s="220">
        <f>X153-AD153</f>
        <v>311169176</v>
      </c>
      <c r="AJ153" s="1022">
        <f>X153-AG153</f>
        <v>314719177</v>
      </c>
      <c r="AK153" s="101"/>
      <c r="AL153" s="204">
        <v>0</v>
      </c>
      <c r="AM153" s="210">
        <v>0</v>
      </c>
    </row>
    <row r="154" spans="1:39" ht="24.75" customHeight="1">
      <c r="A154" s="1050"/>
      <c r="B154" s="1050"/>
      <c r="C154" s="1050"/>
      <c r="D154" s="1050"/>
      <c r="E154" s="1050"/>
      <c r="F154" s="1050"/>
      <c r="G154" s="1050"/>
      <c r="H154" s="1050"/>
      <c r="I154" s="1050"/>
      <c r="J154" s="1050"/>
      <c r="K154" s="1050"/>
      <c r="L154" s="1050"/>
      <c r="M154" s="1050"/>
      <c r="N154" s="1102"/>
      <c r="O154" s="1050"/>
      <c r="P154" s="1050"/>
      <c r="Q154" s="1050"/>
      <c r="R154" s="101"/>
      <c r="S154" s="1023">
        <f>+IF(AGOSTO!S154=0,"",AGOSTO!S154)</f>
        <v>203715328</v>
      </c>
      <c r="T154" s="488" t="str">
        <f>+IF(AGOSTO!T154=0,"",AGOSTO!T154)</f>
        <v/>
      </c>
      <c r="U154" s="915"/>
      <c r="V154" s="915"/>
      <c r="W154" s="915"/>
      <c r="X154" s="915"/>
      <c r="Y154" s="1070"/>
      <c r="Z154" s="191"/>
      <c r="AA154" s="191"/>
      <c r="AB154" s="191"/>
      <c r="AC154" s="191"/>
      <c r="AD154" s="191"/>
      <c r="AE154" s="191"/>
      <c r="AF154" s="191"/>
      <c r="AG154" s="191"/>
      <c r="AH154" s="191"/>
      <c r="AI154" s="191"/>
      <c r="AJ154" s="1024"/>
      <c r="AK154" s="101"/>
    </row>
    <row r="155" spans="1:39" ht="24.75" customHeight="1">
      <c r="R155" s="101"/>
      <c r="S155" s="1019" t="str">
        <f>+IF(AGOSTO!S155=0,"",AGOSTO!S155)</f>
        <v>2.1.2.02.02</v>
      </c>
      <c r="T155" s="532" t="str">
        <f>+IF(AGOSTO!T155=0,"",AGOSTO!T155)</f>
        <v>Adquisición de Servicios</v>
      </c>
      <c r="U155" s="1061">
        <f>SUM(U156:U157)</f>
        <v>8116738254.2222223</v>
      </c>
      <c r="V155" s="1061">
        <f t="shared" ref="V155:AM155" si="144">SUM(V156:V157)</f>
        <v>0</v>
      </c>
      <c r="W155" s="1061">
        <f t="shared" si="144"/>
        <v>158814745</v>
      </c>
      <c r="X155" s="1061">
        <f t="shared" si="144"/>
        <v>8275552999.2222223</v>
      </c>
      <c r="Y155" s="1061">
        <f t="shared" si="144"/>
        <v>3967670284</v>
      </c>
      <c r="Z155" s="1061">
        <f t="shared" si="144"/>
        <v>185765939</v>
      </c>
      <c r="AA155" s="1061">
        <f t="shared" si="144"/>
        <v>4153436223</v>
      </c>
      <c r="AB155" s="1061">
        <f t="shared" si="144"/>
        <v>3069063212</v>
      </c>
      <c r="AC155" s="1061">
        <f t="shared" si="144"/>
        <v>258833792</v>
      </c>
      <c r="AD155" s="1061">
        <f t="shared" si="144"/>
        <v>3327897004</v>
      </c>
      <c r="AE155" s="1061">
        <f t="shared" si="144"/>
        <v>2003109735</v>
      </c>
      <c r="AF155" s="1061">
        <f>SUM(AF156:AF157)</f>
        <v>108272002</v>
      </c>
      <c r="AG155" s="1061">
        <f t="shared" si="144"/>
        <v>2111381737</v>
      </c>
      <c r="AH155" s="1061">
        <f t="shared" si="144"/>
        <v>4122116776.2222223</v>
      </c>
      <c r="AI155" s="1061">
        <f t="shared" si="144"/>
        <v>4947655995.2222223</v>
      </c>
      <c r="AJ155" s="1061">
        <f t="shared" si="144"/>
        <v>6164171262.2222223</v>
      </c>
      <c r="AK155" s="1061">
        <f t="shared" si="144"/>
        <v>0</v>
      </c>
      <c r="AL155" s="1061">
        <f t="shared" si="144"/>
        <v>0</v>
      </c>
      <c r="AM155" s="1061">
        <f t="shared" si="144"/>
        <v>0</v>
      </c>
    </row>
    <row r="156" spans="1:39" ht="24.75" customHeight="1">
      <c r="R156" s="101"/>
      <c r="S156" s="1021" t="str">
        <f>+IF(AGOSTO!S156=0,"",AGOSTO!S156)</f>
        <v>2.1.2.02.01.003.306</v>
      </c>
      <c r="T156" s="534" t="str">
        <f>+IF(AGOSTO!T156=0,"",AGOSTO!T156)</f>
        <v>Mantenimiento - Bienes sistemas</v>
      </c>
      <c r="U156" s="1073">
        <f>+ENERO!U156</f>
        <v>17133955</v>
      </c>
      <c r="V156" s="1062">
        <f>SEPTIEMBRE!V156+OCTUBRE!AL156</f>
        <v>0</v>
      </c>
      <c r="W156" s="1062">
        <f>SEPTIEMBRE!W156+OCTUBRE!AM156</f>
        <v>0</v>
      </c>
      <c r="X156" s="1062">
        <f>SUM(U156:W156)</f>
        <v>17133955</v>
      </c>
      <c r="Y156" s="1062">
        <f>SEPTIEMBRE!AA156</f>
        <v>15819256</v>
      </c>
      <c r="Z156" s="864">
        <v>0</v>
      </c>
      <c r="AA156" s="271">
        <f>SUM(Y156:Z156)</f>
        <v>15819256</v>
      </c>
      <c r="AB156" s="270">
        <f>SEPTIEMBRE!AD156</f>
        <v>10574474</v>
      </c>
      <c r="AC156" s="864">
        <v>0</v>
      </c>
      <c r="AD156" s="271">
        <f>SUM(AB156:AC156)</f>
        <v>10574474</v>
      </c>
      <c r="AE156" s="270">
        <f>SEPTIEMBRE!AG156</f>
        <v>10574474</v>
      </c>
      <c r="AF156" s="864">
        <v>0</v>
      </c>
      <c r="AG156" s="271">
        <f>SUM(AE156:AF156)</f>
        <v>10574474</v>
      </c>
      <c r="AH156" s="270">
        <f>X156-AA156</f>
        <v>1314699</v>
      </c>
      <c r="AI156" s="220">
        <f>X156-AD156</f>
        <v>6559481</v>
      </c>
      <c r="AJ156" s="1022">
        <f>X156-AG156</f>
        <v>6559481</v>
      </c>
      <c r="AK156" s="101"/>
      <c r="AL156" s="204">
        <v>0</v>
      </c>
      <c r="AM156" s="210">
        <v>0</v>
      </c>
    </row>
    <row r="157" spans="1:39" ht="24.75" customHeight="1">
      <c r="R157" s="101"/>
      <c r="S157" s="1021">
        <f>+IF(AGOSTO!S157=0,"",AGOSTO!S157)</f>
        <v>2020202</v>
      </c>
      <c r="T157" s="534" t="str">
        <f>+IF(AGOSTO!T157=0,"",AGOSTO!T157)</f>
        <v>Otros</v>
      </c>
      <c r="U157" s="1073">
        <f t="shared" ref="U157:AA157" si="145">SUM(U158:U166)</f>
        <v>8099604299.2222223</v>
      </c>
      <c r="V157" s="1062">
        <f t="shared" si="145"/>
        <v>0</v>
      </c>
      <c r="W157" s="1062">
        <f t="shared" si="145"/>
        <v>158814745</v>
      </c>
      <c r="X157" s="1062">
        <f t="shared" si="145"/>
        <v>8258419044.2222223</v>
      </c>
      <c r="Y157" s="1062">
        <f t="shared" si="145"/>
        <v>3951851028</v>
      </c>
      <c r="Z157" s="495">
        <f t="shared" si="145"/>
        <v>185765939</v>
      </c>
      <c r="AA157" s="271">
        <f t="shared" si="145"/>
        <v>4137616967</v>
      </c>
      <c r="AB157" s="270">
        <f>SEPTIEMBRE!AD157</f>
        <v>3058488738</v>
      </c>
      <c r="AC157" s="495">
        <f t="shared" ref="AC157:AJ157" si="146">SUM(AC158:AC166)</f>
        <v>258833792</v>
      </c>
      <c r="AD157" s="271">
        <f t="shared" si="146"/>
        <v>3317322530</v>
      </c>
      <c r="AE157" s="300">
        <f t="shared" si="146"/>
        <v>1992535261</v>
      </c>
      <c r="AF157" s="495">
        <f t="shared" si="146"/>
        <v>108272002</v>
      </c>
      <c r="AG157" s="271">
        <f t="shared" si="146"/>
        <v>2100807263</v>
      </c>
      <c r="AH157" s="300">
        <f t="shared" si="146"/>
        <v>4120802077.2222223</v>
      </c>
      <c r="AI157" s="300">
        <f t="shared" si="146"/>
        <v>4941096514.2222223</v>
      </c>
      <c r="AJ157" s="300">
        <f t="shared" si="146"/>
        <v>6157611781.2222223</v>
      </c>
      <c r="AK157" s="101"/>
      <c r="AL157" s="1022">
        <f>SUM(AL158:AL166)</f>
        <v>0</v>
      </c>
      <c r="AM157" s="1022">
        <f>SUM(AM158:AM166)</f>
        <v>0</v>
      </c>
    </row>
    <row r="158" spans="1:39" ht="24.75" customHeight="1">
      <c r="A158" s="542"/>
      <c r="B158" s="453"/>
      <c r="C158" s="67"/>
      <c r="D158" s="67"/>
      <c r="E158" s="67"/>
      <c r="F158" s="67"/>
      <c r="G158" s="67"/>
      <c r="H158" s="67"/>
      <c r="I158" s="67"/>
      <c r="J158" s="67"/>
      <c r="K158" s="67"/>
      <c r="L158" s="67"/>
      <c r="M158" s="67"/>
      <c r="N158" s="650"/>
      <c r="O158" s="67"/>
      <c r="P158" s="101"/>
      <c r="Q158" s="101"/>
      <c r="R158" s="101"/>
      <c r="S158" s="1026" t="str">
        <f>+IF(AGOSTO!S158=0,"",AGOSTO!S158)</f>
        <v>2.1.2.02.02.005.502</v>
      </c>
      <c r="T158" s="535" t="str">
        <f>+IF(AGOSTO!T158=0,"",AGOSTO!T158)</f>
        <v>Mantenimiento - Arrendamiento Software</v>
      </c>
      <c r="U158" s="1073">
        <f>+ENERO!U158</f>
        <v>0</v>
      </c>
      <c r="V158" s="1062">
        <f>SEPTIEMBRE!V158+OCTUBRE!AL158</f>
        <v>0</v>
      </c>
      <c r="W158" s="1062">
        <f>SEPTIEMBRE!W158+OCTUBRE!AM158</f>
        <v>0</v>
      </c>
      <c r="X158" s="1062">
        <f t="shared" ref="X158:X166" si="147">SUM(U158:W158)</f>
        <v>0</v>
      </c>
      <c r="Y158" s="1062">
        <f>SEPTIEMBRE!AA158</f>
        <v>0</v>
      </c>
      <c r="Z158" s="864">
        <v>0</v>
      </c>
      <c r="AA158" s="271">
        <f t="shared" ref="AA158:AA166" si="148">SUM(Y158:Z158)</f>
        <v>0</v>
      </c>
      <c r="AB158" s="270">
        <f>SEPTIEMBRE!AD158</f>
        <v>0</v>
      </c>
      <c r="AC158" s="864">
        <v>0</v>
      </c>
      <c r="AD158" s="271">
        <f t="shared" ref="AD158:AD166" si="149">SUM(AB158:AC158)</f>
        <v>0</v>
      </c>
      <c r="AE158" s="270">
        <f>SEPTIEMBRE!AG158</f>
        <v>0</v>
      </c>
      <c r="AF158" s="864">
        <v>0</v>
      </c>
      <c r="AG158" s="271">
        <f t="shared" ref="AG158:AG166" si="150">SUM(AE158:AF158)</f>
        <v>0</v>
      </c>
      <c r="AH158" s="270">
        <f t="shared" ref="AH158:AH166" si="151">X158-AA158</f>
        <v>0</v>
      </c>
      <c r="AI158" s="220">
        <f t="shared" ref="AI158:AI166" si="152">X158-AD158</f>
        <v>0</v>
      </c>
      <c r="AJ158" s="1022">
        <f t="shared" ref="AJ158:AJ166" si="153">X158-AG158</f>
        <v>0</v>
      </c>
      <c r="AK158" s="101"/>
      <c r="AL158" s="204">
        <v>0</v>
      </c>
      <c r="AM158" s="210">
        <v>0</v>
      </c>
    </row>
    <row r="159" spans="1:39" ht="24.75" customHeight="1">
      <c r="A159" s="542"/>
      <c r="B159" s="453"/>
      <c r="C159" s="67"/>
      <c r="D159" s="67"/>
      <c r="E159" s="67"/>
      <c r="F159" s="67"/>
      <c r="G159" s="67"/>
      <c r="H159" s="67"/>
      <c r="I159" s="67"/>
      <c r="J159" s="67"/>
      <c r="K159" s="67"/>
      <c r="L159" s="67"/>
      <c r="M159" s="67"/>
      <c r="N159" s="650"/>
      <c r="O159" s="67"/>
      <c r="P159" s="101"/>
      <c r="Q159" s="101"/>
      <c r="R159" s="101"/>
      <c r="S159" s="1026" t="str">
        <f>+IF(AGOSTO!S159=0,"",AGOSTO!S159)</f>
        <v>2.1.2.02.02.005.501</v>
      </c>
      <c r="T159" s="535" t="str">
        <f>+IF(AGOSTO!T159=0,"",AGOSTO!T159)</f>
        <v>Mantenimiento  - Servicios Planta Fisica</v>
      </c>
      <c r="U159" s="1073">
        <f>+ENERO!U159</f>
        <v>476117296</v>
      </c>
      <c r="V159" s="1062">
        <f>SEPTIEMBRE!V159+OCTUBRE!AL159</f>
        <v>0</v>
      </c>
      <c r="W159" s="1062">
        <f>SEPTIEMBRE!W159+OCTUBRE!AM159</f>
        <v>0</v>
      </c>
      <c r="X159" s="1062">
        <f t="shared" si="147"/>
        <v>476117296</v>
      </c>
      <c r="Y159" s="1062">
        <f>SEPTIEMBRE!AA159</f>
        <v>34461031</v>
      </c>
      <c r="Z159" s="864">
        <v>0</v>
      </c>
      <c r="AA159" s="271">
        <f t="shared" si="148"/>
        <v>34461031</v>
      </c>
      <c r="AB159" s="270">
        <f>SEPTIEMBRE!AD159</f>
        <v>16017464</v>
      </c>
      <c r="AC159" s="864">
        <v>12031804</v>
      </c>
      <c r="AD159" s="271">
        <f t="shared" si="149"/>
        <v>28049268</v>
      </c>
      <c r="AE159" s="270">
        <f>SEPTIEMBRE!AG159</f>
        <v>14566116</v>
      </c>
      <c r="AF159" s="864">
        <v>714100</v>
      </c>
      <c r="AG159" s="271">
        <f t="shared" si="150"/>
        <v>15280216</v>
      </c>
      <c r="AH159" s="270">
        <f t="shared" si="151"/>
        <v>441656265</v>
      </c>
      <c r="AI159" s="220">
        <f t="shared" si="152"/>
        <v>448068028</v>
      </c>
      <c r="AJ159" s="1022">
        <f t="shared" si="153"/>
        <v>460837080</v>
      </c>
      <c r="AK159" s="101"/>
      <c r="AL159" s="204">
        <v>0</v>
      </c>
      <c r="AM159" s="210">
        <v>0</v>
      </c>
    </row>
    <row r="160" spans="1:39" ht="24.75" customHeight="1">
      <c r="A160" s="542"/>
      <c r="B160" s="453"/>
      <c r="C160" s="67"/>
      <c r="D160" s="67"/>
      <c r="E160" s="67"/>
      <c r="F160" s="67"/>
      <c r="G160" s="67"/>
      <c r="H160" s="67"/>
      <c r="I160" s="67"/>
      <c r="J160" s="67"/>
      <c r="K160" s="67"/>
      <c r="L160" s="67"/>
      <c r="M160" s="67"/>
      <c r="N160" s="650"/>
      <c r="O160" s="67"/>
      <c r="P160" s="101"/>
      <c r="Q160" s="101"/>
      <c r="R160" s="101"/>
      <c r="S160" s="1026" t="str">
        <f>+IF(AGOSTO!S160=0,"",AGOSTO!S160)</f>
        <v>2.1.2.02.02.008.808</v>
      </c>
      <c r="T160" s="535" t="str">
        <f>+IF(AGOSTO!T160=0,"",AGOSTO!T160)</f>
        <v>Mantenimiento Servicios - Ambiental y sanitaria</v>
      </c>
      <c r="U160" s="1073">
        <f>+ENERO!U160</f>
        <v>415609981</v>
      </c>
      <c r="V160" s="1062">
        <f>SEPTIEMBRE!V160+OCTUBRE!AL160</f>
        <v>0</v>
      </c>
      <c r="W160" s="1062">
        <f>SEPTIEMBRE!W160+OCTUBRE!AM160</f>
        <v>0</v>
      </c>
      <c r="X160" s="1062">
        <f t="shared" si="147"/>
        <v>415609981</v>
      </c>
      <c r="Y160" s="1062">
        <f>SEPTIEMBRE!AA160</f>
        <v>318238886</v>
      </c>
      <c r="Z160" s="864">
        <v>0</v>
      </c>
      <c r="AA160" s="271">
        <f t="shared" si="148"/>
        <v>318238886</v>
      </c>
      <c r="AB160" s="270">
        <f>SEPTIEMBRE!AD160</f>
        <v>235765838</v>
      </c>
      <c r="AC160" s="864">
        <v>30904201</v>
      </c>
      <c r="AD160" s="271">
        <f t="shared" si="149"/>
        <v>266670039</v>
      </c>
      <c r="AE160" s="270">
        <f>SEPTIEMBRE!AG160</f>
        <v>89660020</v>
      </c>
      <c r="AF160" s="864">
        <v>33762707</v>
      </c>
      <c r="AG160" s="271">
        <f t="shared" si="150"/>
        <v>123422727</v>
      </c>
      <c r="AH160" s="270">
        <f t="shared" si="151"/>
        <v>97371095</v>
      </c>
      <c r="AI160" s="220">
        <f t="shared" si="152"/>
        <v>148939942</v>
      </c>
      <c r="AJ160" s="1022">
        <f t="shared" si="153"/>
        <v>292187254</v>
      </c>
      <c r="AK160" s="101"/>
      <c r="AL160" s="204">
        <v>0</v>
      </c>
      <c r="AM160" s="210">
        <v>0</v>
      </c>
    </row>
    <row r="161" spans="19:39" ht="24.75" customHeight="1">
      <c r="S161" s="1026" t="str">
        <f>+IF(AGOSTO!S161=0,"",AGOSTO!S161)</f>
        <v>2.1.2.02.02.008.800</v>
      </c>
      <c r="T161" s="535" t="str">
        <f>+IF(AGOSTO!T161=0,"",AGOSTO!T161)</f>
        <v>Mantenimiento  - Servicios Dotación y vehiculos</v>
      </c>
      <c r="U161" s="1073">
        <f>+ENERO!U161</f>
        <v>220500000</v>
      </c>
      <c r="V161" s="1062">
        <f>SEPTIEMBRE!V161+OCTUBRE!AL161</f>
        <v>0</v>
      </c>
      <c r="W161" s="1062">
        <f>SEPTIEMBRE!W161+OCTUBRE!AM161</f>
        <v>0</v>
      </c>
      <c r="X161" s="1062">
        <f t="shared" si="147"/>
        <v>220500000</v>
      </c>
      <c r="Y161" s="1062">
        <f>SEPTIEMBRE!AA161</f>
        <v>31535631</v>
      </c>
      <c r="Z161" s="864">
        <v>0</v>
      </c>
      <c r="AA161" s="271">
        <f t="shared" si="148"/>
        <v>31535631</v>
      </c>
      <c r="AB161" s="270">
        <f>SEPTIEMBRE!AD161</f>
        <v>31535631</v>
      </c>
      <c r="AC161" s="864">
        <v>0</v>
      </c>
      <c r="AD161" s="271">
        <f t="shared" si="149"/>
        <v>31535631</v>
      </c>
      <c r="AE161" s="270">
        <f>SEPTIEMBRE!AG161</f>
        <v>31535631</v>
      </c>
      <c r="AF161" s="864">
        <v>0</v>
      </c>
      <c r="AG161" s="271">
        <f t="shared" si="150"/>
        <v>31535631</v>
      </c>
      <c r="AH161" s="270">
        <f t="shared" si="151"/>
        <v>188964369</v>
      </c>
      <c r="AI161" s="220">
        <f t="shared" si="152"/>
        <v>188964369</v>
      </c>
      <c r="AJ161" s="1022">
        <f t="shared" si="153"/>
        <v>188964369</v>
      </c>
      <c r="AK161" s="101"/>
      <c r="AL161" s="204">
        <v>0</v>
      </c>
      <c r="AM161" s="210">
        <v>0</v>
      </c>
    </row>
    <row r="162" spans="19:39" ht="24.75" customHeight="1">
      <c r="S162" s="1026" t="str">
        <f>+IF(AGOSTO!S162=0,"",AGOSTO!S162)</f>
        <v>2.1.2.02.02.008.805</v>
      </c>
      <c r="T162" s="535" t="str">
        <f>+IF(AGOSTO!T162=0,"",AGOSTO!T162)</f>
        <v>Mantenimiento - Servicio de Metrología y Calibracion</v>
      </c>
      <c r="U162" s="1073">
        <f>+ENERO!U162</f>
        <v>144394707</v>
      </c>
      <c r="V162" s="1062">
        <f>SEPTIEMBRE!V162+OCTUBRE!AL162</f>
        <v>0</v>
      </c>
      <c r="W162" s="1062">
        <f>SEPTIEMBRE!W162+OCTUBRE!AM162</f>
        <v>0</v>
      </c>
      <c r="X162" s="1062">
        <f t="shared" si="147"/>
        <v>144394707</v>
      </c>
      <c r="Y162" s="1062">
        <f>SEPTIEMBRE!AA162</f>
        <v>104424880</v>
      </c>
      <c r="Z162" s="864">
        <v>0</v>
      </c>
      <c r="AA162" s="271">
        <f t="shared" si="148"/>
        <v>104424880</v>
      </c>
      <c r="AB162" s="270">
        <f>SEPTIEMBRE!AD162</f>
        <v>0</v>
      </c>
      <c r="AC162" s="864">
        <v>0</v>
      </c>
      <c r="AD162" s="271">
        <f t="shared" si="149"/>
        <v>0</v>
      </c>
      <c r="AE162" s="270">
        <f>SEPTIEMBRE!AG162</f>
        <v>0</v>
      </c>
      <c r="AF162" s="864">
        <v>0</v>
      </c>
      <c r="AG162" s="271">
        <f t="shared" si="150"/>
        <v>0</v>
      </c>
      <c r="AH162" s="270">
        <f t="shared" si="151"/>
        <v>39969827</v>
      </c>
      <c r="AI162" s="220">
        <f t="shared" si="152"/>
        <v>144394707</v>
      </c>
      <c r="AJ162" s="1022">
        <f t="shared" si="153"/>
        <v>144394707</v>
      </c>
      <c r="AK162" s="101"/>
      <c r="AL162" s="204">
        <v>0</v>
      </c>
      <c r="AM162" s="210">
        <v>0</v>
      </c>
    </row>
    <row r="163" spans="19:39" ht="24.75" customHeight="1">
      <c r="S163" s="1026" t="str">
        <f>+IF(AGOSTO!S163=0,"",AGOSTO!S163)</f>
        <v>2.1.2.02.02.008.806</v>
      </c>
      <c r="T163" s="535" t="str">
        <f>+IF(AGOSTO!T163=0,"",AGOSTO!T163)</f>
        <v xml:space="preserve">Mantenimiento- Servicios </v>
      </c>
      <c r="U163" s="1073">
        <f>+ENERO!U163</f>
        <v>4141233251</v>
      </c>
      <c r="V163" s="1062">
        <f>SEPTIEMBRE!V163+OCTUBRE!AL163</f>
        <v>0</v>
      </c>
      <c r="W163" s="1062">
        <f>SEPTIEMBRE!W163+OCTUBRE!AM163</f>
        <v>0</v>
      </c>
      <c r="X163" s="1062">
        <f t="shared" si="147"/>
        <v>4141233251</v>
      </c>
      <c r="Y163" s="1062">
        <f>SEPTIEMBRE!AA163</f>
        <v>2405764470</v>
      </c>
      <c r="Z163" s="864">
        <v>171290617</v>
      </c>
      <c r="AA163" s="271">
        <f t="shared" si="148"/>
        <v>2577055087</v>
      </c>
      <c r="AB163" s="270">
        <f>SEPTIEMBRE!AD163</f>
        <v>1805839813</v>
      </c>
      <c r="AC163" s="864">
        <v>193641939</v>
      </c>
      <c r="AD163" s="271">
        <f t="shared" si="149"/>
        <v>1999481752</v>
      </c>
      <c r="AE163" s="270">
        <f>SEPTIEMBRE!AG163</f>
        <v>946701852</v>
      </c>
      <c r="AF163" s="864">
        <v>58659955</v>
      </c>
      <c r="AG163" s="271">
        <f t="shared" si="150"/>
        <v>1005361807</v>
      </c>
      <c r="AH163" s="270">
        <f t="shared" si="151"/>
        <v>1564178164</v>
      </c>
      <c r="AI163" s="220">
        <f t="shared" si="152"/>
        <v>2141751499</v>
      </c>
      <c r="AJ163" s="1022">
        <f t="shared" si="153"/>
        <v>3135871444</v>
      </c>
      <c r="AK163" s="101"/>
      <c r="AL163" s="204">
        <v>0</v>
      </c>
      <c r="AM163" s="210">
        <v>0</v>
      </c>
    </row>
    <row r="164" spans="19:39" ht="24.75" customHeight="1">
      <c r="S164" s="1026" t="str">
        <f>+IF(AGOSTO!S164=0,"",AGOSTO!S164)</f>
        <v>2.1.2.02.02.008.807</v>
      </c>
      <c r="T164" s="535" t="str">
        <f>+IF(AGOSTO!T164=0,"",AGOSTO!T164)</f>
        <v>Mantenimiento Servicios-fotocopias y otros</v>
      </c>
      <c r="U164" s="1073">
        <f>+ENERO!U164</f>
        <v>267744477</v>
      </c>
      <c r="V164" s="1062">
        <f>SEPTIEMBRE!V164+OCTUBRE!AL164</f>
        <v>0</v>
      </c>
      <c r="W164" s="1062">
        <f>SEPTIEMBRE!W164+OCTUBRE!AM164</f>
        <v>0</v>
      </c>
      <c r="X164" s="1062">
        <f t="shared" si="147"/>
        <v>267744477</v>
      </c>
      <c r="Y164" s="1062">
        <f>SEPTIEMBRE!AA164</f>
        <v>173250000</v>
      </c>
      <c r="Z164" s="864">
        <v>0</v>
      </c>
      <c r="AA164" s="271">
        <f t="shared" si="148"/>
        <v>173250000</v>
      </c>
      <c r="AB164" s="270">
        <f>SEPTIEMBRE!AD164</f>
        <v>85153862</v>
      </c>
      <c r="AC164" s="864">
        <v>7780526</v>
      </c>
      <c r="AD164" s="271">
        <f t="shared" si="149"/>
        <v>92934388</v>
      </c>
      <c r="AE164" s="270">
        <f>SEPTIEMBRE!AG164</f>
        <v>25925712</v>
      </c>
      <c r="AF164" s="864">
        <v>15135240</v>
      </c>
      <c r="AG164" s="271">
        <f t="shared" si="150"/>
        <v>41060952</v>
      </c>
      <c r="AH164" s="270">
        <f t="shared" si="151"/>
        <v>94494477</v>
      </c>
      <c r="AI164" s="220">
        <f t="shared" si="152"/>
        <v>174810089</v>
      </c>
      <c r="AJ164" s="1022">
        <f t="shared" si="153"/>
        <v>226683525</v>
      </c>
      <c r="AK164" s="101"/>
      <c r="AL164" s="204">
        <v>0</v>
      </c>
      <c r="AM164" s="210">
        <v>0</v>
      </c>
    </row>
    <row r="165" spans="19:39" ht="24.75" customHeight="1">
      <c r="S165" s="1026" t="str">
        <f>+IF(AGOSTO!S165=0,"",AGOSTO!S165)</f>
        <v>2.1.2.02.02.008.811</v>
      </c>
      <c r="T165" s="535" t="str">
        <f>+IF(AGOSTO!T165=0,"",AGOSTO!T165)</f>
        <v>Mantenimiento servicios - planta física y sistemas</v>
      </c>
      <c r="U165" s="1073">
        <f>+ENERO!U165</f>
        <v>0</v>
      </c>
      <c r="V165" s="1062">
        <f>SEPTIEMBRE!V165+OCTUBRE!AL165</f>
        <v>0</v>
      </c>
      <c r="W165" s="1062">
        <f>SEPTIEMBRE!W165+OCTUBRE!AM165</f>
        <v>0</v>
      </c>
      <c r="X165" s="1062">
        <f t="shared" si="147"/>
        <v>0</v>
      </c>
      <c r="Y165" s="1062">
        <f>SEPTIEMBRE!AA165</f>
        <v>0</v>
      </c>
      <c r="Z165" s="864">
        <v>0</v>
      </c>
      <c r="AA165" s="271">
        <f t="shared" si="148"/>
        <v>0</v>
      </c>
      <c r="AB165" s="270">
        <f>SEPTIEMBRE!AD165</f>
        <v>0</v>
      </c>
      <c r="AC165" s="864">
        <v>0</v>
      </c>
      <c r="AD165" s="271">
        <f t="shared" si="149"/>
        <v>0</v>
      </c>
      <c r="AE165" s="270">
        <f>SEPTIEMBRE!AG165</f>
        <v>0</v>
      </c>
      <c r="AF165" s="864">
        <v>0</v>
      </c>
      <c r="AG165" s="271">
        <f t="shared" si="150"/>
        <v>0</v>
      </c>
      <c r="AH165" s="270">
        <f t="shared" si="151"/>
        <v>0</v>
      </c>
      <c r="AI165" s="220">
        <f t="shared" si="152"/>
        <v>0</v>
      </c>
      <c r="AJ165" s="1022">
        <f t="shared" si="153"/>
        <v>0</v>
      </c>
      <c r="AK165" s="101"/>
      <c r="AL165" s="204">
        <v>0</v>
      </c>
      <c r="AM165" s="210">
        <v>0</v>
      </c>
    </row>
    <row r="166" spans="19:39" ht="24.75" customHeight="1">
      <c r="S166" s="1026" t="str">
        <f>+IF(AGOSTO!S166=0,"",AGOSTO!S166)</f>
        <v>2.1.2.02.02.008.99.03</v>
      </c>
      <c r="T166" s="535" t="str">
        <f>+IF(AGOSTO!T166=0,"",AGOSTO!T166)</f>
        <v xml:space="preserve">Vigencias Anteriores Mantenimiento Servicios </v>
      </c>
      <c r="U166" s="1073">
        <f>SUM(ENERO!U167)</f>
        <v>2434004587.2222223</v>
      </c>
      <c r="V166" s="1062">
        <f>SEPTIEMBRE!V166+OCTUBRE!AL166</f>
        <v>0</v>
      </c>
      <c r="W166" s="1062">
        <f>SEPTIEMBRE!W166+OCTUBRE!AM166</f>
        <v>158814745</v>
      </c>
      <c r="X166" s="1062">
        <f t="shared" si="147"/>
        <v>2592819332.2222223</v>
      </c>
      <c r="Y166" s="1062">
        <f>SEPTIEMBRE!AA166</f>
        <v>884176130</v>
      </c>
      <c r="Z166" s="864">
        <v>14475322</v>
      </c>
      <c r="AA166" s="271">
        <f t="shared" si="148"/>
        <v>898651452</v>
      </c>
      <c r="AB166" s="270">
        <f>SEPTIEMBRE!AD166</f>
        <v>884176130</v>
      </c>
      <c r="AC166" s="864">
        <v>14475322</v>
      </c>
      <c r="AD166" s="271">
        <f t="shared" si="149"/>
        <v>898651452</v>
      </c>
      <c r="AE166" s="270">
        <f>SEPTIEMBRE!AG166</f>
        <v>884145930</v>
      </c>
      <c r="AF166" s="864">
        <v>0</v>
      </c>
      <c r="AG166" s="271">
        <f t="shared" si="150"/>
        <v>884145930</v>
      </c>
      <c r="AH166" s="270">
        <f t="shared" si="151"/>
        <v>1694167880.2222223</v>
      </c>
      <c r="AI166" s="220">
        <f t="shared" si="152"/>
        <v>1694167880.2222223</v>
      </c>
      <c r="AJ166" s="1022">
        <f t="shared" si="153"/>
        <v>1708673402.2222223</v>
      </c>
      <c r="AK166" s="101"/>
      <c r="AL166" s="204">
        <v>0</v>
      </c>
      <c r="AM166" s="210">
        <v>0</v>
      </c>
    </row>
    <row r="167" spans="19:39" ht="24.75" customHeight="1">
      <c r="S167" s="1023" t="str">
        <f>+IF(AGOSTO!S167=0,"",AGOSTO!S167)</f>
        <v/>
      </c>
      <c r="T167" s="488" t="str">
        <f>+IF(AGOSTO!T167=0,"",AGOSTO!T167)</f>
        <v/>
      </c>
      <c r="U167" s="1060"/>
      <c r="V167" s="1060"/>
      <c r="W167" s="1060"/>
      <c r="X167" s="1060"/>
      <c r="Y167" s="1060"/>
      <c r="Z167" s="191"/>
      <c r="AA167" s="191"/>
      <c r="AB167" s="191"/>
      <c r="AC167" s="191"/>
      <c r="AD167" s="191"/>
      <c r="AE167" s="191"/>
      <c r="AF167" s="191">
        <v>0</v>
      </c>
      <c r="AG167" s="191"/>
      <c r="AH167" s="191"/>
      <c r="AI167" s="191"/>
      <c r="AJ167" s="1024"/>
      <c r="AK167" s="101"/>
      <c r="AL167" s="1063"/>
      <c r="AM167" s="1064"/>
    </row>
    <row r="168" spans="19:39" ht="24.75" customHeight="1">
      <c r="S168" s="1025">
        <f>+IF(AGOSTO!S168=0,"",AGOSTO!S168)</f>
        <v>3000000</v>
      </c>
      <c r="T168" s="404" t="str">
        <f>+IF(AGOSTO!T168=0,"",AGOSTO!T168)</f>
        <v>TRANSFERENCIAS CORRIENTES</v>
      </c>
      <c r="U168" s="882">
        <f>U170+U174+U183</f>
        <v>2193060585</v>
      </c>
      <c r="V168" s="882">
        <f>V170+V174+V183</f>
        <v>-519000000</v>
      </c>
      <c r="W168" s="882">
        <f>W170+W174+W183</f>
        <v>1400000000</v>
      </c>
      <c r="X168" s="882">
        <f>X170+X174+X183</f>
        <v>3074060585</v>
      </c>
      <c r="Y168" s="217">
        <f t="shared" ref="Y168:AL168" si="154">Y170+Y174+Y183</f>
        <v>1346486914</v>
      </c>
      <c r="Z168" s="406">
        <f t="shared" si="154"/>
        <v>25388385</v>
      </c>
      <c r="AA168" s="407">
        <f t="shared" si="154"/>
        <v>1371875299</v>
      </c>
      <c r="AB168" s="217">
        <f t="shared" si="154"/>
        <v>1331945584</v>
      </c>
      <c r="AC168" s="406">
        <f t="shared" si="154"/>
        <v>25388385</v>
      </c>
      <c r="AD168" s="407">
        <f t="shared" si="154"/>
        <v>1357333969</v>
      </c>
      <c r="AE168" s="217">
        <f t="shared" si="154"/>
        <v>1320202768.5</v>
      </c>
      <c r="AF168" s="406">
        <f t="shared" si="154"/>
        <v>36085795</v>
      </c>
      <c r="AG168" s="407">
        <f t="shared" si="154"/>
        <v>1356288563.5</v>
      </c>
      <c r="AH168" s="217">
        <f t="shared" si="154"/>
        <v>1702185286</v>
      </c>
      <c r="AI168" s="406">
        <f t="shared" si="154"/>
        <v>1716726616</v>
      </c>
      <c r="AJ168" s="1028">
        <f t="shared" si="154"/>
        <v>1717772021.5</v>
      </c>
      <c r="AK168" s="101"/>
      <c r="AL168" s="1065">
        <f t="shared" si="154"/>
        <v>-540000000</v>
      </c>
      <c r="AM168" s="1061">
        <f>SUM(AM169:AM170)</f>
        <v>0</v>
      </c>
    </row>
    <row r="169" spans="19:39" ht="24.75" customHeight="1">
      <c r="S169" s="1023" t="str">
        <f>+IF(AGOSTO!S169=0,"",AGOSTO!S169)</f>
        <v/>
      </c>
      <c r="T169" s="488" t="str">
        <f>+IF(AGOSTO!T169=0,"",AGOSTO!T169)</f>
        <v/>
      </c>
      <c r="U169" s="191"/>
      <c r="V169" s="191"/>
      <c r="W169" s="191"/>
      <c r="X169" s="191"/>
      <c r="Y169" s="191"/>
      <c r="Z169" s="191"/>
      <c r="AA169" s="191"/>
      <c r="AB169" s="191"/>
      <c r="AC169" s="191"/>
      <c r="AD169" s="191"/>
      <c r="AE169" s="191"/>
      <c r="AF169" s="191"/>
      <c r="AG169" s="191"/>
      <c r="AH169" s="191"/>
      <c r="AI169" s="191"/>
      <c r="AJ169" s="1024"/>
      <c r="AK169" s="101"/>
      <c r="AL169" s="991"/>
      <c r="AM169" s="991"/>
    </row>
    <row r="170" spans="19:39" ht="24.75" customHeight="1">
      <c r="S170" s="1019">
        <f>+IF(AGOSTO!S170=0,"",AGOSTO!S170)</f>
        <v>3100000</v>
      </c>
      <c r="T170" s="546" t="str">
        <f>+IF(AGOSTO!T170=0,"",AGOSTO!T170)</f>
        <v>Transferencias al Sector Público</v>
      </c>
      <c r="U170" s="883">
        <f>SUM(U171:U172)</f>
        <v>570000000</v>
      </c>
      <c r="V170" s="883">
        <f>SUM(V171:V172)</f>
        <v>-540000000</v>
      </c>
      <c r="W170" s="883">
        <f>SUM(W171:W172)</f>
        <v>900000000</v>
      </c>
      <c r="X170" s="883">
        <f>SUM(X171:X172)</f>
        <v>930000000</v>
      </c>
      <c r="Y170" s="233">
        <f t="shared" ref="Y170:AJ170" si="155">SUM(Y171:Y172)</f>
        <v>336557423</v>
      </c>
      <c r="Z170" s="231">
        <f t="shared" si="155"/>
        <v>24320716</v>
      </c>
      <c r="AA170" s="234">
        <f t="shared" si="155"/>
        <v>360878139</v>
      </c>
      <c r="AB170" s="233">
        <f t="shared" si="155"/>
        <v>323348436</v>
      </c>
      <c r="AC170" s="231">
        <f t="shared" si="155"/>
        <v>24320716</v>
      </c>
      <c r="AD170" s="234">
        <f t="shared" si="155"/>
        <v>347669152</v>
      </c>
      <c r="AE170" s="233">
        <f t="shared" si="155"/>
        <v>312128323</v>
      </c>
      <c r="AF170" s="231">
        <f t="shared" si="155"/>
        <v>35540829</v>
      </c>
      <c r="AG170" s="234">
        <f t="shared" si="155"/>
        <v>347669152</v>
      </c>
      <c r="AH170" s="233">
        <f t="shared" si="155"/>
        <v>569121861</v>
      </c>
      <c r="AI170" s="231">
        <f t="shared" si="155"/>
        <v>582330848</v>
      </c>
      <c r="AJ170" s="1020">
        <f t="shared" si="155"/>
        <v>582330848</v>
      </c>
      <c r="AK170" s="101"/>
      <c r="AL170" s="1020">
        <f>SUM(AL171:AL172)</f>
        <v>-540000000</v>
      </c>
      <c r="AM170" s="1020">
        <f>SUM(AM171:AM172)</f>
        <v>0</v>
      </c>
    </row>
    <row r="171" spans="19:39" ht="24.75" customHeight="1">
      <c r="S171" s="1021" t="str">
        <f>+IF(AGOSTO!S171=0,"",AGOSTO!S171)</f>
        <v>2.1.8.04.01</v>
      </c>
      <c r="T171" s="267" t="str">
        <f>+IF(AGOSTO!T171=0,"",AGOSTO!T171)</f>
        <v>Cuotas de fiscalizacion y auditaje</v>
      </c>
      <c r="U171" s="557">
        <f>+ENERO!U172</f>
        <v>170000000</v>
      </c>
      <c r="V171" s="1062">
        <f>SEPTIEMBRE!V171+OCTUBRE!AL171</f>
        <v>0</v>
      </c>
      <c r="W171" s="1062">
        <f>SEPTIEMBRE!W171+OCTUBRE!AM171</f>
        <v>0</v>
      </c>
      <c r="X171" s="271">
        <f>SUM(U171:W171)</f>
        <v>170000000</v>
      </c>
      <c r="Y171" s="1062">
        <f>SEPTIEMBRE!AA171</f>
        <v>122145496</v>
      </c>
      <c r="Z171" s="208">
        <v>0</v>
      </c>
      <c r="AA171" s="271">
        <f>SUM(Y171:Z171)</f>
        <v>122145496</v>
      </c>
      <c r="AB171" s="270">
        <f>SEPTIEMBRE!AD171</f>
        <v>108936509</v>
      </c>
      <c r="AC171" s="208">
        <v>0</v>
      </c>
      <c r="AD171" s="271">
        <f>SUM(AB171:AC171)</f>
        <v>108936509</v>
      </c>
      <c r="AE171" s="270">
        <f>SEPTIEMBRE!AG171</f>
        <v>97716396</v>
      </c>
      <c r="AF171" s="208">
        <v>11220113</v>
      </c>
      <c r="AG171" s="271">
        <f>SUM(AE171:AF171)</f>
        <v>108936509</v>
      </c>
      <c r="AH171" s="270">
        <f>X171-AA171</f>
        <v>47854504</v>
      </c>
      <c r="AI171" s="220">
        <f>X171-AD171</f>
        <v>61063491</v>
      </c>
      <c r="AJ171" s="1022">
        <f>X171-AG171</f>
        <v>61063491</v>
      </c>
      <c r="AK171" s="216"/>
      <c r="AL171" s="489">
        <v>0</v>
      </c>
      <c r="AM171" s="490">
        <v>0</v>
      </c>
    </row>
    <row r="172" spans="19:39" ht="24.75" customHeight="1">
      <c r="S172" s="1021" t="str">
        <f>+IF(AGOSTO!S172=0,"",AGOSTO!S172)</f>
        <v>2.1.8.02</v>
      </c>
      <c r="T172" s="267" t="str">
        <f>+IF(AGOSTO!T172=0,"",AGOSTO!T172)</f>
        <v>Acuerdo de estampillas</v>
      </c>
      <c r="U172" s="557">
        <f>+ENERO!U173</f>
        <v>400000000</v>
      </c>
      <c r="V172" s="1062">
        <f>SEPTIEMBRE!V172+OCTUBRE!AL172</f>
        <v>-540000000</v>
      </c>
      <c r="W172" s="1062">
        <f>SEPTIEMBRE!W172+OCTUBRE!AM172</f>
        <v>900000000</v>
      </c>
      <c r="X172" s="271">
        <f>SUM(U172:W172)</f>
        <v>760000000</v>
      </c>
      <c r="Y172" s="1062">
        <f>SEPTIEMBRE!AA172</f>
        <v>214411927</v>
      </c>
      <c r="Z172" s="208">
        <v>24320716</v>
      </c>
      <c r="AA172" s="271">
        <f>SUM(Y172:Z172)</f>
        <v>238732643</v>
      </c>
      <c r="AB172" s="270">
        <f>SEPTIEMBRE!AD172</f>
        <v>214411927</v>
      </c>
      <c r="AC172" s="208">
        <v>24320716</v>
      </c>
      <c r="AD172" s="271">
        <f>SUM(AB172:AC172)</f>
        <v>238732643</v>
      </c>
      <c r="AE172" s="270">
        <f>SEPTIEMBRE!AG172</f>
        <v>214411927</v>
      </c>
      <c r="AF172" s="208">
        <v>24320716</v>
      </c>
      <c r="AG172" s="271">
        <f>SUM(AE172:AF172)</f>
        <v>238732643</v>
      </c>
      <c r="AH172" s="270">
        <f>X172-AA172</f>
        <v>521267357</v>
      </c>
      <c r="AI172" s="220">
        <f>X172-AD172</f>
        <v>521267357</v>
      </c>
      <c r="AJ172" s="1022">
        <f>X172-AG172</f>
        <v>521267357</v>
      </c>
      <c r="AK172" s="101"/>
      <c r="AL172" s="1001">
        <f>-90000000-450000000</f>
        <v>-540000000</v>
      </c>
      <c r="AM172" s="1001">
        <v>0</v>
      </c>
    </row>
    <row r="173" spans="19:39" ht="24.75" customHeight="1">
      <c r="S173" s="1023">
        <f>+IF(AGOSTO!S173=0,"",AGOSTO!S173)</f>
        <v>23007296</v>
      </c>
      <c r="T173" s="488" t="str">
        <f>+IF(AGOSTO!T173=0,"",AGOSTO!T173)</f>
        <v/>
      </c>
      <c r="U173" s="191"/>
      <c r="V173" s="1060"/>
      <c r="W173" s="1060"/>
      <c r="X173" s="191"/>
      <c r="Y173" s="191"/>
      <c r="Z173" s="191"/>
      <c r="AA173" s="191"/>
      <c r="AB173" s="191"/>
      <c r="AC173" s="191"/>
      <c r="AD173" s="191"/>
      <c r="AE173" s="191"/>
      <c r="AF173" s="191"/>
      <c r="AG173" s="191"/>
      <c r="AH173" s="191"/>
      <c r="AI173" s="191"/>
      <c r="AJ173" s="1024"/>
      <c r="AK173" s="101"/>
      <c r="AL173" s="991"/>
      <c r="AM173" s="991"/>
    </row>
    <row r="174" spans="19:39" ht="24.75" customHeight="1">
      <c r="S174" s="1019">
        <f>+IF(AGOSTO!S174=0,"",AGOSTO!S174)</f>
        <v>320000</v>
      </c>
      <c r="T174" s="546" t="str">
        <f>+IF(AGOSTO!T174=0,"",AGOSTO!T174)</f>
        <v>Transf. Previsión y Seguridad Social</v>
      </c>
      <c r="U174" s="883">
        <f>SUM(U175:U181)</f>
        <v>310000000</v>
      </c>
      <c r="V174" s="883">
        <f>SUM(V175:V181)</f>
        <v>0</v>
      </c>
      <c r="W174" s="883">
        <f>SUM(W175:W181)</f>
        <v>0</v>
      </c>
      <c r="X174" s="883">
        <f>SUM(X175:X181)</f>
        <v>310000000</v>
      </c>
      <c r="Y174" s="233">
        <f t="shared" ref="Y174:AM174" si="156">SUM(Y175:Y181)</f>
        <v>173503347</v>
      </c>
      <c r="Z174" s="231">
        <f t="shared" si="156"/>
        <v>544966</v>
      </c>
      <c r="AA174" s="234">
        <f t="shared" si="156"/>
        <v>174048313</v>
      </c>
      <c r="AB174" s="233">
        <f t="shared" si="156"/>
        <v>173503347</v>
      </c>
      <c r="AC174" s="231">
        <f>SUM(AC175:AC181)</f>
        <v>544966</v>
      </c>
      <c r="AD174" s="234">
        <f t="shared" si="156"/>
        <v>174048313</v>
      </c>
      <c r="AE174" s="233">
        <f t="shared" si="156"/>
        <v>173503347</v>
      </c>
      <c r="AF174" s="231">
        <f>SUM(AF175:AF181)</f>
        <v>544966</v>
      </c>
      <c r="AG174" s="234">
        <f t="shared" si="156"/>
        <v>174048313</v>
      </c>
      <c r="AH174" s="233">
        <f t="shared" si="156"/>
        <v>135951687</v>
      </c>
      <c r="AI174" s="231">
        <f t="shared" si="156"/>
        <v>135951687</v>
      </c>
      <c r="AJ174" s="1020">
        <f t="shared" si="156"/>
        <v>135951687</v>
      </c>
      <c r="AK174" s="101"/>
      <c r="AL174" s="1020">
        <f t="shared" si="156"/>
        <v>0</v>
      </c>
      <c r="AM174" s="1020">
        <f t="shared" si="156"/>
        <v>0</v>
      </c>
    </row>
    <row r="175" spans="19:39" ht="24.75" customHeight="1">
      <c r="S175" s="1021">
        <f>+IF(AGOSTO!S175=0,"",AGOSTO!S175)</f>
        <v>3200100</v>
      </c>
      <c r="T175" s="267" t="str">
        <f>+IF(AGOSTO!T175=0,"",AGOSTO!T175)</f>
        <v>Pensiones y Jubilaciones (Pago Directo)</v>
      </c>
      <c r="U175" s="557">
        <f>+ENERO!U176</f>
        <v>0</v>
      </c>
      <c r="V175" s="1062">
        <f>SEPTIEMBRE!V175+OCTUBRE!AL175</f>
        <v>0</v>
      </c>
      <c r="W175" s="1062">
        <f>SEPTIEMBRE!W175+OCTUBRE!AM175</f>
        <v>0</v>
      </c>
      <c r="X175" s="271">
        <f t="shared" ref="X175:X181" si="157">SUM(U175:W175)</f>
        <v>0</v>
      </c>
      <c r="Y175" s="1062">
        <f>SEPTIEMBRE!AA175</f>
        <v>0</v>
      </c>
      <c r="Z175" s="208">
        <v>0</v>
      </c>
      <c r="AA175" s="271">
        <f t="shared" ref="AA175:AA181" si="158">SUM(Y175:Z175)</f>
        <v>0</v>
      </c>
      <c r="AB175" s="270">
        <f>SEPTIEMBRE!AD175</f>
        <v>0</v>
      </c>
      <c r="AC175" s="208">
        <v>0</v>
      </c>
      <c r="AD175" s="271">
        <f t="shared" ref="AD175:AD181" si="159">SUM(AB175:AC175)</f>
        <v>0</v>
      </c>
      <c r="AE175" s="270">
        <f>SEPTIEMBRE!AG175</f>
        <v>0</v>
      </c>
      <c r="AF175" s="208">
        <v>0</v>
      </c>
      <c r="AG175" s="271">
        <f>SUM(AE175:AF175)</f>
        <v>0</v>
      </c>
      <c r="AH175" s="270">
        <f t="shared" ref="AH175:AH181" si="160">X175-AA175</f>
        <v>0</v>
      </c>
      <c r="AI175" s="220">
        <f t="shared" ref="AI175:AI181" si="161">X175-AD175</f>
        <v>0</v>
      </c>
      <c r="AJ175" s="1022">
        <f t="shared" ref="AJ175:AJ181" si="162">X175-AG175</f>
        <v>0</v>
      </c>
      <c r="AK175" s="101"/>
      <c r="AL175" s="1066">
        <v>0</v>
      </c>
      <c r="AM175" s="1067">
        <v>0</v>
      </c>
    </row>
    <row r="176" spans="19:39" ht="24.75" customHeight="1">
      <c r="S176" s="1021">
        <f>+IF(AGOSTO!S176=0,"",AGOSTO!S176)</f>
        <v>3200200</v>
      </c>
      <c r="T176" s="267" t="str">
        <f>+IF(AGOSTO!T176=0,"",AGOSTO!T176)</f>
        <v>Cesantías Pago Directo (Pago Directo)</v>
      </c>
      <c r="U176" s="557">
        <f>+ENERO!U177</f>
        <v>0</v>
      </c>
      <c r="V176" s="1062">
        <f>SEPTIEMBRE!V176+OCTUBRE!AL176</f>
        <v>0</v>
      </c>
      <c r="W176" s="1062">
        <f>SEPTIEMBRE!W176+OCTUBRE!AM176</f>
        <v>0</v>
      </c>
      <c r="X176" s="271">
        <f t="shared" si="157"/>
        <v>0</v>
      </c>
      <c r="Y176" s="1062">
        <f>SEPTIEMBRE!AA176</f>
        <v>0</v>
      </c>
      <c r="Z176" s="208">
        <v>0</v>
      </c>
      <c r="AA176" s="271">
        <f t="shared" si="158"/>
        <v>0</v>
      </c>
      <c r="AB176" s="270">
        <f>SEPTIEMBRE!AD176</f>
        <v>0</v>
      </c>
      <c r="AC176" s="208">
        <v>0</v>
      </c>
      <c r="AD176" s="271">
        <f t="shared" si="159"/>
        <v>0</v>
      </c>
      <c r="AE176" s="270">
        <f>SEPTIEMBRE!AG176</f>
        <v>0</v>
      </c>
      <c r="AF176" s="208">
        <v>0</v>
      </c>
      <c r="AG176" s="271">
        <f t="shared" ref="AG176:AG181" si="163">SUM(AE176:AF176)</f>
        <v>0</v>
      </c>
      <c r="AH176" s="270">
        <f t="shared" si="160"/>
        <v>0</v>
      </c>
      <c r="AI176" s="220">
        <f t="shared" si="161"/>
        <v>0</v>
      </c>
      <c r="AJ176" s="1022">
        <f t="shared" si="162"/>
        <v>0</v>
      </c>
      <c r="AK176" s="101"/>
      <c r="AL176" s="204">
        <v>0</v>
      </c>
      <c r="AM176" s="210">
        <v>0</v>
      </c>
    </row>
    <row r="177" spans="19:39" ht="24.75" customHeight="1">
      <c r="S177" s="1021" t="str">
        <f>+IF(AGOSTO!S177=0,"",AGOSTO!S177)</f>
        <v>2.1.3.07.02.002.02</v>
      </c>
      <c r="T177" s="267" t="str">
        <f>+IF(AGOSTO!T177=0,"",AGOSTO!T177)</f>
        <v>Cuotas partes pensionales a cargo de la entidad ( de pensiones)</v>
      </c>
      <c r="U177" s="557">
        <f>+ENERO!U178</f>
        <v>10000000</v>
      </c>
      <c r="V177" s="1062">
        <f>SEPTIEMBRE!V177+OCTUBRE!AL177</f>
        <v>10000000</v>
      </c>
      <c r="W177" s="1062">
        <f>SEPTIEMBRE!W177+OCTUBRE!AM177</f>
        <v>0</v>
      </c>
      <c r="X177" s="271">
        <f t="shared" si="157"/>
        <v>20000000</v>
      </c>
      <c r="Y177" s="1062">
        <f>SEPTIEMBRE!AA177</f>
        <v>8043347</v>
      </c>
      <c r="Z177" s="208">
        <v>544966</v>
      </c>
      <c r="AA177" s="271">
        <f t="shared" si="158"/>
        <v>8588313</v>
      </c>
      <c r="AB177" s="270">
        <f>SEPTIEMBRE!AD177</f>
        <v>8043347</v>
      </c>
      <c r="AC177" s="208">
        <v>544966</v>
      </c>
      <c r="AD177" s="271">
        <f t="shared" si="159"/>
        <v>8588313</v>
      </c>
      <c r="AE177" s="270">
        <f>SEPTIEMBRE!AG177</f>
        <v>8043347</v>
      </c>
      <c r="AF177" s="208">
        <v>544966</v>
      </c>
      <c r="AG177" s="271">
        <f t="shared" si="163"/>
        <v>8588313</v>
      </c>
      <c r="AH177" s="270">
        <f t="shared" si="160"/>
        <v>11411687</v>
      </c>
      <c r="AI177" s="220">
        <f t="shared" si="161"/>
        <v>11411687</v>
      </c>
      <c r="AJ177" s="1022">
        <f t="shared" si="162"/>
        <v>11411687</v>
      </c>
      <c r="AK177" s="101"/>
      <c r="AL177" s="204">
        <v>0</v>
      </c>
      <c r="AM177" s="210">
        <v>0</v>
      </c>
    </row>
    <row r="178" spans="19:39" ht="24.75" customHeight="1">
      <c r="S178" s="1021" t="str">
        <f>+IF(AGOSTO!S178=0,"",AGOSTO!S178)</f>
        <v>2.1.3.07.02.003.02</v>
      </c>
      <c r="T178" s="267" t="str">
        <f>+IF(AGOSTO!T178=0,"",AGOSTO!T178)</f>
        <v>Bonos pensionales a cargo de la entidad ( de pensiones)</v>
      </c>
      <c r="U178" s="557">
        <f>+ENERO!U179</f>
        <v>300000000</v>
      </c>
      <c r="V178" s="1062">
        <f>SEPTIEMBRE!V178+OCTUBRE!AL178</f>
        <v>-10000000</v>
      </c>
      <c r="W178" s="1062">
        <f>SEPTIEMBRE!W178+OCTUBRE!AM178</f>
        <v>0</v>
      </c>
      <c r="X178" s="271">
        <f t="shared" si="157"/>
        <v>290000000</v>
      </c>
      <c r="Y178" s="1062">
        <f>SEPTIEMBRE!AA178</f>
        <v>165460000</v>
      </c>
      <c r="Z178" s="208">
        <v>0</v>
      </c>
      <c r="AA178" s="271">
        <f t="shared" si="158"/>
        <v>165460000</v>
      </c>
      <c r="AB178" s="270">
        <f>SEPTIEMBRE!AD178</f>
        <v>165460000</v>
      </c>
      <c r="AC178" s="208">
        <v>0</v>
      </c>
      <c r="AD178" s="271">
        <f t="shared" si="159"/>
        <v>165460000</v>
      </c>
      <c r="AE178" s="270">
        <f>SEPTIEMBRE!AG178</f>
        <v>165460000</v>
      </c>
      <c r="AF178" s="208">
        <v>0</v>
      </c>
      <c r="AG178" s="271">
        <f t="shared" si="163"/>
        <v>165460000</v>
      </c>
      <c r="AH178" s="270">
        <f t="shared" si="160"/>
        <v>124540000</v>
      </c>
      <c r="AI178" s="220">
        <f t="shared" si="161"/>
        <v>124540000</v>
      </c>
      <c r="AJ178" s="1022">
        <f t="shared" si="162"/>
        <v>124540000</v>
      </c>
      <c r="AK178" s="101"/>
      <c r="AL178" s="204">
        <v>0</v>
      </c>
      <c r="AM178" s="210">
        <v>0</v>
      </c>
    </row>
    <row r="179" spans="19:39" ht="24.75" customHeight="1">
      <c r="S179" s="1021" t="str">
        <f>+IF(AGOSTO!S179=0,"",AGOSTO!S179)</f>
        <v>2.1.8.04.07</v>
      </c>
      <c r="T179" s="267" t="str">
        <f>+IF(AGOSTO!T179=0,"",AGOSTO!T179)</f>
        <v>Contribucion de Vigilancia Superintendencia Nacional de Salud</v>
      </c>
      <c r="U179" s="557">
        <f>+ENERO!U180</f>
        <v>0</v>
      </c>
      <c r="V179" s="1062">
        <f>SEPTIEMBRE!V179+OCTUBRE!AL179</f>
        <v>0</v>
      </c>
      <c r="W179" s="1062">
        <f>SEPTIEMBRE!W179+OCTUBRE!AM179</f>
        <v>0</v>
      </c>
      <c r="X179" s="271">
        <f t="shared" si="157"/>
        <v>0</v>
      </c>
      <c r="Y179" s="1062">
        <f>SEPTIEMBRE!AA179</f>
        <v>0</v>
      </c>
      <c r="Z179" s="208">
        <v>0</v>
      </c>
      <c r="AA179" s="271">
        <f t="shared" si="158"/>
        <v>0</v>
      </c>
      <c r="AB179" s="270">
        <f>SEPTIEMBRE!AD179</f>
        <v>0</v>
      </c>
      <c r="AC179" s="208">
        <v>0</v>
      </c>
      <c r="AD179" s="271">
        <f t="shared" si="159"/>
        <v>0</v>
      </c>
      <c r="AE179" s="270">
        <f>SEPTIEMBRE!AG179</f>
        <v>0</v>
      </c>
      <c r="AF179" s="208">
        <v>0</v>
      </c>
      <c r="AG179" s="271">
        <f t="shared" si="163"/>
        <v>0</v>
      </c>
      <c r="AH179" s="270">
        <f t="shared" si="160"/>
        <v>0</v>
      </c>
      <c r="AI179" s="220">
        <f t="shared" si="161"/>
        <v>0</v>
      </c>
      <c r="AJ179" s="1022">
        <f t="shared" si="162"/>
        <v>0</v>
      </c>
      <c r="AK179" s="101"/>
      <c r="AL179" s="204">
        <v>0</v>
      </c>
      <c r="AM179" s="210">
        <v>0</v>
      </c>
    </row>
    <row r="180" spans="19:39" ht="24.75" customHeight="1">
      <c r="S180" s="1021">
        <f>+IF(AGOSTO!S180=0,"",AGOSTO!S180)</f>
        <v>3200600</v>
      </c>
      <c r="T180" s="267" t="str">
        <f>+IF(AGOSTO!T180=0,"",AGOSTO!T180)</f>
        <v/>
      </c>
      <c r="U180" s="557">
        <f>+ENERO!U181</f>
        <v>0</v>
      </c>
      <c r="V180" s="1062">
        <f>SEPTIEMBRE!V180+OCTUBRE!AL180</f>
        <v>0</v>
      </c>
      <c r="W180" s="1062">
        <f>SEPTIEMBRE!W180+OCTUBRE!AM180</f>
        <v>0</v>
      </c>
      <c r="X180" s="271">
        <f t="shared" si="157"/>
        <v>0</v>
      </c>
      <c r="Y180" s="1062">
        <f>SEPTIEMBRE!AA180</f>
        <v>0</v>
      </c>
      <c r="Z180" s="208">
        <v>0</v>
      </c>
      <c r="AA180" s="271">
        <f t="shared" si="158"/>
        <v>0</v>
      </c>
      <c r="AB180" s="270">
        <f>SEPTIEMBRE!AD180</f>
        <v>0</v>
      </c>
      <c r="AC180" s="208">
        <v>0</v>
      </c>
      <c r="AD180" s="271">
        <f t="shared" si="159"/>
        <v>0</v>
      </c>
      <c r="AE180" s="270">
        <f>SEPTIEMBRE!AG180</f>
        <v>0</v>
      </c>
      <c r="AF180" s="208">
        <v>0</v>
      </c>
      <c r="AG180" s="271">
        <f t="shared" si="163"/>
        <v>0</v>
      </c>
      <c r="AH180" s="270">
        <f t="shared" si="160"/>
        <v>0</v>
      </c>
      <c r="AI180" s="220">
        <f t="shared" si="161"/>
        <v>0</v>
      </c>
      <c r="AJ180" s="1022">
        <f t="shared" si="162"/>
        <v>0</v>
      </c>
      <c r="AK180" s="101"/>
      <c r="AL180" s="204">
        <v>0</v>
      </c>
      <c r="AM180" s="210">
        <v>0</v>
      </c>
    </row>
    <row r="181" spans="19:39" ht="24.75" customHeight="1">
      <c r="S181" s="1021" t="str">
        <f>+IF(AGOSTO!S181=0,"",AGOSTO!S181)</f>
        <v>2.1.7.01.01</v>
      </c>
      <c r="T181" s="267" t="str">
        <f>+IF(AGOSTO!T181=0,"",AGOSTO!T181)</f>
        <v>Vigencias Anteriores Cesantias</v>
      </c>
      <c r="U181" s="557">
        <f>+ENERO!U182</f>
        <v>0</v>
      </c>
      <c r="V181" s="1062">
        <f>SEPTIEMBRE!V181+OCTUBRE!AL181</f>
        <v>0</v>
      </c>
      <c r="W181" s="1062">
        <f>SEPTIEMBRE!W181+OCTUBRE!AM181</f>
        <v>0</v>
      </c>
      <c r="X181" s="271">
        <f t="shared" si="157"/>
        <v>0</v>
      </c>
      <c r="Y181" s="1062">
        <f>SEPTIEMBRE!AA181</f>
        <v>0</v>
      </c>
      <c r="Z181" s="208">
        <v>0</v>
      </c>
      <c r="AA181" s="271">
        <f t="shared" si="158"/>
        <v>0</v>
      </c>
      <c r="AB181" s="270">
        <f>SEPTIEMBRE!AD181</f>
        <v>0</v>
      </c>
      <c r="AC181" s="208">
        <v>0</v>
      </c>
      <c r="AD181" s="271">
        <f t="shared" si="159"/>
        <v>0</v>
      </c>
      <c r="AE181" s="270">
        <f>SEPTIEMBRE!AG181</f>
        <v>0</v>
      </c>
      <c r="AF181" s="208">
        <v>0</v>
      </c>
      <c r="AG181" s="271">
        <f t="shared" si="163"/>
        <v>0</v>
      </c>
      <c r="AH181" s="270">
        <f t="shared" si="160"/>
        <v>0</v>
      </c>
      <c r="AI181" s="220">
        <f t="shared" si="161"/>
        <v>0</v>
      </c>
      <c r="AJ181" s="1022">
        <f t="shared" si="162"/>
        <v>0</v>
      </c>
      <c r="AK181" s="101"/>
      <c r="AL181" s="204">
        <v>0</v>
      </c>
      <c r="AM181" s="210">
        <v>0</v>
      </c>
    </row>
    <row r="182" spans="19:39" ht="24.75" customHeight="1">
      <c r="S182" s="1023" t="str">
        <f>+IF(AGOSTO!S182=0,"",AGOSTO!S182)</f>
        <v/>
      </c>
      <c r="T182" s="488" t="str">
        <f>+IF(AGOSTO!T182=0,"",AGOSTO!T182)</f>
        <v/>
      </c>
      <c r="U182" s="1070"/>
      <c r="V182" s="915"/>
      <c r="W182" s="915"/>
      <c r="X182" s="191"/>
      <c r="Y182" s="191"/>
      <c r="Z182" s="191"/>
      <c r="AA182" s="191"/>
      <c r="AB182" s="191"/>
      <c r="AC182" s="191"/>
      <c r="AD182" s="191"/>
      <c r="AE182" s="191"/>
      <c r="AF182" s="191"/>
      <c r="AG182" s="191"/>
      <c r="AH182" s="191"/>
      <c r="AI182" s="191"/>
      <c r="AJ182" s="1024"/>
      <c r="AK182" s="101"/>
      <c r="AL182" s="655"/>
      <c r="AM182" s="656"/>
    </row>
    <row r="183" spans="19:39" ht="24.75" customHeight="1">
      <c r="S183" s="1019">
        <f>+IF(AGOSTO!S183=0,"",AGOSTO!S183)</f>
        <v>3300000</v>
      </c>
      <c r="T183" s="532" t="str">
        <f>+IF(AGOSTO!T183=0,"",AGOSTO!T183)</f>
        <v>Otras Transferencias</v>
      </c>
      <c r="U183" s="1061">
        <f>U184+U185+U190</f>
        <v>1313060585</v>
      </c>
      <c r="V183" s="1061">
        <f t="shared" ref="V183:AM183" si="164">V184+V185+V190</f>
        <v>21000000</v>
      </c>
      <c r="W183" s="1061">
        <f t="shared" si="164"/>
        <v>500000000</v>
      </c>
      <c r="X183" s="234">
        <f t="shared" si="164"/>
        <v>1834060585</v>
      </c>
      <c r="Y183" s="1061">
        <f>Y184+Y185+Y190</f>
        <v>836426144</v>
      </c>
      <c r="Z183" s="231">
        <f t="shared" si="164"/>
        <v>522703</v>
      </c>
      <c r="AA183" s="234">
        <f t="shared" si="164"/>
        <v>836948847</v>
      </c>
      <c r="AB183" s="233">
        <f t="shared" si="164"/>
        <v>835093801</v>
      </c>
      <c r="AC183" s="231">
        <f>AC184+AC185+AC190</f>
        <v>522703</v>
      </c>
      <c r="AD183" s="234">
        <f t="shared" si="164"/>
        <v>835616504</v>
      </c>
      <c r="AE183" s="233">
        <f t="shared" si="164"/>
        <v>834571098.5</v>
      </c>
      <c r="AF183" s="231">
        <f>AF184+AF185+AF190</f>
        <v>0</v>
      </c>
      <c r="AG183" s="234">
        <f t="shared" si="164"/>
        <v>834571098.5</v>
      </c>
      <c r="AH183" s="233">
        <f t="shared" si="164"/>
        <v>997111738</v>
      </c>
      <c r="AI183" s="231">
        <f t="shared" si="164"/>
        <v>998444081</v>
      </c>
      <c r="AJ183" s="1020">
        <f t="shared" si="164"/>
        <v>999489486.5</v>
      </c>
      <c r="AK183" s="101"/>
      <c r="AL183" s="1020">
        <f t="shared" si="164"/>
        <v>0</v>
      </c>
      <c r="AM183" s="1020">
        <f t="shared" si="164"/>
        <v>0</v>
      </c>
    </row>
    <row r="184" spans="19:39" ht="24.75" customHeight="1">
      <c r="S184" s="1021" t="str">
        <f>+IF(AGOSTO!S184=0,"",AGOSTO!S184)</f>
        <v>2.1.3.13.01.001</v>
      </c>
      <c r="T184" s="534" t="str">
        <f>+IF(AGOSTO!T184=0,"",AGOSTO!T184)</f>
        <v>Sentencias</v>
      </c>
      <c r="U184" s="1073">
        <f>+ENERO!U185</f>
        <v>800000000</v>
      </c>
      <c r="V184" s="1062">
        <f>SEPTIEMBRE!V184+OCTUBRE!AL184</f>
        <v>-350000000</v>
      </c>
      <c r="W184" s="1062">
        <f>SEPTIEMBRE!W184+OCTUBRE!AM184</f>
        <v>0</v>
      </c>
      <c r="X184" s="271">
        <f>SUM(U184:W184)</f>
        <v>450000000</v>
      </c>
      <c r="Y184" s="271">
        <f>SEPTIEMBRE!AA184</f>
        <v>156912292</v>
      </c>
      <c r="Z184" s="208">
        <v>0</v>
      </c>
      <c r="AA184" s="271">
        <f>SUM(Y184:Z184)</f>
        <v>156912292</v>
      </c>
      <c r="AB184" s="270">
        <f>SEPTIEMBRE!AD184</f>
        <v>156912292</v>
      </c>
      <c r="AC184" s="208">
        <v>0</v>
      </c>
      <c r="AD184" s="271">
        <f>SUM(AB184:AC184)</f>
        <v>156912292</v>
      </c>
      <c r="AE184" s="270">
        <f>SEPTIEMBRE!AG184</f>
        <v>156912292.5</v>
      </c>
      <c r="AF184" s="208">
        <v>0</v>
      </c>
      <c r="AG184" s="271">
        <f>SUM(AE184:AF184)</f>
        <v>156912292.5</v>
      </c>
      <c r="AH184" s="270">
        <f>X184-AA184</f>
        <v>293087708</v>
      </c>
      <c r="AI184" s="220">
        <f>X184-AD184</f>
        <v>293087708</v>
      </c>
      <c r="AJ184" s="1022">
        <f>X184-AG184</f>
        <v>293087707.5</v>
      </c>
      <c r="AK184" s="101"/>
      <c r="AL184" s="204">
        <v>0</v>
      </c>
      <c r="AM184" s="210">
        <v>0</v>
      </c>
    </row>
    <row r="185" spans="19:39" ht="24.75" customHeight="1">
      <c r="S185" s="1021">
        <f>+IF(AGOSTO!S185=0,"",AGOSTO!S185)</f>
        <v>3300200</v>
      </c>
      <c r="T185" s="534" t="str">
        <f>+IF(AGOSTO!T185=0,"",AGOSTO!T185)</f>
        <v>Destinatarios de otras transferencias</v>
      </c>
      <c r="U185" s="1073">
        <f>SUM(U186:U189)</f>
        <v>463060585</v>
      </c>
      <c r="V185" s="1062">
        <f>SEPTIEMBRE!V185+OCTUBRE!AL185</f>
        <v>21000000</v>
      </c>
      <c r="W185" s="1062">
        <f>SEPTIEMBRE!W185+OCTUBRE!AM185</f>
        <v>500000000</v>
      </c>
      <c r="X185" s="271">
        <f>SUM(X186:X189)</f>
        <v>984060585</v>
      </c>
      <c r="Y185" s="271">
        <f>SUM(Y186:Y189)</f>
        <v>476739643</v>
      </c>
      <c r="Z185" s="300">
        <f t="shared" ref="Z185:AG185" si="165">SUM(Z186:Z189)</f>
        <v>522703</v>
      </c>
      <c r="AA185" s="271">
        <f t="shared" si="165"/>
        <v>477262346</v>
      </c>
      <c r="AB185" s="270">
        <f>SEPTIEMBRE!AD185</f>
        <v>475407300</v>
      </c>
      <c r="AC185" s="300">
        <f>SUM(AC186:AC189)</f>
        <v>522703</v>
      </c>
      <c r="AD185" s="271">
        <f t="shared" si="165"/>
        <v>475930003</v>
      </c>
      <c r="AE185" s="270">
        <f>SUM(AE186:AE189)</f>
        <v>474884597</v>
      </c>
      <c r="AF185" s="300">
        <f>SUM(AF186:AF189)</f>
        <v>0</v>
      </c>
      <c r="AG185" s="271">
        <f t="shared" si="165"/>
        <v>474884597</v>
      </c>
      <c r="AH185" s="270">
        <f>SUM(AH186:AH189)</f>
        <v>506798239</v>
      </c>
      <c r="AI185" s="220">
        <f>SUM(AI186:AI189)</f>
        <v>508130582</v>
      </c>
      <c r="AJ185" s="1022">
        <f>SUM(AJ186:AJ189)</f>
        <v>509175988</v>
      </c>
      <c r="AK185" s="101"/>
      <c r="AL185" s="204">
        <v>0</v>
      </c>
      <c r="AM185" s="210">
        <v>0</v>
      </c>
    </row>
    <row r="186" spans="19:39" ht="24.75" customHeight="1">
      <c r="S186" s="1026" t="str">
        <f>+IF(AGOSTO!S186=0,"",AGOSTO!S186)</f>
        <v>2.1.2.02.02.009.907</v>
      </c>
      <c r="T186" s="534" t="str">
        <f>+IF(AGOSTO!T186=0,"",AGOSTO!T186)</f>
        <v>Cuota de Afiliación o sostenimiento (COHAN, AESA, OTROS)</v>
      </c>
      <c r="U186" s="1073">
        <f>+ENERO!U187</f>
        <v>13060585</v>
      </c>
      <c r="V186" s="1062">
        <f>SEPTIEMBRE!V186+OCTUBRE!AL186</f>
        <v>0</v>
      </c>
      <c r="W186" s="1062">
        <f>SEPTIEMBRE!W186+OCTUBRE!AM186</f>
        <v>0</v>
      </c>
      <c r="X186" s="271">
        <f>SUM(U186:W186)</f>
        <v>13060585</v>
      </c>
      <c r="Y186" s="271">
        <f>SEPTIEMBRE!AA186</f>
        <v>9905524</v>
      </c>
      <c r="Z186" s="208">
        <v>522703</v>
      </c>
      <c r="AA186" s="271">
        <f>SUM(Y186:Z186)</f>
        <v>10428227</v>
      </c>
      <c r="AB186" s="270">
        <f>SEPTIEMBRE!AD186</f>
        <v>9875624</v>
      </c>
      <c r="AC186" s="208">
        <v>522703</v>
      </c>
      <c r="AD186" s="271">
        <f>SUM(AB186:AC186)</f>
        <v>10398327</v>
      </c>
      <c r="AE186" s="270">
        <f>SEPTIEMBRE!AG186</f>
        <v>9352921</v>
      </c>
      <c r="AF186" s="208">
        <v>0</v>
      </c>
      <c r="AG186" s="271">
        <f>SUM(AE186:AF186)</f>
        <v>9352921</v>
      </c>
      <c r="AH186" s="270">
        <f>X186-AA186</f>
        <v>2632358</v>
      </c>
      <c r="AI186" s="220">
        <f>X186-AD186</f>
        <v>2662258</v>
      </c>
      <c r="AJ186" s="1022">
        <f>X186-AG186</f>
        <v>3707664</v>
      </c>
      <c r="AK186" s="101"/>
      <c r="AL186" s="204">
        <v>0</v>
      </c>
      <c r="AM186" s="210">
        <v>0</v>
      </c>
    </row>
    <row r="187" spans="19:39" ht="24.75" customHeight="1">
      <c r="S187" s="1026" t="str">
        <f>+IF(AGOSTO!S187=0,"",AGOSTO!S187)</f>
        <v>2.1.8.04.07</v>
      </c>
      <c r="T187" s="534" t="str">
        <f>+IF(AGOSTO!T187=0,"",AGOSTO!T187)</f>
        <v>Conciliaciones</v>
      </c>
      <c r="U187" s="1073">
        <f>+ENERO!U188</f>
        <v>300000000</v>
      </c>
      <c r="V187" s="1062">
        <f>SEPTIEMBRE!V187+OCTUBRE!AL187</f>
        <v>0</v>
      </c>
      <c r="W187" s="1062">
        <f>SEPTIEMBRE!W187+OCTUBRE!AM187</f>
        <v>500000000</v>
      </c>
      <c r="X187" s="271">
        <f>SUM(U187:W187)</f>
        <v>800000000</v>
      </c>
      <c r="Y187" s="271">
        <f>SEPTIEMBRE!AA187</f>
        <v>355396680</v>
      </c>
      <c r="Z187" s="208">
        <v>0</v>
      </c>
      <c r="AA187" s="271">
        <f>SUM(Y187:Z187)</f>
        <v>355396680</v>
      </c>
      <c r="AB187" s="270">
        <f>SEPTIEMBRE!AD187</f>
        <v>355396680</v>
      </c>
      <c r="AC187" s="208">
        <v>0</v>
      </c>
      <c r="AD187" s="271">
        <f>SUM(AB187:AC187)</f>
        <v>355396680</v>
      </c>
      <c r="AE187" s="270">
        <f>SEPTIEMBRE!AG187</f>
        <v>355396680</v>
      </c>
      <c r="AF187" s="208">
        <v>0</v>
      </c>
      <c r="AG187" s="271">
        <f>SUM(AE187:AF187)</f>
        <v>355396680</v>
      </c>
      <c r="AH187" s="270">
        <f>X187-AA187</f>
        <v>444603320</v>
      </c>
      <c r="AI187" s="220">
        <f>X187-AD187</f>
        <v>444603320</v>
      </c>
      <c r="AJ187" s="1022">
        <f>X187-AG187</f>
        <v>444603320</v>
      </c>
      <c r="AK187" s="101"/>
      <c r="AL187" s="204">
        <v>0</v>
      </c>
      <c r="AM187" s="210">
        <v>0</v>
      </c>
    </row>
    <row r="188" spans="19:39" ht="24.75" customHeight="1">
      <c r="S188" s="1026" t="str">
        <f>+IF(AGOSTO!S188=0,"",AGOSTO!S188)</f>
        <v>2.1.8.05.01</v>
      </c>
      <c r="T188" s="534" t="str">
        <f>+IF(AGOSTO!T188=0,"",AGOSTO!T188)</f>
        <v>Multas y sanciones</v>
      </c>
      <c r="U188" s="1073">
        <v>0</v>
      </c>
      <c r="V188" s="1062">
        <f>SEPTIEMBRE!V188+OCTUBRE!AL188</f>
        <v>21000000</v>
      </c>
      <c r="W188" s="1062">
        <f>SEPTIEMBRE!W188+OCTUBRE!AM188</f>
        <v>0</v>
      </c>
      <c r="X188" s="271">
        <f>SUM(U188:W188)</f>
        <v>21000000</v>
      </c>
      <c r="Y188" s="271">
        <f>SEPTIEMBRE!AA188</f>
        <v>16312307</v>
      </c>
      <c r="Z188" s="208">
        <v>0</v>
      </c>
      <c r="AA188" s="271">
        <f>SUM(Y188:Z188)</f>
        <v>16312307</v>
      </c>
      <c r="AB188" s="270">
        <f>SEPTIEMBRE!AD188</f>
        <v>15009864</v>
      </c>
      <c r="AC188" s="208">
        <v>0</v>
      </c>
      <c r="AD188" s="271">
        <f>SUM(AB188:AC188)</f>
        <v>15009864</v>
      </c>
      <c r="AE188" s="270">
        <f>SEPTIEMBRE!AG188</f>
        <v>15009864</v>
      </c>
      <c r="AF188" s="208">
        <v>0</v>
      </c>
      <c r="AG188" s="271">
        <f>SUM(AE188:AF188)</f>
        <v>15009864</v>
      </c>
      <c r="AH188" s="270">
        <f>X188-AA188</f>
        <v>4687693</v>
      </c>
      <c r="AI188" s="220">
        <f>X188-AD188</f>
        <v>5990136</v>
      </c>
      <c r="AJ188" s="1022">
        <f>X188-AG188</f>
        <v>5990136</v>
      </c>
      <c r="AK188" s="101"/>
      <c r="AL188" s="204">
        <v>0</v>
      </c>
      <c r="AM188" s="210">
        <v>0</v>
      </c>
    </row>
    <row r="189" spans="19:39" ht="24.75" customHeight="1">
      <c r="S189" s="1026" t="str">
        <f>+IF(AGOSTO!S189=0,"",AGOSTO!S189)</f>
        <v>2.1.8.04.07</v>
      </c>
      <c r="T189" s="534" t="str">
        <f>+IF(AGOSTO!T189=0,"",AGOSTO!T189)</f>
        <v>Cuotas de auditaje supersalud</v>
      </c>
      <c r="U189" s="1073">
        <f>+ENERO!U190</f>
        <v>150000000</v>
      </c>
      <c r="V189" s="1062">
        <f>SEPTIEMBRE!V189+OCTUBRE!AL189</f>
        <v>0</v>
      </c>
      <c r="W189" s="1062">
        <f>SEPTIEMBRE!W189+OCTUBRE!AM189</f>
        <v>0</v>
      </c>
      <c r="X189" s="271">
        <f>SUM(U189:W189)</f>
        <v>150000000</v>
      </c>
      <c r="Y189" s="271">
        <f>SEPTIEMBRE!AA189</f>
        <v>95125132</v>
      </c>
      <c r="Z189" s="208">
        <v>0</v>
      </c>
      <c r="AA189" s="271">
        <f>SUM(Y189:Z189)</f>
        <v>95125132</v>
      </c>
      <c r="AB189" s="270">
        <f>SEPTIEMBRE!AD189</f>
        <v>95125132</v>
      </c>
      <c r="AC189" s="208">
        <v>0</v>
      </c>
      <c r="AD189" s="271">
        <f>SUM(AB189:AC189)</f>
        <v>95125132</v>
      </c>
      <c r="AE189" s="270">
        <f>SEPTIEMBRE!AG189</f>
        <v>95125132</v>
      </c>
      <c r="AF189" s="208">
        <v>0</v>
      </c>
      <c r="AG189" s="271">
        <f>SUM(AE189:AF189)</f>
        <v>95125132</v>
      </c>
      <c r="AH189" s="270">
        <f>X189-AA189</f>
        <v>54874868</v>
      </c>
      <c r="AI189" s="220">
        <f>X189-AD189</f>
        <v>54874868</v>
      </c>
      <c r="AJ189" s="1022">
        <f>X189-AG189</f>
        <v>54874868</v>
      </c>
      <c r="AK189" s="101"/>
      <c r="AL189" s="204">
        <v>0</v>
      </c>
      <c r="AM189" s="210">
        <v>0</v>
      </c>
    </row>
    <row r="190" spans="19:39" ht="24.75" customHeight="1">
      <c r="S190" s="1021" t="str">
        <f>+IF(AGOSTO!S190=0,"",AGOSTO!S190)</f>
        <v>2.1.3.13.01.002.99</v>
      </c>
      <c r="T190" s="534" t="str">
        <f>+IF(AGOSTO!T190=0,"",AGOSTO!T190)</f>
        <v>Vigencias Anteriores Conciliaciones</v>
      </c>
      <c r="U190" s="1073">
        <f>+ENERO!U191</f>
        <v>50000000</v>
      </c>
      <c r="V190" s="1062">
        <f>SEPTIEMBRE!V190+OCTUBRE!AL190</f>
        <v>350000000</v>
      </c>
      <c r="W190" s="1062">
        <f>SEPTIEMBRE!W190+OCTUBRE!AM190</f>
        <v>0</v>
      </c>
      <c r="X190" s="271">
        <f>SUM(U190:W190)</f>
        <v>400000000</v>
      </c>
      <c r="Y190" s="271">
        <f>SEPTIEMBRE!AA190</f>
        <v>202774209</v>
      </c>
      <c r="Z190" s="208">
        <v>0</v>
      </c>
      <c r="AA190" s="271">
        <f>SUM(Y190:Z190)</f>
        <v>202774209</v>
      </c>
      <c r="AB190" s="270">
        <f>SEPTIEMBRE!AD190</f>
        <v>202774209</v>
      </c>
      <c r="AC190" s="208">
        <v>0</v>
      </c>
      <c r="AD190" s="271">
        <f>SUM(AB190:AC190)</f>
        <v>202774209</v>
      </c>
      <c r="AE190" s="270">
        <f>SEPTIEMBRE!AG190</f>
        <v>202774209</v>
      </c>
      <c r="AF190" s="208">
        <v>0</v>
      </c>
      <c r="AG190" s="271">
        <f>SUM(AE190:AF190)</f>
        <v>202774209</v>
      </c>
      <c r="AH190" s="270">
        <f>X190-AA190</f>
        <v>197225791</v>
      </c>
      <c r="AI190" s="220">
        <f>X190-AD190</f>
        <v>197225791</v>
      </c>
      <c r="AJ190" s="1022">
        <f>X190-AG190</f>
        <v>197225791</v>
      </c>
      <c r="AK190" s="101"/>
      <c r="AL190" s="204">
        <v>0</v>
      </c>
      <c r="AM190" s="210">
        <v>0</v>
      </c>
    </row>
    <row r="191" spans="19:39" ht="24.75" customHeight="1">
      <c r="S191" s="1029"/>
      <c r="T191" s="559"/>
      <c r="U191" s="1071"/>
      <c r="V191" s="1072"/>
      <c r="W191" s="1072"/>
      <c r="X191" s="560"/>
      <c r="Y191" s="560"/>
      <c r="Z191" s="1084"/>
      <c r="AA191" s="560"/>
      <c r="AB191" s="560"/>
      <c r="AC191" s="561"/>
      <c r="AD191" s="560"/>
      <c r="AE191" s="560"/>
      <c r="AF191" s="561"/>
      <c r="AG191" s="560"/>
      <c r="AH191" s="560"/>
      <c r="AI191" s="560"/>
      <c r="AJ191" s="1030"/>
      <c r="AK191" s="101"/>
      <c r="AL191" s="370"/>
      <c r="AM191" s="371"/>
    </row>
    <row r="192" spans="19:39" ht="43.5" customHeight="1">
      <c r="S192" s="1031" t="s">
        <v>294</v>
      </c>
      <c r="T192" s="463" t="s">
        <v>295</v>
      </c>
      <c r="U192" s="882">
        <f>U194+U208</f>
        <v>42375190113.666664</v>
      </c>
      <c r="V192" s="406">
        <f t="shared" ref="V192:AM192" si="166">V194+V208</f>
        <v>0</v>
      </c>
      <c r="W192" s="406">
        <f t="shared" si="166"/>
        <v>15790326637</v>
      </c>
      <c r="X192" s="218">
        <f t="shared" si="166"/>
        <v>58165516750.666664</v>
      </c>
      <c r="Y192" s="217">
        <f t="shared" si="166"/>
        <v>49374375277</v>
      </c>
      <c r="Z192" s="406">
        <f t="shared" si="166"/>
        <v>3510460430</v>
      </c>
      <c r="AA192" s="218">
        <f t="shared" si="166"/>
        <v>52884835707</v>
      </c>
      <c r="AB192" s="882">
        <f t="shared" si="166"/>
        <v>42602972086</v>
      </c>
      <c r="AC192" s="406">
        <f t="shared" si="166"/>
        <v>4266444684</v>
      </c>
      <c r="AD192" s="407">
        <f t="shared" si="166"/>
        <v>46869416770</v>
      </c>
      <c r="AE192" s="217">
        <f t="shared" si="166"/>
        <v>27487557923</v>
      </c>
      <c r="AF192" s="406">
        <f t="shared" si="166"/>
        <v>1679791010</v>
      </c>
      <c r="AG192" s="218">
        <f t="shared" si="166"/>
        <v>29167348933</v>
      </c>
      <c r="AH192" s="217">
        <f t="shared" si="166"/>
        <v>5280681043.666666</v>
      </c>
      <c r="AI192" s="406">
        <f t="shared" si="166"/>
        <v>11296099980.666666</v>
      </c>
      <c r="AJ192" s="1028">
        <f t="shared" si="166"/>
        <v>28998167817.666664</v>
      </c>
      <c r="AK192" s="101"/>
      <c r="AL192" s="1028">
        <f t="shared" si="166"/>
        <v>0</v>
      </c>
      <c r="AM192" s="1028">
        <f t="shared" si="166"/>
        <v>206326637</v>
      </c>
    </row>
    <row r="193" spans="19:39" ht="24.75" customHeight="1">
      <c r="S193" s="1023" t="str">
        <f>+IF(AGOSTO!S193=0,"",AGOSTO!S193)</f>
        <v/>
      </c>
      <c r="T193" s="488" t="str">
        <f>+IF(AGOSTO!T193=0,"",AGOSTO!T193)</f>
        <v/>
      </c>
      <c r="U193" s="1070"/>
      <c r="V193" s="1070"/>
      <c r="W193" s="1070"/>
      <c r="X193" s="1070"/>
      <c r="Y193" s="1070"/>
      <c r="Z193" s="191"/>
      <c r="AA193" s="191"/>
      <c r="AB193" s="191"/>
      <c r="AC193" s="191"/>
      <c r="AD193" s="191"/>
      <c r="AE193" s="191"/>
      <c r="AF193" s="191"/>
      <c r="AG193" s="191"/>
      <c r="AH193" s="191"/>
      <c r="AI193" s="191"/>
      <c r="AJ193" s="1024"/>
      <c r="AK193" s="216"/>
      <c r="AL193" s="233"/>
      <c r="AM193" s="232"/>
    </row>
    <row r="194" spans="19:39" ht="24.75" customHeight="1">
      <c r="S194" s="1025" t="str">
        <f>+IF(AGOSTO!S194=0,"",AGOSTO!S194)</f>
        <v>2.4</v>
      </c>
      <c r="T194" s="541" t="str">
        <f>+IF(AGOSTO!T194=0,"",AGOSTO!T194)</f>
        <v>GASTOS  DEOPERACIÓN COMERCIAL</v>
      </c>
      <c r="U194" s="1065">
        <f>U195</f>
        <v>40172190113.666664</v>
      </c>
      <c r="V194" s="1065">
        <f t="shared" ref="V194:AM194" si="167">V195</f>
        <v>-2112559635</v>
      </c>
      <c r="W194" s="1065">
        <f t="shared" si="167"/>
        <v>15440326637</v>
      </c>
      <c r="X194" s="1065">
        <f t="shared" si="167"/>
        <v>53499957115.666664</v>
      </c>
      <c r="Y194" s="1065">
        <f t="shared" si="167"/>
        <v>44777962617</v>
      </c>
      <c r="Z194" s="882">
        <f t="shared" si="167"/>
        <v>3510460430</v>
      </c>
      <c r="AA194" s="407">
        <f t="shared" si="167"/>
        <v>48288423047</v>
      </c>
      <c r="AB194" s="217">
        <f t="shared" si="167"/>
        <v>38006559426</v>
      </c>
      <c r="AC194" s="882">
        <f t="shared" si="167"/>
        <v>4266444684</v>
      </c>
      <c r="AD194" s="407">
        <f t="shared" si="167"/>
        <v>42273004110</v>
      </c>
      <c r="AE194" s="217">
        <f t="shared" si="167"/>
        <v>22891145263</v>
      </c>
      <c r="AF194" s="882">
        <f t="shared" si="167"/>
        <v>1679791010</v>
      </c>
      <c r="AG194" s="407">
        <f t="shared" si="167"/>
        <v>24570936273</v>
      </c>
      <c r="AH194" s="217">
        <f t="shared" si="167"/>
        <v>5211534068.666666</v>
      </c>
      <c r="AI194" s="406">
        <f t="shared" si="167"/>
        <v>11226953005.666666</v>
      </c>
      <c r="AJ194" s="1028">
        <f t="shared" si="167"/>
        <v>28929020842.666664</v>
      </c>
      <c r="AK194" s="101"/>
      <c r="AL194" s="1028">
        <f t="shared" si="167"/>
        <v>0</v>
      </c>
      <c r="AM194" s="1028">
        <f t="shared" si="167"/>
        <v>206326637</v>
      </c>
    </row>
    <row r="195" spans="19:39" ht="24.75" customHeight="1">
      <c r="S195" s="1019" t="str">
        <f>+IF(AGOSTO!S195=0,"",AGOSTO!S195)</f>
        <v>2.4.5</v>
      </c>
      <c r="T195" s="532" t="str">
        <f>+IF(AGOSTO!T195=0,"",AGOSTO!T195)</f>
        <v>GASTOS DE COMERCIALIZACIÓN Y PRODUCCIÓN</v>
      </c>
      <c r="U195" s="1061">
        <f>U196+U204+U206</f>
        <v>40172190113.666664</v>
      </c>
      <c r="V195" s="1061">
        <f>V196+V204+V206</f>
        <v>-2112559635</v>
      </c>
      <c r="W195" s="1061">
        <f>W196+W204+W206</f>
        <v>15440326637</v>
      </c>
      <c r="X195" s="1061">
        <f>X196+X204+X206</f>
        <v>53499957115.666664</v>
      </c>
      <c r="Y195" s="1061">
        <f t="shared" ref="Y195:AJ195" si="168">Y196+Y204+Y206</f>
        <v>44777962617</v>
      </c>
      <c r="Z195" s="883">
        <f t="shared" si="168"/>
        <v>3510460430</v>
      </c>
      <c r="AA195" s="234">
        <f t="shared" si="168"/>
        <v>48288423047</v>
      </c>
      <c r="AB195" s="233">
        <f t="shared" si="168"/>
        <v>38006559426</v>
      </c>
      <c r="AC195" s="883">
        <f>AC196+AC204+AC206</f>
        <v>4266444684</v>
      </c>
      <c r="AD195" s="234">
        <f t="shared" si="168"/>
        <v>42273004110</v>
      </c>
      <c r="AE195" s="233">
        <f t="shared" si="168"/>
        <v>22891145263</v>
      </c>
      <c r="AF195" s="883">
        <f>AF196+AF204+AF206</f>
        <v>1679791010</v>
      </c>
      <c r="AG195" s="234">
        <f t="shared" si="168"/>
        <v>24570936273</v>
      </c>
      <c r="AH195" s="233">
        <f t="shared" si="168"/>
        <v>5211534068.666666</v>
      </c>
      <c r="AI195" s="231">
        <f t="shared" si="168"/>
        <v>11226953005.666666</v>
      </c>
      <c r="AJ195" s="1020">
        <f t="shared" si="168"/>
        <v>28929020842.666664</v>
      </c>
      <c r="AK195" s="101"/>
      <c r="AL195" s="1020">
        <f>AL196+AL204+AL206</f>
        <v>0</v>
      </c>
      <c r="AM195" s="1020">
        <f>AM196+AM204+AM206</f>
        <v>206326637</v>
      </c>
    </row>
    <row r="196" spans="19:39" ht="24.75" customHeight="1">
      <c r="S196" s="1021" t="str">
        <f>+IF(AGOSTO!S196=0,"",AGOSTO!S196)</f>
        <v>2.4.5.01</v>
      </c>
      <c r="T196" s="534" t="str">
        <f>+IF(AGOSTO!T196=0,"",AGOSTO!T196)</f>
        <v>Materiales y suministros</v>
      </c>
      <c r="U196" s="1073">
        <f>SUM(U197:U203)</f>
        <v>28648709150.333332</v>
      </c>
      <c r="V196" s="1062">
        <f>SEPTIEMBRE!V196+OCTUBRE!AL196</f>
        <v>-65559635</v>
      </c>
      <c r="W196" s="1062">
        <f>SEPTIEMBRE!W196+OCTUBRE!AM196</f>
        <v>13490326637</v>
      </c>
      <c r="X196" s="1062">
        <f>SUM(X197:X203)</f>
        <v>42073476152.333328</v>
      </c>
      <c r="Y196" s="1062">
        <f t="shared" ref="Y196:AM196" si="169">SUM(Y197:Y203)</f>
        <v>33471100062</v>
      </c>
      <c r="Z196" s="495">
        <f t="shared" si="169"/>
        <v>3510460430</v>
      </c>
      <c r="AA196" s="271">
        <f t="shared" si="169"/>
        <v>36981560492</v>
      </c>
      <c r="AB196" s="270">
        <f>SEPTIEMBRE!AD196</f>
        <v>28643436916</v>
      </c>
      <c r="AC196" s="495">
        <f>SUM(AC197:AC203)</f>
        <v>3637313151</v>
      </c>
      <c r="AD196" s="271">
        <f t="shared" si="169"/>
        <v>32280750067</v>
      </c>
      <c r="AE196" s="270">
        <f>SUM(AE197:AE203)</f>
        <v>14757988901</v>
      </c>
      <c r="AF196" s="495">
        <f>SUM(AF197:AF203)</f>
        <v>1154637300</v>
      </c>
      <c r="AG196" s="271">
        <f t="shared" si="169"/>
        <v>15912626201</v>
      </c>
      <c r="AH196" s="270">
        <f>SUM(AH197:AH203)</f>
        <v>5091915660.3333321</v>
      </c>
      <c r="AI196" s="220">
        <f>SUM(AI197:AI203)</f>
        <v>9792726085.3333321</v>
      </c>
      <c r="AJ196" s="1022">
        <f>SUM(AJ197:AJ203)</f>
        <v>26160849951.333332</v>
      </c>
      <c r="AK196" s="101"/>
      <c r="AL196" s="1022">
        <f t="shared" si="169"/>
        <v>0</v>
      </c>
      <c r="AM196" s="1022">
        <f t="shared" si="169"/>
        <v>206326637</v>
      </c>
    </row>
    <row r="197" spans="19:39" ht="24.75" customHeight="1">
      <c r="S197" s="1026" t="str">
        <f>+IF(AGOSTO!S197=0,"",AGOSTO!S197)</f>
        <v>2.4.5.01.03.301</v>
      </c>
      <c r="T197" s="535" t="str">
        <f>+IF(AGOSTO!T197=0,"",AGOSTO!T197)</f>
        <v>Medicamentos</v>
      </c>
      <c r="U197" s="1073">
        <f>+ENERO!U198</f>
        <v>7396066391.666666</v>
      </c>
      <c r="V197" s="1062">
        <f>SEPTIEMBRE!V197+OCTUBRE!AL197</f>
        <v>-632000000</v>
      </c>
      <c r="W197" s="1062">
        <f>SEPTIEMBRE!W197+OCTUBRE!AM197</f>
        <v>2706326637</v>
      </c>
      <c r="X197" s="1062">
        <f t="shared" ref="X197:X203" si="170">SUM(U197:W197)</f>
        <v>9470393028.666666</v>
      </c>
      <c r="Y197" s="1062">
        <f>SEPTIEMBRE!AA197</f>
        <v>7453311091</v>
      </c>
      <c r="Z197" s="864">
        <v>693176480</v>
      </c>
      <c r="AA197" s="271">
        <f t="shared" ref="AA197:AA203" si="171">SUM(Y197:Z197)</f>
        <v>8146487571</v>
      </c>
      <c r="AB197" s="270">
        <f>SEPTIEMBRE!AD197</f>
        <v>6442706204</v>
      </c>
      <c r="AC197" s="864">
        <v>853667540</v>
      </c>
      <c r="AD197" s="271">
        <f t="shared" ref="AD197:AD203" si="172">SUM(AB197:AC197)</f>
        <v>7296373744</v>
      </c>
      <c r="AE197" s="270">
        <f>SEPTIEMBRE!AG197</f>
        <v>3110789028</v>
      </c>
      <c r="AF197" s="864">
        <v>569096738</v>
      </c>
      <c r="AG197" s="271">
        <f t="shared" ref="AG197:AG203" si="173">SUM(AE197:AF197)</f>
        <v>3679885766</v>
      </c>
      <c r="AH197" s="270">
        <f t="shared" ref="AH197:AH203" si="174">X197-AA197</f>
        <v>1323905457.666666</v>
      </c>
      <c r="AI197" s="220">
        <f t="shared" ref="AI197:AI203" si="175">X197-AD197</f>
        <v>2174019284.666666</v>
      </c>
      <c r="AJ197" s="1022">
        <f t="shared" ref="AJ197:AJ203" si="176">X197-AG197</f>
        <v>5790507262.666666</v>
      </c>
      <c r="AK197" s="101"/>
      <c r="AL197" s="204">
        <v>0</v>
      </c>
      <c r="AM197" s="210">
        <v>206326637</v>
      </c>
    </row>
    <row r="198" spans="19:39" ht="24.75" customHeight="1">
      <c r="S198" s="1026" t="str">
        <f>+IF(AGOSTO!S198=0,"",AGOSTO!S198)</f>
        <v>2.4.5.01.03.302</v>
      </c>
      <c r="T198" s="535" t="str">
        <f>+IF(AGOSTO!T198=0,"",AGOSTO!T198)</f>
        <v>Material Médico Quirúrgico</v>
      </c>
      <c r="U198" s="1073">
        <f>+ENERO!U199</f>
        <v>6198007399.166666</v>
      </c>
      <c r="V198" s="1062">
        <f>SEPTIEMBRE!V198+OCTUBRE!AL198</f>
        <v>1365000000</v>
      </c>
      <c r="W198" s="1062">
        <f>SEPTIEMBRE!W198+OCTUBRE!AM198</f>
        <v>4700000000</v>
      </c>
      <c r="X198" s="1062">
        <f t="shared" si="170"/>
        <v>12263007399.166666</v>
      </c>
      <c r="Y198" s="1062">
        <f>SEPTIEMBRE!AA198</f>
        <v>9257595852</v>
      </c>
      <c r="Z198" s="864">
        <v>1045222177</v>
      </c>
      <c r="AA198" s="271">
        <f t="shared" si="171"/>
        <v>10302818029</v>
      </c>
      <c r="AB198" s="270">
        <f>SEPTIEMBRE!AD198</f>
        <v>8513017006</v>
      </c>
      <c r="AC198" s="864">
        <v>1075360812</v>
      </c>
      <c r="AD198" s="271">
        <f t="shared" si="172"/>
        <v>9588377818</v>
      </c>
      <c r="AE198" s="270">
        <f>SEPTIEMBRE!AG198</f>
        <v>4262942750</v>
      </c>
      <c r="AF198" s="864">
        <v>309092102</v>
      </c>
      <c r="AG198" s="271">
        <f t="shared" si="173"/>
        <v>4572034852</v>
      </c>
      <c r="AH198" s="270">
        <f t="shared" si="174"/>
        <v>1960189370.166666</v>
      </c>
      <c r="AI198" s="220">
        <f t="shared" si="175"/>
        <v>2674629581.166666</v>
      </c>
      <c r="AJ198" s="1022">
        <f t="shared" si="176"/>
        <v>7690972547.166666</v>
      </c>
      <c r="AK198" s="101"/>
      <c r="AL198" s="204">
        <v>-55000000</v>
      </c>
      <c r="AM198" s="210">
        <v>0</v>
      </c>
    </row>
    <row r="199" spans="19:39" ht="24.75" customHeight="1">
      <c r="S199" s="1026" t="str">
        <f>+IF(AGOSTO!S199=0,"",AGOSTO!S199)</f>
        <v>2.4.5.01.03.303</v>
      </c>
      <c r="T199" s="535" t="str">
        <f>+IF(AGOSTO!T199=0,"",AGOSTO!T199)</f>
        <v>Material de Laboratorio</v>
      </c>
      <c r="U199" s="1073">
        <f>+ENERO!U200</f>
        <v>2001528195</v>
      </c>
      <c r="V199" s="1062">
        <f>SEPTIEMBRE!V199+OCTUBRE!AL199</f>
        <v>-320000000</v>
      </c>
      <c r="W199" s="1062">
        <f>SEPTIEMBRE!W199+OCTUBRE!AM199</f>
        <v>2800000000</v>
      </c>
      <c r="X199" s="1062">
        <f t="shared" si="170"/>
        <v>4481528195</v>
      </c>
      <c r="Y199" s="1062">
        <f>SEPTIEMBRE!AA199</f>
        <v>2977138940</v>
      </c>
      <c r="Z199" s="864">
        <v>208570954</v>
      </c>
      <c r="AA199" s="271">
        <f t="shared" si="171"/>
        <v>3185709894</v>
      </c>
      <c r="AB199" s="270">
        <f>SEPTIEMBRE!AD199</f>
        <v>2422336108</v>
      </c>
      <c r="AC199" s="864">
        <v>249268421</v>
      </c>
      <c r="AD199" s="271">
        <f t="shared" si="172"/>
        <v>2671604529</v>
      </c>
      <c r="AE199" s="270">
        <f>SEPTIEMBRE!AG199</f>
        <v>873814643</v>
      </c>
      <c r="AF199" s="864">
        <v>114718249</v>
      </c>
      <c r="AG199" s="271">
        <f t="shared" si="173"/>
        <v>988532892</v>
      </c>
      <c r="AH199" s="270">
        <f t="shared" si="174"/>
        <v>1295818301</v>
      </c>
      <c r="AI199" s="220">
        <f t="shared" si="175"/>
        <v>1809923666</v>
      </c>
      <c r="AJ199" s="1022">
        <f t="shared" si="176"/>
        <v>3492995303</v>
      </c>
      <c r="AK199" s="101"/>
      <c r="AL199" s="204">
        <v>0</v>
      </c>
      <c r="AM199" s="210">
        <v>0</v>
      </c>
    </row>
    <row r="200" spans="19:39" ht="24.75" customHeight="1">
      <c r="S200" s="1026" t="str">
        <f>+IF(AGOSTO!S200=0,"",AGOSTO!S200)</f>
        <v>2.4.5.02.09.901</v>
      </c>
      <c r="T200" s="535" t="str">
        <f>+IF(AGOSTO!T200=0,"",AGOSTO!T200)</f>
        <v xml:space="preserve">Servicio de Lavandería </v>
      </c>
      <c r="U200" s="1073">
        <f>+ENERO!U201</f>
        <v>758333333.33333325</v>
      </c>
      <c r="V200" s="1062">
        <f>SEPTIEMBRE!V200+OCTUBRE!AL200</f>
        <v>382000000</v>
      </c>
      <c r="W200" s="1062">
        <f>SEPTIEMBRE!W200+OCTUBRE!AM200</f>
        <v>345000000</v>
      </c>
      <c r="X200" s="1062">
        <f t="shared" si="170"/>
        <v>1485333333.3333333</v>
      </c>
      <c r="Y200" s="1062">
        <f>SEPTIEMBRE!AA200</f>
        <v>1124899860</v>
      </c>
      <c r="Z200" s="864">
        <v>229991300</v>
      </c>
      <c r="AA200" s="271">
        <f t="shared" si="171"/>
        <v>1354891160</v>
      </c>
      <c r="AB200" s="270">
        <f>SEPTIEMBRE!AD200</f>
        <v>956942300</v>
      </c>
      <c r="AC200" s="864">
        <v>103343688</v>
      </c>
      <c r="AD200" s="271">
        <f t="shared" si="172"/>
        <v>1060285988</v>
      </c>
      <c r="AE200" s="270">
        <f>SEPTIEMBRE!AG200</f>
        <v>743127693</v>
      </c>
      <c r="AF200" s="864">
        <v>0</v>
      </c>
      <c r="AG200" s="271">
        <f t="shared" si="173"/>
        <v>743127693</v>
      </c>
      <c r="AH200" s="270">
        <f t="shared" si="174"/>
        <v>130442173.33333325</v>
      </c>
      <c r="AI200" s="220">
        <f t="shared" si="175"/>
        <v>425047345.33333325</v>
      </c>
      <c r="AJ200" s="1022">
        <f t="shared" si="176"/>
        <v>742205640.33333325</v>
      </c>
      <c r="AK200" s="101"/>
      <c r="AL200" s="204">
        <v>0</v>
      </c>
      <c r="AM200" s="210">
        <v>0</v>
      </c>
    </row>
    <row r="201" spans="19:39" ht="24.75" customHeight="1">
      <c r="S201" s="1026" t="str">
        <f>+IF(AGOSTO!S201=0,"",AGOSTO!S201)</f>
        <v>2.4.5.02.09.902</v>
      </c>
      <c r="T201" s="535" t="str">
        <f>+IF(AGOSTO!T201=0,"",AGOSTO!T201)</f>
        <v>Servicios de esterilización</v>
      </c>
      <c r="U201" s="1073">
        <f>+ENERO!U202</f>
        <v>166666666.66666666</v>
      </c>
      <c r="V201" s="1062">
        <f>SEPTIEMBRE!V201+OCTUBRE!AL201</f>
        <v>55000000</v>
      </c>
      <c r="W201" s="1062">
        <f>SEPTIEMBRE!W201+OCTUBRE!AM201</f>
        <v>0</v>
      </c>
      <c r="X201" s="1062">
        <f t="shared" si="170"/>
        <v>221666666.66666666</v>
      </c>
      <c r="Y201" s="1062">
        <f>SEPTIEMBRE!AA201</f>
        <v>109200000</v>
      </c>
      <c r="Z201" s="864">
        <v>52000000</v>
      </c>
      <c r="AA201" s="271">
        <f t="shared" si="171"/>
        <v>161200000</v>
      </c>
      <c r="AB201" s="270">
        <f>SEPTIEMBRE!AD201</f>
        <v>68538463</v>
      </c>
      <c r="AC201" s="864">
        <v>0</v>
      </c>
      <c r="AD201" s="271">
        <f t="shared" si="172"/>
        <v>68538463</v>
      </c>
      <c r="AE201" s="270">
        <f>SEPTIEMBRE!AG201</f>
        <v>14482318</v>
      </c>
      <c r="AF201" s="864">
        <v>0</v>
      </c>
      <c r="AG201" s="271">
        <f t="shared" si="173"/>
        <v>14482318</v>
      </c>
      <c r="AH201" s="270">
        <f t="shared" si="174"/>
        <v>60466666.666666657</v>
      </c>
      <c r="AI201" s="220">
        <f t="shared" si="175"/>
        <v>153128203.66666666</v>
      </c>
      <c r="AJ201" s="1022">
        <f t="shared" si="176"/>
        <v>207184348.66666666</v>
      </c>
      <c r="AK201" s="101"/>
      <c r="AL201" s="204">
        <v>55000000</v>
      </c>
      <c r="AM201" s="210">
        <v>0</v>
      </c>
    </row>
    <row r="202" spans="19:39" ht="24.75" customHeight="1">
      <c r="S202" s="1026" t="str">
        <f>+IF(AGOSTO!S202=0,"",AGOSTO!S202)</f>
        <v>2.4.5.01.03.305</v>
      </c>
      <c r="T202" s="535" t="str">
        <f>+IF(AGOSTO!T202=0,"",AGOSTO!T202)</f>
        <v>Sangre</v>
      </c>
      <c r="U202" s="1073">
        <f>+ENERO!U203</f>
        <v>1257440000</v>
      </c>
      <c r="V202" s="1062">
        <f>SEPTIEMBRE!V202+OCTUBRE!AL202</f>
        <v>100000000</v>
      </c>
      <c r="W202" s="1062">
        <f>SEPTIEMBRE!W202+OCTUBRE!AM202</f>
        <v>409000000</v>
      </c>
      <c r="X202" s="1062">
        <f t="shared" si="170"/>
        <v>1766440000</v>
      </c>
      <c r="Y202" s="1062">
        <f>SEPTIEMBRE!AA202</f>
        <v>1406200000</v>
      </c>
      <c r="Z202" s="864">
        <v>290000000</v>
      </c>
      <c r="AA202" s="271">
        <f t="shared" si="171"/>
        <v>1696200000</v>
      </c>
      <c r="AB202" s="270">
        <f>SEPTIEMBRE!AD202</f>
        <v>1187798314</v>
      </c>
      <c r="AC202" s="864">
        <v>113903802</v>
      </c>
      <c r="AD202" s="271">
        <f t="shared" si="172"/>
        <v>1301702116</v>
      </c>
      <c r="AE202" s="270">
        <f>SEPTIEMBRE!AG202</f>
        <v>468779645</v>
      </c>
      <c r="AF202" s="864">
        <v>50000000</v>
      </c>
      <c r="AG202" s="271">
        <f t="shared" si="173"/>
        <v>518779645</v>
      </c>
      <c r="AH202" s="270">
        <f t="shared" si="174"/>
        <v>70240000</v>
      </c>
      <c r="AI202" s="220">
        <f t="shared" si="175"/>
        <v>464737884</v>
      </c>
      <c r="AJ202" s="1022">
        <f t="shared" si="176"/>
        <v>1247660355</v>
      </c>
      <c r="AK202" s="101"/>
      <c r="AL202" s="204">
        <v>0</v>
      </c>
      <c r="AM202" s="210">
        <v>0</v>
      </c>
    </row>
    <row r="203" spans="19:39" ht="24.75" customHeight="1">
      <c r="S203" s="1026" t="str">
        <f>+IF(AGOSTO!S203=0,"",AGOSTO!S203)</f>
        <v>2.4.5.02.08</v>
      </c>
      <c r="T203" s="535" t="str">
        <f>+IF(AGOSTO!T203=0,"",AGOSTO!T203)</f>
        <v>Servicios de ayudas diagnòsticas</v>
      </c>
      <c r="U203" s="1073">
        <f>+ENERO!U204</f>
        <v>10870667164.5</v>
      </c>
      <c r="V203" s="1062">
        <f>SEPTIEMBRE!V203+OCTUBRE!AL203</f>
        <v>-1015559635</v>
      </c>
      <c r="W203" s="1062">
        <f>SEPTIEMBRE!W203+OCTUBRE!AM203</f>
        <v>2530000000</v>
      </c>
      <c r="X203" s="1062">
        <f t="shared" si="170"/>
        <v>12385107529.5</v>
      </c>
      <c r="Y203" s="1062">
        <f>SEPTIEMBRE!AA203</f>
        <v>11142754319</v>
      </c>
      <c r="Z203" s="864">
        <v>991499519</v>
      </c>
      <c r="AA203" s="271">
        <f t="shared" si="171"/>
        <v>12134253838</v>
      </c>
      <c r="AB203" s="270">
        <f>SEPTIEMBRE!AD203</f>
        <v>9052098521</v>
      </c>
      <c r="AC203" s="864">
        <v>1241768888</v>
      </c>
      <c r="AD203" s="271">
        <f t="shared" si="172"/>
        <v>10293867409</v>
      </c>
      <c r="AE203" s="270">
        <f>SEPTIEMBRE!AG203</f>
        <v>5284052824</v>
      </c>
      <c r="AF203" s="864">
        <v>111730211</v>
      </c>
      <c r="AG203" s="271">
        <f t="shared" si="173"/>
        <v>5395783035</v>
      </c>
      <c r="AH203" s="270">
        <f t="shared" si="174"/>
        <v>250853691.5</v>
      </c>
      <c r="AI203" s="220">
        <f t="shared" si="175"/>
        <v>2091240120.5</v>
      </c>
      <c r="AJ203" s="1022">
        <f t="shared" si="176"/>
        <v>6989324494.5</v>
      </c>
      <c r="AK203" s="101"/>
      <c r="AL203" s="204">
        <v>0</v>
      </c>
      <c r="AM203" s="210">
        <v>0</v>
      </c>
    </row>
    <row r="204" spans="19:39" ht="24.75" customHeight="1">
      <c r="S204" s="1021">
        <f>+IF(AGOSTO!S204=0,"",AGOSTO!S204)</f>
        <v>4100200</v>
      </c>
      <c r="T204" s="534" t="str">
        <f>+IF(AGOSTO!T204=0,"",AGOSTO!T204)</f>
        <v>Gastos Complementarios e Intermedios</v>
      </c>
      <c r="U204" s="1073">
        <f>U205</f>
        <v>5609700000</v>
      </c>
      <c r="V204" s="1062">
        <f>SEPTIEMBRE!V204+OCTUBRE!AL204</f>
        <v>150000000</v>
      </c>
      <c r="W204" s="1062">
        <f>SEPTIEMBRE!W204+OCTUBRE!AM204</f>
        <v>1950000000</v>
      </c>
      <c r="X204" s="1062">
        <f>X205</f>
        <v>7709700000</v>
      </c>
      <c r="Y204" s="270">
        <f>SEPTIEMBRE!AA204</f>
        <v>7652600000</v>
      </c>
      <c r="Z204" s="495">
        <f t="shared" ref="Z204:AM204" si="177">Z205</f>
        <v>0</v>
      </c>
      <c r="AA204" s="271">
        <f t="shared" si="177"/>
        <v>7652600000</v>
      </c>
      <c r="AB204" s="270">
        <f>SEPTIEMBRE!AD204</f>
        <v>5715059955</v>
      </c>
      <c r="AC204" s="495">
        <f t="shared" si="177"/>
        <v>629131533</v>
      </c>
      <c r="AD204" s="271">
        <f t="shared" si="177"/>
        <v>6344191488</v>
      </c>
      <c r="AE204" s="270">
        <f t="shared" si="177"/>
        <v>4485093809</v>
      </c>
      <c r="AF204" s="495">
        <f t="shared" si="177"/>
        <v>525153710</v>
      </c>
      <c r="AG204" s="271">
        <f t="shared" si="177"/>
        <v>5010247519</v>
      </c>
      <c r="AH204" s="270">
        <f t="shared" si="177"/>
        <v>57100000</v>
      </c>
      <c r="AI204" s="220">
        <f t="shared" si="177"/>
        <v>1365508512</v>
      </c>
      <c r="AJ204" s="1022">
        <f t="shared" si="177"/>
        <v>2699452481</v>
      </c>
      <c r="AK204" s="101"/>
      <c r="AL204" s="1087">
        <f t="shared" si="177"/>
        <v>0</v>
      </c>
      <c r="AM204" s="1087">
        <f t="shared" si="177"/>
        <v>0</v>
      </c>
    </row>
    <row r="205" spans="19:39" ht="24.75" customHeight="1">
      <c r="S205" s="1026" t="str">
        <f>+IF(AGOSTO!S205=0,"",AGOSTO!S205)</f>
        <v>2.4.5.02.06.601</v>
      </c>
      <c r="T205" s="535" t="str">
        <f>+IF(AGOSTO!T205=0,"",AGOSTO!T205)</f>
        <v>Servicio de alimentación</v>
      </c>
      <c r="U205" s="1073">
        <f>+ENERO!U206</f>
        <v>5609700000</v>
      </c>
      <c r="V205" s="1062">
        <f>SEPTIEMBRE!V205+OCTUBRE!AL205</f>
        <v>150000000</v>
      </c>
      <c r="W205" s="1062">
        <f>SEPTIEMBRE!W205+OCTUBRE!AM205</f>
        <v>1950000000</v>
      </c>
      <c r="X205" s="1062">
        <f>SUM(U205:W205)</f>
        <v>7709700000</v>
      </c>
      <c r="Y205" s="1062">
        <f>SEPTIEMBRE!AA205</f>
        <v>7652600000</v>
      </c>
      <c r="Z205" s="864">
        <v>0</v>
      </c>
      <c r="AA205" s="271">
        <f>SUM(Y205:Z205)</f>
        <v>7652600000</v>
      </c>
      <c r="AB205" s="270">
        <f>SEPTIEMBRE!AD205</f>
        <v>5715059955</v>
      </c>
      <c r="AC205" s="864">
        <v>629131533</v>
      </c>
      <c r="AD205" s="271">
        <f>SUM(AB205:AC205)</f>
        <v>6344191488</v>
      </c>
      <c r="AE205" s="270">
        <f>SEPTIEMBRE!AG205</f>
        <v>4485093809</v>
      </c>
      <c r="AF205" s="864">
        <v>525153710</v>
      </c>
      <c r="AG205" s="271">
        <f>SUM(AE205:AF205)</f>
        <v>5010247519</v>
      </c>
      <c r="AH205" s="270">
        <f>X205-AA205</f>
        <v>57100000</v>
      </c>
      <c r="AI205" s="220">
        <f>X205-AD205</f>
        <v>1365508512</v>
      </c>
      <c r="AJ205" s="1022">
        <f>X205-AG205</f>
        <v>2699452481</v>
      </c>
      <c r="AK205" s="101"/>
      <c r="AL205" s="1001">
        <v>0</v>
      </c>
      <c r="AM205" s="1001">
        <v>0</v>
      </c>
    </row>
    <row r="206" spans="19:39" ht="24.75" customHeight="1" thickBot="1">
      <c r="S206" s="1032" t="str">
        <f>+IF(AGOSTO!S206=0,"",AGOSTO!S206)</f>
        <v>2.4.5.01.03.99.01</v>
      </c>
      <c r="T206" s="543" t="str">
        <f>+IF(AGOSTO!T206=0,"",AGOSTO!T206)</f>
        <v>Vigencias Anteriores</v>
      </c>
      <c r="U206" s="1073">
        <f>+ENERO!U207</f>
        <v>5913780963.333334</v>
      </c>
      <c r="V206" s="1062">
        <f>SEPTIEMBRE!V206+OCTUBRE!AL206</f>
        <v>-2197000000</v>
      </c>
      <c r="W206" s="1062">
        <f>SEPTIEMBRE!W206+OCTUBRE!AM206</f>
        <v>0</v>
      </c>
      <c r="X206" s="1062">
        <f>SUM(U206:W206)</f>
        <v>3716780963.333334</v>
      </c>
      <c r="Y206" s="1062">
        <f>SEPTIEMBRE!AA206</f>
        <v>3654262555</v>
      </c>
      <c r="Z206" s="391"/>
      <c r="AA206" s="471">
        <f>SUM(Y206:Z206)</f>
        <v>3654262555</v>
      </c>
      <c r="AB206" s="270">
        <f>SEPTIEMBRE!AD206</f>
        <v>3648062555</v>
      </c>
      <c r="AC206" s="391"/>
      <c r="AD206" s="471">
        <f>SUM(AB206:AC206)</f>
        <v>3648062555</v>
      </c>
      <c r="AE206" s="470">
        <f>SEPTIEMBRE!AG206</f>
        <v>3648062553</v>
      </c>
      <c r="AF206" s="391"/>
      <c r="AG206" s="471">
        <f>SUM(AE206:AF206)</f>
        <v>3648062553</v>
      </c>
      <c r="AH206" s="470">
        <f>X206-AA206</f>
        <v>62518408.333333969</v>
      </c>
      <c r="AI206" s="468">
        <f>X206-AD206</f>
        <v>68718408.333333969</v>
      </c>
      <c r="AJ206" s="1033">
        <f>X206-AG206</f>
        <v>68718410.333333969</v>
      </c>
      <c r="AK206" s="101"/>
      <c r="AL206" s="1001">
        <v>0</v>
      </c>
      <c r="AM206" s="1001">
        <v>0</v>
      </c>
    </row>
    <row r="207" spans="19:39" ht="24.75" customHeight="1">
      <c r="S207" s="1034">
        <f>+IF(AGOSTO!S207=0,"",AGOSTO!S207)</f>
        <v>1050551296</v>
      </c>
      <c r="T207" s="456" t="str">
        <f>+IF(AGOSTO!T207=0,"",AGOSTO!T207)</f>
        <v/>
      </c>
      <c r="U207" s="1060"/>
      <c r="V207" s="1060"/>
      <c r="W207" s="1060"/>
      <c r="X207" s="1060"/>
      <c r="Y207" s="1060"/>
      <c r="Z207" s="457"/>
      <c r="AA207" s="457"/>
      <c r="AB207" s="457"/>
      <c r="AC207" s="457"/>
      <c r="AD207" s="457"/>
      <c r="AE207" s="457"/>
      <c r="AF207" s="457"/>
      <c r="AG207" s="457"/>
      <c r="AH207" s="457"/>
      <c r="AI207" s="457"/>
      <c r="AJ207" s="1035"/>
      <c r="AK207" s="101"/>
      <c r="AL207" s="1088"/>
      <c r="AM207" s="1089"/>
    </row>
    <row r="208" spans="19:39" ht="24.75" customHeight="1">
      <c r="S208" s="1025">
        <f>+IF(AGOSTO!S208=0,"",AGOSTO!S208)</f>
        <v>5000000</v>
      </c>
      <c r="T208" s="404" t="s">
        <v>300</v>
      </c>
      <c r="U208" s="882">
        <f>U209</f>
        <v>2203000000</v>
      </c>
      <c r="V208" s="406">
        <f t="shared" ref="V208:AJ208" si="178">V209</f>
        <v>2112559635</v>
      </c>
      <c r="W208" s="406">
        <f t="shared" si="178"/>
        <v>350000000</v>
      </c>
      <c r="X208" s="407">
        <f t="shared" si="178"/>
        <v>4665559635</v>
      </c>
      <c r="Y208" s="217">
        <f t="shared" si="178"/>
        <v>4596412660</v>
      </c>
      <c r="Z208" s="406">
        <f t="shared" si="178"/>
        <v>0</v>
      </c>
      <c r="AA208" s="407">
        <f t="shared" si="178"/>
        <v>4596412660</v>
      </c>
      <c r="AB208" s="217">
        <f t="shared" si="178"/>
        <v>4596412660</v>
      </c>
      <c r="AC208" s="406">
        <f t="shared" si="178"/>
        <v>0</v>
      </c>
      <c r="AD208" s="407">
        <f t="shared" si="178"/>
        <v>4596412660</v>
      </c>
      <c r="AE208" s="217">
        <f t="shared" si="178"/>
        <v>4596412660</v>
      </c>
      <c r="AF208" s="406">
        <f t="shared" si="178"/>
        <v>0</v>
      </c>
      <c r="AG208" s="407">
        <f t="shared" si="178"/>
        <v>4596412660</v>
      </c>
      <c r="AH208" s="217">
        <f t="shared" si="178"/>
        <v>69146975</v>
      </c>
      <c r="AI208" s="406">
        <f t="shared" si="178"/>
        <v>69146975</v>
      </c>
      <c r="AJ208" s="1028">
        <f t="shared" si="178"/>
        <v>69146975</v>
      </c>
      <c r="AK208" s="216"/>
      <c r="AL208" s="301">
        <f>SUM(AL209:AL214)</f>
        <v>0</v>
      </c>
      <c r="AM208" s="302">
        <f>SUM(AM209:AM214)</f>
        <v>0</v>
      </c>
    </row>
    <row r="209" spans="19:39" ht="24.75" customHeight="1">
      <c r="S209" s="1019">
        <f>+IF(AGOSTO!S209=0,"",AGOSTO!S209)</f>
        <v>5100000</v>
      </c>
      <c r="T209" s="546" t="str">
        <f>+IF(AGOSTO!T209=0,"",AGOSTO!T209)</f>
        <v>Insumos y Suministros para Venta al Público</v>
      </c>
      <c r="U209" s="883">
        <f>U210+U217</f>
        <v>2203000000</v>
      </c>
      <c r="V209" s="1074">
        <f t="shared" ref="V209:AJ209" si="179">V210+V217</f>
        <v>2112559635</v>
      </c>
      <c r="W209" s="1074">
        <f t="shared" si="179"/>
        <v>350000000</v>
      </c>
      <c r="X209" s="234">
        <f t="shared" si="179"/>
        <v>4665559635</v>
      </c>
      <c r="Y209" s="233">
        <f t="shared" si="179"/>
        <v>4596412660</v>
      </c>
      <c r="Z209" s="231">
        <f t="shared" si="179"/>
        <v>0</v>
      </c>
      <c r="AA209" s="234">
        <f t="shared" si="179"/>
        <v>4596412660</v>
      </c>
      <c r="AB209" s="233">
        <f t="shared" si="179"/>
        <v>4596412660</v>
      </c>
      <c r="AC209" s="231">
        <f t="shared" si="179"/>
        <v>0</v>
      </c>
      <c r="AD209" s="234">
        <f t="shared" si="179"/>
        <v>4596412660</v>
      </c>
      <c r="AE209" s="233">
        <f t="shared" si="179"/>
        <v>4596412660</v>
      </c>
      <c r="AF209" s="231">
        <f t="shared" si="179"/>
        <v>0</v>
      </c>
      <c r="AG209" s="234">
        <f t="shared" si="179"/>
        <v>4596412660</v>
      </c>
      <c r="AH209" s="233">
        <f t="shared" si="179"/>
        <v>69146975</v>
      </c>
      <c r="AI209" s="231">
        <f t="shared" si="179"/>
        <v>69146975</v>
      </c>
      <c r="AJ209" s="1020">
        <f t="shared" si="179"/>
        <v>69146975</v>
      </c>
      <c r="AK209" s="101"/>
      <c r="AL209" s="204">
        <v>0</v>
      </c>
      <c r="AM209" s="210">
        <v>0</v>
      </c>
    </row>
    <row r="210" spans="19:39" ht="24.75" customHeight="1">
      <c r="S210" s="1021">
        <f>+IF(AGOSTO!S210=0,"",AGOSTO!S210)</f>
        <v>5100100</v>
      </c>
      <c r="T210" s="267" t="str">
        <f>+IF(AGOSTO!T210=0,"",AGOSTO!T210)</f>
        <v>Compra de Bienes para la venta</v>
      </c>
      <c r="U210" s="557">
        <f>SUM(U211:U216)</f>
        <v>3000000</v>
      </c>
      <c r="V210" s="1062">
        <f>SEPTIEMBRE!V210+OCTUBRE!AL210</f>
        <v>0</v>
      </c>
      <c r="W210" s="1062">
        <f>SEPTIEMBRE!W210+OCTUBRE!AM210</f>
        <v>0</v>
      </c>
      <c r="X210" s="271">
        <f>SUM(X211:X216)</f>
        <v>3000000</v>
      </c>
      <c r="Y210" s="270">
        <f t="shared" ref="Y210:AG210" si="180">SUM(Y211:Y216)</f>
        <v>0</v>
      </c>
      <c r="Z210" s="300">
        <f t="shared" si="180"/>
        <v>0</v>
      </c>
      <c r="AA210" s="271">
        <f t="shared" si="180"/>
        <v>0</v>
      </c>
      <c r="AB210" s="270">
        <f t="shared" si="180"/>
        <v>0</v>
      </c>
      <c r="AC210" s="300">
        <f t="shared" si="180"/>
        <v>0</v>
      </c>
      <c r="AD210" s="271">
        <f t="shared" si="180"/>
        <v>0</v>
      </c>
      <c r="AE210" s="270">
        <f>SUM(AE211:AE216)</f>
        <v>0</v>
      </c>
      <c r="AF210" s="300">
        <f t="shared" si="180"/>
        <v>0</v>
      </c>
      <c r="AG210" s="271">
        <f t="shared" si="180"/>
        <v>0</v>
      </c>
      <c r="AH210" s="270">
        <f>SUM(AH211:AH216)</f>
        <v>3000000</v>
      </c>
      <c r="AI210" s="220">
        <f>SUM(AI211:AI216)</f>
        <v>3000000</v>
      </c>
      <c r="AJ210" s="1022">
        <f>SUM(AJ211:AJ216)</f>
        <v>3000000</v>
      </c>
      <c r="AK210" s="101"/>
      <c r="AL210" s="204">
        <v>0</v>
      </c>
      <c r="AM210" s="210">
        <v>0</v>
      </c>
    </row>
    <row r="211" spans="19:39" ht="24.75" customHeight="1">
      <c r="S211" s="1026" t="str">
        <f>+IF(AGOSTO!S211=0,"",AGOSTO!S211)</f>
        <v>5100100-1</v>
      </c>
      <c r="T211" s="312" t="str">
        <f>+IF(AGOSTO!T211=0,"",AGOSTO!T211)</f>
        <v>Productos Farmaceuticos</v>
      </c>
      <c r="U211" s="557">
        <f>+ENERO!U212</f>
        <v>0</v>
      </c>
      <c r="V211" s="1062">
        <f>SEPTIEMBRE!V211+OCTUBRE!AL211</f>
        <v>0</v>
      </c>
      <c r="W211" s="1062">
        <f>SEPTIEMBRE!W211+OCTUBRE!AM211</f>
        <v>0</v>
      </c>
      <c r="X211" s="271">
        <f t="shared" ref="X211:X217" si="181">SUM(U211:W211)</f>
        <v>0</v>
      </c>
      <c r="Y211" s="1062">
        <f>SEPTIEMBRE!AA211</f>
        <v>0</v>
      </c>
      <c r="Z211" s="208">
        <v>0</v>
      </c>
      <c r="AA211" s="271">
        <f t="shared" ref="AA211:AA217" si="182">SUM(Y211:Z211)</f>
        <v>0</v>
      </c>
      <c r="AB211" s="270">
        <f>SEPTIEMBRE!AD211</f>
        <v>0</v>
      </c>
      <c r="AC211" s="208">
        <v>0</v>
      </c>
      <c r="AD211" s="271">
        <f t="shared" ref="AD211:AD217" si="183">SUM(AB211:AC211)</f>
        <v>0</v>
      </c>
      <c r="AE211" s="270">
        <f>SEPTIEMBRE!AG211</f>
        <v>0</v>
      </c>
      <c r="AF211" s="208">
        <v>0</v>
      </c>
      <c r="AG211" s="271">
        <f t="shared" ref="AG211:AG217" si="184">SUM(AE211:AF211)</f>
        <v>0</v>
      </c>
      <c r="AH211" s="270">
        <f t="shared" ref="AH211:AH217" si="185">X211-AA211</f>
        <v>0</v>
      </c>
      <c r="AI211" s="220">
        <f t="shared" ref="AI211:AI217" si="186">X211-AD211</f>
        <v>0</v>
      </c>
      <c r="AJ211" s="1022">
        <f t="shared" ref="AJ211:AJ217" si="187">X211-AG211</f>
        <v>0</v>
      </c>
      <c r="AK211" s="101"/>
      <c r="AL211" s="204">
        <v>0</v>
      </c>
      <c r="AM211" s="210">
        <v>0</v>
      </c>
    </row>
    <row r="212" spans="19:39" ht="24.75" customHeight="1">
      <c r="S212" s="1026" t="str">
        <f>+IF(AGOSTO!S212=0,"",AGOSTO!S212)</f>
        <v>5100100-2</v>
      </c>
      <c r="T212" s="312" t="str">
        <f>+IF(AGOSTO!T212=0,"",AGOSTO!T212)</f>
        <v>Material Médico Quirúrgico</v>
      </c>
      <c r="U212" s="557">
        <f>+ENERO!U213</f>
        <v>0</v>
      </c>
      <c r="V212" s="1062">
        <f>SEPTIEMBRE!V212+OCTUBRE!AL212</f>
        <v>0</v>
      </c>
      <c r="W212" s="1062">
        <f>SEPTIEMBRE!W212+OCTUBRE!AM212</f>
        <v>0</v>
      </c>
      <c r="X212" s="271">
        <f t="shared" si="181"/>
        <v>0</v>
      </c>
      <c r="Y212" s="1062">
        <f>SEPTIEMBRE!AA212</f>
        <v>0</v>
      </c>
      <c r="Z212" s="208">
        <v>0</v>
      </c>
      <c r="AA212" s="271">
        <f t="shared" si="182"/>
        <v>0</v>
      </c>
      <c r="AB212" s="270">
        <f>SEPTIEMBRE!AD212</f>
        <v>0</v>
      </c>
      <c r="AC212" s="208">
        <v>0</v>
      </c>
      <c r="AD212" s="271">
        <f t="shared" si="183"/>
        <v>0</v>
      </c>
      <c r="AE212" s="270">
        <f>SEPTIEMBRE!AG212</f>
        <v>0</v>
      </c>
      <c r="AF212" s="208">
        <v>0</v>
      </c>
      <c r="AG212" s="271">
        <f t="shared" si="184"/>
        <v>0</v>
      </c>
      <c r="AH212" s="270">
        <f t="shared" si="185"/>
        <v>0</v>
      </c>
      <c r="AI212" s="220">
        <f t="shared" si="186"/>
        <v>0</v>
      </c>
      <c r="AJ212" s="1022">
        <f t="shared" si="187"/>
        <v>0</v>
      </c>
      <c r="AK212" s="101"/>
      <c r="AL212" s="204"/>
      <c r="AM212" s="210">
        <v>0</v>
      </c>
    </row>
    <row r="213" spans="19:39" ht="24.75" customHeight="1">
      <c r="S213" s="1026" t="str">
        <f>+IF(AGOSTO!S213=0,"",AGOSTO!S213)</f>
        <v>5100100-3</v>
      </c>
      <c r="T213" s="312" t="str">
        <f>+IF(AGOSTO!T213=0,"",AGOSTO!T213)</f>
        <v>Material de Laboratorio</v>
      </c>
      <c r="U213" s="557">
        <f>+ENERO!U214</f>
        <v>0</v>
      </c>
      <c r="V213" s="1062">
        <f>SEPTIEMBRE!V213+OCTUBRE!AL213</f>
        <v>0</v>
      </c>
      <c r="W213" s="1062">
        <f>SEPTIEMBRE!W213+OCTUBRE!AM213</f>
        <v>0</v>
      </c>
      <c r="X213" s="271">
        <f t="shared" si="181"/>
        <v>0</v>
      </c>
      <c r="Y213" s="1062">
        <f>SEPTIEMBRE!AA213</f>
        <v>0</v>
      </c>
      <c r="Z213" s="208">
        <v>0</v>
      </c>
      <c r="AA213" s="271">
        <f t="shared" si="182"/>
        <v>0</v>
      </c>
      <c r="AB213" s="270">
        <f>SEPTIEMBRE!AD213</f>
        <v>0</v>
      </c>
      <c r="AC213" s="208">
        <v>0</v>
      </c>
      <c r="AD213" s="271">
        <f t="shared" si="183"/>
        <v>0</v>
      </c>
      <c r="AE213" s="270">
        <f>SEPTIEMBRE!AG213</f>
        <v>0</v>
      </c>
      <c r="AF213" s="208">
        <v>0</v>
      </c>
      <c r="AG213" s="271">
        <f t="shared" si="184"/>
        <v>0</v>
      </c>
      <c r="AH213" s="270">
        <f t="shared" si="185"/>
        <v>0</v>
      </c>
      <c r="AI213" s="220">
        <f t="shared" si="186"/>
        <v>0</v>
      </c>
      <c r="AJ213" s="1022">
        <f t="shared" si="187"/>
        <v>0</v>
      </c>
      <c r="AK213" s="101"/>
      <c r="AL213" s="204">
        <v>0</v>
      </c>
      <c r="AM213" s="210">
        <v>0</v>
      </c>
    </row>
    <row r="214" spans="19:39" ht="24.75" customHeight="1">
      <c r="S214" s="1026" t="str">
        <f>+IF(AGOSTO!S214=0,"",AGOSTO!S214)</f>
        <v>2.4.5.02.09.91122</v>
      </c>
      <c r="T214" s="312" t="str">
        <f>+IF(AGOSTO!T214=0,"",AGOSTO!T214)</f>
        <v>Servicios de Certificación, Habilitación y Acreditación</v>
      </c>
      <c r="U214" s="557">
        <f>+ENERO!U215</f>
        <v>3000000</v>
      </c>
      <c r="V214" s="1062">
        <f>SEPTIEMBRE!V214+OCTUBRE!AL214</f>
        <v>0</v>
      </c>
      <c r="W214" s="1062">
        <f>SEPTIEMBRE!W214+OCTUBRE!AM214</f>
        <v>0</v>
      </c>
      <c r="X214" s="271">
        <f t="shared" si="181"/>
        <v>3000000</v>
      </c>
      <c r="Y214" s="1062">
        <f>SEPTIEMBRE!AA214</f>
        <v>0</v>
      </c>
      <c r="Z214" s="208">
        <v>0</v>
      </c>
      <c r="AA214" s="271">
        <f t="shared" si="182"/>
        <v>0</v>
      </c>
      <c r="AB214" s="270">
        <f>SEPTIEMBRE!AD214</f>
        <v>0</v>
      </c>
      <c r="AC214" s="208">
        <v>0</v>
      </c>
      <c r="AD214" s="271">
        <f t="shared" si="183"/>
        <v>0</v>
      </c>
      <c r="AE214" s="270">
        <f>SEPTIEMBRE!AG214</f>
        <v>0</v>
      </c>
      <c r="AF214" s="208">
        <v>0</v>
      </c>
      <c r="AG214" s="271">
        <f t="shared" si="184"/>
        <v>0</v>
      </c>
      <c r="AH214" s="270">
        <f t="shared" si="185"/>
        <v>3000000</v>
      </c>
      <c r="AI214" s="220">
        <f t="shared" si="186"/>
        <v>3000000</v>
      </c>
      <c r="AJ214" s="1022">
        <f t="shared" si="187"/>
        <v>3000000</v>
      </c>
      <c r="AK214" s="101"/>
      <c r="AL214" s="204">
        <v>0</v>
      </c>
      <c r="AM214" s="210">
        <v>0</v>
      </c>
    </row>
    <row r="215" spans="19:39" ht="24.75" customHeight="1">
      <c r="S215" s="1026" t="str">
        <f>+IF(AGOSTO!S215=0,"",AGOSTO!S215)</f>
        <v>2.4.5.02.08.801.99</v>
      </c>
      <c r="T215" s="312" t="str">
        <f>+IF(AGOSTO!T215=0,"",AGOSTO!T215)</f>
        <v>Vigencias Anteriores</v>
      </c>
      <c r="U215" s="557">
        <f>+ENERO!U216</f>
        <v>0</v>
      </c>
      <c r="V215" s="1062">
        <f>SEPTIEMBRE!V215+OCTUBRE!AL215</f>
        <v>0</v>
      </c>
      <c r="W215" s="1062">
        <f>SEPTIEMBRE!W215+OCTUBRE!AM215</f>
        <v>0</v>
      </c>
      <c r="X215" s="271">
        <f t="shared" si="181"/>
        <v>0</v>
      </c>
      <c r="Y215" s="1062">
        <f>SEPTIEMBRE!AA215</f>
        <v>0</v>
      </c>
      <c r="Z215" s="208">
        <v>0</v>
      </c>
      <c r="AA215" s="271">
        <f t="shared" si="182"/>
        <v>0</v>
      </c>
      <c r="AB215" s="270">
        <f>SEPTIEMBRE!AD215</f>
        <v>0</v>
      </c>
      <c r="AC215" s="208">
        <v>0</v>
      </c>
      <c r="AD215" s="271">
        <f t="shared" si="183"/>
        <v>0</v>
      </c>
      <c r="AE215" s="270">
        <f>SEPTIEMBRE!AG215</f>
        <v>0</v>
      </c>
      <c r="AF215" s="208">
        <v>0</v>
      </c>
      <c r="AG215" s="271">
        <f t="shared" si="184"/>
        <v>0</v>
      </c>
      <c r="AH215" s="270">
        <f t="shared" si="185"/>
        <v>0</v>
      </c>
      <c r="AI215" s="220">
        <f t="shared" si="186"/>
        <v>0</v>
      </c>
      <c r="AJ215" s="1022">
        <f t="shared" si="187"/>
        <v>0</v>
      </c>
      <c r="AK215" s="101"/>
      <c r="AL215" s="489">
        <v>0</v>
      </c>
      <c r="AM215" s="490">
        <v>0</v>
      </c>
    </row>
    <row r="216" spans="19:39" ht="24.75" customHeight="1">
      <c r="S216" s="1026" t="str">
        <f>+IF(AGOSTO!S216=0,"",AGOSTO!S216)</f>
        <v>2.4.5.02.08.802.99</v>
      </c>
      <c r="T216" s="312" t="str">
        <f>+IF(AGOSTO!T216=0,"",AGOSTO!T216)</f>
        <v>Vigencias Anteriores</v>
      </c>
      <c r="U216" s="557">
        <f>+ENERO!U217</f>
        <v>0</v>
      </c>
      <c r="V216" s="1062">
        <f>SEPTIEMBRE!V216+OCTUBRE!AL216</f>
        <v>0</v>
      </c>
      <c r="W216" s="1062">
        <f>SEPTIEMBRE!W216+OCTUBRE!AM216</f>
        <v>0</v>
      </c>
      <c r="X216" s="271">
        <f t="shared" si="181"/>
        <v>0</v>
      </c>
      <c r="Y216" s="1062">
        <f>SEPTIEMBRE!AA216</f>
        <v>0</v>
      </c>
      <c r="Z216" s="208">
        <v>0</v>
      </c>
      <c r="AA216" s="271">
        <f t="shared" si="182"/>
        <v>0</v>
      </c>
      <c r="AB216" s="270">
        <f>SEPTIEMBRE!AD216</f>
        <v>0</v>
      </c>
      <c r="AC216" s="208">
        <v>0</v>
      </c>
      <c r="AD216" s="271">
        <f t="shared" si="183"/>
        <v>0</v>
      </c>
      <c r="AE216" s="270">
        <f>SEPTIEMBRE!AG216</f>
        <v>0</v>
      </c>
      <c r="AF216" s="208">
        <v>0</v>
      </c>
      <c r="AG216" s="271">
        <f t="shared" si="184"/>
        <v>0</v>
      </c>
      <c r="AH216" s="270">
        <f t="shared" si="185"/>
        <v>0</v>
      </c>
      <c r="AI216" s="220">
        <f t="shared" si="186"/>
        <v>0</v>
      </c>
      <c r="AJ216" s="1022">
        <f t="shared" si="187"/>
        <v>0</v>
      </c>
      <c r="AK216" s="216"/>
      <c r="AL216" s="489">
        <v>0</v>
      </c>
      <c r="AM216" s="490">
        <v>0</v>
      </c>
    </row>
    <row r="217" spans="19:39" ht="24.75" customHeight="1" thickBot="1">
      <c r="S217" s="1036" t="str">
        <f>+IF(AGOSTO!S217=0,"",AGOSTO!S217)</f>
        <v>2.4.5.02.08.99</v>
      </c>
      <c r="T217" s="500" t="str">
        <f>+IF(AGOSTO!T217=0,"",AGOSTO!T217)</f>
        <v>Vigencias Anteriores</v>
      </c>
      <c r="U217" s="1075">
        <f>+ENERO!U218</f>
        <v>2200000000</v>
      </c>
      <c r="V217" s="1062">
        <f>SEPTIEMBRE!V217+OCTUBRE!AL217</f>
        <v>2112559635</v>
      </c>
      <c r="W217" s="1062">
        <f>SEPTIEMBRE!W217+OCTUBRE!AM217</f>
        <v>350000000</v>
      </c>
      <c r="X217" s="471">
        <f t="shared" si="181"/>
        <v>4662559635</v>
      </c>
      <c r="Y217" s="1062">
        <f>SEPTIEMBRE!AA217</f>
        <v>4596412660</v>
      </c>
      <c r="Z217" s="246"/>
      <c r="AA217" s="471">
        <f t="shared" si="182"/>
        <v>4596412660</v>
      </c>
      <c r="AB217" s="270">
        <f>SEPTIEMBRE!AD217</f>
        <v>4596412660</v>
      </c>
      <c r="AC217" s="246"/>
      <c r="AD217" s="471">
        <f t="shared" si="183"/>
        <v>4596412660</v>
      </c>
      <c r="AE217" s="470">
        <f>SEPTIEMBRE!AG217</f>
        <v>4596412660</v>
      </c>
      <c r="AF217" s="246"/>
      <c r="AG217" s="471">
        <f t="shared" si="184"/>
        <v>4596412660</v>
      </c>
      <c r="AH217" s="470">
        <f t="shared" si="185"/>
        <v>66146975</v>
      </c>
      <c r="AI217" s="468">
        <f t="shared" si="186"/>
        <v>66146975</v>
      </c>
      <c r="AJ217" s="1033">
        <f t="shared" si="187"/>
        <v>66146975</v>
      </c>
      <c r="AK217" s="487"/>
      <c r="AL217" s="489">
        <v>0</v>
      </c>
      <c r="AM217" s="490">
        <v>0</v>
      </c>
    </row>
    <row r="218" spans="19:39" ht="24.75" customHeight="1" thickBot="1">
      <c r="S218" s="1037">
        <f>+IF(AGOSTO!S218=0,"",AGOSTO!S218)</f>
        <v>1133096960</v>
      </c>
      <c r="T218" s="914" t="str">
        <f>+IF(AGOSTO!T218=0,"",AGOSTO!T218)</f>
        <v/>
      </c>
      <c r="U218" s="915"/>
      <c r="V218" s="915"/>
      <c r="W218" s="915"/>
      <c r="X218" s="482"/>
      <c r="Y218" s="915"/>
      <c r="Z218" s="915"/>
      <c r="AA218" s="915"/>
      <c r="AB218" s="915"/>
      <c r="AC218" s="915"/>
      <c r="AD218" s="915"/>
      <c r="AE218" s="915"/>
      <c r="AF218" s="915"/>
      <c r="AG218" s="915"/>
      <c r="AH218" s="915"/>
      <c r="AI218" s="915"/>
      <c r="AJ218" s="1038"/>
      <c r="AK218" s="101"/>
      <c r="AL218" s="370"/>
      <c r="AM218" s="371"/>
    </row>
    <row r="219" spans="19:39" ht="24.75" customHeight="1">
      <c r="S219" s="1039" t="str">
        <f>+IF(AGOSTO!S219=0,"",AGOSTO!S219)</f>
        <v>C</v>
      </c>
      <c r="T219" s="177" t="str">
        <f>+IF(AGOSTO!T219=0,"",AGOSTO!T219)</f>
        <v xml:space="preserve">SERVICIO DE LA DEUDA </v>
      </c>
      <c r="U219" s="178">
        <f>U221+U226</f>
        <v>3239175000</v>
      </c>
      <c r="V219" s="179">
        <f t="shared" ref="V219:AM219" si="188">V221+V226</f>
        <v>0</v>
      </c>
      <c r="W219" s="179">
        <f t="shared" si="188"/>
        <v>0</v>
      </c>
      <c r="X219" s="182">
        <f t="shared" si="188"/>
        <v>3239175000</v>
      </c>
      <c r="Y219" s="181">
        <f t="shared" si="188"/>
        <v>1438780329</v>
      </c>
      <c r="Z219" s="179">
        <f t="shared" si="188"/>
        <v>0</v>
      </c>
      <c r="AA219" s="182">
        <f t="shared" si="188"/>
        <v>1438780329</v>
      </c>
      <c r="AB219" s="181">
        <f t="shared" si="188"/>
        <v>1438780329</v>
      </c>
      <c r="AC219" s="179">
        <f t="shared" si="188"/>
        <v>0</v>
      </c>
      <c r="AD219" s="182">
        <f t="shared" si="188"/>
        <v>1438780329</v>
      </c>
      <c r="AE219" s="181">
        <f t="shared" si="188"/>
        <v>1166946055</v>
      </c>
      <c r="AF219" s="179">
        <f t="shared" si="188"/>
        <v>271834274</v>
      </c>
      <c r="AG219" s="182">
        <f t="shared" si="188"/>
        <v>1438780329</v>
      </c>
      <c r="AH219" s="181">
        <f t="shared" si="188"/>
        <v>1800394671</v>
      </c>
      <c r="AI219" s="179">
        <f t="shared" si="188"/>
        <v>1800394671</v>
      </c>
      <c r="AJ219" s="1040">
        <f t="shared" si="188"/>
        <v>1800394671</v>
      </c>
      <c r="AK219" s="101"/>
      <c r="AL219" s="1040">
        <f t="shared" si="188"/>
        <v>0</v>
      </c>
      <c r="AM219" s="1040">
        <f t="shared" si="188"/>
        <v>0</v>
      </c>
    </row>
    <row r="220" spans="19:39" ht="24.75" customHeight="1">
      <c r="S220" s="1023">
        <f>+IF(AGOSTO!S220=0,"",AGOSTO!S220)</f>
        <v>1133096960</v>
      </c>
      <c r="T220" s="488" t="str">
        <f>+IF(AGOSTO!T220=0,"",AGOSTO!T220)</f>
        <v/>
      </c>
      <c r="U220" s="191"/>
      <c r="V220" s="1070"/>
      <c r="W220" s="1070"/>
      <c r="X220" s="191"/>
      <c r="Y220" s="191"/>
      <c r="Z220" s="191"/>
      <c r="AA220" s="191"/>
      <c r="AB220" s="191"/>
      <c r="AC220" s="191"/>
      <c r="AD220" s="191"/>
      <c r="AE220" s="191"/>
      <c r="AF220" s="191"/>
      <c r="AG220" s="191"/>
      <c r="AH220" s="191"/>
      <c r="AI220" s="191"/>
      <c r="AJ220" s="1024"/>
      <c r="AK220" s="101"/>
      <c r="AL220" s="655"/>
      <c r="AM220" s="656"/>
    </row>
    <row r="221" spans="19:39" ht="24.75" customHeight="1">
      <c r="S221" s="1019">
        <f>+IF(AGOSTO!S221=0,"",AGOSTO!S221)</f>
        <v>7001000</v>
      </c>
      <c r="T221" s="546" t="str">
        <f>+IF(AGOSTO!T221=0,"",AGOSTO!T221)</f>
        <v>SERVICIO DE LA DEUDA INTERNA</v>
      </c>
      <c r="U221" s="1058">
        <f>SUM(U222:U224)</f>
        <v>3239175000</v>
      </c>
      <c r="V221" s="1061">
        <f>SUM(V222:V224)</f>
        <v>0</v>
      </c>
      <c r="W221" s="1061">
        <f>SUM(W222:W224)</f>
        <v>0</v>
      </c>
      <c r="X221" s="234">
        <f>SUM(X222:X224)</f>
        <v>3239175000</v>
      </c>
      <c r="Y221" s="233">
        <f t="shared" ref="Y221:AM221" si="189">SUM(Y222:Y224)</f>
        <v>1438780329</v>
      </c>
      <c r="Z221" s="231">
        <f t="shared" si="189"/>
        <v>0</v>
      </c>
      <c r="AA221" s="234">
        <f t="shared" si="189"/>
        <v>1438780329</v>
      </c>
      <c r="AB221" s="233">
        <f t="shared" si="189"/>
        <v>1438780329</v>
      </c>
      <c r="AC221" s="231">
        <f t="shared" si="189"/>
        <v>0</v>
      </c>
      <c r="AD221" s="234">
        <f t="shared" si="189"/>
        <v>1438780329</v>
      </c>
      <c r="AE221" s="233">
        <f t="shared" si="189"/>
        <v>1166946055</v>
      </c>
      <c r="AF221" s="231">
        <f t="shared" si="189"/>
        <v>271834274</v>
      </c>
      <c r="AG221" s="234">
        <f t="shared" si="189"/>
        <v>1438780329</v>
      </c>
      <c r="AH221" s="233">
        <f t="shared" si="189"/>
        <v>1800394671</v>
      </c>
      <c r="AI221" s="231">
        <f t="shared" si="189"/>
        <v>1800394671</v>
      </c>
      <c r="AJ221" s="1020">
        <f t="shared" si="189"/>
        <v>1800394671</v>
      </c>
      <c r="AK221" s="101"/>
      <c r="AL221" s="1020">
        <f t="shared" si="189"/>
        <v>0</v>
      </c>
      <c r="AM221" s="1020">
        <f t="shared" si="189"/>
        <v>0</v>
      </c>
    </row>
    <row r="222" spans="19:39" ht="24.75" customHeight="1">
      <c r="S222" s="1021" t="str">
        <f>+IF(AGOSTO!S222=0,"",AGOSTO!S222)</f>
        <v>2.2.2.2.01.02.002.02</v>
      </c>
      <c r="T222" s="267" t="str">
        <f>+IF(AGOSTO!T222=0,"",AGOSTO!T222)</f>
        <v>Banca Comercial</v>
      </c>
      <c r="U222" s="557">
        <f>+ENERO!U223</f>
        <v>2000000000</v>
      </c>
      <c r="V222" s="1062">
        <f>SEPTIEMBRE!V222+OCTUBRE!AL222</f>
        <v>-350000000</v>
      </c>
      <c r="W222" s="1062">
        <f>SEPTIEMBRE!W222+OCTUBRE!AM222</f>
        <v>0</v>
      </c>
      <c r="X222" s="271">
        <f>SUM(U222:W222)</f>
        <v>1650000000</v>
      </c>
      <c r="Y222" s="270">
        <f>SEPTIEMBRE!AA222</f>
        <v>332491536</v>
      </c>
      <c r="Z222" s="208">
        <v>0</v>
      </c>
      <c r="AA222" s="271">
        <f>SUM(Y222:Z222)</f>
        <v>332491536</v>
      </c>
      <c r="AB222" s="270">
        <f>SEPTIEMBRE!AD222</f>
        <v>332491536</v>
      </c>
      <c r="AC222" s="208">
        <v>0</v>
      </c>
      <c r="AD222" s="271">
        <f>SUM(AB222:AC222)</f>
        <v>332491536</v>
      </c>
      <c r="AE222" s="270">
        <f>SEPTIEMBRE!AG222</f>
        <v>166245768</v>
      </c>
      <c r="AF222" s="208">
        <v>166245768</v>
      </c>
      <c r="AG222" s="271">
        <f>SUM(AE222:AF222)</f>
        <v>332491536</v>
      </c>
      <c r="AH222" s="270">
        <f>X222-AA222</f>
        <v>1317508464</v>
      </c>
      <c r="AI222" s="220">
        <f>X222-AD222</f>
        <v>1317508464</v>
      </c>
      <c r="AJ222" s="1022">
        <f>X222-AG222</f>
        <v>1317508464</v>
      </c>
      <c r="AK222" s="101"/>
      <c r="AL222" s="204">
        <v>0</v>
      </c>
      <c r="AM222" s="210">
        <v>0</v>
      </c>
    </row>
    <row r="223" spans="19:39" ht="24.75" customHeight="1">
      <c r="S223" s="1021" t="str">
        <f>+IF(AGOSTO!S223=0,"",AGOSTO!S223)</f>
        <v>2.2.2.02</v>
      </c>
      <c r="T223" s="267" t="str">
        <f>+IF(AGOSTO!T223=0,"",AGOSTO!T223)</f>
        <v>Intereses Comisiones y gastos de la Deuda Pública</v>
      </c>
      <c r="U223" s="557">
        <f>+ENERO!U224</f>
        <v>1239175000</v>
      </c>
      <c r="V223" s="1062">
        <f>SEPTIEMBRE!V223+OCTUBRE!AL223</f>
        <v>350000000</v>
      </c>
      <c r="W223" s="1062">
        <f>SEPTIEMBRE!W223+OCTUBRE!AM223</f>
        <v>0</v>
      </c>
      <c r="X223" s="271">
        <f>SUM(U223:W223)</f>
        <v>1589175000</v>
      </c>
      <c r="Y223" s="270">
        <f>SEPTIEMBRE!AA223</f>
        <v>1106288793</v>
      </c>
      <c r="Z223" s="208">
        <v>0</v>
      </c>
      <c r="AA223" s="271">
        <f>SUM(Y223:Z223)</f>
        <v>1106288793</v>
      </c>
      <c r="AB223" s="270">
        <f>SEPTIEMBRE!AD223</f>
        <v>1106288793</v>
      </c>
      <c r="AC223" s="208">
        <v>0</v>
      </c>
      <c r="AD223" s="271">
        <f>SUM(AB223:AC223)</f>
        <v>1106288793</v>
      </c>
      <c r="AE223" s="270">
        <f>SEPTIEMBRE!AG223</f>
        <v>1000700287</v>
      </c>
      <c r="AF223" s="208">
        <v>105588506</v>
      </c>
      <c r="AG223" s="271">
        <f>SUM(AE223:AF223)</f>
        <v>1106288793</v>
      </c>
      <c r="AH223" s="270">
        <f>X223-AA223</f>
        <v>482886207</v>
      </c>
      <c r="AI223" s="220">
        <f>X223-AD223</f>
        <v>482886207</v>
      </c>
      <c r="AJ223" s="1022">
        <f>X223-AG223</f>
        <v>482886207</v>
      </c>
      <c r="AK223" s="216"/>
      <c r="AL223" s="204">
        <v>0</v>
      </c>
      <c r="AM223" s="210">
        <v>0</v>
      </c>
    </row>
    <row r="224" spans="19:39" ht="24.75" customHeight="1">
      <c r="S224" s="1021" t="str">
        <f>+IF(AGOSTO!S224=0,"",AGOSTO!S224)</f>
        <v>2.2.2.02</v>
      </c>
      <c r="T224" s="267" t="str">
        <f>+IF(AGOSTO!T224=0,"",AGOSTO!T224)</f>
        <v>Vigencias Anteriores Deuda Pública</v>
      </c>
      <c r="U224" s="557">
        <f>+ENERO!U225</f>
        <v>0</v>
      </c>
      <c r="V224" s="1062">
        <f>SEPTIEMBRE!V224+OCTUBRE!AL224</f>
        <v>0</v>
      </c>
      <c r="W224" s="1062">
        <f>SEPTIEMBRE!W224+OCTUBRE!AM224</f>
        <v>0</v>
      </c>
      <c r="X224" s="271">
        <f>SUM(U224:W224)</f>
        <v>0</v>
      </c>
      <c r="Y224" s="270">
        <f>SEPTIEMBRE!AA224</f>
        <v>0</v>
      </c>
      <c r="Z224" s="208">
        <v>0</v>
      </c>
      <c r="AA224" s="271">
        <f>SUM(Y224:Z224)</f>
        <v>0</v>
      </c>
      <c r="AB224" s="270">
        <f>SEPTIEMBRE!AD224</f>
        <v>0</v>
      </c>
      <c r="AC224" s="208">
        <v>0</v>
      </c>
      <c r="AD224" s="271">
        <f>SUM(AB224:AC224)</f>
        <v>0</v>
      </c>
      <c r="AE224" s="270">
        <f>SEPTIEMBRE!AG224</f>
        <v>0</v>
      </c>
      <c r="AF224" s="208">
        <v>0</v>
      </c>
      <c r="AG224" s="271">
        <f>SUM(AE224:AF224)</f>
        <v>0</v>
      </c>
      <c r="AH224" s="270">
        <f>X224-AA224</f>
        <v>0</v>
      </c>
      <c r="AI224" s="220">
        <f>X224-AD224</f>
        <v>0</v>
      </c>
      <c r="AJ224" s="1022">
        <f>X224-AG224</f>
        <v>0</v>
      </c>
      <c r="AK224" s="216"/>
      <c r="AL224" s="204">
        <v>0</v>
      </c>
      <c r="AM224" s="210">
        <v>0</v>
      </c>
    </row>
    <row r="225" spans="19:39" ht="24.75" customHeight="1">
      <c r="S225" s="1023" t="str">
        <f>+IF(AGOSTO!S225=0,"",AGOSTO!S225)</f>
        <v/>
      </c>
      <c r="T225" s="488" t="str">
        <f>+IF(AGOSTO!T225=0,"",AGOSTO!T225)</f>
        <v/>
      </c>
      <c r="U225" s="191"/>
      <c r="V225" s="915"/>
      <c r="W225" s="915"/>
      <c r="X225" s="191"/>
      <c r="Y225" s="191"/>
      <c r="Z225" s="191"/>
      <c r="AA225" s="191"/>
      <c r="AB225" s="191"/>
      <c r="AC225" s="191"/>
      <c r="AD225" s="191"/>
      <c r="AE225" s="191"/>
      <c r="AF225" s="191"/>
      <c r="AG225" s="191"/>
      <c r="AH225" s="191"/>
      <c r="AI225" s="191"/>
      <c r="AJ225" s="1024"/>
      <c r="AK225" s="101"/>
      <c r="AL225" s="655"/>
      <c r="AM225" s="656"/>
    </row>
    <row r="226" spans="19:39" ht="24.75" customHeight="1">
      <c r="S226" s="1019">
        <f>+IF(AGOSTO!S226=0,"",AGOSTO!S226)</f>
        <v>7002001</v>
      </c>
      <c r="T226" s="546" t="str">
        <f>+IF(AGOSTO!T226=0,"",AGOSTO!T226)</f>
        <v>SERVICIO DE LA DEUDA EXTERNA</v>
      </c>
      <c r="U226" s="1058">
        <f>SUM(U227:U229)</f>
        <v>0</v>
      </c>
      <c r="V226" s="1061">
        <f>SUM(V227:V229)</f>
        <v>0</v>
      </c>
      <c r="W226" s="1061">
        <f>SUM(W227:W229)</f>
        <v>0</v>
      </c>
      <c r="X226" s="234">
        <f>SUM(X227:X229)</f>
        <v>0</v>
      </c>
      <c r="Y226" s="233">
        <f t="shared" ref="Y226:AM226" si="190">SUM(Y227:Y229)</f>
        <v>0</v>
      </c>
      <c r="Z226" s="231">
        <f t="shared" si="190"/>
        <v>0</v>
      </c>
      <c r="AA226" s="234">
        <f t="shared" si="190"/>
        <v>0</v>
      </c>
      <c r="AB226" s="233">
        <f t="shared" si="190"/>
        <v>0</v>
      </c>
      <c r="AC226" s="231">
        <f t="shared" si="190"/>
        <v>0</v>
      </c>
      <c r="AD226" s="234">
        <f t="shared" si="190"/>
        <v>0</v>
      </c>
      <c r="AE226" s="233">
        <f t="shared" si="190"/>
        <v>0</v>
      </c>
      <c r="AF226" s="231">
        <f t="shared" si="190"/>
        <v>0</v>
      </c>
      <c r="AG226" s="234">
        <f t="shared" si="190"/>
        <v>0</v>
      </c>
      <c r="AH226" s="233">
        <f t="shared" si="190"/>
        <v>0</v>
      </c>
      <c r="AI226" s="231">
        <f t="shared" si="190"/>
        <v>0</v>
      </c>
      <c r="AJ226" s="1020">
        <f t="shared" si="190"/>
        <v>0</v>
      </c>
      <c r="AK226" s="101"/>
      <c r="AL226" s="1020">
        <f t="shared" si="190"/>
        <v>0</v>
      </c>
      <c r="AM226" s="1020">
        <f t="shared" si="190"/>
        <v>0</v>
      </c>
    </row>
    <row r="227" spans="19:39" ht="24.75" customHeight="1">
      <c r="S227" s="1021">
        <f>+IF(AGOSTO!S227=0,"",AGOSTO!S227)</f>
        <v>7002100</v>
      </c>
      <c r="T227" s="267" t="str">
        <f>+IF(AGOSTO!T227=0,"",AGOSTO!T227)</f>
        <v>Amortización deuda Pública Externa</v>
      </c>
      <c r="U227" s="557">
        <f>+ENERO!U228</f>
        <v>0</v>
      </c>
      <c r="V227" s="1062">
        <f>SEPTIEMBRE!V227+OCTUBRE!AL227</f>
        <v>0</v>
      </c>
      <c r="W227" s="1062">
        <f>SEPTIEMBRE!W227+OCTUBRE!AM227</f>
        <v>0</v>
      </c>
      <c r="X227" s="271">
        <f>SUM(U227:W227)</f>
        <v>0</v>
      </c>
      <c r="Y227" s="270">
        <f>SEPTIEMBRE!AA227</f>
        <v>0</v>
      </c>
      <c r="Z227" s="208">
        <v>0</v>
      </c>
      <c r="AA227" s="271">
        <f>SUM(Y227:Z227)</f>
        <v>0</v>
      </c>
      <c r="AB227" s="270">
        <f>SEPTIEMBRE!AD227</f>
        <v>0</v>
      </c>
      <c r="AC227" s="208">
        <v>0</v>
      </c>
      <c r="AD227" s="271">
        <f>SUM(AB227:AC227)</f>
        <v>0</v>
      </c>
      <c r="AE227" s="270">
        <f>SEPTIEMBRE!AG227</f>
        <v>0</v>
      </c>
      <c r="AF227" s="208">
        <v>0</v>
      </c>
      <c r="AG227" s="271">
        <f>SUM(AE227:AF227)</f>
        <v>0</v>
      </c>
      <c r="AH227" s="270">
        <f>X227-AA227</f>
        <v>0</v>
      </c>
      <c r="AI227" s="220">
        <f>X227-AD227</f>
        <v>0</v>
      </c>
      <c r="AJ227" s="1022">
        <f>X227-AG227</f>
        <v>0</v>
      </c>
      <c r="AK227" s="101"/>
      <c r="AL227" s="489">
        <v>0</v>
      </c>
      <c r="AM227" s="490">
        <v>0</v>
      </c>
    </row>
    <row r="228" spans="19:39" ht="24.75" customHeight="1">
      <c r="S228" s="1021">
        <f>+IF(AGOSTO!S228=0,"",AGOSTO!S228)</f>
        <v>7002200</v>
      </c>
      <c r="T228" s="267" t="str">
        <f>+IF(AGOSTO!T228=0,"",AGOSTO!T228)</f>
        <v>Intereses Comisiones y gastos de la Deuda Pública</v>
      </c>
      <c r="U228" s="557">
        <f>+ENERO!U229</f>
        <v>0</v>
      </c>
      <c r="V228" s="1062">
        <f>SEPTIEMBRE!V228+OCTUBRE!AL228</f>
        <v>0</v>
      </c>
      <c r="W228" s="1062">
        <f>SEPTIEMBRE!W228+OCTUBRE!AM228</f>
        <v>0</v>
      </c>
      <c r="X228" s="271">
        <f>SUM(U228:W228)</f>
        <v>0</v>
      </c>
      <c r="Y228" s="270">
        <f>SEPTIEMBRE!AA228</f>
        <v>0</v>
      </c>
      <c r="Z228" s="208">
        <v>0</v>
      </c>
      <c r="AA228" s="271">
        <f>SUM(Y228:Z228)</f>
        <v>0</v>
      </c>
      <c r="AB228" s="270">
        <f>SEPTIEMBRE!AD228</f>
        <v>0</v>
      </c>
      <c r="AC228" s="208">
        <v>0</v>
      </c>
      <c r="AD228" s="271">
        <f>SUM(AB228:AC228)</f>
        <v>0</v>
      </c>
      <c r="AE228" s="270">
        <f>SEPTIEMBRE!AG228</f>
        <v>0</v>
      </c>
      <c r="AF228" s="208">
        <v>0</v>
      </c>
      <c r="AG228" s="271">
        <f>SUM(AE228:AF228)</f>
        <v>0</v>
      </c>
      <c r="AH228" s="270">
        <f>X228-AA228</f>
        <v>0</v>
      </c>
      <c r="AI228" s="220">
        <f>X228-AD228</f>
        <v>0</v>
      </c>
      <c r="AJ228" s="1022">
        <f>X228-AG228</f>
        <v>0</v>
      </c>
      <c r="AK228" s="101"/>
      <c r="AL228" s="489">
        <v>0</v>
      </c>
      <c r="AM228" s="490">
        <v>0</v>
      </c>
    </row>
    <row r="229" spans="19:39" ht="24.75" customHeight="1" thickBot="1">
      <c r="S229" s="1032">
        <f>+IF(AGOSTO!S229=0,"",AGOSTO!S229)</f>
        <v>7002999</v>
      </c>
      <c r="T229" s="467" t="str">
        <f>+IF(AGOSTO!T229=0,"",AGOSTO!T229)</f>
        <v>Vigencias Anteriores</v>
      </c>
      <c r="U229" s="1075">
        <f>+ENERO!U230</f>
        <v>0</v>
      </c>
      <c r="V229" s="1062">
        <f>SEPTIEMBRE!V229+OCTUBRE!AL229</f>
        <v>0</v>
      </c>
      <c r="W229" s="1062">
        <f>SEPTIEMBRE!W229+OCTUBRE!AM229</f>
        <v>0</v>
      </c>
      <c r="X229" s="471">
        <f>SUM(U229:W229)</f>
        <v>0</v>
      </c>
      <c r="Y229" s="270">
        <f>SEPTIEMBRE!AA229</f>
        <v>0</v>
      </c>
      <c r="Z229" s="246">
        <v>0</v>
      </c>
      <c r="AA229" s="471">
        <f>SUM(Y229:Z229)</f>
        <v>0</v>
      </c>
      <c r="AB229" s="270">
        <f>SEPTIEMBRE!AD229</f>
        <v>0</v>
      </c>
      <c r="AC229" s="246">
        <v>0</v>
      </c>
      <c r="AD229" s="471">
        <f>SUM(AB229:AC229)</f>
        <v>0</v>
      </c>
      <c r="AE229" s="470">
        <f>SEPTIEMBRE!AG229</f>
        <v>0</v>
      </c>
      <c r="AF229" s="246">
        <v>0</v>
      </c>
      <c r="AG229" s="471">
        <f>SUM(AE229:AF229)</f>
        <v>0</v>
      </c>
      <c r="AH229" s="470">
        <f>X229-AA229</f>
        <v>0</v>
      </c>
      <c r="AI229" s="468">
        <f>X229-AD229</f>
        <v>0</v>
      </c>
      <c r="AJ229" s="1033">
        <f>X229-AG229</f>
        <v>0</v>
      </c>
      <c r="AK229" s="487"/>
      <c r="AL229" s="489">
        <v>0</v>
      </c>
      <c r="AM229" s="490">
        <v>0</v>
      </c>
    </row>
    <row r="230" spans="19:39" ht="24.75" customHeight="1">
      <c r="S230" s="1034" t="str">
        <f>+IF(AGOSTO!S230=0,"",AGOSTO!S230)</f>
        <v/>
      </c>
      <c r="T230" s="456" t="str">
        <f>+IF(AGOSTO!T230=0,"",AGOSTO!T230)</f>
        <v/>
      </c>
      <c r="U230" s="457"/>
      <c r="V230" s="1060"/>
      <c r="W230" s="1060"/>
      <c r="X230" s="457"/>
      <c r="Y230" s="457"/>
      <c r="Z230" s="457"/>
      <c r="AA230" s="457"/>
      <c r="AB230" s="457"/>
      <c r="AC230" s="457"/>
      <c r="AD230" s="457"/>
      <c r="AE230" s="457"/>
      <c r="AF230" s="457"/>
      <c r="AG230" s="457"/>
      <c r="AH230" s="457"/>
      <c r="AI230" s="457"/>
      <c r="AJ230" s="1035"/>
      <c r="AK230" s="101"/>
      <c r="AL230" s="370"/>
      <c r="AM230" s="371"/>
    </row>
    <row r="231" spans="19:39" ht="24.75" customHeight="1">
      <c r="S231" s="1031" t="str">
        <f>+IF(AGOSTO!S231=0,"",AGOSTO!S231)</f>
        <v>D</v>
      </c>
      <c r="T231" s="494" t="str">
        <f>+IF(AGOSTO!T231=0,"",AGOSTO!T231)</f>
        <v>INVERSION</v>
      </c>
      <c r="U231" s="882">
        <f>U233+U242</f>
        <v>0</v>
      </c>
      <c r="V231" s="406">
        <f t="shared" ref="V231:AL231" si="191">V233+V242</f>
        <v>0</v>
      </c>
      <c r="W231" s="406">
        <f t="shared" si="191"/>
        <v>27322460649</v>
      </c>
      <c r="X231" s="407">
        <f t="shared" si="191"/>
        <v>27322460649</v>
      </c>
      <c r="Y231" s="217">
        <f t="shared" si="191"/>
        <v>19236972516</v>
      </c>
      <c r="Z231" s="406">
        <f t="shared" si="191"/>
        <v>3211317454</v>
      </c>
      <c r="AA231" s="407">
        <f t="shared" si="191"/>
        <v>22448289970</v>
      </c>
      <c r="AB231" s="217">
        <f t="shared" si="191"/>
        <v>15374806882</v>
      </c>
      <c r="AC231" s="406">
        <f t="shared" si="191"/>
        <v>1274134881</v>
      </c>
      <c r="AD231" s="407">
        <f t="shared" si="191"/>
        <v>16648941763</v>
      </c>
      <c r="AE231" s="217">
        <f t="shared" si="191"/>
        <v>10835903653</v>
      </c>
      <c r="AF231" s="406">
        <f t="shared" si="191"/>
        <v>1833778004</v>
      </c>
      <c r="AG231" s="407">
        <f t="shared" si="191"/>
        <v>12669681657</v>
      </c>
      <c r="AH231" s="217">
        <f t="shared" si="191"/>
        <v>4874170679</v>
      </c>
      <c r="AI231" s="406">
        <f t="shared" si="191"/>
        <v>10673518886</v>
      </c>
      <c r="AJ231" s="1028">
        <f t="shared" si="191"/>
        <v>14652778992</v>
      </c>
      <c r="AK231" s="101"/>
      <c r="AL231" s="1028">
        <f t="shared" si="191"/>
        <v>0</v>
      </c>
      <c r="AM231" s="1028">
        <f>AM233+AM242</f>
        <v>4639404354</v>
      </c>
    </row>
    <row r="232" spans="19:39" ht="24.75" customHeight="1">
      <c r="S232" s="1023" t="str">
        <f>+IF(AGOSTO!S232=0,"",AGOSTO!S232)</f>
        <v/>
      </c>
      <c r="T232" s="488" t="str">
        <f>+IF(AGOSTO!T232=0,"",AGOSTO!T232)</f>
        <v/>
      </c>
      <c r="U232" s="191"/>
      <c r="V232" s="191"/>
      <c r="W232" s="191"/>
      <c r="X232" s="191"/>
      <c r="Y232" s="191"/>
      <c r="Z232" s="191"/>
      <c r="AA232" s="191"/>
      <c r="AB232" s="191"/>
      <c r="AC232" s="191"/>
      <c r="AD232" s="191"/>
      <c r="AE232" s="191"/>
      <c r="AF232" s="191"/>
      <c r="AG232" s="191"/>
      <c r="AH232" s="191"/>
      <c r="AI232" s="191"/>
      <c r="AJ232" s="1024"/>
      <c r="AK232" s="101"/>
      <c r="AL232" s="301"/>
      <c r="AM232" s="302"/>
    </row>
    <row r="233" spans="19:39" ht="24.75" customHeight="1">
      <c r="S233" s="1019">
        <f>+IF(AGOSTO!S233=0,"",AGOSTO!S233)</f>
        <v>8000000</v>
      </c>
      <c r="T233" s="546" t="str">
        <f>+IF(AGOSTO!T233=0,"",AGOSTO!T233)</f>
        <v>Programas de Inversión</v>
      </c>
      <c r="U233" s="883">
        <f>U234</f>
        <v>0</v>
      </c>
      <c r="V233" s="1074">
        <f t="shared" ref="V233:AL233" si="192">V234</f>
        <v>0</v>
      </c>
      <c r="W233" s="1074">
        <f t="shared" si="192"/>
        <v>27322460649</v>
      </c>
      <c r="X233" s="234">
        <f t="shared" si="192"/>
        <v>27322460649</v>
      </c>
      <c r="Y233" s="233">
        <f t="shared" si="192"/>
        <v>19236972516</v>
      </c>
      <c r="Z233" s="231">
        <f t="shared" si="192"/>
        <v>3211317454</v>
      </c>
      <c r="AA233" s="234">
        <f t="shared" si="192"/>
        <v>22448289970</v>
      </c>
      <c r="AB233" s="233">
        <f t="shared" si="192"/>
        <v>15374806882</v>
      </c>
      <c r="AC233" s="231">
        <f t="shared" si="192"/>
        <v>1274134881</v>
      </c>
      <c r="AD233" s="234">
        <f t="shared" si="192"/>
        <v>16648941763</v>
      </c>
      <c r="AE233" s="233">
        <f t="shared" si="192"/>
        <v>10835903653</v>
      </c>
      <c r="AF233" s="231">
        <f t="shared" si="192"/>
        <v>1833778004</v>
      </c>
      <c r="AG233" s="234">
        <f t="shared" si="192"/>
        <v>12669681657</v>
      </c>
      <c r="AH233" s="233">
        <f t="shared" si="192"/>
        <v>4874170679</v>
      </c>
      <c r="AI233" s="231">
        <f t="shared" si="192"/>
        <v>10673518886</v>
      </c>
      <c r="AJ233" s="1020">
        <f t="shared" si="192"/>
        <v>14652778992</v>
      </c>
      <c r="AK233" s="101"/>
      <c r="AL233" s="1020">
        <f t="shared" si="192"/>
        <v>0</v>
      </c>
      <c r="AM233" s="232">
        <f>AM235+AM242+AM237</f>
        <v>4639404354</v>
      </c>
    </row>
    <row r="234" spans="19:39" ht="24.75" customHeight="1">
      <c r="S234" s="1021">
        <f>+IF(AGOSTO!S234=0,"",AGOSTO!S234)</f>
        <v>8001000</v>
      </c>
      <c r="T234" s="267" t="str">
        <f>+IF(AGOSTO!T234=0,"",AGOSTO!T234)</f>
        <v>Formación Bruta del Capital</v>
      </c>
      <c r="U234" s="884">
        <f>SUM(U235:U240)</f>
        <v>0</v>
      </c>
      <c r="V234" s="220">
        <f>SUM(V235:V240)</f>
        <v>0</v>
      </c>
      <c r="W234" s="220">
        <f>SUM(W235:W240)</f>
        <v>27322460649</v>
      </c>
      <c r="X234" s="271">
        <f>SUM(X235:X240)</f>
        <v>27322460649</v>
      </c>
      <c r="Y234" s="270">
        <f t="shared" ref="Y234:AJ234" si="193">SUM(Y235:Y240)</f>
        <v>19236972516</v>
      </c>
      <c r="Z234" s="300">
        <f>SUM(Z235:Z240)</f>
        <v>3211317454</v>
      </c>
      <c r="AA234" s="271">
        <f t="shared" si="193"/>
        <v>22448289970</v>
      </c>
      <c r="AB234" s="270">
        <f>SEPTIEMBRE!AD234</f>
        <v>15374806882</v>
      </c>
      <c r="AC234" s="300">
        <f>SUM(AC235:AC240)</f>
        <v>1274134881</v>
      </c>
      <c r="AD234" s="271">
        <f t="shared" si="193"/>
        <v>16648941763</v>
      </c>
      <c r="AE234" s="270">
        <f t="shared" si="193"/>
        <v>10835903653</v>
      </c>
      <c r="AF234" s="300">
        <f t="shared" si="193"/>
        <v>1833778004</v>
      </c>
      <c r="AG234" s="271">
        <f t="shared" si="193"/>
        <v>12669681657</v>
      </c>
      <c r="AH234" s="270">
        <f t="shared" si="193"/>
        <v>4874170679</v>
      </c>
      <c r="AI234" s="220">
        <f t="shared" si="193"/>
        <v>10673518886</v>
      </c>
      <c r="AJ234" s="1022">
        <f t="shared" si="193"/>
        <v>14652778992</v>
      </c>
      <c r="AK234" s="101"/>
      <c r="AL234" s="204">
        <v>0</v>
      </c>
      <c r="AM234" s="210">
        <v>0</v>
      </c>
    </row>
    <row r="235" spans="19:39" ht="24.75" customHeight="1">
      <c r="S235" s="1026" t="str">
        <f>+IF(AGOSTO!S235=0,"",AGOSTO!S235)</f>
        <v>2.3.2.01.01</v>
      </c>
      <c r="T235" s="312" t="str">
        <f>+IF(AGOSTO!T235=0,"",AGOSTO!T235)</f>
        <v>Activos Fijos</v>
      </c>
      <c r="U235" s="557">
        <f>+ENERO!U236</f>
        <v>0</v>
      </c>
      <c r="V235" s="220">
        <f>SUM(AGOSTO!V235+SEPTIEMBRE!AL235)</f>
        <v>0</v>
      </c>
      <c r="W235" s="1062">
        <f>SEPTIEMBRE!W235+OCTUBRE!AM235</f>
        <v>1306632408</v>
      </c>
      <c r="X235" s="271">
        <f t="shared" ref="X235:X240" si="194">SUM(U235:W235)</f>
        <v>1306632408</v>
      </c>
      <c r="Y235" s="270">
        <f>SEPTIEMBRE!AA235</f>
        <v>0</v>
      </c>
      <c r="Z235" s="208">
        <v>0</v>
      </c>
      <c r="AA235" s="271">
        <f t="shared" ref="AA235:AA240" si="195">SUM(Y235:Z235)</f>
        <v>0</v>
      </c>
      <c r="AB235" s="270">
        <f>SEPTIEMBRE!AD235</f>
        <v>0</v>
      </c>
      <c r="AC235" s="208">
        <v>0</v>
      </c>
      <c r="AD235" s="271">
        <f t="shared" ref="AD235:AD240" si="196">SUM(AB235:AC235)</f>
        <v>0</v>
      </c>
      <c r="AE235" s="270">
        <f>SEPTIEMBRE!AG235</f>
        <v>0</v>
      </c>
      <c r="AF235" s="208">
        <v>0</v>
      </c>
      <c r="AG235" s="271">
        <f t="shared" ref="AG235:AG240" si="197">SUM(AE235:AF235)</f>
        <v>0</v>
      </c>
      <c r="AH235" s="270">
        <f t="shared" ref="AH235:AH240" si="198">X235-AA235</f>
        <v>1306632408</v>
      </c>
      <c r="AI235" s="220">
        <f t="shared" ref="AI235:AI240" si="199">X235-AD235</f>
        <v>1306632408</v>
      </c>
      <c r="AJ235" s="1022">
        <f t="shared" ref="AJ235:AJ240" si="200">X235-AG235</f>
        <v>1306632408</v>
      </c>
      <c r="AK235" s="101"/>
      <c r="AL235" s="204">
        <v>0</v>
      </c>
      <c r="AM235" s="210">
        <v>1306632408</v>
      </c>
    </row>
    <row r="236" spans="19:39" ht="24.75" customHeight="1">
      <c r="S236" s="1026" t="str">
        <f>+IF(AGOSTO!S236=0,"",AGOSTO!S236)</f>
        <v>2.3.2.02.02.005</v>
      </c>
      <c r="T236" s="312" t="str">
        <f>+IF(AGOSTO!T236=0,"",AGOSTO!T236)</f>
        <v>Proyecto Mantenimiento Preventivo y Correctivo de Infraestructura</v>
      </c>
      <c r="U236" s="557">
        <f>+ENERO!U237</f>
        <v>0</v>
      </c>
      <c r="V236" s="1062">
        <f>SEPTIEMBRE!V236+OCTUBRE!AL236</f>
        <v>0</v>
      </c>
      <c r="W236" s="1062">
        <f>SEPTIEMBRE!W236+OCTUBRE!AM236</f>
        <v>0</v>
      </c>
      <c r="X236" s="271">
        <f t="shared" si="194"/>
        <v>0</v>
      </c>
      <c r="Y236" s="270">
        <f>SEPTIEMBRE!AA236</f>
        <v>0</v>
      </c>
      <c r="Z236" s="208">
        <v>0</v>
      </c>
      <c r="AA236" s="271">
        <f t="shared" si="195"/>
        <v>0</v>
      </c>
      <c r="AB236" s="270">
        <f>SEPTIEMBRE!AD236</f>
        <v>0</v>
      </c>
      <c r="AC236" s="208">
        <v>0</v>
      </c>
      <c r="AD236" s="271">
        <f t="shared" si="196"/>
        <v>0</v>
      </c>
      <c r="AE236" s="270">
        <f>SEPTIEMBRE!AG236</f>
        <v>0</v>
      </c>
      <c r="AF236" s="208">
        <v>0</v>
      </c>
      <c r="AG236" s="271">
        <f t="shared" si="197"/>
        <v>0</v>
      </c>
      <c r="AH236" s="270">
        <f t="shared" si="198"/>
        <v>0</v>
      </c>
      <c r="AI236" s="220">
        <f t="shared" si="199"/>
        <v>0</v>
      </c>
      <c r="AJ236" s="1022">
        <f t="shared" si="200"/>
        <v>0</v>
      </c>
      <c r="AK236" s="101"/>
      <c r="AL236" s="204">
        <v>0</v>
      </c>
      <c r="AM236" s="210">
        <v>0</v>
      </c>
    </row>
    <row r="237" spans="19:39" ht="24.75" customHeight="1">
      <c r="S237" s="1026" t="str">
        <f>+IF(AGOSTO!S237=0,"",AGOSTO!S237)</f>
        <v>2.3.2.02.02.009</v>
      </c>
      <c r="T237" s="312" t="str">
        <f>+IF(AGOSTO!T237=0,"",AGOSTO!T237)</f>
        <v>Servicios para la Comunidad Sociales y personales</v>
      </c>
      <c r="U237" s="557">
        <f>+ENERO!U238</f>
        <v>0</v>
      </c>
      <c r="V237" s="1062">
        <f>SEPTIEMBRE!V237+OCTUBRE!AL237</f>
        <v>0</v>
      </c>
      <c r="W237" s="1062">
        <f>SEPTIEMBRE!W237+OCTUBRE!AM237</f>
        <v>25565045712</v>
      </c>
      <c r="X237" s="271">
        <f t="shared" si="194"/>
        <v>25565045712</v>
      </c>
      <c r="Y237" s="270">
        <f>SEPTIEMBRE!AA237</f>
        <v>19236972516</v>
      </c>
      <c r="Z237" s="208">
        <v>3211317454</v>
      </c>
      <c r="AA237" s="271">
        <f t="shared" si="195"/>
        <v>22448289970</v>
      </c>
      <c r="AB237" s="270">
        <f>SEPTIEMBRE!AD237</f>
        <v>15374806882</v>
      </c>
      <c r="AC237" s="208">
        <v>1274134881</v>
      </c>
      <c r="AD237" s="271">
        <f t="shared" si="196"/>
        <v>16648941763</v>
      </c>
      <c r="AE237" s="270">
        <f>SEPTIEMBRE!AG237</f>
        <v>10835903653</v>
      </c>
      <c r="AF237" s="208">
        <v>1833778004</v>
      </c>
      <c r="AG237" s="271">
        <f t="shared" si="197"/>
        <v>12669681657</v>
      </c>
      <c r="AH237" s="270">
        <f t="shared" si="198"/>
        <v>3116755742</v>
      </c>
      <c r="AI237" s="220">
        <f t="shared" si="199"/>
        <v>8916103949</v>
      </c>
      <c r="AJ237" s="1022">
        <f t="shared" si="200"/>
        <v>12895364055</v>
      </c>
      <c r="AK237" s="101"/>
      <c r="AL237" s="204">
        <v>0</v>
      </c>
      <c r="AM237" s="210">
        <f>146439829+1700000000+1486332117</f>
        <v>3332771946</v>
      </c>
    </row>
    <row r="238" spans="19:39" ht="24.75" customHeight="1">
      <c r="S238" s="1026" t="str">
        <f>+IF(AGOSTO!S238=0,"",AGOSTO!S238)</f>
        <v>2.3.2.02.02.008</v>
      </c>
      <c r="T238" s="312" t="str">
        <f>+IF(AGOSTO!T238=0,"",AGOSTO!T238)</f>
        <v>Servicios prestados a las empresas y servicios de produccion</v>
      </c>
      <c r="U238" s="557">
        <f>+ENERO!U239</f>
        <v>0</v>
      </c>
      <c r="V238" s="1062">
        <f>SEPTIEMBRE!V238+OCTUBRE!AL238</f>
        <v>0</v>
      </c>
      <c r="W238" s="1062">
        <f>SEPTIEMBRE!W238+OCTUBRE!AM238</f>
        <v>0</v>
      </c>
      <c r="X238" s="271">
        <f t="shared" si="194"/>
        <v>0</v>
      </c>
      <c r="Y238" s="270">
        <f>SEPTIEMBRE!AA238</f>
        <v>0</v>
      </c>
      <c r="Z238" s="208">
        <v>0</v>
      </c>
      <c r="AA238" s="271">
        <f t="shared" si="195"/>
        <v>0</v>
      </c>
      <c r="AB238" s="270">
        <f>SEPTIEMBRE!AD238</f>
        <v>0</v>
      </c>
      <c r="AC238" s="208">
        <v>0</v>
      </c>
      <c r="AD238" s="271">
        <f t="shared" si="196"/>
        <v>0</v>
      </c>
      <c r="AE238" s="270">
        <f>SEPTIEMBRE!AG238</f>
        <v>0</v>
      </c>
      <c r="AF238" s="208">
        <v>0</v>
      </c>
      <c r="AG238" s="271">
        <f t="shared" si="197"/>
        <v>0</v>
      </c>
      <c r="AH238" s="270">
        <f t="shared" si="198"/>
        <v>0</v>
      </c>
      <c r="AI238" s="220">
        <f t="shared" si="199"/>
        <v>0</v>
      </c>
      <c r="AJ238" s="1022">
        <f t="shared" si="200"/>
        <v>0</v>
      </c>
      <c r="AK238" s="101"/>
      <c r="AL238" s="204">
        <v>0</v>
      </c>
      <c r="AM238" s="210">
        <v>0</v>
      </c>
    </row>
    <row r="239" spans="19:39" ht="24.75" customHeight="1">
      <c r="S239" s="1026" t="str">
        <f>+IF(AGOSTO!S239=0,"",AGOSTO!S239)</f>
        <v>8001000-5</v>
      </c>
      <c r="T239" s="312" t="str">
        <f>+IF(AGOSTO!T239=0,"",AGOSTO!T239)</f>
        <v>Subprogr.Construc. Remodelac. Adecuación y Apliac.5</v>
      </c>
      <c r="U239" s="557">
        <f>+ENERO!U240</f>
        <v>0</v>
      </c>
      <c r="V239" s="1062">
        <f>SEPTIEMBRE!V239+OCTUBRE!AL239</f>
        <v>0</v>
      </c>
      <c r="W239" s="1062">
        <f>SEPTIEMBRE!W239+OCTUBRE!AM239</f>
        <v>0</v>
      </c>
      <c r="X239" s="271">
        <f t="shared" si="194"/>
        <v>0</v>
      </c>
      <c r="Y239" s="270">
        <f>SEPTIEMBRE!AA239</f>
        <v>0</v>
      </c>
      <c r="Z239" s="208">
        <v>0</v>
      </c>
      <c r="AA239" s="271">
        <f t="shared" si="195"/>
        <v>0</v>
      </c>
      <c r="AB239" s="270">
        <f>SEPTIEMBRE!AD239</f>
        <v>0</v>
      </c>
      <c r="AC239" s="208">
        <v>0</v>
      </c>
      <c r="AD239" s="271">
        <f t="shared" si="196"/>
        <v>0</v>
      </c>
      <c r="AE239" s="270">
        <f>SEPTIEMBRE!AG239</f>
        <v>0</v>
      </c>
      <c r="AF239" s="208">
        <v>0</v>
      </c>
      <c r="AG239" s="271">
        <f t="shared" si="197"/>
        <v>0</v>
      </c>
      <c r="AH239" s="270">
        <f t="shared" si="198"/>
        <v>0</v>
      </c>
      <c r="AI239" s="220">
        <f t="shared" si="199"/>
        <v>0</v>
      </c>
      <c r="AJ239" s="1022">
        <f t="shared" si="200"/>
        <v>0</v>
      </c>
      <c r="AK239" s="101"/>
      <c r="AL239" s="204">
        <v>0</v>
      </c>
      <c r="AM239" s="210">
        <v>0</v>
      </c>
    </row>
    <row r="240" spans="19:39" ht="24.75" customHeight="1">
      <c r="S240" s="1041" t="str">
        <f>+IF(AGOSTO!S240=0,"",AGOSTO!S240)</f>
        <v>2.3.2.02.02.009.99</v>
      </c>
      <c r="T240" s="312" t="str">
        <f>+IF(AGOSTO!T240=0,"",AGOSTO!T240)</f>
        <v>Vigencias Anteriores</v>
      </c>
      <c r="U240" s="557">
        <f>+ENERO!U241</f>
        <v>0</v>
      </c>
      <c r="V240" s="1062">
        <f>SEPTIEMBRE!V240+OCTUBRE!AL240</f>
        <v>0</v>
      </c>
      <c r="W240" s="1062">
        <f>SEPTIEMBRE!W240+OCTUBRE!AM240</f>
        <v>450782529</v>
      </c>
      <c r="X240" s="271">
        <f t="shared" si="194"/>
        <v>450782529</v>
      </c>
      <c r="Y240" s="270">
        <f>SEPTIEMBRE!AA240</f>
        <v>0</v>
      </c>
      <c r="Z240" s="208">
        <v>0</v>
      </c>
      <c r="AA240" s="271">
        <f t="shared" si="195"/>
        <v>0</v>
      </c>
      <c r="AB240" s="270">
        <f>SEPTIEMBRE!AD240</f>
        <v>0</v>
      </c>
      <c r="AC240" s="208">
        <v>0</v>
      </c>
      <c r="AD240" s="271">
        <f t="shared" si="196"/>
        <v>0</v>
      </c>
      <c r="AE240" s="270">
        <f>SEPTIEMBRE!AG240</f>
        <v>0</v>
      </c>
      <c r="AF240" s="208">
        <v>0</v>
      </c>
      <c r="AG240" s="271">
        <f t="shared" si="197"/>
        <v>0</v>
      </c>
      <c r="AH240" s="270">
        <f t="shared" si="198"/>
        <v>450782529</v>
      </c>
      <c r="AI240" s="220">
        <f t="shared" si="199"/>
        <v>450782529</v>
      </c>
      <c r="AJ240" s="1022">
        <f t="shared" si="200"/>
        <v>450782529</v>
      </c>
      <c r="AK240" s="101"/>
      <c r="AL240" s="204">
        <v>0</v>
      </c>
      <c r="AM240" s="210">
        <v>0</v>
      </c>
    </row>
    <row r="241" spans="19:39" ht="24.75" customHeight="1">
      <c r="S241" s="1023" t="str">
        <f>+IF(AGOSTO!S241=0,"",AGOSTO!S241)</f>
        <v/>
      </c>
      <c r="T241" s="488" t="str">
        <f>+IF(AGOSTO!T241=0,"",AGOSTO!T241)</f>
        <v/>
      </c>
      <c r="U241" s="191"/>
      <c r="V241" s="1060"/>
      <c r="W241" s="1060"/>
      <c r="X241" s="191"/>
      <c r="Y241" s="191"/>
      <c r="Z241" s="191"/>
      <c r="AA241" s="191"/>
      <c r="AB241" s="191"/>
      <c r="AC241" s="191"/>
      <c r="AD241" s="191"/>
      <c r="AE241" s="191"/>
      <c r="AF241" s="191"/>
      <c r="AG241" s="191"/>
      <c r="AH241" s="191"/>
      <c r="AI241" s="191"/>
      <c r="AJ241" s="1024"/>
      <c r="AK241" s="101"/>
      <c r="AL241" s="655"/>
      <c r="AM241" s="656"/>
    </row>
    <row r="242" spans="19:39" ht="24.75" customHeight="1">
      <c r="S242" s="1019">
        <f>+IF(AGOSTO!S242=0,"",AGOSTO!S242)</f>
        <v>8002001</v>
      </c>
      <c r="T242" s="546" t="str">
        <f>+IF(AGOSTO!T242=0,"",AGOSTO!T242)</f>
        <v>Gastos Operativos de Inversion   (Programas Especiales)</v>
      </c>
      <c r="U242" s="883">
        <f>SUM(U243:U255)</f>
        <v>0</v>
      </c>
      <c r="V242" s="1074">
        <f>SUM(V243:V255)</f>
        <v>0</v>
      </c>
      <c r="W242" s="1074">
        <f>SUM(W243:W255)</f>
        <v>0</v>
      </c>
      <c r="X242" s="234">
        <f>SUM(X243:X255)</f>
        <v>0</v>
      </c>
      <c r="Y242" s="233">
        <f t="shared" ref="Y242:AM242" si="201">SUM(Y243:Y255)</f>
        <v>0</v>
      </c>
      <c r="Z242" s="231">
        <f t="shared" si="201"/>
        <v>0</v>
      </c>
      <c r="AA242" s="234">
        <f t="shared" si="201"/>
        <v>0</v>
      </c>
      <c r="AB242" s="233">
        <f t="shared" si="201"/>
        <v>0</v>
      </c>
      <c r="AC242" s="231">
        <f t="shared" si="201"/>
        <v>0</v>
      </c>
      <c r="AD242" s="234">
        <f t="shared" si="201"/>
        <v>0</v>
      </c>
      <c r="AE242" s="233">
        <f t="shared" si="201"/>
        <v>0</v>
      </c>
      <c r="AF242" s="231">
        <f t="shared" si="201"/>
        <v>0</v>
      </c>
      <c r="AG242" s="234">
        <f t="shared" si="201"/>
        <v>0</v>
      </c>
      <c r="AH242" s="233">
        <f t="shared" si="201"/>
        <v>0</v>
      </c>
      <c r="AI242" s="231">
        <f t="shared" si="201"/>
        <v>0</v>
      </c>
      <c r="AJ242" s="1020">
        <f t="shared" si="201"/>
        <v>0</v>
      </c>
      <c r="AK242" s="101"/>
      <c r="AL242" s="1020">
        <f t="shared" si="201"/>
        <v>0</v>
      </c>
      <c r="AM242" s="1020">
        <f t="shared" si="201"/>
        <v>0</v>
      </c>
    </row>
    <row r="243" spans="19:39" ht="24.75" customHeight="1">
      <c r="S243" s="1026" t="str">
        <f>+IF(AGOSTO!S243=0,"",AGOSTO!S243)</f>
        <v>8002100-1</v>
      </c>
      <c r="T243" s="312" t="str">
        <f>+IF(AGOSTO!T243=0,"",AGOSTO!T243)</f>
        <v>Fondo de la Vivienda</v>
      </c>
      <c r="U243" s="557">
        <f>+ENERO!U244</f>
        <v>0</v>
      </c>
      <c r="V243" s="1062">
        <f>SEPTIEMBRE!V243+OCTUBRE!AL243</f>
        <v>0</v>
      </c>
      <c r="W243" s="1062">
        <f>SEPTIEMBRE!W243+OCTUBRE!AM243</f>
        <v>0</v>
      </c>
      <c r="X243" s="271">
        <f t="shared" ref="X243:X255" si="202">SUM(U243:W243)</f>
        <v>0</v>
      </c>
      <c r="Y243" s="270">
        <f>SEPTIEMBRE!AA243</f>
        <v>0</v>
      </c>
      <c r="Z243" s="208">
        <v>0</v>
      </c>
      <c r="AA243" s="271">
        <f t="shared" ref="AA243:AA255" si="203">SUM(Y243:Z243)</f>
        <v>0</v>
      </c>
      <c r="AB243" s="270">
        <f>SEPTIEMBRE!AD243</f>
        <v>0</v>
      </c>
      <c r="AC243" s="208">
        <v>0</v>
      </c>
      <c r="AD243" s="271">
        <f t="shared" ref="AD243:AD255" si="204">SUM(AB243:AC243)</f>
        <v>0</v>
      </c>
      <c r="AE243" s="270">
        <f>SEPTIEMBRE!AG243</f>
        <v>0</v>
      </c>
      <c r="AF243" s="208">
        <v>0</v>
      </c>
      <c r="AG243" s="271">
        <f>SUM(AE243:AF243)</f>
        <v>0</v>
      </c>
      <c r="AH243" s="270">
        <f t="shared" ref="AH243:AH255" si="205">X243-AA243</f>
        <v>0</v>
      </c>
      <c r="AI243" s="220">
        <f t="shared" ref="AI243:AI255" si="206">X243-AD243</f>
        <v>0</v>
      </c>
      <c r="AJ243" s="1022">
        <f t="shared" ref="AJ243:AJ255" si="207">X243-AG243</f>
        <v>0</v>
      </c>
      <c r="AK243" s="101"/>
      <c r="AL243" s="204">
        <v>0</v>
      </c>
      <c r="AM243" s="210">
        <v>0</v>
      </c>
    </row>
    <row r="244" spans="19:39" ht="24.75" customHeight="1">
      <c r="S244" s="1026" t="str">
        <f>+IF(AGOSTO!S244=0,"",AGOSTO!S244)</f>
        <v>8002100-2</v>
      </c>
      <c r="T244" s="312" t="str">
        <f>+IF(AGOSTO!T244=0,"",AGOSTO!T244)</f>
        <v>Plan Nacional de Vacunación</v>
      </c>
      <c r="U244" s="557">
        <f>+ENERO!U245</f>
        <v>0</v>
      </c>
      <c r="V244" s="1062">
        <f>SEPTIEMBRE!V244+OCTUBRE!AL244</f>
        <v>0</v>
      </c>
      <c r="W244" s="1062">
        <f>SEPTIEMBRE!W244+OCTUBRE!AM244</f>
        <v>0</v>
      </c>
      <c r="X244" s="271">
        <f t="shared" si="202"/>
        <v>0</v>
      </c>
      <c r="Y244" s="270">
        <f>SEPTIEMBRE!AA244</f>
        <v>0</v>
      </c>
      <c r="Z244" s="208">
        <v>0</v>
      </c>
      <c r="AA244" s="271">
        <f t="shared" si="203"/>
        <v>0</v>
      </c>
      <c r="AB244" s="270">
        <f>SEPTIEMBRE!AD244</f>
        <v>0</v>
      </c>
      <c r="AC244" s="208">
        <v>0</v>
      </c>
      <c r="AD244" s="271">
        <f t="shared" si="204"/>
        <v>0</v>
      </c>
      <c r="AE244" s="270">
        <f>SEPTIEMBRE!AG244</f>
        <v>0</v>
      </c>
      <c r="AF244" s="208">
        <v>0</v>
      </c>
      <c r="AG244" s="271">
        <f t="shared" ref="AG244:AG255" si="208">SUM(AE244:AF244)</f>
        <v>0</v>
      </c>
      <c r="AH244" s="270">
        <f t="shared" si="205"/>
        <v>0</v>
      </c>
      <c r="AI244" s="220">
        <f t="shared" si="206"/>
        <v>0</v>
      </c>
      <c r="AJ244" s="1022">
        <f t="shared" si="207"/>
        <v>0</v>
      </c>
      <c r="AK244" s="101"/>
      <c r="AL244" s="204">
        <v>0</v>
      </c>
      <c r="AM244" s="210">
        <v>0</v>
      </c>
    </row>
    <row r="245" spans="19:39" ht="24.75" customHeight="1">
      <c r="S245" s="1026" t="str">
        <f>+IF(AGOSTO!S245=0,"",AGOSTO!S245)</f>
        <v>8002100-3</v>
      </c>
      <c r="T245" s="312" t="str">
        <f>+IF(AGOSTO!T245=0,"",AGOSTO!T245)</f>
        <v>Adquisicion de Equipos de Computo</v>
      </c>
      <c r="U245" s="557">
        <f>+ENERO!U246</f>
        <v>0</v>
      </c>
      <c r="V245" s="1062">
        <f>SEPTIEMBRE!V245+OCTUBRE!AL245</f>
        <v>0</v>
      </c>
      <c r="W245" s="1062">
        <f>SEPTIEMBRE!W245+OCTUBRE!AM245</f>
        <v>0</v>
      </c>
      <c r="X245" s="271">
        <f t="shared" si="202"/>
        <v>0</v>
      </c>
      <c r="Y245" s="270">
        <f>SEPTIEMBRE!AA245</f>
        <v>0</v>
      </c>
      <c r="Z245" s="208">
        <v>0</v>
      </c>
      <c r="AA245" s="271">
        <f t="shared" si="203"/>
        <v>0</v>
      </c>
      <c r="AB245" s="270">
        <f>SEPTIEMBRE!AD245</f>
        <v>0</v>
      </c>
      <c r="AC245" s="208">
        <v>0</v>
      </c>
      <c r="AD245" s="271">
        <f t="shared" si="204"/>
        <v>0</v>
      </c>
      <c r="AE245" s="270">
        <f>SEPTIEMBRE!AG245</f>
        <v>0</v>
      </c>
      <c r="AF245" s="208">
        <v>0</v>
      </c>
      <c r="AG245" s="271">
        <f t="shared" si="208"/>
        <v>0</v>
      </c>
      <c r="AH245" s="270">
        <f t="shared" si="205"/>
        <v>0</v>
      </c>
      <c r="AI245" s="220">
        <f t="shared" si="206"/>
        <v>0</v>
      </c>
      <c r="AJ245" s="1022">
        <f t="shared" si="207"/>
        <v>0</v>
      </c>
      <c r="AK245" s="101"/>
      <c r="AL245" s="204">
        <v>0</v>
      </c>
      <c r="AM245" s="210">
        <v>0</v>
      </c>
    </row>
    <row r="246" spans="19:39" ht="24.75" customHeight="1">
      <c r="S246" s="1026" t="str">
        <f>+IF(AGOSTO!S246=0,"",AGOSTO!S246)</f>
        <v>8002100-4</v>
      </c>
      <c r="T246" s="312" t="str">
        <f>+IF(AGOSTO!T246=0,"",AGOSTO!T246)</f>
        <v>Adquisiciòm de Dispositvos mèdicos para dotaciòn proyecto de Quiròfanos</v>
      </c>
      <c r="U246" s="557">
        <f>+ENERO!U247</f>
        <v>0</v>
      </c>
      <c r="V246" s="1062">
        <f>SEPTIEMBRE!V246+OCTUBRE!AL246</f>
        <v>0</v>
      </c>
      <c r="W246" s="1062">
        <f>SEPTIEMBRE!W246+OCTUBRE!AM246</f>
        <v>0</v>
      </c>
      <c r="X246" s="271">
        <f t="shared" si="202"/>
        <v>0</v>
      </c>
      <c r="Y246" s="270">
        <f>SEPTIEMBRE!AA246</f>
        <v>0</v>
      </c>
      <c r="Z246" s="208">
        <v>0</v>
      </c>
      <c r="AA246" s="271">
        <f t="shared" si="203"/>
        <v>0</v>
      </c>
      <c r="AB246" s="270">
        <f>SEPTIEMBRE!AD246</f>
        <v>0</v>
      </c>
      <c r="AC246" s="208">
        <v>0</v>
      </c>
      <c r="AD246" s="271">
        <f t="shared" si="204"/>
        <v>0</v>
      </c>
      <c r="AE246" s="270">
        <f>SEPTIEMBRE!AG246</f>
        <v>0</v>
      </c>
      <c r="AF246" s="208">
        <v>0</v>
      </c>
      <c r="AG246" s="271">
        <f t="shared" si="208"/>
        <v>0</v>
      </c>
      <c r="AH246" s="270">
        <f t="shared" si="205"/>
        <v>0</v>
      </c>
      <c r="AI246" s="220">
        <f t="shared" si="206"/>
        <v>0</v>
      </c>
      <c r="AJ246" s="1022">
        <f t="shared" si="207"/>
        <v>0</v>
      </c>
      <c r="AK246" s="101"/>
      <c r="AL246" s="204">
        <v>0</v>
      </c>
      <c r="AM246" s="210">
        <v>0</v>
      </c>
    </row>
    <row r="247" spans="19:39" ht="24.75" customHeight="1">
      <c r="S247" s="1026" t="str">
        <f>+IF(AGOSTO!S247=0,"",AGOSTO!S247)</f>
        <v>8002100-5</v>
      </c>
      <c r="T247" s="312" t="str">
        <f>+IF(AGOSTO!T247=0,"",AGOSTO!T247)</f>
        <v>Programas Especial 04</v>
      </c>
      <c r="U247" s="557">
        <f>+ENERO!U248</f>
        <v>0</v>
      </c>
      <c r="V247" s="1062">
        <f>SEPTIEMBRE!V247+OCTUBRE!AL247</f>
        <v>0</v>
      </c>
      <c r="W247" s="1062">
        <f>SEPTIEMBRE!W247+OCTUBRE!AM247</f>
        <v>0</v>
      </c>
      <c r="X247" s="271">
        <f t="shared" si="202"/>
        <v>0</v>
      </c>
      <c r="Y247" s="270">
        <f>SEPTIEMBRE!AA247</f>
        <v>0</v>
      </c>
      <c r="Z247" s="208">
        <v>0</v>
      </c>
      <c r="AA247" s="271">
        <f t="shared" si="203"/>
        <v>0</v>
      </c>
      <c r="AB247" s="270">
        <f>SEPTIEMBRE!AD247</f>
        <v>0</v>
      </c>
      <c r="AC247" s="208">
        <v>0</v>
      </c>
      <c r="AD247" s="271">
        <f t="shared" si="204"/>
        <v>0</v>
      </c>
      <c r="AE247" s="270">
        <f>SEPTIEMBRE!AG247</f>
        <v>0</v>
      </c>
      <c r="AF247" s="208">
        <v>0</v>
      </c>
      <c r="AG247" s="271">
        <f t="shared" si="208"/>
        <v>0</v>
      </c>
      <c r="AH247" s="270">
        <f t="shared" si="205"/>
        <v>0</v>
      </c>
      <c r="AI247" s="220">
        <f t="shared" si="206"/>
        <v>0</v>
      </c>
      <c r="AJ247" s="1022">
        <f t="shared" si="207"/>
        <v>0</v>
      </c>
      <c r="AK247" s="101"/>
      <c r="AL247" s="204">
        <v>0</v>
      </c>
      <c r="AM247" s="210">
        <v>0</v>
      </c>
    </row>
    <row r="248" spans="19:39" ht="24.75" customHeight="1">
      <c r="S248" s="1026" t="str">
        <f>+IF(AGOSTO!S248=0,"",AGOSTO!S248)</f>
        <v>8002100-6</v>
      </c>
      <c r="T248" s="312" t="str">
        <f>+IF(AGOSTO!T248=0,"",AGOSTO!T248)</f>
        <v>Programas Especial 05</v>
      </c>
      <c r="U248" s="557">
        <f>+ENERO!U249</f>
        <v>0</v>
      </c>
      <c r="V248" s="1062">
        <f>SEPTIEMBRE!V248+OCTUBRE!AL248</f>
        <v>0</v>
      </c>
      <c r="W248" s="1062">
        <f>SEPTIEMBRE!W248+OCTUBRE!AM248</f>
        <v>0</v>
      </c>
      <c r="X248" s="271">
        <f t="shared" si="202"/>
        <v>0</v>
      </c>
      <c r="Y248" s="270">
        <f>SEPTIEMBRE!AA248</f>
        <v>0</v>
      </c>
      <c r="Z248" s="208">
        <v>0</v>
      </c>
      <c r="AA248" s="271">
        <f t="shared" si="203"/>
        <v>0</v>
      </c>
      <c r="AB248" s="270">
        <f>SEPTIEMBRE!AD248</f>
        <v>0</v>
      </c>
      <c r="AC248" s="208">
        <v>0</v>
      </c>
      <c r="AD248" s="271">
        <f t="shared" si="204"/>
        <v>0</v>
      </c>
      <c r="AE248" s="270">
        <f>SEPTIEMBRE!AG248</f>
        <v>0</v>
      </c>
      <c r="AF248" s="208">
        <v>0</v>
      </c>
      <c r="AG248" s="271">
        <f t="shared" si="208"/>
        <v>0</v>
      </c>
      <c r="AH248" s="270">
        <f t="shared" si="205"/>
        <v>0</v>
      </c>
      <c r="AI248" s="220">
        <f t="shared" si="206"/>
        <v>0</v>
      </c>
      <c r="AJ248" s="1022">
        <f t="shared" si="207"/>
        <v>0</v>
      </c>
      <c r="AK248" s="101"/>
      <c r="AL248" s="204">
        <v>0</v>
      </c>
      <c r="AM248" s="210">
        <v>0</v>
      </c>
    </row>
    <row r="249" spans="19:39" ht="24.75" customHeight="1">
      <c r="S249" s="1026" t="str">
        <f>+IF(AGOSTO!S249=0,"",AGOSTO!S249)</f>
        <v>8002100-7</v>
      </c>
      <c r="T249" s="312" t="str">
        <f>+IF(AGOSTO!T249=0,"",AGOSTO!T249)</f>
        <v>Programas Especial 06</v>
      </c>
      <c r="U249" s="557">
        <f>+ENERO!U250</f>
        <v>0</v>
      </c>
      <c r="V249" s="1062">
        <f>SEPTIEMBRE!V249+OCTUBRE!AL249</f>
        <v>0</v>
      </c>
      <c r="W249" s="1062">
        <f>SEPTIEMBRE!W249+OCTUBRE!AM249</f>
        <v>0</v>
      </c>
      <c r="X249" s="271">
        <f t="shared" si="202"/>
        <v>0</v>
      </c>
      <c r="Y249" s="270">
        <f>SEPTIEMBRE!AA249</f>
        <v>0</v>
      </c>
      <c r="Z249" s="208">
        <v>0</v>
      </c>
      <c r="AA249" s="271">
        <f t="shared" si="203"/>
        <v>0</v>
      </c>
      <c r="AB249" s="270">
        <f>SEPTIEMBRE!AD249</f>
        <v>0</v>
      </c>
      <c r="AC249" s="208">
        <v>0</v>
      </c>
      <c r="AD249" s="271">
        <f t="shared" si="204"/>
        <v>0</v>
      </c>
      <c r="AE249" s="270">
        <f>SEPTIEMBRE!AG249</f>
        <v>0</v>
      </c>
      <c r="AF249" s="208">
        <v>0</v>
      </c>
      <c r="AG249" s="271">
        <f t="shared" si="208"/>
        <v>0</v>
      </c>
      <c r="AH249" s="270">
        <f t="shared" si="205"/>
        <v>0</v>
      </c>
      <c r="AI249" s="220">
        <f t="shared" si="206"/>
        <v>0</v>
      </c>
      <c r="AJ249" s="1022">
        <f t="shared" si="207"/>
        <v>0</v>
      </c>
      <c r="AK249" s="101"/>
      <c r="AL249" s="204">
        <v>0</v>
      </c>
      <c r="AM249" s="210">
        <v>0</v>
      </c>
    </row>
    <row r="250" spans="19:39" ht="24.75" customHeight="1">
      <c r="S250" s="1026" t="str">
        <f>+IF(AGOSTO!S250=0,"",AGOSTO!S250)</f>
        <v>8002100-8</v>
      </c>
      <c r="T250" s="312" t="str">
        <f>+IF(AGOSTO!T250=0,"",AGOSTO!T250)</f>
        <v>Programas Especial 07</v>
      </c>
      <c r="U250" s="557">
        <f>+ENERO!U251</f>
        <v>0</v>
      </c>
      <c r="V250" s="1062">
        <f>SEPTIEMBRE!V250+OCTUBRE!AL250</f>
        <v>0</v>
      </c>
      <c r="W250" s="1062">
        <f>SEPTIEMBRE!W250+OCTUBRE!AM250</f>
        <v>0</v>
      </c>
      <c r="X250" s="271">
        <f t="shared" si="202"/>
        <v>0</v>
      </c>
      <c r="Y250" s="270">
        <f>SEPTIEMBRE!AA250</f>
        <v>0</v>
      </c>
      <c r="Z250" s="208">
        <v>0</v>
      </c>
      <c r="AA250" s="271">
        <f t="shared" si="203"/>
        <v>0</v>
      </c>
      <c r="AB250" s="270">
        <f>SEPTIEMBRE!AD250</f>
        <v>0</v>
      </c>
      <c r="AC250" s="208">
        <v>0</v>
      </c>
      <c r="AD250" s="271">
        <f t="shared" si="204"/>
        <v>0</v>
      </c>
      <c r="AE250" s="270">
        <f>SEPTIEMBRE!AG250</f>
        <v>0</v>
      </c>
      <c r="AF250" s="208">
        <v>0</v>
      </c>
      <c r="AG250" s="271">
        <f t="shared" si="208"/>
        <v>0</v>
      </c>
      <c r="AH250" s="270">
        <f t="shared" si="205"/>
        <v>0</v>
      </c>
      <c r="AI250" s="220">
        <f t="shared" si="206"/>
        <v>0</v>
      </c>
      <c r="AJ250" s="1022">
        <f t="shared" si="207"/>
        <v>0</v>
      </c>
      <c r="AK250" s="101"/>
      <c r="AL250" s="204">
        <v>0</v>
      </c>
      <c r="AM250" s="210">
        <v>0</v>
      </c>
    </row>
    <row r="251" spans="19:39" ht="24.75" customHeight="1">
      <c r="S251" s="1026" t="str">
        <f>+IF(AGOSTO!S251=0,"",AGOSTO!S251)</f>
        <v>8002100-9</v>
      </c>
      <c r="T251" s="312" t="str">
        <f>+IF(AGOSTO!T251=0,"",AGOSTO!T251)</f>
        <v>Programas Especial 08</v>
      </c>
      <c r="U251" s="557">
        <f>+ENERO!U252</f>
        <v>0</v>
      </c>
      <c r="V251" s="1062">
        <f>SEPTIEMBRE!V251+OCTUBRE!AL251</f>
        <v>0</v>
      </c>
      <c r="W251" s="1062">
        <f>SEPTIEMBRE!W251+OCTUBRE!AM251</f>
        <v>0</v>
      </c>
      <c r="X251" s="271">
        <f t="shared" si="202"/>
        <v>0</v>
      </c>
      <c r="Y251" s="270">
        <f>SEPTIEMBRE!AA251</f>
        <v>0</v>
      </c>
      <c r="Z251" s="208">
        <v>0</v>
      </c>
      <c r="AA251" s="271">
        <f t="shared" si="203"/>
        <v>0</v>
      </c>
      <c r="AB251" s="270">
        <f>SEPTIEMBRE!AD251</f>
        <v>0</v>
      </c>
      <c r="AC251" s="208">
        <v>0</v>
      </c>
      <c r="AD251" s="271">
        <f t="shared" si="204"/>
        <v>0</v>
      </c>
      <c r="AE251" s="270">
        <f>SEPTIEMBRE!AG251</f>
        <v>0</v>
      </c>
      <c r="AF251" s="208">
        <v>0</v>
      </c>
      <c r="AG251" s="271">
        <f t="shared" si="208"/>
        <v>0</v>
      </c>
      <c r="AH251" s="270">
        <f t="shared" si="205"/>
        <v>0</v>
      </c>
      <c r="AI251" s="220">
        <f t="shared" si="206"/>
        <v>0</v>
      </c>
      <c r="AJ251" s="1022">
        <f t="shared" si="207"/>
        <v>0</v>
      </c>
      <c r="AK251" s="101"/>
      <c r="AL251" s="204">
        <v>0</v>
      </c>
      <c r="AM251" s="210">
        <v>0</v>
      </c>
    </row>
    <row r="252" spans="19:39" ht="24.75" customHeight="1">
      <c r="S252" s="1026" t="str">
        <f>+IF(AGOSTO!S252=0,"",AGOSTO!S252)</f>
        <v>8002100-10</v>
      </c>
      <c r="T252" s="312" t="str">
        <f>+IF(AGOSTO!T252=0,"",AGOSTO!T252)</f>
        <v>Programas Especial 09</v>
      </c>
      <c r="U252" s="557">
        <f>+ENERO!U253</f>
        <v>0</v>
      </c>
      <c r="V252" s="1062">
        <f>SEPTIEMBRE!V252+OCTUBRE!AL252</f>
        <v>0</v>
      </c>
      <c r="W252" s="1062">
        <f>SEPTIEMBRE!W252+OCTUBRE!AM252</f>
        <v>0</v>
      </c>
      <c r="X252" s="271">
        <f t="shared" si="202"/>
        <v>0</v>
      </c>
      <c r="Y252" s="270">
        <f>SEPTIEMBRE!AA252</f>
        <v>0</v>
      </c>
      <c r="Z252" s="208">
        <v>0</v>
      </c>
      <c r="AA252" s="271">
        <f t="shared" si="203"/>
        <v>0</v>
      </c>
      <c r="AB252" s="270">
        <f>SEPTIEMBRE!AD252</f>
        <v>0</v>
      </c>
      <c r="AC252" s="208">
        <v>0</v>
      </c>
      <c r="AD252" s="271">
        <f t="shared" si="204"/>
        <v>0</v>
      </c>
      <c r="AE252" s="270">
        <f>SEPTIEMBRE!AG252</f>
        <v>0</v>
      </c>
      <c r="AF252" s="208">
        <v>0</v>
      </c>
      <c r="AG252" s="271">
        <f t="shared" si="208"/>
        <v>0</v>
      </c>
      <c r="AH252" s="270">
        <f t="shared" si="205"/>
        <v>0</v>
      </c>
      <c r="AI252" s="220">
        <f t="shared" si="206"/>
        <v>0</v>
      </c>
      <c r="AJ252" s="1022">
        <f t="shared" si="207"/>
        <v>0</v>
      </c>
      <c r="AK252" s="101"/>
      <c r="AL252" s="204">
        <v>0</v>
      </c>
      <c r="AM252" s="210">
        <v>0</v>
      </c>
    </row>
    <row r="253" spans="19:39" ht="24.75" customHeight="1" thickBot="1">
      <c r="S253" s="1026" t="str">
        <f>+IF(AGOSTO!S253=0,"",AGOSTO!S253)</f>
        <v>8002100-11</v>
      </c>
      <c r="T253" s="312" t="str">
        <f>+IF(AGOSTO!T253=0,"",AGOSTO!T253)</f>
        <v>Programas Especial 10</v>
      </c>
      <c r="U253" s="557">
        <f>+ENERO!U254</f>
        <v>0</v>
      </c>
      <c r="V253" s="1062">
        <f>SEPTIEMBRE!V253+OCTUBRE!AL253</f>
        <v>0</v>
      </c>
      <c r="W253" s="1062">
        <f>SEPTIEMBRE!W253+OCTUBRE!AM253</f>
        <v>0</v>
      </c>
      <c r="X253" s="271">
        <f t="shared" si="202"/>
        <v>0</v>
      </c>
      <c r="Y253" s="270">
        <f>SEPTIEMBRE!AA253</f>
        <v>0</v>
      </c>
      <c r="Z253" s="208">
        <v>0</v>
      </c>
      <c r="AA253" s="271">
        <f t="shared" si="203"/>
        <v>0</v>
      </c>
      <c r="AB253" s="270">
        <f>SEPTIEMBRE!AD253</f>
        <v>0</v>
      </c>
      <c r="AC253" s="208">
        <v>0</v>
      </c>
      <c r="AD253" s="271">
        <f t="shared" si="204"/>
        <v>0</v>
      </c>
      <c r="AE253" s="270">
        <f>SEPTIEMBRE!AG253</f>
        <v>0</v>
      </c>
      <c r="AF253" s="208">
        <v>0</v>
      </c>
      <c r="AG253" s="271">
        <f t="shared" si="208"/>
        <v>0</v>
      </c>
      <c r="AH253" s="270">
        <f t="shared" si="205"/>
        <v>0</v>
      </c>
      <c r="AI253" s="220">
        <f t="shared" si="206"/>
        <v>0</v>
      </c>
      <c r="AJ253" s="1022">
        <f t="shared" si="207"/>
        <v>0</v>
      </c>
      <c r="AK253" s="101"/>
      <c r="AL253" s="242">
        <v>0</v>
      </c>
      <c r="AM253" s="248">
        <v>0</v>
      </c>
    </row>
    <row r="254" spans="19:39" ht="24.75" customHeight="1" thickBot="1">
      <c r="S254" s="1026" t="str">
        <f>+IF(AGOSTO!S254=0,"",AGOSTO!S254)</f>
        <v>8002100-12</v>
      </c>
      <c r="T254" s="312" t="str">
        <f>+IF(AGOSTO!T254=0,"",AGOSTO!T254)</f>
        <v>Programas Especial 11</v>
      </c>
      <c r="U254" s="557">
        <f>+ENERO!U255</f>
        <v>0</v>
      </c>
      <c r="V254" s="1062">
        <f>SEPTIEMBRE!V254+OCTUBRE!AL254</f>
        <v>0</v>
      </c>
      <c r="W254" s="1062">
        <f>SEPTIEMBRE!W254+OCTUBRE!AM254</f>
        <v>0</v>
      </c>
      <c r="X254" s="271">
        <f t="shared" si="202"/>
        <v>0</v>
      </c>
      <c r="Y254" s="270">
        <f>SEPTIEMBRE!AA254</f>
        <v>0</v>
      </c>
      <c r="Z254" s="208">
        <v>0</v>
      </c>
      <c r="AA254" s="271">
        <f t="shared" si="203"/>
        <v>0</v>
      </c>
      <c r="AB254" s="270">
        <f>SEPTIEMBRE!AD254</f>
        <v>0</v>
      </c>
      <c r="AC254" s="208">
        <v>0</v>
      </c>
      <c r="AD254" s="271">
        <f t="shared" si="204"/>
        <v>0</v>
      </c>
      <c r="AE254" s="270">
        <f>SEPTIEMBRE!AG254</f>
        <v>0</v>
      </c>
      <c r="AF254" s="208">
        <v>0</v>
      </c>
      <c r="AG254" s="271">
        <f t="shared" si="208"/>
        <v>0</v>
      </c>
      <c r="AH254" s="270">
        <f t="shared" si="205"/>
        <v>0</v>
      </c>
      <c r="AI254" s="220">
        <f t="shared" si="206"/>
        <v>0</v>
      </c>
      <c r="AJ254" s="1022">
        <f t="shared" si="207"/>
        <v>0</v>
      </c>
      <c r="AK254" s="216"/>
      <c r="AL254" s="242">
        <v>0</v>
      </c>
      <c r="AM254" s="248">
        <v>0</v>
      </c>
    </row>
    <row r="255" spans="19:39" ht="24.75" customHeight="1" thickBot="1">
      <c r="S255" s="1042" t="str">
        <f>+IF(AGOSTO!S255=0,"",AGOSTO!S255)</f>
        <v>2.3.2.01.01.99</v>
      </c>
      <c r="T255" s="1043" t="str">
        <f>+IF(AGOSTO!T255=0,"",AGOSTO!T255)</f>
        <v>Vigencias Anteriores Activos Fijos</v>
      </c>
      <c r="U255" s="1076">
        <f>+ENERO!U256</f>
        <v>0</v>
      </c>
      <c r="V255" s="1062">
        <f>SEPTIEMBRE!V255+OCTUBRE!AL255</f>
        <v>0</v>
      </c>
      <c r="W255" s="1062">
        <f>SEPTIEMBRE!W255+OCTUBRE!AM255</f>
        <v>0</v>
      </c>
      <c r="X255" s="471">
        <f t="shared" si="202"/>
        <v>0</v>
      </c>
      <c r="Y255" s="270">
        <f>SEPTIEMBRE!AA255</f>
        <v>0</v>
      </c>
      <c r="Z255" s="1048">
        <v>0</v>
      </c>
      <c r="AA255" s="1046">
        <f t="shared" si="203"/>
        <v>0</v>
      </c>
      <c r="AB255" s="270">
        <f>SEPTIEMBRE!AD255</f>
        <v>0</v>
      </c>
      <c r="AC255" s="1048">
        <v>0</v>
      </c>
      <c r="AD255" s="1046">
        <f t="shared" si="204"/>
        <v>0</v>
      </c>
      <c r="AE255" s="1047">
        <f>SEPTIEMBRE!AG255</f>
        <v>0</v>
      </c>
      <c r="AF255" s="1048">
        <v>0</v>
      </c>
      <c r="AG255" s="1046">
        <f t="shared" si="208"/>
        <v>0</v>
      </c>
      <c r="AH255" s="1047">
        <f t="shared" si="205"/>
        <v>0</v>
      </c>
      <c r="AI255" s="1045">
        <f t="shared" si="206"/>
        <v>0</v>
      </c>
      <c r="AJ255" s="1049">
        <f t="shared" si="207"/>
        <v>0</v>
      </c>
      <c r="AK255" s="101"/>
      <c r="AL255" s="242">
        <v>0</v>
      </c>
      <c r="AM255" s="248">
        <v>0</v>
      </c>
    </row>
    <row r="256" spans="19:39" ht="24.75" customHeight="1" thickBot="1">
      <c r="S256" s="480" t="str">
        <f>+IF(AGOSTO!S256=0,"",AGOSTO!S256)</f>
        <v/>
      </c>
      <c r="T256" s="481" t="str">
        <f>+IF(AGOSTO!T256=0,"",AGOSTO!T256)</f>
        <v/>
      </c>
      <c r="U256" s="482"/>
      <c r="V256" s="482"/>
      <c r="W256" s="482"/>
      <c r="X256" s="482"/>
      <c r="Y256" s="482"/>
      <c r="Z256" s="482"/>
      <c r="AA256" s="482"/>
      <c r="AB256" s="482"/>
      <c r="AC256" s="482"/>
      <c r="AD256" s="482"/>
      <c r="AE256" s="482"/>
      <c r="AF256" s="482"/>
      <c r="AG256" s="482"/>
      <c r="AH256" s="482"/>
      <c r="AI256" s="482"/>
      <c r="AJ256" s="484"/>
      <c r="AK256" s="216"/>
      <c r="AL256" s="508">
        <f>+SUMIF(AK8:AK253,AK33,AL8:AL253)</f>
        <v>0</v>
      </c>
      <c r="AM256" s="509">
        <f>+SUMIF(AL8:AL253,AL33,AM8:AM253)</f>
        <v>19795577238</v>
      </c>
    </row>
    <row r="257" spans="19:36" ht="24.75" customHeight="1" thickBot="1">
      <c r="S257" s="503" t="s">
        <v>342</v>
      </c>
      <c r="T257" s="504" t="s">
        <v>197</v>
      </c>
      <c r="U257" s="136">
        <f t="shared" ref="U257:AJ257" si="209">+(C10+C17+C113)-(U10+U192+U219+U231)</f>
        <v>0.30987548828125</v>
      </c>
      <c r="V257" s="136">
        <f t="shared" si="209"/>
        <v>0</v>
      </c>
      <c r="W257" s="136">
        <f t="shared" si="209"/>
        <v>0</v>
      </c>
      <c r="X257" s="136">
        <f t="shared" si="209"/>
        <v>0.30987548828125</v>
      </c>
      <c r="Y257" s="136">
        <f t="shared" si="209"/>
        <v>15343242506</v>
      </c>
      <c r="Z257" s="136">
        <f t="shared" si="209"/>
        <v>3628595589</v>
      </c>
      <c r="AA257" s="136">
        <f t="shared" si="209"/>
        <v>19008361237</v>
      </c>
      <c r="AB257" s="136">
        <f t="shared" si="209"/>
        <v>-36131924618</v>
      </c>
      <c r="AC257" s="136">
        <f t="shared" si="209"/>
        <v>-3904283570</v>
      </c>
      <c r="AD257" s="136">
        <f t="shared" si="209"/>
        <v>-39999685046</v>
      </c>
      <c r="AE257" s="136">
        <f t="shared" si="209"/>
        <v>-99782042473.023483</v>
      </c>
      <c r="AF257" s="136">
        <f t="shared" si="209"/>
        <v>79276050541.476517</v>
      </c>
      <c r="AG257" s="136">
        <f t="shared" si="209"/>
        <v>-117922168724.5</v>
      </c>
      <c r="AH257" s="136">
        <f t="shared" si="209"/>
        <v>-27543933156.166664</v>
      </c>
      <c r="AI257" s="136">
        <f t="shared" si="209"/>
        <v>-44016927265.166664</v>
      </c>
      <c r="AJ257" s="505">
        <f t="shared" si="209"/>
        <v>-94664653307.666656</v>
      </c>
    </row>
    <row r="258" spans="19:36" ht="24.75" customHeight="1" thickBot="1">
      <c r="S258" s="984"/>
      <c r="T258" s="985"/>
      <c r="U258" s="506"/>
      <c r="V258" s="506"/>
      <c r="W258" s="506"/>
      <c r="X258" s="506"/>
      <c r="Y258" s="506"/>
      <c r="Z258" s="506"/>
      <c r="AA258" s="506"/>
      <c r="AB258" s="506"/>
      <c r="AC258" s="506"/>
      <c r="AD258" s="506"/>
      <c r="AE258" s="506"/>
      <c r="AF258" s="506"/>
      <c r="AG258" s="506"/>
      <c r="AH258" s="506"/>
      <c r="AI258" s="506"/>
      <c r="AJ258" s="507"/>
    </row>
    <row r="259" spans="19:36" ht="24.75" customHeight="1" thickBot="1">
      <c r="S259" s="510" t="s">
        <v>343</v>
      </c>
      <c r="T259" s="511"/>
      <c r="U259" s="512">
        <f t="shared" ref="U259:AJ259" si="210">+U8-U261</f>
        <v>135355804552.9446</v>
      </c>
      <c r="V259" s="512">
        <f t="shared" si="210"/>
        <v>-3141258168</v>
      </c>
      <c r="W259" s="512">
        <f t="shared" si="210"/>
        <v>50274150431</v>
      </c>
      <c r="X259" s="512">
        <f t="shared" si="210"/>
        <v>182488696815.94461</v>
      </c>
      <c r="Y259" s="512">
        <f t="shared" si="210"/>
        <v>143957377029</v>
      </c>
      <c r="Z259" s="512">
        <f t="shared" si="210"/>
        <v>13936837602</v>
      </c>
      <c r="AA259" s="512">
        <f t="shared" si="210"/>
        <v>157894214631</v>
      </c>
      <c r="AB259" s="512">
        <f t="shared" si="210"/>
        <v>122669047346</v>
      </c>
      <c r="AC259" s="512">
        <f t="shared" si="210"/>
        <v>13912642185</v>
      </c>
      <c r="AD259" s="512">
        <f t="shared" si="210"/>
        <v>136545166389</v>
      </c>
      <c r="AE259" s="512">
        <f t="shared" si="210"/>
        <v>81174934101.5</v>
      </c>
      <c r="AF259" s="512">
        <f t="shared" si="210"/>
        <v>9604554332</v>
      </c>
      <c r="AG259" s="512">
        <f t="shared" si="210"/>
        <v>90761226862.5</v>
      </c>
      <c r="AH259" s="512">
        <f t="shared" si="210"/>
        <v>24612743755.944607</v>
      </c>
      <c r="AI259" s="512">
        <f t="shared" si="210"/>
        <v>45925268855.944611</v>
      </c>
      <c r="AJ259" s="513">
        <f t="shared" si="210"/>
        <v>91709208382.444595</v>
      </c>
    </row>
    <row r="260" spans="19:36" ht="24.75" customHeight="1" thickBot="1">
      <c r="S260" s="514"/>
      <c r="T260" s="515"/>
      <c r="U260" s="516"/>
      <c r="V260" s="516"/>
      <c r="W260" s="516"/>
      <c r="X260" s="516"/>
      <c r="Y260" s="516"/>
      <c r="Z260" s="516"/>
      <c r="AA260" s="516"/>
      <c r="AB260" s="516"/>
      <c r="AC260" s="516"/>
      <c r="AD260" s="516"/>
      <c r="AE260" s="516"/>
      <c r="AF260" s="516"/>
      <c r="AG260" s="516"/>
      <c r="AH260" s="516"/>
      <c r="AI260" s="516"/>
      <c r="AJ260" s="517"/>
    </row>
    <row r="261" spans="19:36" ht="24.75" customHeight="1" thickBot="1">
      <c r="S261" s="518" t="s">
        <v>344</v>
      </c>
      <c r="T261" s="519"/>
      <c r="U261" s="660">
        <f>SUM(U255+U240+U229+U224+U217+U206+U190+U181+U166+U153+U139+U121+U108+U102+U88+U81+U61+U55+U41+U33)</f>
        <v>22787348584.222057</v>
      </c>
      <c r="V261" s="660">
        <f t="shared" ref="V261:AJ261" si="211">SUM(V255+V240+V229+V224+V217+V206+V190+V181+V166+V153+V139+V121+V108+V102+V88+V81+V61+V55+V41+V33)</f>
        <v>3141258168</v>
      </c>
      <c r="W261" s="660">
        <f>SUM(W255+W240+W229+W224+W217+W206+W190+W181+W166+W153+W139+W121+W108+W102+W88+W81+W61+W55+W41+W33)</f>
        <v>4187780035</v>
      </c>
      <c r="X261" s="660">
        <f t="shared" si="211"/>
        <v>30116386787.222057</v>
      </c>
      <c r="Y261" s="660">
        <f t="shared" si="211"/>
        <v>27170722065</v>
      </c>
      <c r="Z261" s="660">
        <f t="shared" si="211"/>
        <v>14475322</v>
      </c>
      <c r="AA261" s="660">
        <f t="shared" si="211"/>
        <v>27185197387</v>
      </c>
      <c r="AB261" s="660">
        <f t="shared" si="211"/>
        <v>27164522065</v>
      </c>
      <c r="AC261" s="660">
        <f t="shared" si="211"/>
        <v>14475322</v>
      </c>
      <c r="AD261" s="660">
        <f t="shared" si="211"/>
        <v>27178997387</v>
      </c>
      <c r="AE261" s="660">
        <f t="shared" si="211"/>
        <v>27160941862</v>
      </c>
      <c r="AF261" s="660">
        <f>SUM(AF255+AF240+AF229+AF224+AF217+AF206+AF190+AF181+AF166+AF153+AF139+AF121+AF108+AF102+AF88+AF81+AF61+AF55+AF41+AF33)</f>
        <v>0</v>
      </c>
      <c r="AG261" s="660">
        <f t="shared" si="211"/>
        <v>27160941862</v>
      </c>
      <c r="AH261" s="660">
        <f t="shared" si="211"/>
        <v>2931189400.2220573</v>
      </c>
      <c r="AI261" s="660">
        <f t="shared" si="211"/>
        <v>2937389400.2220573</v>
      </c>
      <c r="AJ261" s="660">
        <f t="shared" si="211"/>
        <v>2955444925.2220573</v>
      </c>
    </row>
    <row r="262" spans="19:36" ht="24.75" customHeight="1" thickBot="1">
      <c r="S262" s="514"/>
      <c r="T262" s="515"/>
      <c r="U262" s="515"/>
      <c r="V262" s="516"/>
      <c r="W262" s="516"/>
      <c r="X262" s="516"/>
      <c r="Y262" s="516"/>
      <c r="Z262" s="516"/>
      <c r="AA262" s="516"/>
      <c r="AB262" s="516"/>
      <c r="AC262" s="516"/>
      <c r="AD262" s="516"/>
      <c r="AE262" s="516"/>
      <c r="AF262" s="516"/>
      <c r="AG262" s="516"/>
      <c r="AH262" s="516"/>
      <c r="AI262" s="516"/>
      <c r="AJ262" s="516"/>
    </row>
    <row r="263" spans="19:36" ht="24.75" customHeight="1" thickBot="1">
      <c r="S263" s="520" t="s">
        <v>345</v>
      </c>
      <c r="T263" s="521"/>
      <c r="U263" s="522">
        <f t="shared" ref="U263:AJ263" si="212">+U259+U261</f>
        <v>158143153137.16666</v>
      </c>
      <c r="V263" s="522">
        <f t="shared" si="212"/>
        <v>0</v>
      </c>
      <c r="W263" s="522">
        <f t="shared" si="212"/>
        <v>54461930466</v>
      </c>
      <c r="X263" s="522">
        <f t="shared" si="212"/>
        <v>212605083603.16666</v>
      </c>
      <c r="Y263" s="522">
        <f t="shared" si="212"/>
        <v>171128099094</v>
      </c>
      <c r="Z263" s="522">
        <f t="shared" si="212"/>
        <v>13951312924</v>
      </c>
      <c r="AA263" s="522">
        <f t="shared" si="212"/>
        <v>185079412018</v>
      </c>
      <c r="AB263" s="522">
        <f t="shared" si="212"/>
        <v>149833569411</v>
      </c>
      <c r="AC263" s="522">
        <f t="shared" si="212"/>
        <v>13927117507</v>
      </c>
      <c r="AD263" s="522">
        <f t="shared" si="212"/>
        <v>163724163776</v>
      </c>
      <c r="AE263" s="522">
        <f t="shared" si="212"/>
        <v>108335875963.5</v>
      </c>
      <c r="AF263" s="522">
        <f t="shared" si="212"/>
        <v>9604554332</v>
      </c>
      <c r="AG263" s="522">
        <f t="shared" si="212"/>
        <v>117922168724.5</v>
      </c>
      <c r="AH263" s="522">
        <f t="shared" si="212"/>
        <v>27543933156.166664</v>
      </c>
      <c r="AI263" s="522">
        <f t="shared" si="212"/>
        <v>48862658256.166672</v>
      </c>
      <c r="AJ263" s="523">
        <f t="shared" si="212"/>
        <v>94664653307.666656</v>
      </c>
    </row>
  </sheetData>
  <mergeCells count="54">
    <mergeCell ref="A5:A6"/>
    <mergeCell ref="B5:B6"/>
    <mergeCell ref="C5:F5"/>
    <mergeCell ref="A1:B1"/>
    <mergeCell ref="C1:J1"/>
    <mergeCell ref="K1:N1"/>
    <mergeCell ref="L2:M2"/>
    <mergeCell ref="P2:Q2"/>
    <mergeCell ref="D2:E2"/>
    <mergeCell ref="B3:B4"/>
    <mergeCell ref="D3:E4"/>
    <mergeCell ref="F3:K4"/>
    <mergeCell ref="L3:M4"/>
    <mergeCell ref="P3:P5"/>
    <mergeCell ref="Q3:Q5"/>
    <mergeCell ref="G5:I5"/>
    <mergeCell ref="J5:L5"/>
    <mergeCell ref="M5:N5"/>
    <mergeCell ref="N3:N4"/>
    <mergeCell ref="BM3:BO3"/>
    <mergeCell ref="AW4:AZ4"/>
    <mergeCell ref="S5:S6"/>
    <mergeCell ref="Y2:AG2"/>
    <mergeCell ref="AH2:AI2"/>
    <mergeCell ref="AL2:AM2"/>
    <mergeCell ref="AP2:AZ2"/>
    <mergeCell ref="BB2:BC2"/>
    <mergeCell ref="V2:X2"/>
    <mergeCell ref="BH5:BK5"/>
    <mergeCell ref="BM5:BM6"/>
    <mergeCell ref="BN5:BQ5"/>
    <mergeCell ref="BG2:BI2"/>
    <mergeCell ref="BM2:BO2"/>
    <mergeCell ref="V3:X4"/>
    <mergeCell ref="AP3:AZ3"/>
    <mergeCell ref="T3:T4"/>
    <mergeCell ref="Y3:AG4"/>
    <mergeCell ref="AH3:AI4"/>
    <mergeCell ref="AJ3:AJ4"/>
    <mergeCell ref="BF5:BF6"/>
    <mergeCell ref="AH5:AJ5"/>
    <mergeCell ref="T5:T6"/>
    <mergeCell ref="U5:X5"/>
    <mergeCell ref="Y5:AA5"/>
    <mergeCell ref="AB5:AD5"/>
    <mergeCell ref="AE5:AG5"/>
    <mergeCell ref="BL5:BL6"/>
    <mergeCell ref="AM3:AM5"/>
    <mergeCell ref="AW19:AZ19"/>
    <mergeCell ref="AW35:AX35"/>
    <mergeCell ref="AL3:AL5"/>
    <mergeCell ref="BG3:BI3"/>
    <mergeCell ref="BB3:BC3"/>
    <mergeCell ref="BC5:BE5"/>
  </mergeCells>
  <conditionalFormatting sqref="B5:B7">
    <cfRule type="expression" dxfId="2" priority="1" stopIfTrue="1">
      <formula>$B$5="OJO - RECUERDE RECAUDAR LA DISPONIBLIDAD INICIAL EN ESTE TRIMESTRE, haga clik en H9 para ampliar la información"</formula>
    </cfRule>
  </conditionalFormatting>
  <printOptions horizontalCentered="1" verticalCentered="1"/>
  <pageMargins left="0.59055118110236227" right="0.59055118110236227" top="0.43307086614173229" bottom="0.39370078740157483" header="0" footer="0"/>
  <pageSetup paperSize="14" scale="50" orientation="landscape" r:id="rId1"/>
  <headerFooter>
    <oddFooter>&amp;CPágina &amp;P de</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Q263"/>
  <sheetViews>
    <sheetView showGridLines="0" topLeftCell="J37" zoomScale="115" zoomScaleNormal="115" workbookViewId="0">
      <selection activeCell="A46" sqref="A46:XFD46"/>
    </sheetView>
  </sheetViews>
  <sheetFormatPr baseColWidth="10" defaultColWidth="14.42578125" defaultRowHeight="15" customHeight="1"/>
  <cols>
    <col min="1" max="1" width="29.140625" customWidth="1"/>
    <col min="2" max="2" width="50.5703125" customWidth="1"/>
    <col min="3" max="3" width="20.28515625" customWidth="1"/>
    <col min="4" max="4" width="16.140625" customWidth="1"/>
    <col min="5" max="5" width="14.42578125" customWidth="1"/>
    <col min="6" max="6" width="21.140625" customWidth="1"/>
    <col min="7" max="7" width="16.42578125" customWidth="1"/>
    <col min="8" max="8" width="20" customWidth="1"/>
    <col min="9" max="9" width="16.5703125" customWidth="1"/>
    <col min="10" max="10" width="16.42578125" customWidth="1"/>
    <col min="11" max="11" width="18.85546875" customWidth="1"/>
    <col min="12" max="12" width="17" customWidth="1"/>
    <col min="13" max="13" width="20.7109375" customWidth="1"/>
    <col min="14" max="14" width="16.7109375" customWidth="1"/>
    <col min="15" max="15" width="2.85546875" customWidth="1"/>
    <col min="16" max="17" width="23.7109375" customWidth="1"/>
    <col min="18" max="18" width="5.42578125" customWidth="1"/>
    <col min="19" max="19" width="24.7109375" customWidth="1"/>
    <col min="20" max="20" width="60.140625" customWidth="1"/>
    <col min="21" max="21" width="17.5703125" customWidth="1"/>
    <col min="22" max="22" width="19.42578125" customWidth="1"/>
    <col min="23" max="23" width="16.85546875" customWidth="1"/>
    <col min="24" max="24" width="18" customWidth="1"/>
    <col min="25" max="25" width="18.42578125" customWidth="1"/>
    <col min="26" max="26" width="18.140625" customWidth="1"/>
    <col min="27" max="27" width="17.42578125" customWidth="1"/>
    <col min="28" max="28" width="20.140625" customWidth="1"/>
    <col min="29" max="29" width="14.7109375" customWidth="1"/>
    <col min="30" max="30" width="21.140625" customWidth="1"/>
    <col min="31" max="31" width="19.140625" customWidth="1"/>
    <col min="32" max="32" width="16.85546875" customWidth="1"/>
    <col min="33" max="33" width="18.42578125" customWidth="1"/>
    <col min="34" max="36" width="16.7109375" customWidth="1"/>
    <col min="37" max="37" width="8.85546875" customWidth="1"/>
    <col min="38" max="39" width="23.7109375" customWidth="1"/>
    <col min="40" max="40" width="4.85546875" customWidth="1"/>
    <col min="41" max="41" width="12.28515625" customWidth="1"/>
    <col min="42" max="42" width="52.28515625" customWidth="1"/>
    <col min="43" max="45" width="16.85546875" customWidth="1"/>
    <col min="46" max="46" width="12.7109375" customWidth="1"/>
    <col min="47" max="47" width="27.42578125" customWidth="1"/>
    <col min="48" max="48" width="25" customWidth="1"/>
    <col min="49" max="52" width="16.85546875" customWidth="1"/>
    <col min="53" max="53" width="11" customWidth="1"/>
    <col min="54" max="54" width="65.140625" customWidth="1"/>
    <col min="55" max="57" width="18.85546875" customWidth="1"/>
    <col min="58" max="58" width="17.28515625" customWidth="1"/>
    <col min="59" max="59" width="72.7109375" customWidth="1"/>
    <col min="60" max="60" width="20.42578125" customWidth="1"/>
    <col min="61" max="63" width="17.5703125" customWidth="1"/>
    <col min="64" max="64" width="16.5703125" customWidth="1"/>
    <col min="65" max="65" width="76" customWidth="1"/>
    <col min="66" max="66" width="19.7109375" customWidth="1"/>
    <col min="67" max="67" width="17.140625" customWidth="1"/>
    <col min="68" max="68" width="19.28515625" customWidth="1"/>
    <col min="69" max="69" width="16" customWidth="1"/>
    <col min="70" max="70" width="11" customWidth="1"/>
  </cols>
  <sheetData>
    <row r="1" spans="1:69" ht="24.75" customHeight="1" thickBot="1">
      <c r="A1" s="1447"/>
      <c r="B1" s="1366"/>
      <c r="C1" s="1448"/>
      <c r="D1" s="1365"/>
      <c r="E1" s="1365"/>
      <c r="F1" s="1365"/>
      <c r="G1" s="1365"/>
      <c r="H1" s="1365"/>
      <c r="I1" s="1365"/>
      <c r="J1" s="1366"/>
      <c r="K1" s="1364" t="str">
        <f>+IF(L8&gt;I8,"OJO - SUS RECAUDOS SON SUPERIORES A SUS RECONOCIMIENTOS, VERIFIQUE","")</f>
        <v/>
      </c>
      <c r="L1" s="1365"/>
      <c r="M1" s="1365"/>
      <c r="N1" s="1366"/>
      <c r="O1" s="31"/>
      <c r="P1" s="32"/>
      <c r="Q1" s="32"/>
      <c r="R1" s="31"/>
      <c r="S1" s="33"/>
      <c r="T1" s="34"/>
      <c r="U1" s="35" t="str">
        <f>+IF(AA8&gt;X8,"OJO - HA COMPROMETIDO MUCHO MAS DE LO QUE TIENE PRESUPUESTADO","")</f>
        <v/>
      </c>
      <c r="V1" s="31"/>
      <c r="W1" s="31"/>
      <c r="X1" s="35"/>
      <c r="Y1" s="35" t="str">
        <f>+IF(AD8&gt;AA8,"OJO - SUS OBLIGACIONES SUPERAN SUS COMPROMISOS, VERIFIQUE","")</f>
        <v/>
      </c>
      <c r="Z1" s="31"/>
      <c r="AA1" s="31"/>
      <c r="AB1" s="31"/>
      <c r="AC1" s="35" t="str">
        <f>+IF(AG8&gt;AD8,"OJO - SUS PAGOS NO PUEDEN SUPERAR SUS OBLIGACIONES, VERIFIQUE","")</f>
        <v/>
      </c>
      <c r="AD1" s="31"/>
      <c r="AE1" s="31"/>
      <c r="AF1" s="31"/>
      <c r="AG1" s="31"/>
      <c r="AH1" s="31"/>
      <c r="AI1" s="31"/>
      <c r="AJ1" s="31"/>
      <c r="AK1" s="36"/>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r="2" spans="1:69" ht="53.25" customHeight="1" thickBot="1">
      <c r="A2" s="524"/>
      <c r="B2" s="45" t="str">
        <f>+ENERO!B2</f>
        <v>SECRETARIA SECCIONAL DE SALUD Y PROTECCION SOCIAL DE ANTIOQUIA DE ANTIOQUIA</v>
      </c>
      <c r="C2" s="39"/>
      <c r="D2" s="1346" t="str">
        <f>+IF(F2="","","MUNICIPIO:")</f>
        <v>MUNICIPIO:</v>
      </c>
      <c r="E2" s="1327"/>
      <c r="F2" s="40" t="str">
        <f>IF(INSTRUCCIONES!B3=0,"",INSTRUCCIONES!B3)</f>
        <v>BELLO</v>
      </c>
      <c r="G2" s="41"/>
      <c r="H2" s="41"/>
      <c r="I2" s="41"/>
      <c r="J2" s="41"/>
      <c r="K2" s="42"/>
      <c r="L2" s="1368" t="s">
        <v>37</v>
      </c>
      <c r="M2" s="1340"/>
      <c r="N2" s="43" t="s">
        <v>38</v>
      </c>
      <c r="O2" s="31"/>
      <c r="P2" s="1341" t="s">
        <v>346</v>
      </c>
      <c r="Q2" s="1338"/>
      <c r="R2" s="31"/>
      <c r="S2" s="44"/>
      <c r="T2" s="45" t="str">
        <f>+ENERO!T2</f>
        <v>SECRETARIA SECCIONAL DE SALUD Y PROTECCION SOCIAL DE ANTIOQUIA DE ANTIOQUIA</v>
      </c>
      <c r="U2" s="39"/>
      <c r="V2" s="1369" t="str">
        <f>+IF(Y2="","","M U N I C I P I O:")</f>
        <v>M U N I C I P I O:</v>
      </c>
      <c r="W2" s="1337"/>
      <c r="X2" s="1327"/>
      <c r="Y2" s="1336" t="str">
        <f>IF(INSTRUCCIONES!B3=0,"",INSTRUCCIONES!B3)</f>
        <v>BELLO</v>
      </c>
      <c r="Z2" s="1337"/>
      <c r="AA2" s="1337"/>
      <c r="AB2" s="1337"/>
      <c r="AC2" s="1337"/>
      <c r="AD2" s="1337"/>
      <c r="AE2" s="1337"/>
      <c r="AF2" s="1337"/>
      <c r="AG2" s="1338"/>
      <c r="AH2" s="1339" t="s">
        <v>37</v>
      </c>
      <c r="AI2" s="1340"/>
      <c r="AJ2" s="43" t="s">
        <v>38</v>
      </c>
      <c r="AK2" s="36"/>
      <c r="AL2" s="1341" t="s">
        <v>346</v>
      </c>
      <c r="AM2" s="1338"/>
      <c r="AN2" s="31"/>
      <c r="AO2" s="46">
        <v>11</v>
      </c>
      <c r="AP2" s="1342" t="s">
        <v>40</v>
      </c>
      <c r="AQ2" s="1322"/>
      <c r="AR2" s="1322"/>
      <c r="AS2" s="1322"/>
      <c r="AT2" s="1322"/>
      <c r="AU2" s="1322"/>
      <c r="AV2" s="1322"/>
      <c r="AW2" s="1322"/>
      <c r="AX2" s="1322"/>
      <c r="AY2" s="1322"/>
      <c r="AZ2" s="1323"/>
      <c r="BA2" s="31"/>
      <c r="BB2" s="1341" t="s">
        <v>41</v>
      </c>
      <c r="BC2" s="1327"/>
      <c r="BD2" s="47" t="s">
        <v>37</v>
      </c>
      <c r="BE2" s="43" t="str">
        <f>+L3</f>
        <v>NOVIEMBRE</v>
      </c>
      <c r="BF2" s="35"/>
      <c r="BG2" s="1341" t="s">
        <v>42</v>
      </c>
      <c r="BH2" s="1337"/>
      <c r="BI2" s="1327"/>
      <c r="BJ2" s="47" t="s">
        <v>37</v>
      </c>
      <c r="BK2" s="43" t="str">
        <f>+BE2</f>
        <v>NOVIEMBRE</v>
      </c>
      <c r="BL2" s="31"/>
      <c r="BM2" s="1343" t="s">
        <v>42</v>
      </c>
      <c r="BN2" s="1344"/>
      <c r="BO2" s="1345"/>
      <c r="BP2" s="732" t="s">
        <v>37</v>
      </c>
      <c r="BQ2" s="733" t="str">
        <f>+BK2</f>
        <v>NOVIEMBRE</v>
      </c>
    </row>
    <row r="3" spans="1:69" ht="24.75" customHeight="1" thickBot="1">
      <c r="A3" s="525"/>
      <c r="B3" s="1332" t="s">
        <v>43</v>
      </c>
      <c r="C3" s="49"/>
      <c r="D3" s="1347" t="str">
        <f>+IF(F3="","","INSTITUCION:")</f>
        <v>INSTITUCION:</v>
      </c>
      <c r="E3" s="1348"/>
      <c r="F3" s="1308" t="str">
        <f>IF(INSTRUCCIONES!B5=0,"",INSTRUCCIONES!B5)</f>
        <v>ESE HOSPITAL MARCO FIDEL SUAREZ</v>
      </c>
      <c r="G3" s="1309"/>
      <c r="H3" s="1309"/>
      <c r="I3" s="1309"/>
      <c r="J3" s="1309"/>
      <c r="K3" s="1310"/>
      <c r="L3" s="1312" t="s">
        <v>407</v>
      </c>
      <c r="M3" s="1313"/>
      <c r="N3" s="1331">
        <f>SUM(ENERO!N3)</f>
        <v>2025</v>
      </c>
      <c r="O3" s="31"/>
      <c r="P3" s="1315" t="s">
        <v>408</v>
      </c>
      <c r="Q3" s="1318" t="s">
        <v>409</v>
      </c>
      <c r="R3" s="31"/>
      <c r="S3" s="50"/>
      <c r="T3" s="1332" t="s">
        <v>47</v>
      </c>
      <c r="U3" s="51"/>
      <c r="V3" s="1357" t="str">
        <f>+IF(Y3="","","E.S.E. H O S P I T A L:")</f>
        <v>E.S.E. H O S P I T A L:</v>
      </c>
      <c r="W3" s="1309"/>
      <c r="X3" s="1348"/>
      <c r="Y3" s="1308" t="str">
        <f>IF(INSTRUCCIONES!B5=0,"",INSTRUCCIONES!B5)</f>
        <v>ESE HOSPITAL MARCO FIDEL SUAREZ</v>
      </c>
      <c r="Z3" s="1309"/>
      <c r="AA3" s="1309"/>
      <c r="AB3" s="1309"/>
      <c r="AC3" s="1309"/>
      <c r="AD3" s="1309"/>
      <c r="AE3" s="1309"/>
      <c r="AF3" s="1309"/>
      <c r="AG3" s="1310"/>
      <c r="AH3" s="1334" t="str">
        <f>+L3</f>
        <v>NOVIEMBRE</v>
      </c>
      <c r="AI3" s="1313"/>
      <c r="AJ3" s="1331">
        <f>+N3</f>
        <v>2025</v>
      </c>
      <c r="AK3" s="36"/>
      <c r="AL3" s="1315" t="s">
        <v>410</v>
      </c>
      <c r="AM3" s="1318" t="s">
        <v>411</v>
      </c>
      <c r="AN3" s="31"/>
      <c r="AO3" s="52"/>
      <c r="AP3" s="1373" t="s">
        <v>50</v>
      </c>
      <c r="AQ3" s="1374"/>
      <c r="AR3" s="1374"/>
      <c r="AS3" s="1374"/>
      <c r="AT3" s="1374"/>
      <c r="AU3" s="1374"/>
      <c r="AV3" s="1374"/>
      <c r="AW3" s="1374"/>
      <c r="AX3" s="1374"/>
      <c r="AY3" s="1374"/>
      <c r="AZ3" s="1375"/>
      <c r="BA3" s="31"/>
      <c r="BB3" s="1376" t="str">
        <f>+CONCATENATE(INSTRUCCIONES!B5, " - ", INSTRUCCIONES!B3)</f>
        <v>ESE HOSPITAL MARCO FIDEL SUAREZ - BELLO</v>
      </c>
      <c r="BC3" s="1377"/>
      <c r="BD3" s="53" t="s">
        <v>38</v>
      </c>
      <c r="BE3" s="54">
        <f>+N3</f>
        <v>2025</v>
      </c>
      <c r="BF3" s="55" t="s">
        <v>51</v>
      </c>
      <c r="BG3" s="1376" t="str">
        <f>+CONCATENATE(INSTRUCCIONES!B5, " - ", INSTRUCCIONES!B3)</f>
        <v>ESE HOSPITAL MARCO FIDEL SUAREZ - BELLO</v>
      </c>
      <c r="BH3" s="1378"/>
      <c r="BI3" s="1377"/>
      <c r="BJ3" s="53" t="s">
        <v>38</v>
      </c>
      <c r="BK3" s="54">
        <f>+BE3</f>
        <v>2025</v>
      </c>
      <c r="BL3" s="31"/>
      <c r="BM3" s="1379" t="str">
        <f>+CONCATENATE(INSTRUCCIONES!B5, " - ", INSTRUCCIONES!B3)</f>
        <v>ESE HOSPITAL MARCO FIDEL SUAREZ - BELLO</v>
      </c>
      <c r="BN3" s="1380"/>
      <c r="BO3" s="1381"/>
      <c r="BP3" s="53" t="s">
        <v>38</v>
      </c>
      <c r="BQ3" s="734">
        <f>+BK3</f>
        <v>2025</v>
      </c>
    </row>
    <row r="4" spans="1:69" ht="24.75" customHeight="1" thickBot="1">
      <c r="A4" s="525"/>
      <c r="B4" s="1363"/>
      <c r="C4" s="56"/>
      <c r="D4" s="1311"/>
      <c r="E4" s="1349"/>
      <c r="F4" s="1311"/>
      <c r="G4" s="1295"/>
      <c r="H4" s="1295"/>
      <c r="I4" s="1295"/>
      <c r="J4" s="1295"/>
      <c r="K4" s="1296"/>
      <c r="L4" s="1300"/>
      <c r="M4" s="1314"/>
      <c r="N4" s="1320"/>
      <c r="O4" s="31"/>
      <c r="P4" s="1316"/>
      <c r="Q4" s="1319"/>
      <c r="R4" s="31"/>
      <c r="S4" s="50"/>
      <c r="T4" s="1333"/>
      <c r="U4" s="56"/>
      <c r="V4" s="1311"/>
      <c r="W4" s="1295"/>
      <c r="X4" s="1349"/>
      <c r="Y4" s="1311"/>
      <c r="Z4" s="1295"/>
      <c r="AA4" s="1295"/>
      <c r="AB4" s="1295"/>
      <c r="AC4" s="1295"/>
      <c r="AD4" s="1295"/>
      <c r="AE4" s="1295"/>
      <c r="AF4" s="1295"/>
      <c r="AG4" s="1296"/>
      <c r="AH4" s="1311"/>
      <c r="AI4" s="1314"/>
      <c r="AJ4" s="1320"/>
      <c r="AK4" s="36"/>
      <c r="AL4" s="1316"/>
      <c r="AM4" s="1319"/>
      <c r="AN4" s="31"/>
      <c r="AO4" s="52"/>
      <c r="AP4" s="57"/>
      <c r="AQ4" s="58" t="s">
        <v>52</v>
      </c>
      <c r="AR4" s="58" t="s">
        <v>53</v>
      </c>
      <c r="AS4" s="58" t="s">
        <v>54</v>
      </c>
      <c r="AT4" s="58" t="s">
        <v>55</v>
      </c>
      <c r="AU4" s="58" t="s">
        <v>55</v>
      </c>
      <c r="AV4" s="59" t="s">
        <v>55</v>
      </c>
      <c r="AW4" s="1382" t="str">
        <f>+CONCATENATE("PROYECCION A DICIEMBRE 31 DEL ",N3)</f>
        <v>PROYECCION A DICIEMBRE 31 DEL 2025</v>
      </c>
      <c r="AX4" s="1374"/>
      <c r="AY4" s="1374"/>
      <c r="AZ4" s="1375"/>
      <c r="BA4" s="31"/>
      <c r="BB4" s="60"/>
      <c r="BC4" s="61"/>
      <c r="BD4" s="61"/>
      <c r="BE4" s="63"/>
      <c r="BF4" s="64"/>
      <c r="BG4" s="60"/>
      <c r="BH4" s="61"/>
      <c r="BI4" s="61"/>
      <c r="BJ4" s="62"/>
      <c r="BK4" s="65"/>
      <c r="BL4" s="66"/>
      <c r="BM4" s="735"/>
      <c r="BN4" s="736"/>
      <c r="BO4" s="737"/>
      <c r="BP4" s="737"/>
      <c r="BQ4" s="738"/>
    </row>
    <row r="5" spans="1:69" ht="42" customHeight="1" thickTop="1" thickBot="1">
      <c r="A5" s="1446" t="s">
        <v>56</v>
      </c>
      <c r="B5" s="1359" t="s">
        <v>61</v>
      </c>
      <c r="C5" s="1354" t="s">
        <v>57</v>
      </c>
      <c r="D5" s="1322"/>
      <c r="E5" s="1322"/>
      <c r="F5" s="1323"/>
      <c r="G5" s="1321" t="s">
        <v>412</v>
      </c>
      <c r="H5" s="1322"/>
      <c r="I5" s="1323"/>
      <c r="J5" s="1324" t="str">
        <f>+IF(L8&gt;I8,"OJO - RECAUDOS MAYORES QUE RECONOCIMIENTOS","RECAUDO")</f>
        <v>RECAUDO</v>
      </c>
      <c r="K5" s="1322"/>
      <c r="L5" s="1323"/>
      <c r="M5" s="1325" t="s">
        <v>59</v>
      </c>
      <c r="N5" s="1323"/>
      <c r="O5" s="31"/>
      <c r="P5" s="1317"/>
      <c r="Q5" s="1320"/>
      <c r="R5" s="31"/>
      <c r="S5" s="1358" t="s">
        <v>60</v>
      </c>
      <c r="T5" s="1359" t="s">
        <v>61</v>
      </c>
      <c r="U5" s="1360" t="s">
        <v>57</v>
      </c>
      <c r="V5" s="1322"/>
      <c r="W5" s="1322"/>
      <c r="X5" s="1323"/>
      <c r="Y5" s="1335" t="s">
        <v>413</v>
      </c>
      <c r="Z5" s="1322"/>
      <c r="AA5" s="1340"/>
      <c r="AB5" s="1335" t="s">
        <v>414</v>
      </c>
      <c r="AC5" s="1322"/>
      <c r="AD5" s="1323"/>
      <c r="AE5" s="1335" t="s">
        <v>34</v>
      </c>
      <c r="AF5" s="1322"/>
      <c r="AG5" s="1323"/>
      <c r="AH5" s="1335" t="s">
        <v>64</v>
      </c>
      <c r="AI5" s="1322"/>
      <c r="AJ5" s="1323"/>
      <c r="AK5" s="36"/>
      <c r="AL5" s="1317"/>
      <c r="AM5" s="1320"/>
      <c r="AN5" s="31"/>
      <c r="AO5" s="68"/>
      <c r="AP5" s="69" t="s">
        <v>65</v>
      </c>
      <c r="AQ5" s="58"/>
      <c r="AR5" s="58" t="s">
        <v>66</v>
      </c>
      <c r="AS5" s="58" t="s">
        <v>66</v>
      </c>
      <c r="AT5" s="58" t="s">
        <v>67</v>
      </c>
      <c r="AU5" s="58" t="s">
        <v>68</v>
      </c>
      <c r="AV5" s="58" t="s">
        <v>68</v>
      </c>
      <c r="AW5" s="58" t="s">
        <v>23</v>
      </c>
      <c r="AX5" s="58" t="s">
        <v>26</v>
      </c>
      <c r="AY5" s="58" t="s">
        <v>69</v>
      </c>
      <c r="AZ5" s="70" t="s">
        <v>69</v>
      </c>
      <c r="BA5" s="31"/>
      <c r="BB5" s="71" t="s">
        <v>70</v>
      </c>
      <c r="BC5" s="1445" t="str">
        <f>+CONCATENATE("ACUMULADO ",N3)</f>
        <v>ACUMULADO 2025</v>
      </c>
      <c r="BD5" s="1322"/>
      <c r="BE5" s="1323"/>
      <c r="BF5" s="1440" t="s">
        <v>352</v>
      </c>
      <c r="BG5" s="549" t="s">
        <v>71</v>
      </c>
      <c r="BH5" s="1361" t="str">
        <f>+CONCATENATE("ACUMULADO ",N3)</f>
        <v>ACUMULADO 2025</v>
      </c>
      <c r="BI5" s="1322"/>
      <c r="BJ5" s="1322"/>
      <c r="BK5" s="1442"/>
      <c r="BL5" s="1443" t="s">
        <v>353</v>
      </c>
      <c r="BM5" s="1384" t="s">
        <v>71</v>
      </c>
      <c r="BN5" s="1370" t="str">
        <f>+CONCATENATE("ACUMULADO ",BQ3)</f>
        <v>ACUMULADO 2025</v>
      </c>
      <c r="BO5" s="1371"/>
      <c r="BP5" s="1371"/>
      <c r="BQ5" s="1372"/>
    </row>
    <row r="6" spans="1:69" ht="24.75" customHeight="1" thickBot="1">
      <c r="A6" s="1398"/>
      <c r="B6" s="1401"/>
      <c r="C6" s="76" t="s">
        <v>72</v>
      </c>
      <c r="D6" s="77" t="s">
        <v>73</v>
      </c>
      <c r="E6" s="77" t="s">
        <v>74</v>
      </c>
      <c r="F6" s="78" t="s">
        <v>75</v>
      </c>
      <c r="G6" s="76" t="s">
        <v>76</v>
      </c>
      <c r="H6" s="77" t="s">
        <v>77</v>
      </c>
      <c r="I6" s="78" t="s">
        <v>78</v>
      </c>
      <c r="J6" s="76" t="s">
        <v>76</v>
      </c>
      <c r="K6" s="77" t="s">
        <v>77</v>
      </c>
      <c r="L6" s="78" t="s">
        <v>78</v>
      </c>
      <c r="M6" s="76" t="s">
        <v>79</v>
      </c>
      <c r="N6" s="78" t="s">
        <v>80</v>
      </c>
      <c r="O6" s="31"/>
      <c r="P6" s="79" t="s">
        <v>39</v>
      </c>
      <c r="Q6" s="80" t="s">
        <v>82</v>
      </c>
      <c r="R6" s="31"/>
      <c r="S6" s="1317"/>
      <c r="T6" s="1320"/>
      <c r="U6" s="81" t="s">
        <v>72</v>
      </c>
      <c r="V6" s="82" t="s">
        <v>73</v>
      </c>
      <c r="W6" s="82" t="s">
        <v>74</v>
      </c>
      <c r="X6" s="83" t="s">
        <v>75</v>
      </c>
      <c r="Y6" s="84" t="s">
        <v>76</v>
      </c>
      <c r="Z6" s="82" t="s">
        <v>77</v>
      </c>
      <c r="AA6" s="82" t="s">
        <v>78</v>
      </c>
      <c r="AB6" s="84" t="s">
        <v>76</v>
      </c>
      <c r="AC6" s="82" t="s">
        <v>77</v>
      </c>
      <c r="AD6" s="82" t="s">
        <v>78</v>
      </c>
      <c r="AE6" s="84" t="s">
        <v>76</v>
      </c>
      <c r="AF6" s="82" t="s">
        <v>77</v>
      </c>
      <c r="AG6" s="82" t="s">
        <v>78</v>
      </c>
      <c r="AH6" s="84" t="s">
        <v>29</v>
      </c>
      <c r="AI6" s="82" t="s">
        <v>31</v>
      </c>
      <c r="AJ6" s="83" t="s">
        <v>34</v>
      </c>
      <c r="AK6" s="36"/>
      <c r="AL6" s="76" t="s">
        <v>39</v>
      </c>
      <c r="AM6" s="78" t="s">
        <v>82</v>
      </c>
      <c r="AN6" s="31"/>
      <c r="AO6" s="85"/>
      <c r="AP6" s="86"/>
      <c r="AQ6" s="87" t="s">
        <v>75</v>
      </c>
      <c r="AR6" s="87" t="str">
        <f>+L3</f>
        <v>NOVIEMBRE</v>
      </c>
      <c r="AS6" s="87" t="str">
        <f>AR6</f>
        <v>NOVIEMBRE</v>
      </c>
      <c r="AT6" s="87" t="str">
        <f>AR6</f>
        <v>NOVIEMBRE</v>
      </c>
      <c r="AU6" s="87" t="s">
        <v>53</v>
      </c>
      <c r="AV6" s="87" t="s">
        <v>26</v>
      </c>
      <c r="AW6" s="87"/>
      <c r="AX6" s="87"/>
      <c r="AY6" s="87" t="s">
        <v>53</v>
      </c>
      <c r="AZ6" s="88" t="s">
        <v>26</v>
      </c>
      <c r="BA6" s="31"/>
      <c r="BB6" s="89"/>
      <c r="BC6" s="90" t="s">
        <v>83</v>
      </c>
      <c r="BD6" s="91" t="s">
        <v>84</v>
      </c>
      <c r="BE6" s="92" t="s">
        <v>85</v>
      </c>
      <c r="BF6" s="1441"/>
      <c r="BG6" s="550"/>
      <c r="BH6" s="551" t="s">
        <v>83</v>
      </c>
      <c r="BI6" s="551" t="s">
        <v>86</v>
      </c>
      <c r="BJ6" s="551" t="s">
        <v>87</v>
      </c>
      <c r="BK6" s="552" t="s">
        <v>88</v>
      </c>
      <c r="BL6" s="1444"/>
      <c r="BM6" s="1385"/>
      <c r="BN6" s="96" t="s">
        <v>83</v>
      </c>
      <c r="BO6" s="739" t="s">
        <v>86</v>
      </c>
      <c r="BP6" s="739" t="s">
        <v>87</v>
      </c>
      <c r="BQ6" s="740" t="s">
        <v>88</v>
      </c>
    </row>
    <row r="7" spans="1:69" ht="24.75" customHeight="1" thickBot="1">
      <c r="A7" s="526"/>
      <c r="B7" s="103"/>
      <c r="C7" s="104"/>
      <c r="D7" s="104"/>
      <c r="E7" s="104"/>
      <c r="F7" s="104"/>
      <c r="G7" s="104"/>
      <c r="H7" s="104"/>
      <c r="I7" s="104"/>
      <c r="J7" s="104"/>
      <c r="K7" s="104"/>
      <c r="L7" s="104"/>
      <c r="M7" s="104"/>
      <c r="N7" s="105"/>
      <c r="O7" s="31"/>
      <c r="P7" s="527"/>
      <c r="Q7" s="105"/>
      <c r="R7" s="101"/>
      <c r="S7" s="102"/>
      <c r="T7" s="103"/>
      <c r="U7" s="104"/>
      <c r="V7" s="104"/>
      <c r="W7" s="104"/>
      <c r="X7" s="104"/>
      <c r="Y7" s="104"/>
      <c r="Z7" s="104"/>
      <c r="AA7" s="104"/>
      <c r="AB7" s="104"/>
      <c r="AC7" s="104"/>
      <c r="AD7" s="104"/>
      <c r="AE7" s="104"/>
      <c r="AF7" s="104"/>
      <c r="AG7" s="104"/>
      <c r="AH7" s="104"/>
      <c r="AI7" s="104"/>
      <c r="AJ7" s="105"/>
      <c r="AK7" s="36"/>
      <c r="AL7" s="106"/>
      <c r="AM7" s="107"/>
      <c r="AN7" s="101"/>
      <c r="AO7" s="108"/>
      <c r="AP7" s="109" t="s">
        <v>89</v>
      </c>
      <c r="AQ7" s="110">
        <f>F22</f>
        <v>62813118010.586876</v>
      </c>
      <c r="AR7" s="110">
        <f>I22</f>
        <v>82021762906</v>
      </c>
      <c r="AS7" s="110">
        <f>L22</f>
        <v>54456724658</v>
      </c>
      <c r="AT7" s="101"/>
      <c r="AU7" s="111">
        <f t="shared" ref="AU7:AU17" si="0">IF(AQ7=0," ",AR7/AQ7)</f>
        <v>1.3058062631467457</v>
      </c>
      <c r="AV7" s="111">
        <f t="shared" ref="AV7:AV17" si="1">IF(AQ7=0," ",AS7/AQ7)</f>
        <v>0.86696420083495229</v>
      </c>
      <c r="AW7" s="110">
        <f>I23/AO$2*12+I24</f>
        <v>87820699821</v>
      </c>
      <c r="AX7" s="110">
        <f>L23/AO$2*12+L24</f>
        <v>57749749005</v>
      </c>
      <c r="AY7" s="110">
        <f t="shared" ref="AY7:AY16" si="2">AW7-AQ7</f>
        <v>25007581810.413124</v>
      </c>
      <c r="AZ7" s="112">
        <f t="shared" ref="AZ7:AZ16" si="3">AX7-AQ7</f>
        <v>-5063369005.5868759</v>
      </c>
      <c r="BA7" s="101"/>
      <c r="BB7" s="113" t="s">
        <v>90</v>
      </c>
      <c r="BC7" s="114">
        <f>F10</f>
        <v>1179477265</v>
      </c>
      <c r="BD7" s="115">
        <f>I10</f>
        <v>1179477265</v>
      </c>
      <c r="BE7" s="116">
        <f>K10</f>
        <v>0</v>
      </c>
      <c r="BF7" s="553">
        <f>MARZO!BF7+ABRIL!BE7+MAYO!BE7+JUNIO!BE7</f>
        <v>1179477265</v>
      </c>
      <c r="BG7" s="227" t="s">
        <v>91</v>
      </c>
      <c r="BH7" s="554">
        <f>+SUM(BH8:BH11)</f>
        <v>104914667543.61127</v>
      </c>
      <c r="BI7" s="554">
        <f>+SUM(BI8:BI11)</f>
        <v>97101821024</v>
      </c>
      <c r="BJ7" s="554">
        <f>+SUM(BJ8:BJ11)</f>
        <v>88372657686</v>
      </c>
      <c r="BK7" s="554">
        <f>+SUM(BK8:BK11)</f>
        <v>8382838654</v>
      </c>
      <c r="BL7" s="555">
        <f>+BK7+MAYO!BK7+ABRIL!BK7+MARZO!BL7</f>
        <v>26654018598</v>
      </c>
      <c r="BM7" s="741" t="s">
        <v>91</v>
      </c>
      <c r="BN7" s="121">
        <f>BN8+BN15+BN22</f>
        <v>104914667543.6113</v>
      </c>
      <c r="BO7" s="121">
        <f>BO8+BO15+BO22</f>
        <v>97101821024</v>
      </c>
      <c r="BP7" s="121">
        <f>BP8+BP15+BP22</f>
        <v>88372657686</v>
      </c>
      <c r="BQ7" s="121">
        <f>BQ8+BQ15+BQ22</f>
        <v>8382838654</v>
      </c>
    </row>
    <row r="8" spans="1:69" ht="24.75" customHeight="1" thickBot="1">
      <c r="A8" s="123">
        <f>+IF(OCTUBRE!A8=0,"",OCTUBRE!A8)</f>
        <v>1</v>
      </c>
      <c r="B8" s="124" t="str">
        <f>+IF(OCTUBRE!B8=0,"",OCTUBRE!B8)</f>
        <v>INGRESOS</v>
      </c>
      <c r="C8" s="125">
        <f t="shared" ref="C8:N8" si="4">C10+C17+C113</f>
        <v>158143153137.47653</v>
      </c>
      <c r="D8" s="125">
        <f t="shared" si="4"/>
        <v>0</v>
      </c>
      <c r="E8" s="125">
        <f t="shared" si="4"/>
        <v>66129057262</v>
      </c>
      <c r="F8" s="125">
        <f t="shared" si="4"/>
        <v>224272210399.47653</v>
      </c>
      <c r="G8" s="125">
        <f t="shared" si="4"/>
        <v>204051250113</v>
      </c>
      <c r="H8" s="125">
        <f t="shared" si="4"/>
        <v>19048005736</v>
      </c>
      <c r="I8" s="125">
        <f t="shared" si="4"/>
        <v>223099255849</v>
      </c>
      <c r="J8" s="125">
        <f t="shared" si="4"/>
        <v>123724478730</v>
      </c>
      <c r="K8" s="125">
        <f t="shared" si="4"/>
        <v>14464364496</v>
      </c>
      <c r="L8" s="125">
        <f t="shared" si="4"/>
        <v>138188843226</v>
      </c>
      <c r="M8" s="125">
        <f t="shared" si="4"/>
        <v>1172954550.4765129</v>
      </c>
      <c r="N8" s="125">
        <f t="shared" si="4"/>
        <v>86083367173.476501</v>
      </c>
      <c r="O8" s="126"/>
      <c r="P8" s="127">
        <f>P10+P17+P113</f>
        <v>0</v>
      </c>
      <c r="Q8" s="128">
        <f>Q10+Q17+Q113</f>
        <v>11667126796</v>
      </c>
      <c r="R8" s="101"/>
      <c r="S8" s="129" t="str">
        <f>+IF(OCTUBRE!S8=0,"",OCTUBRE!S8)</f>
        <v>2</v>
      </c>
      <c r="T8" s="130" t="str">
        <f>+IF(OCTUBRE!T8=0,"",OCTUBRE!T8)</f>
        <v>GASTOS</v>
      </c>
      <c r="U8" s="131">
        <f t="shared" ref="U8:AJ8" si="5">U10+U192+U219+U231</f>
        <v>158143153137.16666</v>
      </c>
      <c r="V8" s="132">
        <f t="shared" si="5"/>
        <v>0</v>
      </c>
      <c r="W8" s="132">
        <f t="shared" si="5"/>
        <v>66129057262</v>
      </c>
      <c r="X8" s="133">
        <f t="shared" si="5"/>
        <v>224272210399.16666</v>
      </c>
      <c r="Y8" s="134">
        <f t="shared" si="5"/>
        <v>185061150447</v>
      </c>
      <c r="Z8" s="132">
        <f t="shared" si="5"/>
        <v>13626186956</v>
      </c>
      <c r="AA8" s="133">
        <f t="shared" si="5"/>
        <v>198687337403</v>
      </c>
      <c r="AB8" s="134">
        <f t="shared" si="5"/>
        <v>163742425347</v>
      </c>
      <c r="AC8" s="132">
        <f t="shared" si="5"/>
        <v>14408278255</v>
      </c>
      <c r="AD8" s="133">
        <f t="shared" si="5"/>
        <v>178150703602</v>
      </c>
      <c r="AE8" s="134">
        <f t="shared" si="5"/>
        <v>117940430295.5</v>
      </c>
      <c r="AF8" s="132">
        <f t="shared" si="5"/>
        <v>13795862431</v>
      </c>
      <c r="AG8" s="133">
        <f t="shared" si="5"/>
        <v>131736292726.5</v>
      </c>
      <c r="AH8" s="134">
        <f t="shared" si="5"/>
        <v>25584872996.166664</v>
      </c>
      <c r="AI8" s="132">
        <f t="shared" si="5"/>
        <v>46121506797.166664</v>
      </c>
      <c r="AJ8" s="135">
        <f t="shared" si="5"/>
        <v>92535917672.666656</v>
      </c>
      <c r="AK8" s="101"/>
      <c r="AL8" s="135">
        <f>AL10+AL192+AL219+AL231</f>
        <v>0</v>
      </c>
      <c r="AM8" s="137">
        <f>AM10+AM192+AM219+AM231</f>
        <v>11667126796</v>
      </c>
      <c r="AN8" s="101"/>
      <c r="AO8" s="108"/>
      <c r="AP8" s="109" t="s">
        <v>93</v>
      </c>
      <c r="AQ8" s="138">
        <f>F25</f>
        <v>110963785244</v>
      </c>
      <c r="AR8" s="138">
        <f>I25</f>
        <v>103510085099</v>
      </c>
      <c r="AS8" s="138">
        <f>L25</f>
        <v>58005710524</v>
      </c>
      <c r="AT8" s="101"/>
      <c r="AU8" s="139">
        <f t="shared" si="0"/>
        <v>0.93282763264960777</v>
      </c>
      <c r="AV8" s="139">
        <f t="shared" si="1"/>
        <v>0.52274451882161677</v>
      </c>
      <c r="AW8" s="138">
        <f>I26/AO$2*12+I27</f>
        <v>110128822342.63637</v>
      </c>
      <c r="AX8" s="138">
        <f>L26/AO$2*12+L27</f>
        <v>60487686442.63636</v>
      </c>
      <c r="AY8" s="138">
        <f t="shared" si="2"/>
        <v>-834962901.3636322</v>
      </c>
      <c r="AZ8" s="140">
        <f t="shared" si="3"/>
        <v>-50476098801.36364</v>
      </c>
      <c r="BA8" s="101"/>
      <c r="BB8" s="141" t="s">
        <v>94</v>
      </c>
      <c r="BC8" s="142">
        <f>BC9+BC19</f>
        <v>177732625111.37653</v>
      </c>
      <c r="BD8" s="143">
        <f>BD9+BD19</f>
        <v>170396835915</v>
      </c>
      <c r="BE8" s="142">
        <f>SUM(BE9+BE19+BE18)</f>
        <v>12924376185</v>
      </c>
      <c r="BF8" s="553">
        <f>MARZO!BF8+ABRIL!BE8+MAYO!BE8+JUNIO!BE8</f>
        <v>31282077404</v>
      </c>
      <c r="BG8" s="145" t="s">
        <v>95</v>
      </c>
      <c r="BH8" s="146">
        <f>BN9+BN13</f>
        <v>9482627086.2126675</v>
      </c>
      <c r="BI8" s="146">
        <f>BO9+BO13</f>
        <v>7363949500</v>
      </c>
      <c r="BJ8" s="146">
        <f>BP9+BP13</f>
        <v>7363949500</v>
      </c>
      <c r="BK8" s="146">
        <f>BQ9+BQ13</f>
        <v>612717050</v>
      </c>
      <c r="BL8" s="555">
        <f>+BK8+MAYO!BK8+ABRIL!BK8+MARZO!BL8</f>
        <v>3851609404</v>
      </c>
      <c r="BM8" s="743" t="s">
        <v>96</v>
      </c>
      <c r="BN8" s="148">
        <f>BN9+BN14+BN13</f>
        <v>83117385742.212677</v>
      </c>
      <c r="BO8" s="146">
        <f>BO9+BO14+BO13</f>
        <v>80982163052</v>
      </c>
      <c r="BP8" s="146">
        <f>BP9+BP14+BP13</f>
        <v>73720593343</v>
      </c>
      <c r="BQ8" s="744">
        <f>BQ9+BQ14+BQ13</f>
        <v>7302232529</v>
      </c>
    </row>
    <row r="9" spans="1:69" ht="24.75" customHeight="1" thickBot="1">
      <c r="A9" s="149"/>
      <c r="B9" s="150"/>
      <c r="C9" s="151"/>
      <c r="D9" s="151"/>
      <c r="E9" s="151"/>
      <c r="F9" s="151"/>
      <c r="G9" s="151"/>
      <c r="H9" s="151"/>
      <c r="I9" s="151"/>
      <c r="J9" s="151"/>
      <c r="K9" s="151"/>
      <c r="L9" s="151"/>
      <c r="M9" s="151"/>
      <c r="N9" s="152"/>
      <c r="O9" s="126"/>
      <c r="P9" s="153"/>
      <c r="Q9" s="152"/>
      <c r="R9" s="101"/>
      <c r="S9" s="102"/>
      <c r="T9" s="103"/>
      <c r="U9" s="104"/>
      <c r="V9" s="104"/>
      <c r="W9" s="104"/>
      <c r="X9" s="104"/>
      <c r="Y9" s="104"/>
      <c r="Z9" s="104"/>
      <c r="AA9" s="104"/>
      <c r="AB9" s="104"/>
      <c r="AC9" s="104"/>
      <c r="AD9" s="104"/>
      <c r="AE9" s="104"/>
      <c r="AF9" s="104"/>
      <c r="AG9" s="104"/>
      <c r="AH9" s="104"/>
      <c r="AI9" s="104"/>
      <c r="AJ9" s="105"/>
      <c r="AK9" s="101"/>
      <c r="AL9" s="154"/>
      <c r="AM9" s="155"/>
      <c r="AN9" s="101"/>
      <c r="AO9" s="156"/>
      <c r="AP9" s="109" t="s">
        <v>97</v>
      </c>
      <c r="AQ9" s="138">
        <f>F28+F75</f>
        <v>2299679776</v>
      </c>
      <c r="AR9" s="138">
        <f>I28+I75</f>
        <v>2343600804</v>
      </c>
      <c r="AS9" s="138">
        <f>L28+L75</f>
        <v>1911783914</v>
      </c>
      <c r="AT9" s="101"/>
      <c r="AU9" s="157">
        <f t="shared" si="0"/>
        <v>1.0190987582090212</v>
      </c>
      <c r="AV9" s="157">
        <f t="shared" si="1"/>
        <v>0.83132614112270209</v>
      </c>
      <c r="AW9" s="158">
        <f>(I30+I33+I36+I76)/AO$2*12+I31+I34+I37+I38+I39+I40+I77</f>
        <v>2505638697</v>
      </c>
      <c r="AX9" s="158">
        <f>(L30+L33+L36+L76)/AO$2*12+L31+L34+L37+L38+L39+L40+L77</f>
        <v>2034565726.090909</v>
      </c>
      <c r="AY9" s="158">
        <f t="shared" si="2"/>
        <v>205958921</v>
      </c>
      <c r="AZ9" s="159">
        <f t="shared" si="3"/>
        <v>-265114049.909091</v>
      </c>
      <c r="BA9" s="101"/>
      <c r="BB9" s="160" t="s">
        <v>98</v>
      </c>
      <c r="BC9" s="161">
        <f>BC10+BC18</f>
        <v>159904833789.37653</v>
      </c>
      <c r="BD9" s="162">
        <f>BD10+BD18</f>
        <v>165275526057</v>
      </c>
      <c r="BE9" s="161">
        <f>BE10+BE16</f>
        <v>12294384306</v>
      </c>
      <c r="BF9" s="553">
        <f>MARZO!BF9+ABRIL!BE9+MAYO!BE9+JUNIO!BE9</f>
        <v>30552431532</v>
      </c>
      <c r="BG9" s="165" t="s">
        <v>99</v>
      </c>
      <c r="BH9" s="166">
        <f t="shared" ref="BH9:BK10" si="6">BN14</f>
        <v>73634758656</v>
      </c>
      <c r="BI9" s="166">
        <f t="shared" si="6"/>
        <v>73618213552</v>
      </c>
      <c r="BJ9" s="166">
        <f t="shared" si="6"/>
        <v>66356643843</v>
      </c>
      <c r="BK9" s="166">
        <f t="shared" si="6"/>
        <v>6689515479</v>
      </c>
      <c r="BL9" s="555">
        <f>+BK9+MAYO!BK9+ABRIL!BK9+MARZO!BL9</f>
        <v>17565053171</v>
      </c>
      <c r="BM9" s="745" t="s">
        <v>100</v>
      </c>
      <c r="BN9" s="168">
        <f>SUM(BN10:BN12)</f>
        <v>6816975682.916667</v>
      </c>
      <c r="BO9" s="574">
        <f>SUM(BO10:BO12)</f>
        <v>5650770533</v>
      </c>
      <c r="BP9" s="166">
        <f>SUM(BP10:BP12)</f>
        <v>5650770533</v>
      </c>
      <c r="BQ9" s="746">
        <f>SUM(BQ10:BQ12)</f>
        <v>476199350</v>
      </c>
    </row>
    <row r="10" spans="1:69" ht="24.75" customHeight="1">
      <c r="A10" s="169" t="str">
        <f>+IF(OCTUBRE!A10=0,"",OCTUBRE!A10)</f>
        <v>1.0</v>
      </c>
      <c r="B10" s="170" t="str">
        <f>+IF(OCTUBRE!B10=0,"",OCTUBRE!B10)</f>
        <v>DISPONIBILIDAD INICIAL</v>
      </c>
      <c r="C10" s="171">
        <f t="shared" ref="C10:N10" si="7">SUM(C12:C15)</f>
        <v>0</v>
      </c>
      <c r="D10" s="172">
        <f t="shared" si="7"/>
        <v>0</v>
      </c>
      <c r="E10" s="172">
        <f t="shared" si="7"/>
        <v>1179477265</v>
      </c>
      <c r="F10" s="173">
        <f t="shared" si="7"/>
        <v>1179477265</v>
      </c>
      <c r="G10" s="174">
        <f t="shared" si="7"/>
        <v>1179477265</v>
      </c>
      <c r="H10" s="172">
        <f t="shared" si="7"/>
        <v>0</v>
      </c>
      <c r="I10" s="175">
        <f t="shared" si="7"/>
        <v>1179477265</v>
      </c>
      <c r="J10" s="171">
        <f t="shared" si="7"/>
        <v>1179477265</v>
      </c>
      <c r="K10" s="172">
        <f t="shared" si="7"/>
        <v>0</v>
      </c>
      <c r="L10" s="173">
        <f t="shared" si="7"/>
        <v>1179477265</v>
      </c>
      <c r="M10" s="171">
        <f t="shared" si="7"/>
        <v>0</v>
      </c>
      <c r="N10" s="173">
        <f t="shared" si="7"/>
        <v>0</v>
      </c>
      <c r="O10" s="101"/>
      <c r="P10" s="171">
        <f>SUM(P12:P15)</f>
        <v>0</v>
      </c>
      <c r="Q10" s="173">
        <f>SUM(Q12:Q15)</f>
        <v>0</v>
      </c>
      <c r="R10" s="101"/>
      <c r="S10" s="176" t="str">
        <f>+IF(OCTUBRE!S10=0,"",OCTUBRE!S10)</f>
        <v>2.1</v>
      </c>
      <c r="T10" s="177" t="str">
        <f>+IF(OCTUBRE!T10=0,"",OCTUBRE!T10)</f>
        <v>GASTOS DE FUNCIONAMIENTO</v>
      </c>
      <c r="U10" s="178">
        <f t="shared" ref="U10:AJ10" si="8">U12+U110+U168</f>
        <v>112528788023.5</v>
      </c>
      <c r="V10" s="179">
        <f t="shared" si="8"/>
        <v>0</v>
      </c>
      <c r="W10" s="179">
        <f t="shared" si="8"/>
        <v>11349143180</v>
      </c>
      <c r="X10" s="182">
        <f t="shared" si="8"/>
        <v>123877931203.5</v>
      </c>
      <c r="Y10" s="181">
        <f t="shared" si="8"/>
        <v>108289244441</v>
      </c>
      <c r="Z10" s="179">
        <f t="shared" si="8"/>
        <v>7747098755</v>
      </c>
      <c r="AA10" s="182">
        <f t="shared" si="8"/>
        <v>116036343196</v>
      </c>
      <c r="AB10" s="181">
        <f t="shared" si="8"/>
        <v>98785286485</v>
      </c>
      <c r="AC10" s="179">
        <f t="shared" si="8"/>
        <v>8521893373</v>
      </c>
      <c r="AD10" s="182">
        <f t="shared" si="8"/>
        <v>107307179858</v>
      </c>
      <c r="AE10" s="181">
        <f t="shared" si="8"/>
        <v>74664619376.5</v>
      </c>
      <c r="AF10" s="179">
        <f t="shared" si="8"/>
        <v>8386388655</v>
      </c>
      <c r="AG10" s="182">
        <f t="shared" si="8"/>
        <v>83051008031.5</v>
      </c>
      <c r="AH10" s="181">
        <f t="shared" si="8"/>
        <v>7841588007.5</v>
      </c>
      <c r="AI10" s="179">
        <f t="shared" si="8"/>
        <v>16570751345.5</v>
      </c>
      <c r="AJ10" s="180">
        <f t="shared" si="8"/>
        <v>40826923172</v>
      </c>
      <c r="AK10" s="101"/>
      <c r="AL10" s="180">
        <f>AL12+AL110+AL168</f>
        <v>0</v>
      </c>
      <c r="AM10" s="184">
        <f>AM12+AM110+AM168</f>
        <v>0</v>
      </c>
      <c r="AN10" s="101"/>
      <c r="AO10" s="156"/>
      <c r="AP10" s="109" t="s">
        <v>102</v>
      </c>
      <c r="AQ10" s="138">
        <f>F42</f>
        <v>287170800</v>
      </c>
      <c r="AR10" s="138">
        <f>I42</f>
        <v>118260956</v>
      </c>
      <c r="AS10" s="138">
        <f>L42</f>
        <v>75044358</v>
      </c>
      <c r="AT10" s="101"/>
      <c r="AU10" s="157">
        <f t="shared" si="0"/>
        <v>0.41181400058780349</v>
      </c>
      <c r="AV10" s="157">
        <f t="shared" si="1"/>
        <v>0.26132308020174755</v>
      </c>
      <c r="AW10" s="158">
        <f>I43/AO$2*12+I44</f>
        <v>123339476.36363636</v>
      </c>
      <c r="AX10" s="158">
        <f>L43/AO$2*12+L44</f>
        <v>76194096.727272719</v>
      </c>
      <c r="AY10" s="158">
        <f t="shared" si="2"/>
        <v>-163831323.63636363</v>
      </c>
      <c r="AZ10" s="159">
        <f t="shared" si="3"/>
        <v>-210976703.27272728</v>
      </c>
      <c r="BA10" s="101"/>
      <c r="BB10" s="185" t="s">
        <v>103</v>
      </c>
      <c r="BC10" s="161">
        <f>BC11+BC12+BC13+BC14+BC16+BC17+BC15</f>
        <v>159904833789.37653</v>
      </c>
      <c r="BD10" s="162">
        <f>BD11+BD12+BD13+BD14+BD16+BD17+BD15</f>
        <v>165275526057</v>
      </c>
      <c r="BE10" s="161">
        <f>SUM(BE11+BE12+BE13+BE14+BE17)</f>
        <v>12294384306</v>
      </c>
      <c r="BF10" s="553">
        <f>MARZO!BF10+ABRIL!BE10+MAYO!BE10+JUNIO!BE10</f>
        <v>24439062842</v>
      </c>
      <c r="BG10" s="145" t="s">
        <v>104</v>
      </c>
      <c r="BH10" s="186">
        <f t="shared" si="6"/>
        <v>19948221216.398613</v>
      </c>
      <c r="BI10" s="186">
        <f t="shared" si="6"/>
        <v>14566494852</v>
      </c>
      <c r="BJ10" s="186">
        <f t="shared" si="6"/>
        <v>13117567553</v>
      </c>
      <c r="BK10" s="186">
        <f t="shared" si="6"/>
        <v>876946202</v>
      </c>
      <c r="BL10" s="555">
        <f>+BK10+MAYO!BK10+ABRIL!BK10+MARZO!BL10</f>
        <v>4512906208</v>
      </c>
      <c r="BM10" s="747" t="s">
        <v>105</v>
      </c>
      <c r="BN10" s="188">
        <f>X17+X66</f>
        <v>5211372985</v>
      </c>
      <c r="BO10" s="575">
        <f>AA17+AA66</f>
        <v>4683792140</v>
      </c>
      <c r="BP10" s="186">
        <f>AD17+AD66</f>
        <v>4683792140</v>
      </c>
      <c r="BQ10" s="748">
        <f>AF17+AF66</f>
        <v>402806187</v>
      </c>
    </row>
    <row r="11" spans="1:69" ht="24.75" customHeight="1">
      <c r="A11" s="149"/>
      <c r="B11" s="150"/>
      <c r="C11" s="151"/>
      <c r="D11" s="151"/>
      <c r="E11" s="151"/>
      <c r="F11" s="151"/>
      <c r="G11" s="151"/>
      <c r="H11" s="151"/>
      <c r="I11" s="151"/>
      <c r="J11" s="151"/>
      <c r="K11" s="151"/>
      <c r="L11" s="151"/>
      <c r="M11" s="151"/>
      <c r="N11" s="152"/>
      <c r="O11" s="126"/>
      <c r="P11" s="153"/>
      <c r="Q11" s="152"/>
      <c r="R11" s="101"/>
      <c r="S11" s="189"/>
      <c r="T11" s="488"/>
      <c r="U11" s="191"/>
      <c r="V11" s="191"/>
      <c r="W11" s="191"/>
      <c r="X11" s="191"/>
      <c r="Y11" s="191"/>
      <c r="Z11" s="191"/>
      <c r="AA11" s="191"/>
      <c r="AB11" s="191"/>
      <c r="AC11" s="191"/>
      <c r="AD11" s="191"/>
      <c r="AE11" s="191"/>
      <c r="AF11" s="191"/>
      <c r="AG11" s="191"/>
      <c r="AH11" s="191"/>
      <c r="AI11" s="191"/>
      <c r="AJ11" s="192"/>
      <c r="AK11" s="101"/>
      <c r="AL11" s="194"/>
      <c r="AM11" s="195"/>
      <c r="AN11" s="101"/>
      <c r="AO11" s="196" t="s">
        <v>50</v>
      </c>
      <c r="AP11" s="197" t="s">
        <v>106</v>
      </c>
      <c r="AQ11" s="138">
        <f>F88</f>
        <v>2337265046</v>
      </c>
      <c r="AR11" s="138">
        <f>I88</f>
        <v>2912385046</v>
      </c>
      <c r="AS11" s="138">
        <f>L88</f>
        <v>2278833420</v>
      </c>
      <c r="AT11" s="198">
        <f>AO2/12</f>
        <v>0.91666666666666663</v>
      </c>
      <c r="AU11" s="157">
        <f t="shared" si="0"/>
        <v>1.2460653749921351</v>
      </c>
      <c r="AV11" s="157">
        <f t="shared" si="1"/>
        <v>0.97500000006417753</v>
      </c>
      <c r="AW11" s="158">
        <f>I88</f>
        <v>2912385046</v>
      </c>
      <c r="AX11" s="158">
        <f>L88</f>
        <v>2278833420</v>
      </c>
      <c r="AY11" s="158">
        <f t="shared" si="2"/>
        <v>575120000</v>
      </c>
      <c r="AZ11" s="159">
        <f t="shared" si="3"/>
        <v>-58431626</v>
      </c>
      <c r="BA11" s="101"/>
      <c r="BB11" s="185" t="s">
        <v>107</v>
      </c>
      <c r="BC11" s="161">
        <f>F26</f>
        <v>81866799864</v>
      </c>
      <c r="BD11" s="162">
        <f>I26</f>
        <v>72806109680</v>
      </c>
      <c r="BE11" s="161">
        <f>SUM(K26)</f>
        <v>4541769853</v>
      </c>
      <c r="BF11" s="553">
        <f>MARZO!BF11+ABRIL!BE11+MAYO!BE11+JUNIO!BE11</f>
        <v>8453018963</v>
      </c>
      <c r="BG11" s="145" t="s">
        <v>108</v>
      </c>
      <c r="BH11" s="199">
        <f>BN22</f>
        <v>1849060585</v>
      </c>
      <c r="BI11" s="199">
        <f>BO22</f>
        <v>1553163120</v>
      </c>
      <c r="BJ11" s="199">
        <f>BP22</f>
        <v>1534496790</v>
      </c>
      <c r="BK11" s="199">
        <f>BQ22</f>
        <v>203659923</v>
      </c>
      <c r="BL11" s="555">
        <f>+BK11+MAYO!BK11+ABRIL!BK11+MARZO!BL11</f>
        <v>724449815</v>
      </c>
      <c r="BM11" s="749" t="s">
        <v>109</v>
      </c>
      <c r="BN11" s="201">
        <f>X18+X67</f>
        <v>17000000</v>
      </c>
      <c r="BO11" s="576">
        <f>AA18+AA67</f>
        <v>13632987</v>
      </c>
      <c r="BP11" s="199">
        <f>AD18+AD67</f>
        <v>13632987</v>
      </c>
      <c r="BQ11" s="750">
        <f>AF18+AF67</f>
        <v>1214669</v>
      </c>
    </row>
    <row r="12" spans="1:69" ht="24.75" customHeight="1">
      <c r="A12" s="202" t="str">
        <f>+IF(OCTUBRE!A12=0,"",OCTUBRE!A12)</f>
        <v>1.0.01</v>
      </c>
      <c r="B12" s="203" t="str">
        <f>+IF(OCTUBRE!B12=0,"",OCTUBRE!B12)</f>
        <v>Caja</v>
      </c>
      <c r="C12" s="204">
        <f>+ENERO!C12</f>
        <v>0</v>
      </c>
      <c r="D12" s="205">
        <f>OCTUBRE!D12+NOVIEMBRE!P12</f>
        <v>0</v>
      </c>
      <c r="E12" s="205">
        <f>OCTUBRE!E12+NOVIEMBRE!Q12</f>
        <v>3941159</v>
      </c>
      <c r="F12" s="206">
        <f>SUM(C12:E12)</f>
        <v>3941159</v>
      </c>
      <c r="G12" s="207">
        <f>OCTUBRE!I12</f>
        <v>3941159</v>
      </c>
      <c r="H12" s="208">
        <v>0</v>
      </c>
      <c r="I12" s="206">
        <f>SUM(G12:H12)</f>
        <v>3941159</v>
      </c>
      <c r="J12" s="207">
        <f>OCTUBRE!L12</f>
        <v>3941159</v>
      </c>
      <c r="K12" s="209">
        <v>0</v>
      </c>
      <c r="L12" s="206">
        <f>SUM(J12:K12)</f>
        <v>3941159</v>
      </c>
      <c r="M12" s="207">
        <f>F12-I12</f>
        <v>0</v>
      </c>
      <c r="N12" s="206">
        <f>F12-L12</f>
        <v>0</v>
      </c>
      <c r="O12" s="67"/>
      <c r="P12" s="204">
        <v>0</v>
      </c>
      <c r="Q12" s="210">
        <v>0</v>
      </c>
      <c r="R12" s="101"/>
      <c r="S12" s="211" t="str">
        <f>+IF(OCTUBRE!S12=0,"",OCTUBRE!S12)</f>
        <v>2.1.1</v>
      </c>
      <c r="T12" s="212" t="str">
        <f>+IF(OCTUBRE!T12=0,"",OCTUBRE!T12)</f>
        <v>GASTOS DE PERSONAL</v>
      </c>
      <c r="U12" s="213">
        <f t="shared" ref="U12:AJ12" si="9">U14+U63</f>
        <v>88367557767.879166</v>
      </c>
      <c r="V12" s="214">
        <f t="shared" si="9"/>
        <v>3390521885</v>
      </c>
      <c r="W12" s="214">
        <f t="shared" si="9"/>
        <v>8355635160</v>
      </c>
      <c r="X12" s="215">
        <f t="shared" si="9"/>
        <v>100113714812.87917</v>
      </c>
      <c r="Y12" s="183">
        <f t="shared" si="9"/>
        <v>90997343804</v>
      </c>
      <c r="Z12" s="214">
        <f t="shared" si="9"/>
        <v>6968014337</v>
      </c>
      <c r="AA12" s="215">
        <f t="shared" si="9"/>
        <v>97965358141</v>
      </c>
      <c r="AB12" s="183">
        <f t="shared" si="9"/>
        <v>83601968562</v>
      </c>
      <c r="AC12" s="214">
        <f>AC14+AC63</f>
        <v>7101819870</v>
      </c>
      <c r="AD12" s="215">
        <f t="shared" si="9"/>
        <v>90703788432</v>
      </c>
      <c r="AE12" s="183">
        <f t="shared" si="9"/>
        <v>63047115875</v>
      </c>
      <c r="AF12" s="214">
        <f>AF14+AF63</f>
        <v>7302232529</v>
      </c>
      <c r="AG12" s="215">
        <f t="shared" si="9"/>
        <v>70349348404</v>
      </c>
      <c r="AH12" s="183">
        <f t="shared" si="9"/>
        <v>2148356671.8791676</v>
      </c>
      <c r="AI12" s="214">
        <f t="shared" si="9"/>
        <v>9409926380.8791676</v>
      </c>
      <c r="AJ12" s="184">
        <f t="shared" si="9"/>
        <v>29764366408.879166</v>
      </c>
      <c r="AK12" s="216"/>
      <c r="AL12" s="217">
        <f>AL14+AL63</f>
        <v>3410000000</v>
      </c>
      <c r="AM12" s="218">
        <f>AM14+AM63</f>
        <v>0</v>
      </c>
      <c r="AN12" s="101"/>
      <c r="AO12" s="196"/>
      <c r="AP12" s="197" t="s">
        <v>111</v>
      </c>
      <c r="AQ12" s="138">
        <f>F89+F92</f>
        <v>9574697797</v>
      </c>
      <c r="AR12" s="138">
        <f>I89+I92</f>
        <v>9333838697</v>
      </c>
      <c r="AS12" s="138">
        <f>L89+L92</f>
        <v>9309117193</v>
      </c>
      <c r="AT12" s="101"/>
      <c r="AU12" s="157">
        <f t="shared" si="0"/>
        <v>0.97484420865215538</v>
      </c>
      <c r="AV12" s="157">
        <f t="shared" si="1"/>
        <v>0.97226224684781037</v>
      </c>
      <c r="AW12" s="158">
        <f>I89</f>
        <v>9333838697</v>
      </c>
      <c r="AX12" s="158">
        <f>L89</f>
        <v>9309117193</v>
      </c>
      <c r="AY12" s="158">
        <f t="shared" si="2"/>
        <v>-240859100</v>
      </c>
      <c r="AZ12" s="159">
        <f t="shared" si="3"/>
        <v>-265580604</v>
      </c>
      <c r="BA12" s="101"/>
      <c r="BB12" s="185" t="s">
        <v>112</v>
      </c>
      <c r="BC12" s="161">
        <f>F23</f>
        <v>49300076925.586876</v>
      </c>
      <c r="BD12" s="162">
        <f>I23</f>
        <v>63788306065</v>
      </c>
      <c r="BE12" s="161">
        <f>SUM(K23)</f>
        <v>6881156066</v>
      </c>
      <c r="BF12" s="553">
        <f>MARZO!BF12+ABRIL!BE12+MAYO!BE12+JUNIO!BE12</f>
        <v>14566848805</v>
      </c>
      <c r="BG12" s="219" t="s">
        <v>113</v>
      </c>
      <c r="BH12" s="199">
        <f>BN25</f>
        <v>51336176152.333328</v>
      </c>
      <c r="BI12" s="199">
        <f>BO25</f>
        <v>48562389876</v>
      </c>
      <c r="BJ12" s="199">
        <f>BP25</f>
        <v>42471127368</v>
      </c>
      <c r="BK12" s="199">
        <f>BQ25</f>
        <v>3455447690</v>
      </c>
      <c r="BL12" s="555">
        <f>+BK12+MAYO!BK12+ABRIL!BK12+MARZO!BL12</f>
        <v>10928640436</v>
      </c>
      <c r="BM12" s="751" t="s">
        <v>114</v>
      </c>
      <c r="BN12" s="201">
        <f>X16+X65-X81-X33-BN10-BN11</f>
        <v>1588602697.916667</v>
      </c>
      <c r="BO12" s="576">
        <f>AA16+AA65-AA81-AA33-BO10-BO11</f>
        <v>953345406</v>
      </c>
      <c r="BP12" s="199">
        <f>AD16+AD65-AD81-AD33-BP10-BP11</f>
        <v>953345406</v>
      </c>
      <c r="BQ12" s="750">
        <f>AF16+AF65-AF81-AF33-BQ10-BQ11</f>
        <v>72178494</v>
      </c>
    </row>
    <row r="13" spans="1:69" ht="24.75" customHeight="1">
      <c r="A13" s="202" t="str">
        <f>+IF(OCTUBRE!A13=0,"",OCTUBRE!A13)</f>
        <v>1.0.02</v>
      </c>
      <c r="B13" s="203" t="str">
        <f>+IF(OCTUBRE!B13=0,"",OCTUBRE!B13)</f>
        <v>Bancos</v>
      </c>
      <c r="C13" s="204">
        <f>+ENERO!C13</f>
        <v>0</v>
      </c>
      <c r="D13" s="205">
        <f>OCTUBRE!D13+NOVIEMBRE!P13</f>
        <v>0</v>
      </c>
      <c r="E13" s="205">
        <f>OCTUBRE!E13+NOVIEMBRE!Q13</f>
        <v>554873586</v>
      </c>
      <c r="F13" s="206">
        <f>SUM(C13:E13)</f>
        <v>554873586</v>
      </c>
      <c r="G13" s="207">
        <f>OCTUBRE!I13</f>
        <v>554873586</v>
      </c>
      <c r="H13" s="208">
        <v>0</v>
      </c>
      <c r="I13" s="206">
        <f>SUM(G13:H13)</f>
        <v>554873586</v>
      </c>
      <c r="J13" s="207">
        <f>OCTUBRE!L13</f>
        <v>554873586</v>
      </c>
      <c r="K13" s="209">
        <v>0</v>
      </c>
      <c r="L13" s="206">
        <f>SUM(J13:K13)</f>
        <v>554873586</v>
      </c>
      <c r="M13" s="207">
        <f>F13-I13</f>
        <v>0</v>
      </c>
      <c r="N13" s="206">
        <f>F13-L13</f>
        <v>0</v>
      </c>
      <c r="O13" s="67"/>
      <c r="P13" s="204">
        <v>0</v>
      </c>
      <c r="Q13" s="210">
        <v>0</v>
      </c>
      <c r="R13" s="101"/>
      <c r="S13" s="189"/>
      <c r="T13" s="488"/>
      <c r="U13" s="191"/>
      <c r="V13" s="191"/>
      <c r="W13" s="191"/>
      <c r="X13" s="191"/>
      <c r="Y13" s="191"/>
      <c r="Z13" s="191"/>
      <c r="AA13" s="191"/>
      <c r="AB13" s="191"/>
      <c r="AC13" s="191"/>
      <c r="AD13" s="191"/>
      <c r="AE13" s="191"/>
      <c r="AF13" s="191"/>
      <c r="AG13" s="191"/>
      <c r="AH13" s="191"/>
      <c r="AI13" s="191"/>
      <c r="AJ13" s="192"/>
      <c r="AK13" s="216"/>
      <c r="AL13" s="194"/>
      <c r="AM13" s="195"/>
      <c r="AN13" s="101"/>
      <c r="AO13" s="221"/>
      <c r="AP13" s="197" t="s">
        <v>115</v>
      </c>
      <c r="AQ13" s="138">
        <f>F90</f>
        <v>9917602278</v>
      </c>
      <c r="AR13" s="138">
        <f>I90</f>
        <v>10168226642</v>
      </c>
      <c r="AS13" s="138">
        <f>L90</f>
        <v>3591530879</v>
      </c>
      <c r="AT13" s="101"/>
      <c r="AU13" s="157">
        <f t="shared" si="0"/>
        <v>1.0252706608890694</v>
      </c>
      <c r="AV13" s="157">
        <f t="shared" si="1"/>
        <v>0.36213701440387608</v>
      </c>
      <c r="AW13" s="158">
        <f>I90</f>
        <v>10168226642</v>
      </c>
      <c r="AX13" s="158">
        <f>L90</f>
        <v>3591530879</v>
      </c>
      <c r="AY13" s="158">
        <f t="shared" si="2"/>
        <v>250624364</v>
      </c>
      <c r="AZ13" s="159">
        <f t="shared" si="3"/>
        <v>-6326071399</v>
      </c>
      <c r="BA13" s="67"/>
      <c r="BB13" s="236" t="s">
        <v>116</v>
      </c>
      <c r="BC13" s="223">
        <f>+F30+F33+F36+F38+F39+F40</f>
        <v>1140706891</v>
      </c>
      <c r="BD13" s="224">
        <f>+I30+I33+I36+I38+I39+I40</f>
        <v>1640865372</v>
      </c>
      <c r="BE13" s="161">
        <f>SUM(K33)</f>
        <v>8712083</v>
      </c>
      <c r="BF13" s="553">
        <f>MARZO!BF13+ABRIL!BE13+MAYO!BE13+JUNIO!BE13</f>
        <v>713778648</v>
      </c>
      <c r="BG13" s="227" t="s">
        <v>117</v>
      </c>
      <c r="BH13" s="199">
        <f>DICIEMBRE!BN29</f>
        <v>38768439369</v>
      </c>
      <c r="BI13" s="199">
        <f t="shared" ref="BI13:BK15" si="10">BO29</f>
        <v>24129015762</v>
      </c>
      <c r="BJ13" s="199">
        <f t="shared" si="10"/>
        <v>18419007807</v>
      </c>
      <c r="BK13" s="199">
        <f t="shared" si="10"/>
        <v>1683893061</v>
      </c>
      <c r="BL13" s="555">
        <f>+BK13+MAYO!BK13+ABRIL!BK13+MARZO!BL13</f>
        <v>6346136223</v>
      </c>
      <c r="BM13" s="745" t="s">
        <v>118</v>
      </c>
      <c r="BN13" s="188">
        <f>X43-X55+X57-X61+X90-X102+X104-X108</f>
        <v>2665651403.2960005</v>
      </c>
      <c r="BO13" s="575">
        <f>AA43-AA55+AA57-AA61+AA90-AA102+AA104-AA108</f>
        <v>1713178967</v>
      </c>
      <c r="BP13" s="186">
        <f>AD43-AD55+AD57-AD61+AD90-AD102+AD104-AD108</f>
        <v>1713178967</v>
      </c>
      <c r="BQ13" s="748">
        <f>AF43-AF55+AF57-AF61+AF90-AF102+AF104-AF108</f>
        <v>136517700</v>
      </c>
    </row>
    <row r="14" spans="1:69" ht="24.75" customHeight="1">
      <c r="A14" s="202" t="str">
        <f>+IF(OCTUBRE!A14=0,"",OCTUBRE!A14)</f>
        <v>1.0.03</v>
      </c>
      <c r="B14" s="203" t="str">
        <f>+IF(OCTUBRE!B14=0,"",OCTUBRE!B14)</f>
        <v>Inversiones Temporales</v>
      </c>
      <c r="C14" s="204">
        <f>+ENERO!C14</f>
        <v>0</v>
      </c>
      <c r="D14" s="205">
        <f>OCTUBRE!D14+NOVIEMBRE!P14</f>
        <v>0</v>
      </c>
      <c r="E14" s="205">
        <f>OCTUBRE!E14+NOVIEMBRE!Q14</f>
        <v>620662520</v>
      </c>
      <c r="F14" s="206">
        <f>SUM(C14:E14)</f>
        <v>620662520</v>
      </c>
      <c r="G14" s="207">
        <f>OCTUBRE!I14</f>
        <v>620662520</v>
      </c>
      <c r="H14" s="208">
        <v>0</v>
      </c>
      <c r="I14" s="206">
        <f>SUM(G14:H14)</f>
        <v>620662520</v>
      </c>
      <c r="J14" s="207">
        <f>OCTUBRE!L14</f>
        <v>620662520</v>
      </c>
      <c r="K14" s="209">
        <v>0</v>
      </c>
      <c r="L14" s="206">
        <f>SUM(J14:K14)</f>
        <v>620662520</v>
      </c>
      <c r="M14" s="207">
        <f>F14-I14</f>
        <v>0</v>
      </c>
      <c r="N14" s="206">
        <f>F14-L14</f>
        <v>0</v>
      </c>
      <c r="O14" s="67"/>
      <c r="P14" s="204">
        <v>0</v>
      </c>
      <c r="Q14" s="210">
        <v>0</v>
      </c>
      <c r="R14" s="101"/>
      <c r="S14" s="228" t="str">
        <f>+IF(OCTUBRE!S14=0,"",OCTUBRE!S14)</f>
        <v>2.1.1.01</v>
      </c>
      <c r="T14" s="229" t="str">
        <f>+IF(OCTUBRE!T14=0,"",OCTUBRE!T14)</f>
        <v>Gastos de Administración</v>
      </c>
      <c r="U14" s="230">
        <f t="shared" ref="U14:AJ14" si="11">U16+U35+U43+U57</f>
        <v>23848754297.879169</v>
      </c>
      <c r="V14" s="231">
        <f t="shared" si="11"/>
        <v>4294521885</v>
      </c>
      <c r="W14" s="231">
        <f t="shared" si="11"/>
        <v>865000000</v>
      </c>
      <c r="X14" s="234">
        <f t="shared" si="11"/>
        <v>29008276182.879169</v>
      </c>
      <c r="Y14" s="233">
        <f t="shared" si="11"/>
        <v>24884773160</v>
      </c>
      <c r="Z14" s="231">
        <f t="shared" si="11"/>
        <v>1979764337</v>
      </c>
      <c r="AA14" s="234">
        <f t="shared" si="11"/>
        <v>26864537497</v>
      </c>
      <c r="AB14" s="233">
        <f t="shared" si="11"/>
        <v>22811423991</v>
      </c>
      <c r="AC14" s="231">
        <f>AC16+AC35+AC43+AC57</f>
        <v>2287024996</v>
      </c>
      <c r="AD14" s="234">
        <f t="shared" si="11"/>
        <v>25098448987</v>
      </c>
      <c r="AE14" s="233">
        <f t="shared" si="11"/>
        <v>18499186819</v>
      </c>
      <c r="AF14" s="231">
        <f>AF16+AF35+AF43+AF57</f>
        <v>1912627833</v>
      </c>
      <c r="AG14" s="234">
        <f t="shared" si="11"/>
        <v>20411814652</v>
      </c>
      <c r="AH14" s="233">
        <f t="shared" si="11"/>
        <v>2143738685.8791678</v>
      </c>
      <c r="AI14" s="231">
        <f t="shared" si="11"/>
        <v>3909827195.8791676</v>
      </c>
      <c r="AJ14" s="232">
        <f t="shared" si="11"/>
        <v>8596461530.8791676</v>
      </c>
      <c r="AK14" s="216"/>
      <c r="AL14" s="233">
        <f>AL16+AL35+AL43+AL57</f>
        <v>601000000</v>
      </c>
      <c r="AM14" s="232">
        <f>AM16+AM35+AM43+AM57</f>
        <v>0</v>
      </c>
      <c r="AN14" s="101"/>
      <c r="AO14" s="108"/>
      <c r="AP14" s="109" t="s">
        <v>120</v>
      </c>
      <c r="AQ14" s="138">
        <f>F19-AQ7-AQ8-AQ9-AQ10-AQ11-AQ12-AQ13+F104+F94</f>
        <v>24899414182.889648</v>
      </c>
      <c r="AR14" s="138">
        <f>I19-AR7-AR8-AR9-AR10-AR11-AR12-AR13+I94+I104</f>
        <v>11511618434</v>
      </c>
      <c r="AS14" s="138">
        <f>L19-AS7-AS8-AS9-AS10-AS11-AS12-AS13+L94+L104</f>
        <v>7380621015</v>
      </c>
      <c r="AT14" s="67"/>
      <c r="AU14" s="157">
        <f t="shared" si="0"/>
        <v>0.46232487035420061</v>
      </c>
      <c r="AV14" s="157">
        <f t="shared" si="1"/>
        <v>0.29641745628183519</v>
      </c>
      <c r="AW14" s="158">
        <f>(I41+I46+I49+I52+I55+I58+I61+I64+I67+I70+I73+I78+I81+I82+I83+I85+I94+I104)/AO$2*12+I47+I50+I53+I56+I59+I62+I65+I68+I71+I74</f>
        <v>37244716364.909088</v>
      </c>
      <c r="AX14" s="158">
        <f>(L41+L46+L49+L52+L55+L58+L61+L64+L67+L70+L73+L78+L81+L82+L83+L85+L94+L104)/AO$2*12+L47+L50+L53+L56+L59+L62+L65+L68+L71+L74</f>
        <v>24759342147.454544</v>
      </c>
      <c r="AY14" s="158">
        <f t="shared" si="2"/>
        <v>12345302182.01944</v>
      </c>
      <c r="AZ14" s="159">
        <f t="shared" si="3"/>
        <v>-140072035.43510437</v>
      </c>
      <c r="BA14" s="101"/>
      <c r="BB14" s="236" t="s">
        <v>121</v>
      </c>
      <c r="BC14" s="237">
        <f>+F64</f>
        <v>2137731076.9417498</v>
      </c>
      <c r="BD14" s="238">
        <f>+I64</f>
        <v>1589268179</v>
      </c>
      <c r="BE14" s="239">
        <f>K64</f>
        <v>83222699</v>
      </c>
      <c r="BF14" s="553">
        <f>MARZO!BF14+ABRIL!BE14+MAYO!BE14+JUNIO!BE14</f>
        <v>382641166</v>
      </c>
      <c r="BG14" s="227" t="s">
        <v>122</v>
      </c>
      <c r="BH14" s="186">
        <f>BN30</f>
        <v>2139175000</v>
      </c>
      <c r="BI14" s="186">
        <f t="shared" si="10"/>
        <v>1708913354</v>
      </c>
      <c r="BJ14" s="186">
        <f t="shared" si="10"/>
        <v>1708913354</v>
      </c>
      <c r="BK14" s="186">
        <f t="shared" si="10"/>
        <v>270133025</v>
      </c>
      <c r="BL14" s="555">
        <f>+BK14+MAYO!BK14+ABRIL!BK14+MARZO!BL14</f>
        <v>819664313</v>
      </c>
      <c r="BM14" s="752" t="s">
        <v>123</v>
      </c>
      <c r="BN14" s="201">
        <f>X35-X41+X83-X88</f>
        <v>73634758656</v>
      </c>
      <c r="BO14" s="199">
        <f>AA35-AA41+AA83-AA88</f>
        <v>73618213552</v>
      </c>
      <c r="BP14" s="199">
        <f>AD35-AD41+AD83-AD88</f>
        <v>66356643843</v>
      </c>
      <c r="BQ14" s="753">
        <f>AF35-AF41+AF83-AF88</f>
        <v>6689515479</v>
      </c>
    </row>
    <row r="15" spans="1:69" ht="24.75" customHeight="1" thickBot="1">
      <c r="A15" s="241">
        <f>+IF(OCTUBRE!A15=0,"",OCTUBRE!A15)</f>
        <v>1004</v>
      </c>
      <c r="B15" s="203" t="str">
        <f>+IF(OCTUBRE!B15=0,"",OCTUBRE!B15)</f>
        <v>Cesantias Ley 50/1990 a Dic-31-2024</v>
      </c>
      <c r="C15" s="242">
        <f>+ENERO!C15</f>
        <v>0</v>
      </c>
      <c r="D15" s="243">
        <f>OCTUBRE!D15+NOVIEMBRE!P15</f>
        <v>0</v>
      </c>
      <c r="E15" s="243">
        <f>OCTUBRE!E15+NOVIEMBRE!Q15</f>
        <v>0</v>
      </c>
      <c r="F15" s="244">
        <f>SUM(C15:E15)</f>
        <v>0</v>
      </c>
      <c r="G15" s="245">
        <f>OCTUBRE!I15</f>
        <v>0</v>
      </c>
      <c r="H15" s="246">
        <v>0</v>
      </c>
      <c r="I15" s="244">
        <f>SUM(G15:H15)</f>
        <v>0</v>
      </c>
      <c r="J15" s="245">
        <f>OCTUBRE!L15</f>
        <v>0</v>
      </c>
      <c r="K15" s="247">
        <v>0</v>
      </c>
      <c r="L15" s="244">
        <f>SUM(J15:K15)</f>
        <v>0</v>
      </c>
      <c r="M15" s="245">
        <f>F15-I15</f>
        <v>0</v>
      </c>
      <c r="N15" s="244">
        <f>F15-L15</f>
        <v>0</v>
      </c>
      <c r="O15" s="67"/>
      <c r="P15" s="242">
        <v>0</v>
      </c>
      <c r="Q15" s="248">
        <v>0</v>
      </c>
      <c r="R15" s="101"/>
      <c r="S15" s="189" t="str">
        <f>+IF(OCTUBRE!S15=0,"",OCTUBRE!S15)</f>
        <v/>
      </c>
      <c r="T15" s="488" t="str">
        <f>+IF(OCTUBRE!T15=0,"",OCTUBRE!T15)</f>
        <v xml:space="preserve"> </v>
      </c>
      <c r="U15" s="191"/>
      <c r="V15" s="191"/>
      <c r="W15" s="191"/>
      <c r="X15" s="191"/>
      <c r="Y15" s="191"/>
      <c r="Z15" s="191"/>
      <c r="AA15" s="191"/>
      <c r="AB15" s="191"/>
      <c r="AC15" s="191"/>
      <c r="AD15" s="191"/>
      <c r="AE15" s="191"/>
      <c r="AF15" s="191"/>
      <c r="AG15" s="191"/>
      <c r="AH15" s="191"/>
      <c r="AI15" s="191"/>
      <c r="AJ15" s="192"/>
      <c r="AK15" s="216"/>
      <c r="AL15" s="249"/>
      <c r="AM15" s="250"/>
      <c r="AN15" s="101"/>
      <c r="AO15" s="221"/>
      <c r="AP15" s="109" t="s">
        <v>124</v>
      </c>
      <c r="AQ15" s="138">
        <f>F113</f>
        <v>0</v>
      </c>
      <c r="AR15" s="138">
        <f>I113</f>
        <v>0</v>
      </c>
      <c r="AS15" s="138">
        <f>L113</f>
        <v>0</v>
      </c>
      <c r="AT15" s="101"/>
      <c r="AU15" s="139" t="str">
        <f t="shared" si="0"/>
        <v xml:space="preserve"> </v>
      </c>
      <c r="AV15" s="139" t="str">
        <f t="shared" si="1"/>
        <v xml:space="preserve"> </v>
      </c>
      <c r="AW15" s="138">
        <f>+AR15</f>
        <v>0</v>
      </c>
      <c r="AX15" s="138">
        <f>+AS15</f>
        <v>0</v>
      </c>
      <c r="AY15" s="138">
        <f t="shared" si="2"/>
        <v>0</v>
      </c>
      <c r="AZ15" s="140">
        <f t="shared" si="3"/>
        <v>0</v>
      </c>
      <c r="BA15" s="67"/>
      <c r="BB15" s="236" t="s">
        <v>125</v>
      </c>
      <c r="BC15" s="237">
        <f>F46+F49</f>
        <v>976431378</v>
      </c>
      <c r="BD15" s="238">
        <f>I46+I49</f>
        <v>434668199</v>
      </c>
      <c r="BE15" s="239">
        <f>K46</f>
        <v>0</v>
      </c>
      <c r="BF15" s="553">
        <f>MARZO!BF15+ABRIL!BE15+MAYO!BE15+JUNIO!BE15</f>
        <v>4215387</v>
      </c>
      <c r="BG15" s="227" t="s">
        <v>126</v>
      </c>
      <c r="BH15" s="186">
        <f>BN31</f>
        <v>27343386787.222057</v>
      </c>
      <c r="BI15" s="186">
        <f t="shared" si="10"/>
        <v>27185197387</v>
      </c>
      <c r="BJ15" s="186">
        <f t="shared" si="10"/>
        <v>27178997387</v>
      </c>
      <c r="BK15" s="186">
        <f t="shared" si="10"/>
        <v>3550001</v>
      </c>
      <c r="BL15" s="555">
        <f>+BK15+MAYO!BK15+ABRIL!BK15+MARZO!BL15</f>
        <v>26889361875</v>
      </c>
      <c r="BM15" s="743" t="s">
        <v>104</v>
      </c>
      <c r="BN15" s="188">
        <f>SUM(BN16:BN21)</f>
        <v>19948221216.398613</v>
      </c>
      <c r="BO15" s="186">
        <f>SUM(BO16:BO21)</f>
        <v>14566494852</v>
      </c>
      <c r="BP15" s="186">
        <f>SUM(BP16:BP21)</f>
        <v>13117567553</v>
      </c>
      <c r="BQ15" s="754">
        <f>SUM(BQ16:BQ21)</f>
        <v>876946202</v>
      </c>
    </row>
    <row r="16" spans="1:69" ht="24.75" customHeight="1" thickBot="1">
      <c r="A16" s="251" t="str">
        <f>+IF(OCTUBRE!A16=0,"",OCTUBRE!A16)</f>
        <v/>
      </c>
      <c r="B16" s="252" t="str">
        <f>+IF(OCTUBRE!B16=0,"",OCTUBRE!B16)</f>
        <v/>
      </c>
      <c r="C16" s="253"/>
      <c r="D16" s="253"/>
      <c r="E16" s="253"/>
      <c r="F16" s="253"/>
      <c r="G16" s="253"/>
      <c r="H16" s="253"/>
      <c r="I16" s="253"/>
      <c r="J16" s="253"/>
      <c r="K16" s="253"/>
      <c r="L16" s="253"/>
      <c r="M16" s="253"/>
      <c r="N16" s="254"/>
      <c r="O16" s="67"/>
      <c r="P16" s="255"/>
      <c r="Q16" s="256"/>
      <c r="R16" s="101"/>
      <c r="S16" s="257" t="str">
        <f>+IF(OCTUBRE!S16=0,"",OCTUBRE!S16)</f>
        <v>2.1.1.01.01</v>
      </c>
      <c r="T16" s="546" t="str">
        <f>+IF(OCTUBRE!T16=0,"",OCTUBRE!T16)</f>
        <v>Servicios Personales Asociados a Nómina</v>
      </c>
      <c r="U16" s="230">
        <f t="shared" ref="U16:AJ16" si="12">SUM(U17:U20)+U33</f>
        <v>8136453797.916667</v>
      </c>
      <c r="V16" s="231">
        <f t="shared" si="12"/>
        <v>-1319478115</v>
      </c>
      <c r="W16" s="231">
        <f t="shared" si="12"/>
        <v>0</v>
      </c>
      <c r="X16" s="234">
        <f t="shared" si="12"/>
        <v>6816975682.916667</v>
      </c>
      <c r="Y16" s="233">
        <f t="shared" si="12"/>
        <v>5174571183</v>
      </c>
      <c r="Z16" s="231">
        <f t="shared" si="12"/>
        <v>476199350</v>
      </c>
      <c r="AA16" s="234">
        <f t="shared" si="12"/>
        <v>5650770533</v>
      </c>
      <c r="AB16" s="233">
        <f t="shared" si="12"/>
        <v>5174571183</v>
      </c>
      <c r="AC16" s="231">
        <f>SUM(AC17:AC20)+AC33</f>
        <v>476199350</v>
      </c>
      <c r="AD16" s="234">
        <f t="shared" si="12"/>
        <v>5650770533</v>
      </c>
      <c r="AE16" s="233">
        <f t="shared" si="12"/>
        <v>5174551183</v>
      </c>
      <c r="AF16" s="231">
        <f>SUM(AF17:AF20)+AF33</f>
        <v>476199350</v>
      </c>
      <c r="AG16" s="234">
        <f t="shared" si="12"/>
        <v>5650750533</v>
      </c>
      <c r="AH16" s="233">
        <f t="shared" si="12"/>
        <v>1166205149.9166665</v>
      </c>
      <c r="AI16" s="231">
        <f t="shared" si="12"/>
        <v>1166205149.9166665</v>
      </c>
      <c r="AJ16" s="232">
        <f t="shared" si="12"/>
        <v>1166225149.9166665</v>
      </c>
      <c r="AK16" s="216"/>
      <c r="AL16" s="233">
        <f>SUM(AL17:AL20)+AL33</f>
        <v>-660000000</v>
      </c>
      <c r="AM16" s="232">
        <f>SUM(AM17:AM20)+AM33</f>
        <v>0</v>
      </c>
      <c r="AN16" s="101"/>
      <c r="AO16" s="108"/>
      <c r="AP16" s="259" t="s">
        <v>128</v>
      </c>
      <c r="AQ16" s="260">
        <f>F10</f>
        <v>1179477265</v>
      </c>
      <c r="AR16" s="260">
        <f>I10</f>
        <v>1179477265</v>
      </c>
      <c r="AS16" s="260">
        <f>L10</f>
        <v>1179477265</v>
      </c>
      <c r="AT16" s="67"/>
      <c r="AU16" s="261">
        <f t="shared" si="0"/>
        <v>1</v>
      </c>
      <c r="AV16" s="261">
        <f t="shared" si="1"/>
        <v>1</v>
      </c>
      <c r="AW16" s="260">
        <f>+AR16</f>
        <v>1179477265</v>
      </c>
      <c r="AX16" s="260">
        <f>+AS16</f>
        <v>1179477265</v>
      </c>
      <c r="AY16" s="138">
        <f t="shared" si="2"/>
        <v>0</v>
      </c>
      <c r="AZ16" s="262">
        <f t="shared" si="3"/>
        <v>0</v>
      </c>
      <c r="BA16" s="67"/>
      <c r="BB16" s="185" t="s">
        <v>129</v>
      </c>
      <c r="BC16" s="161">
        <f>F43</f>
        <v>0</v>
      </c>
      <c r="BD16" s="162">
        <f>I43</f>
        <v>55863724</v>
      </c>
      <c r="BE16" s="237">
        <f>SUM(K43)</f>
        <v>0</v>
      </c>
      <c r="BF16" s="553">
        <f>MARZO!BF16+ABRIL!BE16+MAYO!BE16+JUNIO!BE16</f>
        <v>6113368690</v>
      </c>
      <c r="BG16" s="227" t="s">
        <v>130</v>
      </c>
      <c r="BH16" s="263">
        <f>BH7+BH12+BH13+BH14+BH15</f>
        <v>224501844852.16663</v>
      </c>
      <c r="BI16" s="263">
        <f>BI7+BI12+BI13+BI14+BI15</f>
        <v>198687337403</v>
      </c>
      <c r="BJ16" s="263">
        <f>BJ7+BJ12+BJ13+BJ14+BJ15</f>
        <v>178150703602</v>
      </c>
      <c r="BK16" s="263">
        <f>BK7+BK12+BK13+BK14+BK15</f>
        <v>13795862431</v>
      </c>
      <c r="BL16" s="555">
        <f>+BK16+MAYO!BK16+ABRIL!BK16+MARZO!BL16</f>
        <v>71637821445</v>
      </c>
      <c r="BM16" s="745" t="s">
        <v>131</v>
      </c>
      <c r="BN16" s="188">
        <f>SUM(X115+X116+X117+X149)</f>
        <v>1793007702.1208334</v>
      </c>
      <c r="BO16" s="188">
        <f>SUM(AA115+AA116+AA117+AA149)</f>
        <v>1754159852</v>
      </c>
      <c r="BP16" s="188">
        <f>SUM(AD115+AD116+AD117+AD149)</f>
        <v>1537518984</v>
      </c>
      <c r="BQ16" s="188">
        <f>SUM(AF115+AF116+AF117+AF149)</f>
        <v>92413079</v>
      </c>
    </row>
    <row r="17" spans="1:69" ht="24.75" customHeight="1" thickBot="1">
      <c r="A17" s="169" t="str">
        <f>+IF(OCTUBRE!A17=0,"",OCTUBRE!A17)</f>
        <v>1.1</v>
      </c>
      <c r="B17" s="265" t="str">
        <f>+IF(OCTUBRE!B17=0,"",OCTUBRE!B17)</f>
        <v>INGRESOS  CORRIENTES</v>
      </c>
      <c r="C17" s="127">
        <f t="shared" ref="C17:N17" si="13">C19+C94+C104</f>
        <v>158143153137.47653</v>
      </c>
      <c r="D17" s="125">
        <f t="shared" si="13"/>
        <v>0</v>
      </c>
      <c r="E17" s="125">
        <f t="shared" si="13"/>
        <v>64949579997</v>
      </c>
      <c r="F17" s="125">
        <f>F19+F94+F104</f>
        <v>223092733134.47653</v>
      </c>
      <c r="G17" s="125">
        <f t="shared" si="13"/>
        <v>202871772848</v>
      </c>
      <c r="H17" s="125">
        <f t="shared" si="13"/>
        <v>19048005736</v>
      </c>
      <c r="I17" s="125">
        <f t="shared" si="13"/>
        <v>221919778584</v>
      </c>
      <c r="J17" s="125">
        <f t="shared" si="13"/>
        <v>122545001465</v>
      </c>
      <c r="K17" s="125">
        <f t="shared" si="13"/>
        <v>14464364496</v>
      </c>
      <c r="L17" s="125">
        <f t="shared" si="13"/>
        <v>137009365961</v>
      </c>
      <c r="M17" s="125">
        <f t="shared" si="13"/>
        <v>1172954550.4765129</v>
      </c>
      <c r="N17" s="128">
        <f t="shared" si="13"/>
        <v>86083367173.476501</v>
      </c>
      <c r="O17" s="67"/>
      <c r="P17" s="171">
        <f>P19+P94+P104</f>
        <v>0</v>
      </c>
      <c r="Q17" s="173">
        <f>Q19+Q94+Q104</f>
        <v>11667126796</v>
      </c>
      <c r="R17" s="101"/>
      <c r="S17" s="266" t="str">
        <f>+IF(OCTUBRE!S17=0,"",OCTUBRE!S17)</f>
        <v>2.1.1.01.01.001.01</v>
      </c>
      <c r="T17" s="267" t="str">
        <f>+IF(OCTUBRE!T17=0,"",OCTUBRE!T17)</f>
        <v>Sueldos del Personal de nómina</v>
      </c>
      <c r="U17" s="373">
        <f>+ENERO!U17</f>
        <v>6531851100</v>
      </c>
      <c r="V17" s="220">
        <f>OCTUBRE!V17+NOVIEMBRE!AL17</f>
        <v>-1320478115</v>
      </c>
      <c r="W17" s="220">
        <f>OCTUBRE!W17+NOVIEMBRE!AM17</f>
        <v>0</v>
      </c>
      <c r="X17" s="271">
        <f>SUM(U17:W17)</f>
        <v>5211372985</v>
      </c>
      <c r="Y17" s="270">
        <f>OCTUBRE!AA17</f>
        <v>4280985953</v>
      </c>
      <c r="Z17" s="208">
        <v>402806187</v>
      </c>
      <c r="AA17" s="271">
        <f>SUM(Y17:Z17)</f>
        <v>4683792140</v>
      </c>
      <c r="AB17" s="270">
        <f>OCTUBRE!AD17</f>
        <v>4280985953</v>
      </c>
      <c r="AC17" s="208">
        <v>402806187</v>
      </c>
      <c r="AD17" s="271">
        <f>SUM(AB17:AC17)</f>
        <v>4683792140</v>
      </c>
      <c r="AE17" s="270">
        <f>OCTUBRE!AG17</f>
        <v>4280985953</v>
      </c>
      <c r="AF17" s="208">
        <v>402806187</v>
      </c>
      <c r="AG17" s="271">
        <f>SUM(AE17:AF17)</f>
        <v>4683792140</v>
      </c>
      <c r="AH17" s="270">
        <f>X17-AA17</f>
        <v>527580845</v>
      </c>
      <c r="AI17" s="220">
        <f>X17-AD17</f>
        <v>527580845</v>
      </c>
      <c r="AJ17" s="269">
        <f>X17-AG17</f>
        <v>527580845</v>
      </c>
      <c r="AK17" s="101"/>
      <c r="AL17" s="204">
        <f>-570000000-30000000-40000000</f>
        <v>-640000000</v>
      </c>
      <c r="AM17" s="210">
        <v>0</v>
      </c>
      <c r="AN17" s="101"/>
      <c r="AO17" s="156"/>
      <c r="AP17" s="272" t="s">
        <v>134</v>
      </c>
      <c r="AQ17" s="981">
        <f>SUM(AQ7:AQ16)</f>
        <v>224272210399.47653</v>
      </c>
      <c r="AR17" s="982">
        <f>SUM(AR7:AR16)</f>
        <v>223099255849</v>
      </c>
      <c r="AS17" s="983">
        <f>SUM(AS7:AS16)</f>
        <v>138188843226</v>
      </c>
      <c r="AT17" s="276"/>
      <c r="AU17" s="274">
        <f t="shared" si="0"/>
        <v>0.99476995144254721</v>
      </c>
      <c r="AV17" s="274">
        <f t="shared" si="1"/>
        <v>0.61616569872770355</v>
      </c>
      <c r="AW17" s="277">
        <f>SUM(AX7:AX16)</f>
        <v>161466496174.90909</v>
      </c>
      <c r="AX17" s="277">
        <f>SUM(AX7:AX16)</f>
        <v>161466496174.90909</v>
      </c>
      <c r="AY17" s="277">
        <f>SUM(AY7:AY16)</f>
        <v>37144933952.432571</v>
      </c>
      <c r="AZ17" s="278">
        <f>SUM(AZ7:AZ16)</f>
        <v>-62805714224.567436</v>
      </c>
      <c r="BA17" s="101"/>
      <c r="BB17" s="185" t="s">
        <v>135</v>
      </c>
      <c r="BC17" s="161">
        <f>F41+F52+F55+F58+F61+F67+F70+F73+F76+F79+F82+F86+F87+F88+F89+F90+F91</f>
        <v>24483087653.847889</v>
      </c>
      <c r="BD17" s="162">
        <f>I41+I52+I55+I58+I61+I67+I70+I73+I76+I79+I82+I86+I87+I88+I89+I90+I91</f>
        <v>24960444838</v>
      </c>
      <c r="BE17" s="162">
        <f>K41+K52+K55+K58+K61+K67+K70+K73+K76+K79+K82+K86+K87+K88+K89+K90+K91</f>
        <v>779523605</v>
      </c>
      <c r="BF17" s="553">
        <f>MARZO!BF17+ABRIL!BE17+MAYO!BE17+JUNIO!BE17</f>
        <v>322775260</v>
      </c>
      <c r="BG17" s="279" t="s">
        <v>136</v>
      </c>
      <c r="BH17" s="280">
        <f>BC23-BH16</f>
        <v>-224501844852.16663</v>
      </c>
      <c r="BI17" s="280"/>
      <c r="BJ17" s="280"/>
      <c r="BK17" s="280"/>
      <c r="BL17" s="555">
        <f>+BK17+MAYO!BK17+ABRIL!BK17+MARZO!BL17</f>
        <v>0</v>
      </c>
      <c r="BM17" s="745" t="s">
        <v>137</v>
      </c>
      <c r="BN17" s="188">
        <f>X124+X127+X128+X129+X130+X131+X132+X133+X134+X135+X136+X125+X137+X138</f>
        <v>4601510536.2777777</v>
      </c>
      <c r="BO17" s="188">
        <f>AA124+AA127+AA128+AA129+AA130+AA131+AA132+AA133+AA134+AA135+AA136+AA125+AA137+AA138</f>
        <v>4449733511</v>
      </c>
      <c r="BP17" s="188">
        <f>AD124+AD127+AD128+AD129+AD130+AD131+AD132+AD133+AD134+AD135+AD136+AD125+AD137+AD138</f>
        <v>4138973541</v>
      </c>
      <c r="BQ17" s="188">
        <f>AF124+AF127+AF128+AF129+AF130+AF131+AF132+AF133+AF134+AF135+AF136+AF125+AF137+AF138</f>
        <v>193588388</v>
      </c>
    </row>
    <row r="18" spans="1:69" ht="24.75" customHeight="1" thickBot="1">
      <c r="A18" s="202">
        <f>+IF(OCTUBRE!A18=0,"",OCTUBRE!A18)</f>
        <v>399373312</v>
      </c>
      <c r="B18" s="282">
        <f>+IF(OCTUBRE!B18=0,"",OCTUBRE!B18)</f>
        <v>399373312</v>
      </c>
      <c r="C18" s="67"/>
      <c r="D18" s="67"/>
      <c r="E18" s="67"/>
      <c r="F18" s="67"/>
      <c r="G18" s="67"/>
      <c r="H18" s="67"/>
      <c r="I18" s="67"/>
      <c r="J18" s="67"/>
      <c r="K18" s="67"/>
      <c r="L18" s="67"/>
      <c r="M18" s="67"/>
      <c r="N18" s="283"/>
      <c r="O18" s="101"/>
      <c r="P18" s="284"/>
      <c r="Q18" s="285"/>
      <c r="R18" s="101"/>
      <c r="S18" s="266" t="str">
        <f>+IF(OCTUBRE!S18=0,"",OCTUBRE!S18)</f>
        <v>2.1.1.01.01.001.02</v>
      </c>
      <c r="T18" s="267" t="str">
        <f>+IF(OCTUBRE!T18=0,"",OCTUBRE!T18)</f>
        <v>Horas Extras,Dominic.,Festivos y Rec. Nocturnos</v>
      </c>
      <c r="U18" s="373">
        <f>+ENERO!U18</f>
        <v>17000000</v>
      </c>
      <c r="V18" s="220">
        <f>OCTUBRE!V18+NOVIEMBRE!AL18</f>
        <v>0</v>
      </c>
      <c r="W18" s="220">
        <f>OCTUBRE!W18+NOVIEMBRE!AM18</f>
        <v>0</v>
      </c>
      <c r="X18" s="271">
        <f>SUM(U18:W18)</f>
        <v>17000000</v>
      </c>
      <c r="Y18" s="270">
        <f>OCTUBRE!AA18</f>
        <v>12418318</v>
      </c>
      <c r="Z18" s="208">
        <v>1214669</v>
      </c>
      <c r="AA18" s="271">
        <f>SUM(Y18:Z18)</f>
        <v>13632987</v>
      </c>
      <c r="AB18" s="270">
        <f>OCTUBRE!AD18</f>
        <v>12418318</v>
      </c>
      <c r="AC18" s="208">
        <v>1214669</v>
      </c>
      <c r="AD18" s="271">
        <f>SUM(AB18:AC18)</f>
        <v>13632987</v>
      </c>
      <c r="AE18" s="270">
        <f>OCTUBRE!AG18</f>
        <v>12418318</v>
      </c>
      <c r="AF18" s="208">
        <v>1214669</v>
      </c>
      <c r="AG18" s="271">
        <f>SUM(AE18:AF18)</f>
        <v>13632987</v>
      </c>
      <c r="AH18" s="270">
        <f>X18-AA18</f>
        <v>3367013</v>
      </c>
      <c r="AI18" s="220">
        <f>X18-AD18</f>
        <v>3367013</v>
      </c>
      <c r="AJ18" s="269">
        <f>X18-AG18</f>
        <v>3367013</v>
      </c>
      <c r="AK18" s="101"/>
      <c r="AL18" s="204">
        <v>0</v>
      </c>
      <c r="AM18" s="210">
        <v>0</v>
      </c>
      <c r="AN18" s="101"/>
      <c r="AO18" s="108"/>
      <c r="AP18" s="67" t="s">
        <v>92</v>
      </c>
      <c r="AQ18" s="67"/>
      <c r="AR18" s="67"/>
      <c r="AS18" s="67"/>
      <c r="AT18" s="67"/>
      <c r="AU18" s="67"/>
      <c r="AV18" s="67"/>
      <c r="AW18" s="67"/>
      <c r="AX18" s="67"/>
      <c r="AY18" s="67"/>
      <c r="AZ18" s="67"/>
      <c r="BA18" s="67"/>
      <c r="BB18" s="236" t="s">
        <v>139</v>
      </c>
      <c r="BC18" s="161">
        <f>+F95+F96+F97+F99</f>
        <v>0</v>
      </c>
      <c r="BD18" s="162">
        <f>+I95+I96+I97+I99</f>
        <v>0</v>
      </c>
      <c r="BE18" s="163">
        <f>+K95+K96+K97+K99</f>
        <v>0</v>
      </c>
      <c r="BF18" s="553">
        <f>MARZO!BF18+ABRIL!BE18+MAYO!BE18+JUNIO!BE18</f>
        <v>0</v>
      </c>
      <c r="BG18" s="101"/>
      <c r="BH18" s="101"/>
      <c r="BI18" s="101"/>
      <c r="BJ18" s="101"/>
      <c r="BK18" s="101"/>
      <c r="BL18" s="101"/>
      <c r="BM18" s="745" t="s">
        <v>140</v>
      </c>
      <c r="BN18" s="188">
        <f>X118+X120+X148+X156+X157-X166</f>
        <v>9458680319</v>
      </c>
      <c r="BO18" s="188">
        <f>AA118+AA120+AA148+AA156+AA157-AA166</f>
        <v>4700787085</v>
      </c>
      <c r="BP18" s="188">
        <f>AD118+AD120+AD148+AD156+AD157-AD166</f>
        <v>4006853056</v>
      </c>
      <c r="BQ18" s="188">
        <f>AF118+AF120+AF148+AF156+AF157-AF166</f>
        <v>293783030</v>
      </c>
    </row>
    <row r="19" spans="1:69" ht="24.75" customHeight="1" thickBot="1">
      <c r="A19" s="286">
        <f>+IF(OCTUBRE!A19=0,"",OCTUBRE!A19)</f>
        <v>113</v>
      </c>
      <c r="B19" s="287" t="str">
        <f>+IF(OCTUBRE!B19=0,"",OCTUBRE!B19)</f>
        <v>VENTA DE SERVICIOS</v>
      </c>
      <c r="C19" s="127">
        <f t="shared" ref="C19:N19" si="14">C21+C85</f>
        <v>157258153137.47653</v>
      </c>
      <c r="D19" s="125">
        <f t="shared" si="14"/>
        <v>0</v>
      </c>
      <c r="E19" s="125">
        <f t="shared" si="14"/>
        <v>47987051886</v>
      </c>
      <c r="F19" s="128">
        <f>F21+F85</f>
        <v>205245205023.47653</v>
      </c>
      <c r="G19" s="127">
        <f t="shared" si="14"/>
        <v>199669325294</v>
      </c>
      <c r="H19" s="125">
        <f t="shared" si="14"/>
        <v>17109406643</v>
      </c>
      <c r="I19" s="128">
        <f t="shared" si="14"/>
        <v>216778731937</v>
      </c>
      <c r="J19" s="127">
        <f t="shared" si="14"/>
        <v>119389774563</v>
      </c>
      <c r="K19" s="125">
        <f t="shared" si="14"/>
        <v>13834372617</v>
      </c>
      <c r="L19" s="128">
        <f t="shared" si="14"/>
        <v>133224147180</v>
      </c>
      <c r="M19" s="127">
        <f t="shared" si="14"/>
        <v>-11533526913.523487</v>
      </c>
      <c r="N19" s="128">
        <f t="shared" si="14"/>
        <v>72021057843.476501</v>
      </c>
      <c r="O19" s="67"/>
      <c r="P19" s="288">
        <f>P21+P85</f>
        <v>0</v>
      </c>
      <c r="Q19" s="289">
        <f>Q21+Q85</f>
        <v>108404926</v>
      </c>
      <c r="R19" s="101"/>
      <c r="S19" s="266">
        <f>+IF(OCTUBRE!S19=0,"",OCTUBRE!S19)</f>
        <v>1010103</v>
      </c>
      <c r="T19" s="267" t="str">
        <f>+IF(OCTUBRE!T19=0,"",OCTUBRE!T19)</f>
        <v>Prima Técnica</v>
      </c>
      <c r="U19" s="373">
        <f>+ENERO!U19</f>
        <v>0</v>
      </c>
      <c r="V19" s="220">
        <f>OCTUBRE!V19+NOVIEMBRE!AL19</f>
        <v>0</v>
      </c>
      <c r="W19" s="220">
        <f>OCTUBRE!W19+NOVIEMBRE!AM19</f>
        <v>0</v>
      </c>
      <c r="X19" s="271">
        <f>SUM(U19:W19)</f>
        <v>0</v>
      </c>
      <c r="Y19" s="270">
        <f>OCTUBRE!AA19</f>
        <v>0</v>
      </c>
      <c r="Z19" s="208">
        <v>0</v>
      </c>
      <c r="AA19" s="271">
        <f>SUM(Y19:Z19)</f>
        <v>0</v>
      </c>
      <c r="AB19" s="270">
        <f>OCTUBRE!AD19</f>
        <v>0</v>
      </c>
      <c r="AC19" s="208">
        <v>0</v>
      </c>
      <c r="AD19" s="271">
        <f>SUM(AB19:AC19)</f>
        <v>0</v>
      </c>
      <c r="AE19" s="270">
        <f>OCTUBRE!AG19</f>
        <v>0</v>
      </c>
      <c r="AF19" s="208">
        <v>0</v>
      </c>
      <c r="AG19" s="271">
        <f>SUM(AE19:AF19)</f>
        <v>0</v>
      </c>
      <c r="AH19" s="270">
        <f>X19-AA19</f>
        <v>0</v>
      </c>
      <c r="AI19" s="220">
        <f>X19-AD19</f>
        <v>0</v>
      </c>
      <c r="AJ19" s="269">
        <f>X19-AG19</f>
        <v>0</v>
      </c>
      <c r="AK19" s="101"/>
      <c r="AL19" s="204">
        <v>0</v>
      </c>
      <c r="AM19" s="210">
        <v>0</v>
      </c>
      <c r="AN19" s="101"/>
      <c r="AO19" s="108"/>
      <c r="AP19" s="290"/>
      <c r="AQ19" s="291" t="s">
        <v>52</v>
      </c>
      <c r="AR19" s="292" t="s">
        <v>31</v>
      </c>
      <c r="AS19" s="293" t="s">
        <v>143</v>
      </c>
      <c r="AT19" s="292" t="s">
        <v>55</v>
      </c>
      <c r="AU19" s="294" t="s">
        <v>55</v>
      </c>
      <c r="AV19" s="295" t="s">
        <v>55</v>
      </c>
      <c r="AW19" s="1328" t="str">
        <f>+CONCATENATE("PROYECCION A DICIEMBRE 31 DEL ",N3)</f>
        <v>PROYECCION A DICIEMBRE 31 DEL 2025</v>
      </c>
      <c r="AX19" s="1322"/>
      <c r="AY19" s="1322"/>
      <c r="AZ19" s="1323"/>
      <c r="BA19" s="67"/>
      <c r="BB19" s="296" t="s">
        <v>144</v>
      </c>
      <c r="BC19" s="297">
        <f>+F105+F106+F107+F108+F109+F110+F98+F100+F101</f>
        <v>17827791322</v>
      </c>
      <c r="BD19" s="238">
        <f>+I105+I106+I107+I108+I109+I110+I98+I100+I101</f>
        <v>5121309858</v>
      </c>
      <c r="BE19" s="239">
        <f>+K105+K106+K107+K108+K109+K110+K98+K100+K101</f>
        <v>629991879</v>
      </c>
      <c r="BF19" s="553">
        <f>MARZO!BF19+ABRIL!BE19+MAYO!BE19+JUNIO!BE19</f>
        <v>729645872</v>
      </c>
      <c r="BG19" s="67"/>
      <c r="BH19" s="67"/>
      <c r="BI19" s="67"/>
      <c r="BJ19" s="67"/>
      <c r="BK19" s="67"/>
      <c r="BL19" s="101"/>
      <c r="BM19" s="745" t="s">
        <v>145</v>
      </c>
      <c r="BN19" s="188">
        <f>X126</f>
        <v>3457022659</v>
      </c>
      <c r="BO19" s="188">
        <f>AA126</f>
        <v>3228251104</v>
      </c>
      <c r="BP19" s="188">
        <f>AD126</f>
        <v>3000658672</v>
      </c>
      <c r="BQ19" s="755">
        <f>AF126</f>
        <v>236790705</v>
      </c>
    </row>
    <row r="20" spans="1:69" ht="24.75" customHeight="1" thickBot="1">
      <c r="A20" s="202" t="str">
        <f>+IF(OCTUBRE!A20=0,"",OCTUBRE!A20)</f>
        <v/>
      </c>
      <c r="B20" s="298" t="str">
        <f>+IF(OCTUBRE!B20=0,"",OCTUBRE!B20)</f>
        <v/>
      </c>
      <c r="C20" s="67"/>
      <c r="D20" s="67"/>
      <c r="E20" s="67"/>
      <c r="F20" s="67"/>
      <c r="G20" s="67"/>
      <c r="H20" s="67"/>
      <c r="I20" s="67"/>
      <c r="J20" s="67"/>
      <c r="K20" s="67"/>
      <c r="L20" s="67"/>
      <c r="M20" s="67"/>
      <c r="N20" s="283"/>
      <c r="O20" s="101"/>
      <c r="P20" s="284"/>
      <c r="Q20" s="285"/>
      <c r="R20" s="101"/>
      <c r="S20" s="266">
        <f>+IF(OCTUBRE!S20=0,"",OCTUBRE!S20)</f>
        <v>1010104</v>
      </c>
      <c r="T20" s="267" t="str">
        <f>+IF(OCTUBRE!T20=0,"",OCTUBRE!T20)</f>
        <v>Otros</v>
      </c>
      <c r="U20" s="373">
        <f t="shared" ref="U20:AJ20" si="15">SUM(U21:U32)</f>
        <v>1587602697.9166667</v>
      </c>
      <c r="V20" s="220">
        <f t="shared" si="15"/>
        <v>1000000</v>
      </c>
      <c r="W20" s="220">
        <f t="shared" si="15"/>
        <v>0</v>
      </c>
      <c r="X20" s="271">
        <f t="shared" si="15"/>
        <v>1588602697.9166667</v>
      </c>
      <c r="Y20" s="270">
        <f t="shared" si="15"/>
        <v>881166912</v>
      </c>
      <c r="Z20" s="300">
        <f t="shared" si="15"/>
        <v>72178494</v>
      </c>
      <c r="AA20" s="271">
        <f t="shared" si="15"/>
        <v>953345406</v>
      </c>
      <c r="AB20" s="270">
        <f t="shared" si="15"/>
        <v>881166912</v>
      </c>
      <c r="AC20" s="300">
        <f>SUM(AC21:AC32)</f>
        <v>72178494</v>
      </c>
      <c r="AD20" s="271">
        <f t="shared" si="15"/>
        <v>953345406</v>
      </c>
      <c r="AE20" s="270">
        <f t="shared" si="15"/>
        <v>881146912</v>
      </c>
      <c r="AF20" s="300">
        <f>SUM(AF21:AF32)</f>
        <v>72178494</v>
      </c>
      <c r="AG20" s="271">
        <f t="shared" si="15"/>
        <v>953325406</v>
      </c>
      <c r="AH20" s="270">
        <f t="shared" si="15"/>
        <v>635257291.91666663</v>
      </c>
      <c r="AI20" s="220">
        <f t="shared" si="15"/>
        <v>635257291.91666663</v>
      </c>
      <c r="AJ20" s="269">
        <f t="shared" si="15"/>
        <v>635277291.91666663</v>
      </c>
      <c r="AK20" s="101"/>
      <c r="AL20" s="301">
        <f>SUM(AL21:AL32)</f>
        <v>-20000000</v>
      </c>
      <c r="AM20" s="302">
        <f>SUM(AM21:AM32)</f>
        <v>0</v>
      </c>
      <c r="AN20" s="101"/>
      <c r="AO20" s="156"/>
      <c r="AP20" s="303" t="s">
        <v>65</v>
      </c>
      <c r="AQ20" s="304" t="s">
        <v>75</v>
      </c>
      <c r="AR20" s="304" t="s">
        <v>66</v>
      </c>
      <c r="AS20" s="305" t="s">
        <v>66</v>
      </c>
      <c r="AT20" s="304" t="s">
        <v>67</v>
      </c>
      <c r="AU20" s="306" t="s">
        <v>68</v>
      </c>
      <c r="AV20" s="306" t="s">
        <v>68</v>
      </c>
      <c r="AW20" s="306" t="s">
        <v>31</v>
      </c>
      <c r="AX20" s="306" t="s">
        <v>34</v>
      </c>
      <c r="AY20" s="306" t="s">
        <v>147</v>
      </c>
      <c r="AZ20" s="307" t="s">
        <v>147</v>
      </c>
      <c r="BA20" s="67"/>
      <c r="BB20" s="308" t="s">
        <v>148</v>
      </c>
      <c r="BC20" s="142">
        <f>+F115+F117+F119+F120+F121+F123+F124</f>
        <v>0</v>
      </c>
      <c r="BD20" s="143">
        <f>+I115+I117+I119+I120+I121+I123+I124</f>
        <v>0</v>
      </c>
      <c r="BE20" s="144">
        <f>+K115+K117+K119+K120+K121+K123+K124</f>
        <v>0</v>
      </c>
      <c r="BF20" s="553">
        <f>MARZO!BF20+ABRIL!BE20+MAYO!BE20+JUNIO!BE20</f>
        <v>0</v>
      </c>
      <c r="BG20" s="67"/>
      <c r="BH20" s="67"/>
      <c r="BI20" s="67"/>
      <c r="BJ20" s="67"/>
      <c r="BK20" s="67"/>
      <c r="BL20" s="67"/>
      <c r="BM20" s="745" t="s">
        <v>149</v>
      </c>
      <c r="BN20" s="188">
        <f>+X141</f>
        <v>638000000</v>
      </c>
      <c r="BO20" s="188">
        <f>+AA141</f>
        <v>433563300</v>
      </c>
      <c r="BP20" s="188">
        <f>+AD141</f>
        <v>433563300</v>
      </c>
      <c r="BQ20" s="755">
        <f>+AF141</f>
        <v>60371000</v>
      </c>
    </row>
    <row r="21" spans="1:69" ht="24.75" customHeight="1" thickBot="1">
      <c r="A21" s="309" t="str">
        <f>+IF(OCTUBRE!A21=0,"",OCTUBRE!A21)</f>
        <v>1.1.02.05.001.09.02</v>
      </c>
      <c r="B21" s="310" t="str">
        <f>+IF(OCTUBRE!B21=0,"",OCTUBRE!B21)</f>
        <v>Venta de Servicios de Salud</v>
      </c>
      <c r="C21" s="171">
        <f t="shared" ref="C21:N21" si="16">C22+C25+C28+C41+C42+C45+C48+C51+C54+C57+C60+C63+C66+C69+C72+C75+C78+C81</f>
        <v>157258153137.47653</v>
      </c>
      <c r="D21" s="172">
        <f t="shared" si="16"/>
        <v>0</v>
      </c>
      <c r="E21" s="172">
        <f t="shared" si="16"/>
        <v>26157486765</v>
      </c>
      <c r="F21" s="172">
        <f t="shared" si="16"/>
        <v>183415639902.47653</v>
      </c>
      <c r="G21" s="172">
        <f t="shared" si="16"/>
        <v>179806327737</v>
      </c>
      <c r="H21" s="172">
        <f t="shared" si="16"/>
        <v>14557953815</v>
      </c>
      <c r="I21" s="172">
        <f t="shared" si="16"/>
        <v>194364281552</v>
      </c>
      <c r="J21" s="172">
        <f t="shared" si="16"/>
        <v>104916919236</v>
      </c>
      <c r="K21" s="172">
        <f t="shared" si="16"/>
        <v>13127746452</v>
      </c>
      <c r="L21" s="172">
        <f t="shared" si="16"/>
        <v>118044665688</v>
      </c>
      <c r="M21" s="172">
        <f t="shared" si="16"/>
        <v>-10948641649.523487</v>
      </c>
      <c r="N21" s="173">
        <f t="shared" si="16"/>
        <v>65370974214.476509</v>
      </c>
      <c r="O21" s="67"/>
      <c r="P21" s="288">
        <f>P22+P25+P28+P41+P42+P45+P48+P51+P54+P57+P60+P63+P66+P69+P72+P75+P78+P81</f>
        <v>0</v>
      </c>
      <c r="Q21" s="289">
        <f>Q22+Q25+Q28+Q41+Q42+Q45+Q48+Q51+Q54+Q57+Q60+Q63+Q66+Q69+Q72+Q75+Q78+Q81</f>
        <v>0</v>
      </c>
      <c r="R21" s="101"/>
      <c r="S21" s="311" t="str">
        <f>+IF(OCTUBRE!S21=0,"",OCTUBRE!S21)</f>
        <v>2.1.1.01.01.001.08.01</v>
      </c>
      <c r="T21" s="312" t="str">
        <f>+IF(OCTUBRE!T21=0,"",OCTUBRE!T21)</f>
        <v xml:space="preserve">Prima de Navidad </v>
      </c>
      <c r="U21" s="373">
        <f>+ENERO!U21</f>
        <v>544320925</v>
      </c>
      <c r="V21" s="220">
        <f>OCTUBRE!V21+NOVIEMBRE!AL21</f>
        <v>-30000000</v>
      </c>
      <c r="W21" s="220">
        <f>OCTUBRE!W21+NOVIEMBRE!AM21</f>
        <v>0</v>
      </c>
      <c r="X21" s="271">
        <f t="shared" ref="X21:X33" si="17">SUM(U21:W21)</f>
        <v>514320925</v>
      </c>
      <c r="Y21" s="270">
        <f>OCTUBRE!AA21</f>
        <v>23684843</v>
      </c>
      <c r="Z21" s="208">
        <v>0</v>
      </c>
      <c r="AA21" s="271">
        <f t="shared" ref="AA21:AA33" si="18">SUM(Y21:Z21)</f>
        <v>23684843</v>
      </c>
      <c r="AB21" s="270">
        <f>OCTUBRE!AD21</f>
        <v>23684843</v>
      </c>
      <c r="AC21" s="208">
        <v>0</v>
      </c>
      <c r="AD21" s="271">
        <f t="shared" ref="AD21:AD33" si="19">SUM(AB21:AC21)</f>
        <v>23684843</v>
      </c>
      <c r="AE21" s="270">
        <f>OCTUBRE!AG21</f>
        <v>23684843</v>
      </c>
      <c r="AF21" s="208">
        <v>0</v>
      </c>
      <c r="AG21" s="271">
        <f t="shared" ref="AG21:AG33" si="20">SUM(AE21:AF21)</f>
        <v>23684843</v>
      </c>
      <c r="AH21" s="270">
        <f t="shared" ref="AH21:AH33" si="21">X21-AA21</f>
        <v>490636082</v>
      </c>
      <c r="AI21" s="220">
        <f t="shared" ref="AI21:AI33" si="22">X21-AD21</f>
        <v>490636082</v>
      </c>
      <c r="AJ21" s="269">
        <f t="shared" ref="AJ21:AJ33" si="23">X21-AG21</f>
        <v>490636082</v>
      </c>
      <c r="AK21" s="101"/>
      <c r="AL21" s="204">
        <v>-30000000</v>
      </c>
      <c r="AM21" s="210">
        <v>0</v>
      </c>
      <c r="AN21" s="101"/>
      <c r="AO21" s="156"/>
      <c r="AP21" s="313"/>
      <c r="AQ21" s="314"/>
      <c r="AR21" s="315" t="str">
        <f>AR6</f>
        <v>NOVIEMBRE</v>
      </c>
      <c r="AS21" s="316" t="str">
        <f>AR6</f>
        <v>NOVIEMBRE</v>
      </c>
      <c r="AT21" s="315" t="str">
        <f>AR6</f>
        <v>NOVIEMBRE</v>
      </c>
      <c r="AU21" s="315" t="s">
        <v>31</v>
      </c>
      <c r="AV21" s="315" t="s">
        <v>34</v>
      </c>
      <c r="AW21" s="317"/>
      <c r="AX21" s="317"/>
      <c r="AY21" s="315" t="s">
        <v>31</v>
      </c>
      <c r="AZ21" s="318" t="s">
        <v>34</v>
      </c>
      <c r="BA21" s="101"/>
      <c r="BB21" s="308" t="s">
        <v>152</v>
      </c>
      <c r="BC21" s="142">
        <f>SUMIF($B8:B122,$B24,F8:F122)+F122+F92+F111</f>
        <v>45360108023.099998</v>
      </c>
      <c r="BD21" s="143">
        <f>SUMIF($B8:B122,$B24,I8:I122)+I122+I92+I111</f>
        <v>51522942669</v>
      </c>
      <c r="BE21" s="142">
        <f>SUM(K128)</f>
        <v>1539988311</v>
      </c>
      <c r="BF21" s="553">
        <f>MARZO!BF21+ABRIL!BE21+MAYO!BE21+JUNIO!BE21</f>
        <v>43654823414</v>
      </c>
      <c r="BG21" s="67"/>
      <c r="BH21" s="67"/>
      <c r="BI21" s="67"/>
      <c r="BJ21" s="67"/>
      <c r="BK21" s="67"/>
      <c r="BL21" s="67"/>
      <c r="BM21" s="745" t="s">
        <v>153</v>
      </c>
      <c r="BN21" s="188">
        <v>0</v>
      </c>
      <c r="BO21" s="186">
        <v>0</v>
      </c>
      <c r="BP21" s="186">
        <v>0</v>
      </c>
      <c r="BQ21" s="754">
        <v>0</v>
      </c>
    </row>
    <row r="22" spans="1:69" ht="24.75" customHeight="1" thickBot="1">
      <c r="A22" s="286" t="str">
        <f>+IF(OCTUBRE!A22=0,"",OCTUBRE!A22)</f>
        <v>1.1.02.05.001.09.02.02</v>
      </c>
      <c r="B22" s="319" t="str">
        <f>+IF(OCTUBRE!B22=0,"",OCTUBRE!B22)</f>
        <v>EPS - REGIMEN CONTRIBUTIVO</v>
      </c>
      <c r="C22" s="288">
        <f t="shared" ref="C22:N22" si="24">SUM(C23:C24)</f>
        <v>56030749893.586876</v>
      </c>
      <c r="D22" s="320">
        <f t="shared" si="24"/>
        <v>0</v>
      </c>
      <c r="E22" s="320">
        <f t="shared" si="24"/>
        <v>6782368117</v>
      </c>
      <c r="F22" s="320">
        <f t="shared" si="24"/>
        <v>62813118010.586876</v>
      </c>
      <c r="G22" s="320">
        <f t="shared" si="24"/>
        <v>74649741945</v>
      </c>
      <c r="H22" s="320">
        <f t="shared" si="24"/>
        <v>7372020961</v>
      </c>
      <c r="I22" s="320">
        <f t="shared" si="24"/>
        <v>82021762906</v>
      </c>
      <c r="J22" s="320">
        <f t="shared" si="24"/>
        <v>46119654032</v>
      </c>
      <c r="K22" s="320">
        <f t="shared" si="24"/>
        <v>8337070626</v>
      </c>
      <c r="L22" s="320">
        <f t="shared" si="24"/>
        <v>54456724658</v>
      </c>
      <c r="M22" s="320">
        <f t="shared" si="24"/>
        <v>-19208644895.413124</v>
      </c>
      <c r="N22" s="289">
        <f t="shared" si="24"/>
        <v>8356393352.5868759</v>
      </c>
      <c r="O22" s="101"/>
      <c r="P22" s="288">
        <f>SUM(P23:P24)</f>
        <v>0</v>
      </c>
      <c r="Q22" s="289">
        <f>SUM(Q23:Q24)</f>
        <v>0</v>
      </c>
      <c r="R22" s="101"/>
      <c r="S22" s="311" t="str">
        <f>+IF(OCTUBRE!S22=0,"",OCTUBRE!S22)</f>
        <v>2.1.1.01.01.001.08.02</v>
      </c>
      <c r="T22" s="312" t="str">
        <f>+IF(OCTUBRE!T22=0,"",OCTUBRE!T22)</f>
        <v>Prima de Vacaciones</v>
      </c>
      <c r="U22" s="373">
        <f>+ENERO!U22</f>
        <v>272160462.5</v>
      </c>
      <c r="V22" s="220">
        <f>OCTUBRE!V22+NOVIEMBRE!AL22</f>
        <v>0</v>
      </c>
      <c r="W22" s="220">
        <f>OCTUBRE!W22+NOVIEMBRE!AM22</f>
        <v>0</v>
      </c>
      <c r="X22" s="271">
        <f t="shared" si="17"/>
        <v>272160462.5</v>
      </c>
      <c r="Y22" s="270">
        <f>OCTUBRE!AA22</f>
        <v>184530375</v>
      </c>
      <c r="Z22" s="208">
        <v>24865655</v>
      </c>
      <c r="AA22" s="271">
        <f t="shared" si="18"/>
        <v>209396030</v>
      </c>
      <c r="AB22" s="270">
        <f>OCTUBRE!AD22</f>
        <v>184530375</v>
      </c>
      <c r="AC22" s="208">
        <v>24865655</v>
      </c>
      <c r="AD22" s="271">
        <f t="shared" si="19"/>
        <v>209396030</v>
      </c>
      <c r="AE22" s="270">
        <f>OCTUBRE!AG22</f>
        <v>184530375</v>
      </c>
      <c r="AF22" s="208">
        <v>24865655</v>
      </c>
      <c r="AG22" s="271">
        <f t="shared" si="20"/>
        <v>209396030</v>
      </c>
      <c r="AH22" s="270">
        <f t="shared" si="21"/>
        <v>62764432.5</v>
      </c>
      <c r="AI22" s="220">
        <f t="shared" si="22"/>
        <v>62764432.5</v>
      </c>
      <c r="AJ22" s="269">
        <f t="shared" si="23"/>
        <v>62764432.5</v>
      </c>
      <c r="AK22" s="101"/>
      <c r="AL22" s="204">
        <v>0</v>
      </c>
      <c r="AM22" s="210">
        <v>0</v>
      </c>
      <c r="AN22" s="101"/>
      <c r="AO22" s="108"/>
      <c r="AP22" s="536" t="s">
        <v>156</v>
      </c>
      <c r="AQ22" s="537">
        <f>X17+X66</f>
        <v>5211372985</v>
      </c>
      <c r="AR22" s="537">
        <f>AD17+AD66</f>
        <v>4683792140</v>
      </c>
      <c r="AS22" s="537">
        <f>AG17+AG66</f>
        <v>4683792140</v>
      </c>
      <c r="AT22" s="338"/>
      <c r="AU22" s="325">
        <f t="shared" ref="AU22:AU32" si="25">IF(AQ22=0," ",AR22/AQ22)</f>
        <v>0.89876356067421259</v>
      </c>
      <c r="AV22" s="325">
        <f t="shared" ref="AV22:AV32" si="26">IF(AQ22=0," ",AS22/AQ22)</f>
        <v>0.89876356067421259</v>
      </c>
      <c r="AW22" s="323">
        <f>AR22/$AO$2*12</f>
        <v>5109591425.454545</v>
      </c>
      <c r="AX22" s="323">
        <f>AS22/$AO$2*12</f>
        <v>5109591425.454545</v>
      </c>
      <c r="AY22" s="323">
        <f t="shared" ref="AY22:AY31" si="27">AW22-AQ22</f>
        <v>-101781559.54545498</v>
      </c>
      <c r="AZ22" s="326">
        <f t="shared" ref="AZ22:AZ31" si="28">AQ22-AX22</f>
        <v>101781559.54545498</v>
      </c>
      <c r="BA22" s="67"/>
      <c r="BB22" s="327" t="s">
        <v>157</v>
      </c>
      <c r="BC22" s="328">
        <f>BC7+BC8+BC20+BC21</f>
        <v>224272210399.47653</v>
      </c>
      <c r="BD22" s="329">
        <f>BD7+BD8+BD20+BD21</f>
        <v>223099255849</v>
      </c>
      <c r="BE22" s="328">
        <f>SUM(BE8+BE21)</f>
        <v>14464364496</v>
      </c>
      <c r="BF22" s="553">
        <f>MARZO!BF22+ABRIL!BE22+MAYO!BE22+JUNIO!BE22</f>
        <v>74936900818</v>
      </c>
      <c r="BG22" s="67"/>
      <c r="BH22" s="67"/>
      <c r="BI22" s="67"/>
      <c r="BJ22" s="67"/>
      <c r="BK22" s="67"/>
      <c r="BL22" s="101"/>
      <c r="BM22" s="743" t="s">
        <v>108</v>
      </c>
      <c r="BN22" s="188">
        <f>BN23+BN24</f>
        <v>1849060585</v>
      </c>
      <c r="BO22" s="186">
        <f>BO23+BO24</f>
        <v>1553163120</v>
      </c>
      <c r="BP22" s="186">
        <f>BP23+BP24</f>
        <v>1534496790</v>
      </c>
      <c r="BQ22" s="748">
        <f>BQ23+BQ24</f>
        <v>203659923</v>
      </c>
    </row>
    <row r="23" spans="1:69" ht="24.75" customHeight="1">
      <c r="A23" s="202" t="str">
        <f>+IF(OCTUBRE!A23=0,"",OCTUBRE!A23)</f>
        <v>1.1.02.05.001.09.02.02</v>
      </c>
      <c r="B23" s="331" t="str">
        <f>+CONCATENATE("Vigencia ",INSTRUCCIONES!$F$3)</f>
        <v>Vigencia 2025</v>
      </c>
      <c r="C23" s="204">
        <f>+ENERO!C23</f>
        <v>49300076925.586876</v>
      </c>
      <c r="D23" s="205">
        <f>OCTUBRE!D23+NOVIEMBRE!P23</f>
        <v>0</v>
      </c>
      <c r="E23" s="205">
        <f>OCTUBRE!E23+NOVIEMBRE!Q23</f>
        <v>0</v>
      </c>
      <c r="F23" s="205">
        <f>SUM(C23:E23)</f>
        <v>49300076925.586876</v>
      </c>
      <c r="G23" s="205">
        <f>OCTUBRE!I23</f>
        <v>57872199664</v>
      </c>
      <c r="H23" s="208">
        <v>5916106401</v>
      </c>
      <c r="I23" s="205">
        <f>SUM(G23:H23)</f>
        <v>63788306065</v>
      </c>
      <c r="J23" s="205">
        <f>OCTUBRE!L23</f>
        <v>29342111751</v>
      </c>
      <c r="K23" s="208">
        <v>6881156066</v>
      </c>
      <c r="L23" s="205">
        <f>SUM(J23:K23)</f>
        <v>36223267817</v>
      </c>
      <c r="M23" s="205">
        <f>F23-I23</f>
        <v>-14488229139.413124</v>
      </c>
      <c r="N23" s="206">
        <f>F23-L23</f>
        <v>13076809108.586876</v>
      </c>
      <c r="O23" s="101"/>
      <c r="P23" s="204">
        <v>0</v>
      </c>
      <c r="Q23" s="210"/>
      <c r="R23" s="101"/>
      <c r="S23" s="311" t="str">
        <f>+IF(OCTUBRE!S23=0,"",OCTUBRE!S23)</f>
        <v>2.1.1.01.01.001.07</v>
      </c>
      <c r="T23" s="312" t="str">
        <f>+IF(OCTUBRE!T23=0,"",OCTUBRE!T23)</f>
        <v>Bonificación  por servicios prestados</v>
      </c>
      <c r="U23" s="373">
        <f>+ENERO!U23</f>
        <v>190512323.74999997</v>
      </c>
      <c r="V23" s="220">
        <f>OCTUBRE!V23+NOVIEMBRE!AL23</f>
        <v>0</v>
      </c>
      <c r="W23" s="220">
        <f>OCTUBRE!W23+NOVIEMBRE!AM23</f>
        <v>0</v>
      </c>
      <c r="X23" s="271">
        <f t="shared" si="17"/>
        <v>190512323.74999997</v>
      </c>
      <c r="Y23" s="270">
        <f>OCTUBRE!AA23</f>
        <v>139711343</v>
      </c>
      <c r="Z23" s="208">
        <v>4516284</v>
      </c>
      <c r="AA23" s="271">
        <f t="shared" si="18"/>
        <v>144227627</v>
      </c>
      <c r="AB23" s="270">
        <f>OCTUBRE!AD23</f>
        <v>139711343</v>
      </c>
      <c r="AC23" s="208">
        <v>4516284</v>
      </c>
      <c r="AD23" s="271">
        <f t="shared" si="19"/>
        <v>144227627</v>
      </c>
      <c r="AE23" s="270">
        <f>OCTUBRE!AG23</f>
        <v>139711343</v>
      </c>
      <c r="AF23" s="208">
        <v>4516284</v>
      </c>
      <c r="AG23" s="271">
        <f t="shared" si="20"/>
        <v>144227627</v>
      </c>
      <c r="AH23" s="270">
        <f t="shared" si="21"/>
        <v>46284696.74999997</v>
      </c>
      <c r="AI23" s="220">
        <f t="shared" si="22"/>
        <v>46284696.74999997</v>
      </c>
      <c r="AJ23" s="269">
        <f t="shared" si="23"/>
        <v>46284696.74999997</v>
      </c>
      <c r="AK23" s="101"/>
      <c r="AL23" s="204">
        <v>0</v>
      </c>
      <c r="AM23" s="210">
        <v>0</v>
      </c>
      <c r="AN23" s="101"/>
      <c r="AO23" s="196"/>
      <c r="AP23" s="538" t="s">
        <v>159</v>
      </c>
      <c r="AQ23" s="334">
        <f>X16+X65-AQ22</f>
        <v>1605602697.916667</v>
      </c>
      <c r="AR23" s="334">
        <f>AD16+AD65-AR22</f>
        <v>966978393</v>
      </c>
      <c r="AS23" s="334">
        <f>AG16+AG65-AS22</f>
        <v>966958393</v>
      </c>
      <c r="AT23" s="110"/>
      <c r="AU23" s="139">
        <f t="shared" si="25"/>
        <v>0.60225259602185066</v>
      </c>
      <c r="AV23" s="139">
        <f t="shared" si="26"/>
        <v>0.60224013964019041</v>
      </c>
      <c r="AW23" s="334">
        <f>(AR23-AD21-AD22-AD23-AD25-AD30-AD33-AD70-AD71-AD72-AD74-AD78-AD81)/$AO$2*12+AX22/12*2.5+AD30+AD33+AD78+AD81</f>
        <v>1705396102.3636365</v>
      </c>
      <c r="AX23" s="334">
        <f>(AS23-AG21-AG22-AG23-AG25-AG30-AG33-AG70-AG71-AG72-AG74-AG78-AG81)/$AO$2*12+AX22/12*2.5+AG30+AG33+AG78+AG81</f>
        <v>1705376102.3636365</v>
      </c>
      <c r="AY23" s="334">
        <f t="shared" si="27"/>
        <v>99793404.446969509</v>
      </c>
      <c r="AZ23" s="335">
        <f t="shared" si="28"/>
        <v>-99773404.446969509</v>
      </c>
      <c r="BA23" s="67"/>
      <c r="BB23" s="336"/>
      <c r="BC23" s="336"/>
      <c r="BD23" s="336"/>
      <c r="BE23" s="336"/>
      <c r="BF23" s="67"/>
      <c r="BG23" s="67"/>
      <c r="BH23" s="67"/>
      <c r="BI23" s="67"/>
      <c r="BJ23" s="67"/>
      <c r="BK23" s="67"/>
      <c r="BL23" s="67"/>
      <c r="BM23" s="745" t="s">
        <v>160</v>
      </c>
      <c r="BN23" s="188">
        <f>X176</f>
        <v>0</v>
      </c>
      <c r="BO23" s="186">
        <f>AA176</f>
        <v>0</v>
      </c>
      <c r="BP23" s="186">
        <f>AD176</f>
        <v>0</v>
      </c>
      <c r="BQ23" s="748">
        <f>AF176</f>
        <v>0</v>
      </c>
    </row>
    <row r="24" spans="1:69" ht="24.75" customHeight="1">
      <c r="A24" s="202" t="str">
        <f>+IF(OCTUBRE!A24=0,"",OCTUBRE!A24)</f>
        <v>1.1.02.05.001.09.02.02,99</v>
      </c>
      <c r="B24" s="331" t="str">
        <f>+IF(OCTUBRE!B24=0,"",OCTUBRE!B24)</f>
        <v>Vigencia Anterior</v>
      </c>
      <c r="C24" s="204">
        <f>+ENERO!C24</f>
        <v>6730672968</v>
      </c>
      <c r="D24" s="205">
        <f>OCTUBRE!D24+NOVIEMBRE!P24</f>
        <v>0</v>
      </c>
      <c r="E24" s="205">
        <f>OCTUBRE!E24+NOVIEMBRE!Q24</f>
        <v>6782368117</v>
      </c>
      <c r="F24" s="205">
        <f>SUM(C24:E24)</f>
        <v>13513041085</v>
      </c>
      <c r="G24" s="205">
        <f>OCTUBRE!I24</f>
        <v>16777542281</v>
      </c>
      <c r="H24" s="208">
        <v>1455914560</v>
      </c>
      <c r="I24" s="205">
        <f>SUM(G24:H24)</f>
        <v>18233456841</v>
      </c>
      <c r="J24" s="205">
        <f>OCTUBRE!L24</f>
        <v>16777542281</v>
      </c>
      <c r="K24" s="208">
        <v>1455914560</v>
      </c>
      <c r="L24" s="205">
        <f>SUM(J24:K24)</f>
        <v>18233456841</v>
      </c>
      <c r="M24" s="205">
        <f>F24-I24</f>
        <v>-4720415756</v>
      </c>
      <c r="N24" s="206">
        <f>F24-L24</f>
        <v>-4720415756</v>
      </c>
      <c r="O24" s="67"/>
      <c r="P24" s="204">
        <v>0</v>
      </c>
      <c r="Q24" s="210">
        <v>0</v>
      </c>
      <c r="R24" s="101"/>
      <c r="S24" s="311" t="str">
        <f>+IF(OCTUBRE!S24=0,"",OCTUBRE!S24)</f>
        <v>2.1.1.01.01.001.06</v>
      </c>
      <c r="T24" s="312" t="str">
        <f>+IF(OCTUBRE!T24=0,"",OCTUBRE!T24)</f>
        <v>Prima de Servicios</v>
      </c>
      <c r="U24" s="373">
        <f>+ENERO!U24</f>
        <v>272160462.5</v>
      </c>
      <c r="V24" s="220">
        <f>OCTUBRE!V24+NOVIEMBRE!AL24</f>
        <v>-30000000</v>
      </c>
      <c r="W24" s="220">
        <f>OCTUBRE!W24+NOVIEMBRE!AM24</f>
        <v>0</v>
      </c>
      <c r="X24" s="271">
        <f t="shared" si="17"/>
        <v>242160462.5</v>
      </c>
      <c r="Y24" s="270">
        <f>OCTUBRE!AA24</f>
        <v>237734955</v>
      </c>
      <c r="Z24" s="208">
        <v>0</v>
      </c>
      <c r="AA24" s="271">
        <f t="shared" si="18"/>
        <v>237734955</v>
      </c>
      <c r="AB24" s="270">
        <f>OCTUBRE!AD24</f>
        <v>237734955</v>
      </c>
      <c r="AC24" s="208">
        <v>0</v>
      </c>
      <c r="AD24" s="271">
        <f t="shared" si="19"/>
        <v>237734955</v>
      </c>
      <c r="AE24" s="270">
        <f>OCTUBRE!AG24</f>
        <v>237734955</v>
      </c>
      <c r="AF24" s="208">
        <v>0</v>
      </c>
      <c r="AG24" s="271">
        <f t="shared" si="20"/>
        <v>237734955</v>
      </c>
      <c r="AH24" s="270">
        <f t="shared" si="21"/>
        <v>4425507.5</v>
      </c>
      <c r="AI24" s="220">
        <f t="shared" si="22"/>
        <v>4425507.5</v>
      </c>
      <c r="AJ24" s="269">
        <f t="shared" si="23"/>
        <v>4425507.5</v>
      </c>
      <c r="AK24" s="101"/>
      <c r="AL24" s="204">
        <v>-30000000</v>
      </c>
      <c r="AM24" s="210">
        <v>0</v>
      </c>
      <c r="AN24" s="101"/>
      <c r="AO24" s="196"/>
      <c r="AP24" s="303" t="s">
        <v>163</v>
      </c>
      <c r="AQ24" s="338">
        <f>X35+X83</f>
        <v>90078946637</v>
      </c>
      <c r="AR24" s="338">
        <f>AD35+AD83</f>
        <v>82797269727</v>
      </c>
      <c r="AS24" s="338">
        <f>AG35+AG83</f>
        <v>62442849700</v>
      </c>
      <c r="AT24" s="338"/>
      <c r="AU24" s="205">
        <f t="shared" si="25"/>
        <v>0.91916338743009851</v>
      </c>
      <c r="AV24" s="205">
        <f t="shared" si="26"/>
        <v>0.69320137536279258</v>
      </c>
      <c r="AW24" s="205">
        <f>(AR24-AD41-AD88)/$AO$2*12+AD41+AD88</f>
        <v>88829691894.545456</v>
      </c>
      <c r="AX24" s="205">
        <f>(AS24-AG41-AG88)/$AO$2*12+AG41+AG88</f>
        <v>66624870046.909088</v>
      </c>
      <c r="AY24" s="205">
        <f t="shared" si="27"/>
        <v>-1249254742.4545441</v>
      </c>
      <c r="AZ24" s="206">
        <f t="shared" si="28"/>
        <v>23454076590.090912</v>
      </c>
      <c r="BA24" s="101"/>
      <c r="BB24" s="339"/>
      <c r="BC24" s="67"/>
      <c r="BD24" s="67"/>
      <c r="BE24" s="67"/>
      <c r="BF24" s="67"/>
      <c r="BG24" s="67"/>
      <c r="BH24" s="67"/>
      <c r="BI24" s="67"/>
      <c r="BJ24" s="67"/>
      <c r="BK24" s="67"/>
      <c r="BL24" s="67"/>
      <c r="BM24" s="745" t="s">
        <v>164</v>
      </c>
      <c r="BN24" s="188">
        <f>X168-X190</f>
        <v>1849060585</v>
      </c>
      <c r="BO24" s="188">
        <f>AA168-AA190</f>
        <v>1553163120</v>
      </c>
      <c r="BP24" s="188">
        <f>AD168-AD190</f>
        <v>1534496790</v>
      </c>
      <c r="BQ24" s="188">
        <f>AF168-AF190</f>
        <v>203659923</v>
      </c>
    </row>
    <row r="25" spans="1:69" ht="24.75" customHeight="1">
      <c r="A25" s="286" t="str">
        <f>+IF(OCTUBRE!A25=0,"",OCTUBRE!A25)</f>
        <v>1.1.02.05.001.09.02.01</v>
      </c>
      <c r="B25" s="319" t="str">
        <f>+IF(OCTUBRE!B25=0,"",OCTUBRE!B25)</f>
        <v>ARS - REGIMEN SUBSIDIADO</v>
      </c>
      <c r="C25" s="288">
        <f t="shared" ref="C25:N25" si="29">SUM(C26:C27)</f>
        <v>91588666596</v>
      </c>
      <c r="D25" s="320">
        <f t="shared" si="29"/>
        <v>0</v>
      </c>
      <c r="E25" s="320">
        <f t="shared" si="29"/>
        <v>19375118648</v>
      </c>
      <c r="F25" s="320">
        <f t="shared" si="29"/>
        <v>110963785244</v>
      </c>
      <c r="G25" s="320">
        <f t="shared" si="29"/>
        <v>97008277647</v>
      </c>
      <c r="H25" s="320">
        <f t="shared" si="29"/>
        <v>6501807452</v>
      </c>
      <c r="I25" s="320">
        <f t="shared" si="29"/>
        <v>103510085099</v>
      </c>
      <c r="J25" s="320">
        <f t="shared" si="29"/>
        <v>53385246292</v>
      </c>
      <c r="K25" s="320">
        <f t="shared" si="29"/>
        <v>4620464232</v>
      </c>
      <c r="L25" s="320">
        <f t="shared" si="29"/>
        <v>58005710524</v>
      </c>
      <c r="M25" s="320">
        <f t="shared" si="29"/>
        <v>7453700145</v>
      </c>
      <c r="N25" s="289">
        <f t="shared" si="29"/>
        <v>52958074720</v>
      </c>
      <c r="O25" s="67"/>
      <c r="P25" s="288">
        <f>SUM(P26:P27)</f>
        <v>0</v>
      </c>
      <c r="Q25" s="289">
        <f>SUM(Q26:Q27)</f>
        <v>0</v>
      </c>
      <c r="R25" s="101"/>
      <c r="S25" s="311" t="str">
        <f>+IF(OCTUBRE!S25=0,"",OCTUBRE!S25)</f>
        <v>1010104-5</v>
      </c>
      <c r="T25" s="312" t="str">
        <f>+IF(OCTUBRE!T25=0,"",OCTUBRE!T25)</f>
        <v>Bonificación Convencional</v>
      </c>
      <c r="U25" s="373">
        <f>+ENERO!U25</f>
        <v>0</v>
      </c>
      <c r="V25" s="220">
        <f>OCTUBRE!V25+NOVIEMBRE!AL25</f>
        <v>0</v>
      </c>
      <c r="W25" s="220">
        <f>OCTUBRE!W25+NOVIEMBRE!AM25</f>
        <v>0</v>
      </c>
      <c r="X25" s="271">
        <f t="shared" si="17"/>
        <v>0</v>
      </c>
      <c r="Y25" s="270">
        <f>OCTUBRE!AA25</f>
        <v>0</v>
      </c>
      <c r="Z25" s="208">
        <v>0</v>
      </c>
      <c r="AA25" s="271">
        <f t="shared" si="18"/>
        <v>0</v>
      </c>
      <c r="AB25" s="270">
        <f>OCTUBRE!AD25</f>
        <v>0</v>
      </c>
      <c r="AC25" s="208">
        <v>0</v>
      </c>
      <c r="AD25" s="271">
        <f t="shared" si="19"/>
        <v>0</v>
      </c>
      <c r="AE25" s="270">
        <f>OCTUBRE!AG25</f>
        <v>0</v>
      </c>
      <c r="AF25" s="208">
        <v>0</v>
      </c>
      <c r="AG25" s="271">
        <f t="shared" si="20"/>
        <v>0</v>
      </c>
      <c r="AH25" s="270">
        <f t="shared" si="21"/>
        <v>0</v>
      </c>
      <c r="AI25" s="220">
        <f t="shared" si="22"/>
        <v>0</v>
      </c>
      <c r="AJ25" s="269">
        <f t="shared" si="23"/>
        <v>0</v>
      </c>
      <c r="AK25" s="101"/>
      <c r="AL25" s="204">
        <v>0</v>
      </c>
      <c r="AM25" s="210">
        <v>0</v>
      </c>
      <c r="AN25" s="101"/>
      <c r="AO25" s="108"/>
      <c r="AP25" s="420" t="s">
        <v>168</v>
      </c>
      <c r="AQ25" s="205">
        <f>X43+X57+X90+X106+X104</f>
        <v>3217792492.9625015</v>
      </c>
      <c r="AR25" s="205">
        <f>AD43+AD57+AD90+AD106</f>
        <v>2237486601</v>
      </c>
      <c r="AS25" s="205">
        <f>AG43+AG57+AG90+AG106</f>
        <v>2237486600</v>
      </c>
      <c r="AT25" s="338"/>
      <c r="AU25" s="205">
        <f t="shared" si="25"/>
        <v>0.69534831903968719</v>
      </c>
      <c r="AV25" s="205">
        <f t="shared" si="26"/>
        <v>0.69534831872891512</v>
      </c>
      <c r="AW25" s="205">
        <f>(AR25-AD55-AD61-AD102-AD110)/$AO$2*12+AD55+AD61+AD102+AD110</f>
        <v>1041764650.0909081</v>
      </c>
      <c r="AX25" s="205">
        <f>(AS25-AG55-AG61-AG102-AG110)/$AO$2*12+AG55+AG61+AG102+AG110</f>
        <v>1380347311.363636</v>
      </c>
      <c r="AY25" s="205">
        <f t="shared" si="27"/>
        <v>-2176027842.8715935</v>
      </c>
      <c r="AZ25" s="206">
        <f t="shared" si="28"/>
        <v>1837445181.5988655</v>
      </c>
      <c r="BA25" s="67"/>
      <c r="BB25" s="67"/>
      <c r="BC25" s="67"/>
      <c r="BD25" s="67"/>
      <c r="BE25" s="67"/>
      <c r="BF25" s="67"/>
      <c r="BG25" s="67"/>
      <c r="BH25" s="67"/>
      <c r="BI25" s="67"/>
      <c r="BJ25" s="67"/>
      <c r="BK25" s="67"/>
      <c r="BL25" s="67"/>
      <c r="BM25" s="756" t="s">
        <v>169</v>
      </c>
      <c r="BN25" s="340">
        <f>+SUM(BN26:BN28)</f>
        <v>51336176152.333328</v>
      </c>
      <c r="BO25" s="341">
        <f>+SUM(BO26:BO28)</f>
        <v>48562389876</v>
      </c>
      <c r="BP25" s="341">
        <f>+SUM(BP26:BP28)</f>
        <v>42471127368</v>
      </c>
      <c r="BQ25" s="757">
        <f>+SUM(BQ26:BQ28)</f>
        <v>3455447690</v>
      </c>
    </row>
    <row r="26" spans="1:69" ht="24.75" customHeight="1">
      <c r="A26" s="202" t="str">
        <f>+IF(OCTUBRE!A26=0,"",OCTUBRE!A26)</f>
        <v>1.1.02.05.001.09.02.01</v>
      </c>
      <c r="B26" s="331" t="str">
        <f>+CONCATENATE("Vigencia ",INSTRUCCIONES!$F$3)</f>
        <v>Vigencia 2025</v>
      </c>
      <c r="C26" s="204">
        <f>+ENERO!C26</f>
        <v>81866799864</v>
      </c>
      <c r="D26" s="205">
        <f>OCTUBRE!D26+NOVIEMBRE!P26</f>
        <v>0</v>
      </c>
      <c r="E26" s="205">
        <f>OCTUBRE!E26+NOVIEMBRE!Q26</f>
        <v>0</v>
      </c>
      <c r="F26" s="205">
        <f>SUM(C26:E26)</f>
        <v>81866799864</v>
      </c>
      <c r="G26" s="205">
        <f>OCTUBRE!I26</f>
        <v>66382996607</v>
      </c>
      <c r="H26" s="208">
        <v>6423113073</v>
      </c>
      <c r="I26" s="205">
        <f>SUM(G26:H26)</f>
        <v>72806109680</v>
      </c>
      <c r="J26" s="205">
        <f>OCTUBRE!L26</f>
        <v>22759965252</v>
      </c>
      <c r="K26" s="208">
        <v>4541769853</v>
      </c>
      <c r="L26" s="205">
        <f>SUM(J26:K26)</f>
        <v>27301735105</v>
      </c>
      <c r="M26" s="205">
        <f>F26-I26</f>
        <v>9060690184</v>
      </c>
      <c r="N26" s="206">
        <f>F26-L26</f>
        <v>54565064759</v>
      </c>
      <c r="O26" s="101"/>
      <c r="P26" s="204">
        <v>0</v>
      </c>
      <c r="Q26" s="210">
        <v>0</v>
      </c>
      <c r="R26" s="101"/>
      <c r="S26" s="311" t="str">
        <f>+IF(OCTUBRE!S26=0,"",OCTUBRE!S26)</f>
        <v>2.1.1.01.01.001.05</v>
      </c>
      <c r="T26" s="312" t="str">
        <f>+IF(OCTUBRE!T26=0,"",OCTUBRE!T26)</f>
        <v>Auxilio de Transporte</v>
      </c>
      <c r="U26" s="373">
        <f>+ENERO!U26</f>
        <v>0</v>
      </c>
      <c r="V26" s="220">
        <f>OCTUBRE!V26+NOVIEMBRE!AL26</f>
        <v>21000000</v>
      </c>
      <c r="W26" s="220">
        <f>OCTUBRE!W26+NOVIEMBRE!AM26</f>
        <v>0</v>
      </c>
      <c r="X26" s="271">
        <f t="shared" si="17"/>
        <v>21000000</v>
      </c>
      <c r="Y26" s="270">
        <f>OCTUBRE!AA26</f>
        <v>12933331</v>
      </c>
      <c r="Z26" s="208">
        <v>0</v>
      </c>
      <c r="AA26" s="271">
        <f t="shared" si="18"/>
        <v>12933331</v>
      </c>
      <c r="AB26" s="270">
        <f>OCTUBRE!AD26</f>
        <v>12933331</v>
      </c>
      <c r="AC26" s="208">
        <v>0</v>
      </c>
      <c r="AD26" s="271">
        <f t="shared" si="19"/>
        <v>12933331</v>
      </c>
      <c r="AE26" s="270">
        <f>OCTUBRE!AG26</f>
        <v>12933331</v>
      </c>
      <c r="AF26" s="208">
        <v>0</v>
      </c>
      <c r="AG26" s="271">
        <f t="shared" si="20"/>
        <v>12933331</v>
      </c>
      <c r="AH26" s="270">
        <f t="shared" si="21"/>
        <v>8066669</v>
      </c>
      <c r="AI26" s="220">
        <f t="shared" si="22"/>
        <v>8066669</v>
      </c>
      <c r="AJ26" s="269">
        <f t="shared" si="23"/>
        <v>8066669</v>
      </c>
      <c r="AK26" s="101"/>
      <c r="AL26" s="204">
        <v>0</v>
      </c>
      <c r="AM26" s="210">
        <v>0</v>
      </c>
      <c r="AN26" s="101"/>
      <c r="AO26" s="108"/>
      <c r="AP26" s="539" t="s">
        <v>171</v>
      </c>
      <c r="AQ26" s="110">
        <f>X110</f>
        <v>21712155805.620831</v>
      </c>
      <c r="AR26" s="110">
        <f>AD110</f>
        <v>14866120427</v>
      </c>
      <c r="AS26" s="110">
        <f>AG110</f>
        <v>11141711141</v>
      </c>
      <c r="AT26" s="198">
        <f>AO2/12</f>
        <v>0.91666666666666663</v>
      </c>
      <c r="AU26" s="139">
        <f t="shared" si="25"/>
        <v>0.68469112694702883</v>
      </c>
      <c r="AV26" s="139">
        <f t="shared" si="26"/>
        <v>0.51315545267576057</v>
      </c>
      <c r="AW26" s="334" t="e">
        <f>(AR26-AD289-AD139-AD143-AD153-#REF!)/$AO$2*12+AD289+AD139+AD143+AD153+#REF!</f>
        <v>#REF!</v>
      </c>
      <c r="AX26" s="334" t="e">
        <f>(AS26-AG289-AG139-AG143-AG153-#REF!)/$AO$2*12+AG289+AG139+AG143+AG153+#REF!</f>
        <v>#REF!</v>
      </c>
      <c r="AY26" s="334" t="e">
        <f t="shared" si="27"/>
        <v>#REF!</v>
      </c>
      <c r="AZ26" s="335" t="e">
        <f t="shared" si="28"/>
        <v>#REF!</v>
      </c>
      <c r="BA26" s="67"/>
      <c r="BB26" s="67"/>
      <c r="BC26" s="67"/>
      <c r="BD26" s="67"/>
      <c r="BE26" s="67"/>
      <c r="BF26" s="67"/>
      <c r="BG26" s="67"/>
      <c r="BH26" s="67"/>
      <c r="BI26" s="67"/>
      <c r="BJ26" s="67"/>
      <c r="BK26" s="67"/>
      <c r="BL26" s="101"/>
      <c r="BM26" s="758" t="s">
        <v>172</v>
      </c>
      <c r="BN26" s="199">
        <f>+X197</f>
        <v>9917393028.666666</v>
      </c>
      <c r="BO26" s="199">
        <f>+AA197</f>
        <v>8969229878</v>
      </c>
      <c r="BP26" s="199">
        <f>+AD197</f>
        <v>7852297462</v>
      </c>
      <c r="BQ26" s="750">
        <f>+AF197</f>
        <v>357581804</v>
      </c>
    </row>
    <row r="27" spans="1:69" ht="24.75" customHeight="1">
      <c r="A27" s="202" t="str">
        <f>+IF(OCTUBRE!A27=0,"",OCTUBRE!A27)</f>
        <v>1.1.02.05.001.09.02.01.99</v>
      </c>
      <c r="B27" s="331" t="str">
        <f>+IF(OCTUBRE!B27=0,"",OCTUBRE!B27)</f>
        <v>Vigencia Anterior</v>
      </c>
      <c r="C27" s="204">
        <f>+ENERO!C27</f>
        <v>9721866732</v>
      </c>
      <c r="D27" s="205">
        <f>OCTUBRE!D27+NOVIEMBRE!P27</f>
        <v>0</v>
      </c>
      <c r="E27" s="205">
        <f>OCTUBRE!E27+NOVIEMBRE!Q27</f>
        <v>19375118648</v>
      </c>
      <c r="F27" s="205">
        <f>SUM(C27:E27)</f>
        <v>29096985380</v>
      </c>
      <c r="G27" s="205">
        <f>OCTUBRE!I27</f>
        <v>30625281040</v>
      </c>
      <c r="H27" s="208">
        <v>78694379</v>
      </c>
      <c r="I27" s="205">
        <f>SUM(G27:H27)</f>
        <v>30703975419</v>
      </c>
      <c r="J27" s="205">
        <f>OCTUBRE!L27</f>
        <v>30625281040</v>
      </c>
      <c r="K27" s="208">
        <v>78694379</v>
      </c>
      <c r="L27" s="205">
        <f>SUM(J27:K27)</f>
        <v>30703975419</v>
      </c>
      <c r="M27" s="205">
        <f>F27-I27</f>
        <v>-1606990039</v>
      </c>
      <c r="N27" s="206">
        <f>F27-L27</f>
        <v>-1606990039</v>
      </c>
      <c r="O27" s="67"/>
      <c r="P27" s="204">
        <v>0</v>
      </c>
      <c r="Q27" s="210">
        <v>0</v>
      </c>
      <c r="R27" s="101"/>
      <c r="S27" s="311" t="str">
        <f>+IF(OCTUBRE!S27=0,"",OCTUBRE!S27)</f>
        <v>2.1.1.01.01.001.04</v>
      </c>
      <c r="T27" s="312" t="str">
        <f>+IF(OCTUBRE!T27=0,"",OCTUBRE!T27)</f>
        <v>Auxilio de Alimentación</v>
      </c>
      <c r="U27" s="373">
        <f>+ENERO!U27</f>
        <v>0</v>
      </c>
      <c r="V27" s="220">
        <f>OCTUBRE!V27+NOVIEMBRE!AL27</f>
        <v>0</v>
      </c>
      <c r="W27" s="220">
        <f>OCTUBRE!W27+NOVIEMBRE!AM27</f>
        <v>0</v>
      </c>
      <c r="X27" s="271">
        <f t="shared" si="17"/>
        <v>0</v>
      </c>
      <c r="Y27" s="270">
        <f>OCTUBRE!AA27</f>
        <v>0</v>
      </c>
      <c r="Z27" s="208">
        <v>0</v>
      </c>
      <c r="AA27" s="271">
        <f t="shared" si="18"/>
        <v>0</v>
      </c>
      <c r="AB27" s="270">
        <f>OCTUBRE!AD27</f>
        <v>0</v>
      </c>
      <c r="AC27" s="208">
        <v>0</v>
      </c>
      <c r="AD27" s="271">
        <f t="shared" si="19"/>
        <v>0</v>
      </c>
      <c r="AE27" s="270">
        <f>OCTUBRE!AG27</f>
        <v>0</v>
      </c>
      <c r="AF27" s="208">
        <v>0</v>
      </c>
      <c r="AG27" s="271">
        <f t="shared" si="20"/>
        <v>0</v>
      </c>
      <c r="AH27" s="270">
        <f t="shared" si="21"/>
        <v>0</v>
      </c>
      <c r="AI27" s="220">
        <f t="shared" si="22"/>
        <v>0</v>
      </c>
      <c r="AJ27" s="269">
        <f t="shared" si="23"/>
        <v>0</v>
      </c>
      <c r="AK27" s="101"/>
      <c r="AL27" s="204">
        <v>0</v>
      </c>
      <c r="AM27" s="210">
        <v>0</v>
      </c>
      <c r="AN27" s="101"/>
      <c r="AO27" s="156"/>
      <c r="AP27" s="420" t="s">
        <v>174</v>
      </c>
      <c r="AQ27" s="205">
        <f>X168</f>
        <v>2052060585</v>
      </c>
      <c r="AR27" s="205">
        <f>AD168</f>
        <v>1737270999</v>
      </c>
      <c r="AS27" s="205">
        <f>AG168</f>
        <v>1559948486.5</v>
      </c>
      <c r="AT27" s="338"/>
      <c r="AU27" s="205">
        <f t="shared" si="25"/>
        <v>0.84659829816866738</v>
      </c>
      <c r="AV27" s="205">
        <f t="shared" si="26"/>
        <v>0.76018636969239384</v>
      </c>
      <c r="AW27" s="205">
        <f>(AR27-AD172-AD181-AD190)/$AO$2*12+AD172+AD181+AD190</f>
        <v>1852843496</v>
      </c>
      <c r="AX27" s="205">
        <f>(AS27-AG172-AG181-AG190)/$AO$2*12+AG172+AG181+AG190</f>
        <v>1659400755.090909</v>
      </c>
      <c r="AY27" s="205">
        <f t="shared" si="27"/>
        <v>-199217089</v>
      </c>
      <c r="AZ27" s="206">
        <f t="shared" si="28"/>
        <v>392659829.909091</v>
      </c>
      <c r="BA27" s="101"/>
      <c r="BB27" s="67"/>
      <c r="BC27" s="67"/>
      <c r="BD27" s="67"/>
      <c r="BE27" s="67"/>
      <c r="BF27" s="67"/>
      <c r="BG27" s="67"/>
      <c r="BH27" s="67"/>
      <c r="BI27" s="67"/>
      <c r="BJ27" s="67"/>
      <c r="BK27" s="67"/>
      <c r="BL27" s="67"/>
      <c r="BM27" s="758" t="s">
        <v>175</v>
      </c>
      <c r="BN27" s="201">
        <f>+X210</f>
        <v>3000000</v>
      </c>
      <c r="BO27" s="199">
        <f>+AA210</f>
        <v>0</v>
      </c>
      <c r="BP27" s="199">
        <f>+AD210</f>
        <v>0</v>
      </c>
      <c r="BQ27" s="750">
        <f>+AF210</f>
        <v>0</v>
      </c>
    </row>
    <row r="28" spans="1:69" ht="24.75" customHeight="1">
      <c r="A28" s="286">
        <f>+IF(OCTUBRE!A28=0,"",OCTUBRE!A28)</f>
        <v>1130103</v>
      </c>
      <c r="B28" s="344" t="str">
        <f>+IF(OCTUBRE!B28=0,"",OCTUBRE!B28)</f>
        <v>SUBSIDIO A LA OFERTA- ATENCION PERSONAS POBRES NO CUBIERTOS CON SUBSIDIO A LA DEMANDA</v>
      </c>
      <c r="C28" s="288">
        <f>C29+C32+C35+C38+C39+C40</f>
        <v>1850957800</v>
      </c>
      <c r="D28" s="320">
        <f>+D29+D32+D35+D38+D39+D40</f>
        <v>0</v>
      </c>
      <c r="E28" s="320">
        <f>+E29+E32+E35+E38+E39+E40</f>
        <v>0</v>
      </c>
      <c r="F28" s="320">
        <f>+F29+F32+F35+F38+F39+F40</f>
        <v>1850957800</v>
      </c>
      <c r="G28" s="320">
        <f t="shared" ref="G28:N28" si="30">G29+G32+G35+G38+G39+G40</f>
        <v>1679656930</v>
      </c>
      <c r="H28" s="320">
        <f t="shared" si="30"/>
        <v>251215425</v>
      </c>
      <c r="I28" s="320">
        <f t="shared" si="30"/>
        <v>1930872355</v>
      </c>
      <c r="J28" s="320">
        <f t="shared" si="30"/>
        <v>1631438743</v>
      </c>
      <c r="K28" s="320">
        <f t="shared" si="30"/>
        <v>8712083</v>
      </c>
      <c r="L28" s="320">
        <f t="shared" si="30"/>
        <v>1640150826</v>
      </c>
      <c r="M28" s="320">
        <f t="shared" si="30"/>
        <v>-79914555</v>
      </c>
      <c r="N28" s="289">
        <f t="shared" si="30"/>
        <v>210806974</v>
      </c>
      <c r="O28" s="67"/>
      <c r="P28" s="288">
        <f>P29+P32+P35+P38+P39+P939</f>
        <v>0</v>
      </c>
      <c r="Q28" s="289">
        <f>Q29+Q32+Q35+Q38+Q39+Q40</f>
        <v>0</v>
      </c>
      <c r="R28" s="101"/>
      <c r="S28" s="311" t="str">
        <f>+IF(OCTUBRE!S28=0,"",OCTUBRE!S28)</f>
        <v>1010104-8</v>
      </c>
      <c r="T28" s="312" t="str">
        <f>+IF(OCTUBRE!T28=0,"",OCTUBRE!T28)</f>
        <v>Indemnizaciones por Vacaciones o Supresión de Cargos por Reestructuración</v>
      </c>
      <c r="U28" s="373">
        <f>+ENERO!U28</f>
        <v>0</v>
      </c>
      <c r="V28" s="220">
        <f>OCTUBRE!V28+NOVIEMBRE!AL28</f>
        <v>0</v>
      </c>
      <c r="W28" s="220">
        <f>OCTUBRE!W28+NOVIEMBRE!AM28</f>
        <v>0</v>
      </c>
      <c r="X28" s="271">
        <f t="shared" si="17"/>
        <v>0</v>
      </c>
      <c r="Y28" s="270">
        <f>OCTUBRE!AA28</f>
        <v>0</v>
      </c>
      <c r="Z28" s="208">
        <v>0</v>
      </c>
      <c r="AA28" s="271">
        <f t="shared" si="18"/>
        <v>0</v>
      </c>
      <c r="AB28" s="270">
        <f>OCTUBRE!AD28</f>
        <v>0</v>
      </c>
      <c r="AC28" s="208">
        <v>0</v>
      </c>
      <c r="AD28" s="271">
        <f t="shared" si="19"/>
        <v>0</v>
      </c>
      <c r="AE28" s="270">
        <f>OCTUBRE!AG28</f>
        <v>0</v>
      </c>
      <c r="AF28" s="208">
        <v>0</v>
      </c>
      <c r="AG28" s="271">
        <f t="shared" si="20"/>
        <v>0</v>
      </c>
      <c r="AH28" s="270">
        <f t="shared" si="21"/>
        <v>0</v>
      </c>
      <c r="AI28" s="220">
        <f t="shared" si="22"/>
        <v>0</v>
      </c>
      <c r="AJ28" s="269">
        <f t="shared" si="23"/>
        <v>0</v>
      </c>
      <c r="AK28" s="101"/>
      <c r="AL28" s="204">
        <v>0</v>
      </c>
      <c r="AM28" s="210">
        <v>0</v>
      </c>
      <c r="AN28" s="101"/>
      <c r="AO28" s="156"/>
      <c r="AP28" s="333" t="s">
        <v>179</v>
      </c>
      <c r="AQ28" s="205">
        <f>X194</f>
        <v>55049957115.666664</v>
      </c>
      <c r="AR28" s="205">
        <f>AD194</f>
        <v>46119189923</v>
      </c>
      <c r="AS28" s="205">
        <f>AG194</f>
        <v>28026383963</v>
      </c>
      <c r="AT28" s="338"/>
      <c r="AU28" s="205">
        <f t="shared" si="25"/>
        <v>0.83776977021249921</v>
      </c>
      <c r="AV28" s="205">
        <f t="shared" si="26"/>
        <v>0.5091081888422393</v>
      </c>
      <c r="AW28" s="205">
        <f>(AR28-AD206)/$AO$2*12+AD206</f>
        <v>49980201501.909088</v>
      </c>
      <c r="AX28" s="205">
        <f>(AS28-AG206)/$AO$2*12+AG206</f>
        <v>30242595000.272728</v>
      </c>
      <c r="AY28" s="205">
        <f t="shared" si="27"/>
        <v>-5069755613.757576</v>
      </c>
      <c r="AZ28" s="206">
        <f t="shared" si="28"/>
        <v>24807362115.393936</v>
      </c>
      <c r="BA28" s="67"/>
      <c r="BB28" s="67"/>
      <c r="BC28" s="67"/>
      <c r="BD28" s="67"/>
      <c r="BE28" s="67"/>
      <c r="BF28" s="67"/>
      <c r="BG28" s="67"/>
      <c r="BH28" s="67"/>
      <c r="BI28" s="67"/>
      <c r="BJ28" s="67"/>
      <c r="BK28" s="67"/>
      <c r="BL28" s="67"/>
      <c r="BM28" s="743" t="s">
        <v>180</v>
      </c>
      <c r="BN28" s="186">
        <f>+X196-X197+X204</f>
        <v>41415783123.666664</v>
      </c>
      <c r="BO28" s="186">
        <f>+AA196-AA197+AA204</f>
        <v>39593159998</v>
      </c>
      <c r="BP28" s="186">
        <f>+AD196-AD197+AD204</f>
        <v>34618829906</v>
      </c>
      <c r="BQ28" s="748">
        <f>+AF196-AF197+AF204</f>
        <v>3097865886</v>
      </c>
    </row>
    <row r="29" spans="1:69" ht="24.75" customHeight="1">
      <c r="A29" s="202" t="str">
        <f>+IF(OCTUBRE!A29=0,"",OCTUBRE!A29)</f>
        <v>1130103-1</v>
      </c>
      <c r="B29" s="345" t="str">
        <f>+IF(OCTUBRE!B29=0,"",OCTUBRE!B29)</f>
        <v>Prestación de Servicios de salud  1er Nivel</v>
      </c>
      <c r="C29" s="270">
        <f t="shared" ref="C29:N29" si="31">SUM(C30:C31)</f>
        <v>0</v>
      </c>
      <c r="D29" s="220">
        <f t="shared" si="31"/>
        <v>0</v>
      </c>
      <c r="E29" s="220">
        <f t="shared" si="31"/>
        <v>0</v>
      </c>
      <c r="F29" s="220">
        <f t="shared" si="31"/>
        <v>0</v>
      </c>
      <c r="G29" s="220">
        <f t="shared" si="31"/>
        <v>0</v>
      </c>
      <c r="H29" s="220">
        <f t="shared" si="31"/>
        <v>0</v>
      </c>
      <c r="I29" s="220">
        <f t="shared" si="31"/>
        <v>0</v>
      </c>
      <c r="J29" s="220">
        <f t="shared" si="31"/>
        <v>0</v>
      </c>
      <c r="K29" s="220">
        <f t="shared" si="31"/>
        <v>0</v>
      </c>
      <c r="L29" s="220">
        <f t="shared" si="31"/>
        <v>0</v>
      </c>
      <c r="M29" s="220">
        <f t="shared" si="31"/>
        <v>0</v>
      </c>
      <c r="N29" s="269">
        <f t="shared" si="31"/>
        <v>0</v>
      </c>
      <c r="O29" s="67"/>
      <c r="P29" s="346">
        <f>SUM(P30:P31)</f>
        <v>0</v>
      </c>
      <c r="Q29" s="347">
        <f>SUM(Q30:Q31)</f>
        <v>0</v>
      </c>
      <c r="R29" s="101"/>
      <c r="S29" s="311" t="str">
        <f>+IF(OCTUBRE!S29=0,"",OCTUBRE!S29)</f>
        <v>1010104-9</v>
      </c>
      <c r="T29" s="312" t="str">
        <f>+IF(OCTUBRE!T29=0,"",OCTUBRE!T29)</f>
        <v>Gastos de Representacion</v>
      </c>
      <c r="U29" s="373">
        <f>+ENERO!U29</f>
        <v>0</v>
      </c>
      <c r="V29" s="220">
        <f>OCTUBRE!V29+NOVIEMBRE!AL29</f>
        <v>0</v>
      </c>
      <c r="W29" s="220">
        <f>OCTUBRE!W29+NOVIEMBRE!AM29</f>
        <v>0</v>
      </c>
      <c r="X29" s="271">
        <f t="shared" si="17"/>
        <v>0</v>
      </c>
      <c r="Y29" s="270">
        <f>OCTUBRE!AA29</f>
        <v>0</v>
      </c>
      <c r="Z29" s="208">
        <v>0</v>
      </c>
      <c r="AA29" s="271">
        <f t="shared" si="18"/>
        <v>0</v>
      </c>
      <c r="AB29" s="270">
        <f>OCTUBRE!AD29</f>
        <v>0</v>
      </c>
      <c r="AC29" s="208">
        <v>0</v>
      </c>
      <c r="AD29" s="271">
        <f t="shared" si="19"/>
        <v>0</v>
      </c>
      <c r="AE29" s="270">
        <f>OCTUBRE!AG29</f>
        <v>0</v>
      </c>
      <c r="AF29" s="208">
        <v>0</v>
      </c>
      <c r="AG29" s="271">
        <f t="shared" si="20"/>
        <v>0</v>
      </c>
      <c r="AH29" s="270">
        <f t="shared" si="21"/>
        <v>0</v>
      </c>
      <c r="AI29" s="220">
        <f t="shared" si="22"/>
        <v>0</v>
      </c>
      <c r="AJ29" s="269">
        <f t="shared" si="23"/>
        <v>0</v>
      </c>
      <c r="AK29" s="101"/>
      <c r="AL29" s="204">
        <v>0</v>
      </c>
      <c r="AM29" s="210">
        <v>0</v>
      </c>
      <c r="AN29" s="101"/>
      <c r="AO29" s="108"/>
      <c r="AP29" s="333" t="s">
        <v>185</v>
      </c>
      <c r="AQ29" s="205">
        <f>X208</f>
        <v>4665559635</v>
      </c>
      <c r="AR29" s="205">
        <f>AD208</f>
        <v>4596412660</v>
      </c>
      <c r="AS29" s="205">
        <f>AG208</f>
        <v>4596412660</v>
      </c>
      <c r="AT29" s="110"/>
      <c r="AU29" s="139">
        <f t="shared" si="25"/>
        <v>0.9851792752832319</v>
      </c>
      <c r="AV29" s="139">
        <f t="shared" si="26"/>
        <v>0.9851792752832319</v>
      </c>
      <c r="AW29" s="334">
        <f>(AR29-AD217)/$AO$2*12+AD217</f>
        <v>4596412660</v>
      </c>
      <c r="AX29" s="334">
        <f>(AS29-AG217)/$AO$2*12+AG217</f>
        <v>4596412660</v>
      </c>
      <c r="AY29" s="334">
        <f t="shared" si="27"/>
        <v>-69146975</v>
      </c>
      <c r="AZ29" s="335">
        <f t="shared" si="28"/>
        <v>69146975</v>
      </c>
      <c r="BA29" s="67"/>
      <c r="BB29" s="336"/>
      <c r="BC29" s="336"/>
      <c r="BD29" s="336"/>
      <c r="BE29" s="336"/>
      <c r="BF29" s="336"/>
      <c r="BG29" s="67"/>
      <c r="BH29" s="67"/>
      <c r="BI29" s="67"/>
      <c r="BJ29" s="67"/>
      <c r="BK29" s="67"/>
      <c r="BL29" s="101"/>
      <c r="BM29" s="759" t="s">
        <v>117</v>
      </c>
      <c r="BN29" s="340">
        <f>X234-X240</f>
        <v>38538804916</v>
      </c>
      <c r="BO29" s="340">
        <f>AA234-AA240</f>
        <v>24129015762</v>
      </c>
      <c r="BP29" s="340">
        <f>AD234-AD240</f>
        <v>18419007807</v>
      </c>
      <c r="BQ29" s="340">
        <f>AF234-AF240</f>
        <v>1683893061</v>
      </c>
    </row>
    <row r="30" spans="1:69" ht="24.75" customHeight="1">
      <c r="A30" s="202" t="str">
        <f>+IF(OCTUBRE!A30=0,"",OCTUBRE!A30)</f>
        <v>1130103-1-1</v>
      </c>
      <c r="B30" s="331" t="str">
        <f>+CONCATENATE("Vigencia ",INSTRUCCIONES!$F$3)</f>
        <v>Vigencia 2025</v>
      </c>
      <c r="C30" s="204">
        <f>+ENERO!C30</f>
        <v>0</v>
      </c>
      <c r="D30" s="205">
        <f>OCTUBRE!D30+NOVIEMBRE!P30</f>
        <v>0</v>
      </c>
      <c r="E30" s="205">
        <f>OCTUBRE!E30+NOVIEMBRE!Q30</f>
        <v>0</v>
      </c>
      <c r="F30" s="205">
        <f>SUM(C30:E30)</f>
        <v>0</v>
      </c>
      <c r="G30" s="205">
        <f>OCTUBRE!I30</f>
        <v>0</v>
      </c>
      <c r="H30" s="208">
        <v>0</v>
      </c>
      <c r="I30" s="205">
        <f>SUM(G30:H30)</f>
        <v>0</v>
      </c>
      <c r="J30" s="205">
        <f>OCTUBRE!L30</f>
        <v>0</v>
      </c>
      <c r="K30" s="208"/>
      <c r="L30" s="205">
        <f>SUM(J30:K30)</f>
        <v>0</v>
      </c>
      <c r="M30" s="205">
        <f>F30-I30</f>
        <v>0</v>
      </c>
      <c r="N30" s="206">
        <f>F30-L30</f>
        <v>0</v>
      </c>
      <c r="O30" s="101"/>
      <c r="P30" s="204">
        <v>0</v>
      </c>
      <c r="Q30" s="210"/>
      <c r="R30" s="101"/>
      <c r="S30" s="311" t="str">
        <f>+IF(OCTUBRE!S30=0,"",OCTUBRE!S30)</f>
        <v>2.1.1.01.03.001.03</v>
      </c>
      <c r="T30" s="312" t="str">
        <f>+IF(OCTUBRE!T30=0,"",OCTUBRE!T30)</f>
        <v>Bonificación Especial por Recreación</v>
      </c>
      <c r="U30" s="373">
        <f>+ENERO!U30</f>
        <v>36288061.666666657</v>
      </c>
      <c r="V30" s="220">
        <f>OCTUBRE!V30+NOVIEMBRE!AL30</f>
        <v>0</v>
      </c>
      <c r="W30" s="220">
        <f>OCTUBRE!W30+NOVIEMBRE!AM30</f>
        <v>0</v>
      </c>
      <c r="X30" s="271">
        <f t="shared" si="17"/>
        <v>36288061.666666657</v>
      </c>
      <c r="Y30" s="270">
        <f>OCTUBRE!AA30</f>
        <v>23064649</v>
      </c>
      <c r="Z30" s="208">
        <v>3097291</v>
      </c>
      <c r="AA30" s="271">
        <f t="shared" si="18"/>
        <v>26161940</v>
      </c>
      <c r="AB30" s="270">
        <f>OCTUBRE!AD30</f>
        <v>23064649</v>
      </c>
      <c r="AC30" s="208">
        <v>3097291</v>
      </c>
      <c r="AD30" s="271">
        <f t="shared" si="19"/>
        <v>26161940</v>
      </c>
      <c r="AE30" s="270">
        <f>OCTUBRE!AG30</f>
        <v>23044649</v>
      </c>
      <c r="AF30" s="208">
        <v>3097291</v>
      </c>
      <c r="AG30" s="271">
        <f>SUM(AE30:AF30)</f>
        <v>26141940</v>
      </c>
      <c r="AH30" s="270">
        <f t="shared" si="21"/>
        <v>10126121.666666657</v>
      </c>
      <c r="AI30" s="220">
        <f t="shared" si="22"/>
        <v>10126121.666666657</v>
      </c>
      <c r="AJ30" s="269">
        <f t="shared" si="23"/>
        <v>10146121.666666657</v>
      </c>
      <c r="AK30" s="101"/>
      <c r="AL30" s="204">
        <v>0</v>
      </c>
      <c r="AM30" s="210">
        <v>0</v>
      </c>
      <c r="AN30" s="101"/>
      <c r="AO30" s="196" t="s">
        <v>92</v>
      </c>
      <c r="AP30" s="420" t="s">
        <v>188</v>
      </c>
      <c r="AQ30" s="205">
        <f>X219+X231</f>
        <v>40678762445</v>
      </c>
      <c r="AR30" s="205">
        <f>AD219+AD231</f>
        <v>20127921161</v>
      </c>
      <c r="AS30" s="205">
        <f>AG219+AG231</f>
        <v>16062488072</v>
      </c>
      <c r="AT30" s="338"/>
      <c r="AU30" s="205">
        <f t="shared" si="25"/>
        <v>0.49480170858722888</v>
      </c>
      <c r="AV30" s="205">
        <f t="shared" si="26"/>
        <v>0.39486176831749487</v>
      </c>
      <c r="AW30" s="205">
        <f>(AR30-AD224-AD229-AD240-AD255)/$AO$2*12+AD224+AD229+AD240+AD255</f>
        <v>21957732175.636364</v>
      </c>
      <c r="AX30" s="205">
        <f>(AS30-AG224-AG229-AG240-AG255)/$AO$2*12+AG224+AG229+AG240+AG255</f>
        <v>17522714260.363636</v>
      </c>
      <c r="AY30" s="205">
        <f t="shared" si="27"/>
        <v>-18721030269.363636</v>
      </c>
      <c r="AZ30" s="206">
        <f t="shared" si="28"/>
        <v>23156048184.636364</v>
      </c>
      <c r="BA30" s="67"/>
      <c r="BB30" s="336"/>
      <c r="BC30" s="336"/>
      <c r="BD30" s="336"/>
      <c r="BE30" s="336"/>
      <c r="BF30" s="336"/>
      <c r="BG30" s="67"/>
      <c r="BH30" s="67"/>
      <c r="BI30" s="67"/>
      <c r="BJ30" s="67"/>
      <c r="BK30" s="67"/>
      <c r="BL30" s="67"/>
      <c r="BM30" s="759" t="s">
        <v>122</v>
      </c>
      <c r="BN30" s="340">
        <f>X219-X229</f>
        <v>2139175000</v>
      </c>
      <c r="BO30" s="340">
        <f>AA219-AA229</f>
        <v>1708913354</v>
      </c>
      <c r="BP30" s="340">
        <f>AD219-AD229</f>
        <v>1708913354</v>
      </c>
      <c r="BQ30" s="340">
        <f>AF219-AF229</f>
        <v>270133025</v>
      </c>
    </row>
    <row r="31" spans="1:69" ht="24.75" customHeight="1">
      <c r="A31" s="202" t="str">
        <f>+IF(OCTUBRE!A31=0,"",OCTUBRE!A31)</f>
        <v>1130103-1-2</v>
      </c>
      <c r="B31" s="331" t="str">
        <f>+IF(OCTUBRE!B31=0,"",OCTUBRE!B31)</f>
        <v>Vigencia Anterior</v>
      </c>
      <c r="C31" s="204">
        <f>+ENERO!C31</f>
        <v>0</v>
      </c>
      <c r="D31" s="205">
        <f>OCTUBRE!D31+NOVIEMBRE!P31</f>
        <v>0</v>
      </c>
      <c r="E31" s="205">
        <f>OCTUBRE!E31+NOVIEMBRE!Q31</f>
        <v>0</v>
      </c>
      <c r="F31" s="205">
        <f>SUM(C31:E31)</f>
        <v>0</v>
      </c>
      <c r="G31" s="205">
        <f>OCTUBRE!I31</f>
        <v>0</v>
      </c>
      <c r="H31" s="208">
        <v>0</v>
      </c>
      <c r="I31" s="205">
        <f>SUM(G31:H31)</f>
        <v>0</v>
      </c>
      <c r="J31" s="205">
        <f>OCTUBRE!L31</f>
        <v>0</v>
      </c>
      <c r="K31" s="208"/>
      <c r="L31" s="205">
        <f>SUM(J31:K31)</f>
        <v>0</v>
      </c>
      <c r="M31" s="205">
        <f>F31-I31</f>
        <v>0</v>
      </c>
      <c r="N31" s="206">
        <f>F31-L31</f>
        <v>0</v>
      </c>
      <c r="O31" s="67"/>
      <c r="P31" s="204">
        <v>0</v>
      </c>
      <c r="Q31" s="210"/>
      <c r="R31" s="101"/>
      <c r="S31" s="311" t="str">
        <f>+IF(OCTUBRE!S31=0,"",OCTUBRE!S31)</f>
        <v>2.1.1.01.03.001.01</v>
      </c>
      <c r="T31" s="312" t="str">
        <f>+IF(OCTUBRE!T31=0,"",OCTUBRE!T31)</f>
        <v>Vacaciones</v>
      </c>
      <c r="U31" s="373">
        <f>+ENERO!U31</f>
        <v>272160462.5</v>
      </c>
      <c r="V31" s="220">
        <f>OCTUBRE!V31+NOVIEMBRE!AL31</f>
        <v>40000000</v>
      </c>
      <c r="W31" s="220">
        <f>OCTUBRE!W31+NOVIEMBRE!AM31</f>
        <v>0</v>
      </c>
      <c r="X31" s="271">
        <f t="shared" si="17"/>
        <v>312160462.5</v>
      </c>
      <c r="Y31" s="270">
        <f>OCTUBRE!AA31</f>
        <v>259507416</v>
      </c>
      <c r="Z31" s="208">
        <v>39699264</v>
      </c>
      <c r="AA31" s="271">
        <f t="shared" si="18"/>
        <v>299206680</v>
      </c>
      <c r="AB31" s="270">
        <f>OCTUBRE!AD31</f>
        <v>259507416</v>
      </c>
      <c r="AC31" s="208">
        <v>39699264</v>
      </c>
      <c r="AD31" s="271">
        <f t="shared" si="19"/>
        <v>299206680</v>
      </c>
      <c r="AE31" s="270">
        <f>OCTUBRE!AG31</f>
        <v>259507416</v>
      </c>
      <c r="AF31" s="208">
        <v>39699264</v>
      </c>
      <c r="AG31" s="271">
        <f t="shared" si="20"/>
        <v>299206680</v>
      </c>
      <c r="AH31" s="270">
        <f t="shared" si="21"/>
        <v>12953782.5</v>
      </c>
      <c r="AI31" s="220">
        <f t="shared" si="22"/>
        <v>12953782.5</v>
      </c>
      <c r="AJ31" s="269">
        <f t="shared" si="23"/>
        <v>12953782.5</v>
      </c>
      <c r="AK31" s="101"/>
      <c r="AL31" s="204">
        <v>40000000</v>
      </c>
      <c r="AM31" s="210">
        <v>0</v>
      </c>
      <c r="AN31" s="101"/>
      <c r="AO31" s="156"/>
      <c r="AP31" s="303" t="s">
        <v>190</v>
      </c>
      <c r="AQ31" s="338">
        <f>X257</f>
        <v>0.30987548828125</v>
      </c>
      <c r="AR31" s="338">
        <f>AD257</f>
        <v>-39961860376</v>
      </c>
      <c r="AS31" s="338">
        <f>AG257</f>
        <v>-131736292726.5</v>
      </c>
      <c r="AT31" s="338"/>
      <c r="AU31" s="205">
        <f t="shared" si="25"/>
        <v>-128961024305.76797</v>
      </c>
      <c r="AV31" s="205">
        <f t="shared" si="26"/>
        <v>-425126535361.62616</v>
      </c>
      <c r="AW31" s="205">
        <f>AQ31</f>
        <v>0.30987548828125</v>
      </c>
      <c r="AX31" s="205">
        <f>AQ31</f>
        <v>0.30987548828125</v>
      </c>
      <c r="AY31" s="205">
        <f t="shared" si="27"/>
        <v>0</v>
      </c>
      <c r="AZ31" s="206">
        <f t="shared" si="28"/>
        <v>0</v>
      </c>
      <c r="BA31" s="67"/>
      <c r="BB31" s="67"/>
      <c r="BC31" s="67"/>
      <c r="BD31" s="67"/>
      <c r="BE31" s="67"/>
      <c r="BF31" s="67"/>
      <c r="BG31" s="67"/>
      <c r="BH31" s="67"/>
      <c r="BI31" s="67"/>
      <c r="BJ31" s="67"/>
      <c r="BK31" s="67"/>
      <c r="BL31" s="67"/>
      <c r="BM31" s="759" t="s">
        <v>191</v>
      </c>
      <c r="BN31" s="340">
        <f>X261</f>
        <v>27343386787.222057</v>
      </c>
      <c r="BO31" s="340">
        <f>AA261</f>
        <v>27185197387</v>
      </c>
      <c r="BP31" s="340">
        <f>AD261</f>
        <v>27178997387</v>
      </c>
      <c r="BQ31" s="340">
        <f>AF261</f>
        <v>3550001</v>
      </c>
    </row>
    <row r="32" spans="1:69" ht="24.75" customHeight="1" thickBot="1">
      <c r="A32" s="202" t="str">
        <f>+IF(OCTUBRE!A32=0,"",OCTUBRE!A32)</f>
        <v>1.1.02.05.001.09.02.15</v>
      </c>
      <c r="B32" s="345" t="str">
        <f>+IF(OCTUBRE!B32=0,"",OCTUBRE!B32)</f>
        <v>Prestación de Servicios de salud  2o. Nivel</v>
      </c>
      <c r="C32" s="270">
        <f t="shared" ref="C32:N32" si="32">SUM(C33:C34)</f>
        <v>1850957800</v>
      </c>
      <c r="D32" s="220">
        <f t="shared" si="32"/>
        <v>0</v>
      </c>
      <c r="E32" s="220">
        <f t="shared" si="32"/>
        <v>0</v>
      </c>
      <c r="F32" s="220">
        <f t="shared" si="32"/>
        <v>1850957800</v>
      </c>
      <c r="G32" s="220">
        <f t="shared" si="32"/>
        <v>1679656930</v>
      </c>
      <c r="H32" s="220">
        <f t="shared" si="32"/>
        <v>251215425</v>
      </c>
      <c r="I32" s="220">
        <f t="shared" si="32"/>
        <v>1930872355</v>
      </c>
      <c r="J32" s="220">
        <f t="shared" si="32"/>
        <v>1631438743</v>
      </c>
      <c r="K32" s="220">
        <f t="shared" si="32"/>
        <v>8712083</v>
      </c>
      <c r="L32" s="220">
        <f t="shared" si="32"/>
        <v>1640150826</v>
      </c>
      <c r="M32" s="220">
        <f t="shared" si="32"/>
        <v>-79914555</v>
      </c>
      <c r="N32" s="269">
        <f t="shared" si="32"/>
        <v>210806974</v>
      </c>
      <c r="O32" s="67"/>
      <c r="P32" s="346">
        <f>SUM(P33:P34)</f>
        <v>0</v>
      </c>
      <c r="Q32" s="347">
        <f>SUM(Q33:Q34)</f>
        <v>0</v>
      </c>
      <c r="R32" s="101"/>
      <c r="S32" s="311" t="str">
        <f>+IF(OCTUBRE!S32=0,"",OCTUBRE!S32)</f>
        <v>1010104-12</v>
      </c>
      <c r="T32" s="312" t="str">
        <f>+IF(OCTUBRE!T32=0,"",OCTUBRE!T32)</f>
        <v/>
      </c>
      <c r="U32" s="373">
        <f>+ENERO!U32</f>
        <v>0</v>
      </c>
      <c r="V32" s="220">
        <f>OCTUBRE!V32+NOVIEMBRE!AL32</f>
        <v>0</v>
      </c>
      <c r="W32" s="220">
        <f>OCTUBRE!W32+NOVIEMBRE!AM32</f>
        <v>0</v>
      </c>
      <c r="X32" s="271">
        <f t="shared" si="17"/>
        <v>0</v>
      </c>
      <c r="Y32" s="270">
        <f>OCTUBRE!AA32</f>
        <v>0</v>
      </c>
      <c r="Z32" s="208"/>
      <c r="AA32" s="271">
        <f t="shared" si="18"/>
        <v>0</v>
      </c>
      <c r="AB32" s="270">
        <f>OCTUBRE!AD32</f>
        <v>0</v>
      </c>
      <c r="AC32" s="208"/>
      <c r="AD32" s="271">
        <f t="shared" si="19"/>
        <v>0</v>
      </c>
      <c r="AE32" s="270">
        <f>OCTUBRE!AG32</f>
        <v>0</v>
      </c>
      <c r="AF32" s="208"/>
      <c r="AG32" s="271">
        <f t="shared" si="20"/>
        <v>0</v>
      </c>
      <c r="AH32" s="270">
        <f t="shared" si="21"/>
        <v>0</v>
      </c>
      <c r="AI32" s="220">
        <f t="shared" si="22"/>
        <v>0</v>
      </c>
      <c r="AJ32" s="269">
        <f t="shared" si="23"/>
        <v>0</v>
      </c>
      <c r="AK32" s="101"/>
      <c r="AL32" s="204"/>
      <c r="AM32" s="210"/>
      <c r="AN32" s="101"/>
      <c r="AO32" s="108"/>
      <c r="AP32" s="540" t="s">
        <v>194</v>
      </c>
      <c r="AQ32" s="260">
        <f>SUM(AQ22:AQ31)</f>
        <v>224272210399.47656</v>
      </c>
      <c r="AR32" s="260">
        <f>SUM(AR22:AR31)</f>
        <v>138170581655</v>
      </c>
      <c r="AS32" s="260">
        <f>SUM(AS22:AS31)</f>
        <v>-18261571</v>
      </c>
      <c r="AT32" s="349"/>
      <c r="AU32" s="350">
        <f t="shared" si="25"/>
        <v>0.61608427280798084</v>
      </c>
      <c r="AV32" s="350">
        <f t="shared" si="26"/>
        <v>-8.142591972260965E-5</v>
      </c>
      <c r="AW32" s="158" t="e">
        <f>SUM(AW22:AW31)</f>
        <v>#REF!</v>
      </c>
      <c r="AX32" s="158" t="e">
        <f>SUM(AX22:AX31)</f>
        <v>#REF!</v>
      </c>
      <c r="AY32" s="158" t="e">
        <f>SUM(AY22:AY31)</f>
        <v>#REF!</v>
      </c>
      <c r="AZ32" s="159" t="e">
        <f>SUM(AZ22:AZ31)</f>
        <v>#REF!</v>
      </c>
      <c r="BA32" s="67"/>
      <c r="BB32" s="336"/>
      <c r="BC32" s="336"/>
      <c r="BD32" s="336"/>
      <c r="BE32" s="336"/>
      <c r="BF32" s="336"/>
      <c r="BG32" s="67"/>
      <c r="BH32" s="67"/>
      <c r="BI32" s="67"/>
      <c r="BJ32" s="67"/>
      <c r="BK32" s="67"/>
      <c r="BL32" s="101"/>
      <c r="BM32" s="759" t="s">
        <v>195</v>
      </c>
      <c r="BN32" s="340">
        <f>+BN7+BN25+BN29+BN30+BN31</f>
        <v>224272210399.16669</v>
      </c>
      <c r="BO32" s="340">
        <f>+BO7+BO25+BO29+BO30+BO31</f>
        <v>198687337403</v>
      </c>
      <c r="BP32" s="340">
        <f>+BP7+BP25+BP29+BP30+BP31</f>
        <v>178150703602</v>
      </c>
      <c r="BQ32" s="760">
        <f>+BQ7+BQ25+BQ29+BQ30+BQ31</f>
        <v>13795862431</v>
      </c>
    </row>
    <row r="33" spans="1:69" ht="24.75" customHeight="1" thickBot="1">
      <c r="A33" s="202" t="str">
        <f>+IF(OCTUBRE!A33=0,"",OCTUBRE!A33)</f>
        <v>1.1.02.05.001.09.02.15</v>
      </c>
      <c r="B33" s="331" t="str">
        <f>+CONCATENATE("Vigencia ",INSTRUCCIONES!$F$3)</f>
        <v>Vigencia 2025</v>
      </c>
      <c r="C33" s="204">
        <f>+ENERO!C33</f>
        <v>1140706891</v>
      </c>
      <c r="D33" s="205">
        <f>OCTUBRE!D33+NOVIEMBRE!P33</f>
        <v>0</v>
      </c>
      <c r="E33" s="205">
        <f>OCTUBRE!E33+NOVIEMBRE!Q33</f>
        <v>0</v>
      </c>
      <c r="F33" s="205">
        <f>SUM(C33:E33)</f>
        <v>1140706891</v>
      </c>
      <c r="G33" s="205">
        <f>OCTUBRE!I33</f>
        <v>1389649947</v>
      </c>
      <c r="H33" s="208">
        <f>241828527+9386898</f>
        <v>251215425</v>
      </c>
      <c r="I33" s="205">
        <f>SUM(G33:H33)</f>
        <v>1640865372</v>
      </c>
      <c r="J33" s="205">
        <f>OCTUBRE!L33</f>
        <v>1341431760</v>
      </c>
      <c r="K33" s="208">
        <f>7185901+1526182</f>
        <v>8712083</v>
      </c>
      <c r="L33" s="205">
        <f>SUM(J33:K33)</f>
        <v>1350143843</v>
      </c>
      <c r="M33" s="205">
        <f>F33-I33</f>
        <v>-500158481</v>
      </c>
      <c r="N33" s="206">
        <f>F33-L33</f>
        <v>-209436952</v>
      </c>
      <c r="O33" s="101"/>
      <c r="P33" s="204">
        <v>0</v>
      </c>
      <c r="Q33" s="210">
        <v>0</v>
      </c>
      <c r="R33" s="101"/>
      <c r="S33" s="266">
        <f>+IF(OCTUBRE!S33=0,"",OCTUBRE!S33)</f>
        <v>1010199</v>
      </c>
      <c r="T33" s="267" t="str">
        <f>+IF(OCTUBRE!T33=0,"",OCTUBRE!T33)</f>
        <v>Vigencias Anteriores</v>
      </c>
      <c r="U33" s="373">
        <f>+ENERO!U33</f>
        <v>0</v>
      </c>
      <c r="V33" s="220">
        <f>OCTUBRE!V33+NOVIEMBRE!AL33</f>
        <v>0</v>
      </c>
      <c r="W33" s="220">
        <f>OCTUBRE!W33+NOVIEMBRE!AM33</f>
        <v>0</v>
      </c>
      <c r="X33" s="271">
        <f t="shared" si="17"/>
        <v>0</v>
      </c>
      <c r="Y33" s="270">
        <f>OCTUBRE!AA33</f>
        <v>0</v>
      </c>
      <c r="Z33" s="208"/>
      <c r="AA33" s="271">
        <f t="shared" si="18"/>
        <v>0</v>
      </c>
      <c r="AB33" s="270">
        <f>OCTUBRE!AD33</f>
        <v>0</v>
      </c>
      <c r="AC33" s="208"/>
      <c r="AD33" s="271">
        <f t="shared" si="19"/>
        <v>0</v>
      </c>
      <c r="AE33" s="270">
        <f>OCTUBRE!AG33</f>
        <v>0</v>
      </c>
      <c r="AF33" s="208"/>
      <c r="AG33" s="271">
        <f t="shared" si="20"/>
        <v>0</v>
      </c>
      <c r="AH33" s="270">
        <f t="shared" si="21"/>
        <v>0</v>
      </c>
      <c r="AI33" s="220">
        <f t="shared" si="22"/>
        <v>0</v>
      </c>
      <c r="AJ33" s="269">
        <f t="shared" si="23"/>
        <v>0</v>
      </c>
      <c r="AK33" s="101"/>
      <c r="AL33" s="204"/>
      <c r="AM33" s="210"/>
      <c r="AN33" s="101"/>
      <c r="AO33" s="156"/>
      <c r="AP33" s="351"/>
      <c r="AQ33" s="352">
        <f>IF((AQ32-X8)&lt;&gt;0,(AQ32-X8),"")</f>
        <v>0.309906005859375</v>
      </c>
      <c r="AR33" s="352"/>
      <c r="AS33" s="352"/>
      <c r="AT33" s="352"/>
      <c r="AU33" s="353"/>
      <c r="AV33" s="325"/>
      <c r="AW33" s="323"/>
      <c r="AX33" s="323"/>
      <c r="AY33" s="323"/>
      <c r="AZ33" s="326"/>
      <c r="BA33" s="67"/>
      <c r="BB33" s="336"/>
      <c r="BC33" s="336"/>
      <c r="BD33" s="336"/>
      <c r="BE33" s="336"/>
      <c r="BF33" s="336"/>
      <c r="BG33" s="67"/>
      <c r="BH33" s="67"/>
      <c r="BI33" s="67"/>
      <c r="BJ33" s="67"/>
      <c r="BK33" s="67"/>
      <c r="BL33" s="67"/>
      <c r="BM33" s="761" t="s">
        <v>197</v>
      </c>
      <c r="BN33" s="762">
        <f>X258</f>
        <v>0</v>
      </c>
      <c r="BO33" s="763">
        <f>AA258</f>
        <v>0</v>
      </c>
      <c r="BP33" s="763">
        <f>AD258</f>
        <v>0</v>
      </c>
      <c r="BQ33" s="764">
        <f>AF258</f>
        <v>0</v>
      </c>
    </row>
    <row r="34" spans="1:69" ht="24.75" customHeight="1" thickBot="1">
      <c r="A34" s="202" t="str">
        <f>+IF(OCTUBRE!A34=0,"",OCTUBRE!A34)</f>
        <v>1.1.02.05.001.09.02.15.99</v>
      </c>
      <c r="B34" s="331" t="str">
        <f>+IF(OCTUBRE!B34=0,"",OCTUBRE!B34)</f>
        <v>Vigencia Anterior</v>
      </c>
      <c r="C34" s="204">
        <f>+ENERO!C34</f>
        <v>710250909</v>
      </c>
      <c r="D34" s="205">
        <f>OCTUBRE!D34+NOVIEMBRE!P34</f>
        <v>0</v>
      </c>
      <c r="E34" s="205">
        <f>OCTUBRE!E34+NOVIEMBRE!Q34</f>
        <v>0</v>
      </c>
      <c r="F34" s="205">
        <f>SUM(C34:E34)</f>
        <v>710250909</v>
      </c>
      <c r="G34" s="205">
        <f>OCTUBRE!I34</f>
        <v>290006983</v>
      </c>
      <c r="H34" s="208">
        <v>0</v>
      </c>
      <c r="I34" s="205">
        <f>SUM(G34:H34)</f>
        <v>290006983</v>
      </c>
      <c r="J34" s="205">
        <f>OCTUBRE!L34</f>
        <v>290006983</v>
      </c>
      <c r="K34" s="208">
        <v>0</v>
      </c>
      <c r="L34" s="205">
        <f>SUM(J34:K34)</f>
        <v>290006983</v>
      </c>
      <c r="M34" s="205">
        <f>F34-I34</f>
        <v>420243926</v>
      </c>
      <c r="N34" s="206">
        <f>F34-L34</f>
        <v>420243926</v>
      </c>
      <c r="O34" s="67"/>
      <c r="P34" s="204">
        <v>0</v>
      </c>
      <c r="Q34" s="210">
        <v>0</v>
      </c>
      <c r="R34" s="101"/>
      <c r="S34" s="189" t="str">
        <f>+IF(OCTUBRE!S34=0,"",OCTUBRE!S34)</f>
        <v/>
      </c>
      <c r="T34" s="488" t="str">
        <f>+IF(OCTUBRE!T34=0,"",OCTUBRE!T34)</f>
        <v/>
      </c>
      <c r="U34" s="191"/>
      <c r="V34" s="191"/>
      <c r="W34" s="191"/>
      <c r="X34" s="191"/>
      <c r="Y34" s="191"/>
      <c r="Z34" s="191"/>
      <c r="AA34" s="191"/>
      <c r="AB34" s="191"/>
      <c r="AC34" s="191"/>
      <c r="AD34" s="191"/>
      <c r="AE34" s="191"/>
      <c r="AF34" s="191"/>
      <c r="AG34" s="191"/>
      <c r="AH34" s="191"/>
      <c r="AI34" s="191"/>
      <c r="AJ34" s="192"/>
      <c r="AK34" s="101"/>
      <c r="AL34" s="249"/>
      <c r="AM34" s="250"/>
      <c r="AN34" s="101"/>
      <c r="AO34" s="156"/>
      <c r="AP34" s="354"/>
      <c r="AQ34" s="101"/>
      <c r="AR34" s="101"/>
      <c r="AS34" s="101" t="s">
        <v>198</v>
      </c>
      <c r="AT34" s="101"/>
      <c r="AU34" s="355" t="s">
        <v>199</v>
      </c>
      <c r="AV34" s="356" t="s">
        <v>200</v>
      </c>
      <c r="AW34" s="243" t="s">
        <v>198</v>
      </c>
      <c r="AX34" s="357"/>
      <c r="AY34" s="243" t="s">
        <v>201</v>
      </c>
      <c r="AZ34" s="244" t="s">
        <v>202</v>
      </c>
      <c r="BA34" s="67"/>
      <c r="BB34" s="67"/>
      <c r="BC34" s="67"/>
      <c r="BD34" s="67"/>
      <c r="BE34" s="67"/>
      <c r="BF34" s="67"/>
      <c r="BG34" s="67"/>
      <c r="BH34" s="67"/>
      <c r="BI34" s="67"/>
      <c r="BJ34" s="67"/>
      <c r="BK34" s="67"/>
      <c r="BL34" s="67"/>
      <c r="BM34" s="101"/>
      <c r="BN34" s="101"/>
      <c r="BO34" s="101"/>
      <c r="BP34" s="101"/>
      <c r="BQ34" s="101"/>
    </row>
    <row r="35" spans="1:69" ht="24.75" customHeight="1" thickBot="1">
      <c r="A35" s="202" t="str">
        <f>+IF(OCTUBRE!A35=0,"",OCTUBRE!A35)</f>
        <v>1130103-3</v>
      </c>
      <c r="B35" s="345" t="str">
        <f>+IF(OCTUBRE!B35=0,"",OCTUBRE!B35)</f>
        <v>Prestación de Servicios de salud  3o. Nivel</v>
      </c>
      <c r="C35" s="270">
        <f t="shared" ref="C35:N35" si="33">SUM(C36:C37)</f>
        <v>0</v>
      </c>
      <c r="D35" s="220">
        <f t="shared" si="33"/>
        <v>0</v>
      </c>
      <c r="E35" s="220">
        <f t="shared" si="33"/>
        <v>0</v>
      </c>
      <c r="F35" s="220">
        <f t="shared" si="33"/>
        <v>0</v>
      </c>
      <c r="G35" s="220">
        <f t="shared" si="33"/>
        <v>0</v>
      </c>
      <c r="H35" s="220">
        <f t="shared" si="33"/>
        <v>0</v>
      </c>
      <c r="I35" s="220">
        <f t="shared" si="33"/>
        <v>0</v>
      </c>
      <c r="J35" s="220">
        <f t="shared" si="33"/>
        <v>0</v>
      </c>
      <c r="K35" s="220">
        <f t="shared" si="33"/>
        <v>0</v>
      </c>
      <c r="L35" s="220">
        <f t="shared" si="33"/>
        <v>0</v>
      </c>
      <c r="M35" s="220">
        <f t="shared" si="33"/>
        <v>0</v>
      </c>
      <c r="N35" s="269">
        <f t="shared" si="33"/>
        <v>0</v>
      </c>
      <c r="O35" s="67"/>
      <c r="P35" s="346">
        <f>SUM(P36:P37)</f>
        <v>0</v>
      </c>
      <c r="Q35" s="347">
        <f>SUM(Q36:Q37)</f>
        <v>0</v>
      </c>
      <c r="R35" s="101"/>
      <c r="S35" s="257" t="str">
        <f>+IF(OCTUBRE!S35=0,"",OCTUBRE!S35)</f>
        <v>2.1.2.02.02.008</v>
      </c>
      <c r="T35" s="546" t="str">
        <f>+IF(OCTUBRE!T35=0,"",OCTUBRE!T35)</f>
        <v>Servicios Personales Indirectos</v>
      </c>
      <c r="U35" s="230">
        <f t="shared" ref="U35:AJ35" si="34">SUM(U36:U41)</f>
        <v>12514508007</v>
      </c>
      <c r="V35" s="231">
        <f t="shared" si="34"/>
        <v>5614000000</v>
      </c>
      <c r="W35" s="231">
        <f t="shared" si="34"/>
        <v>865000000</v>
      </c>
      <c r="X35" s="234">
        <f t="shared" si="34"/>
        <v>18993508007</v>
      </c>
      <c r="Y35" s="233">
        <f t="shared" si="34"/>
        <v>17609233076</v>
      </c>
      <c r="Z35" s="231">
        <f t="shared" si="34"/>
        <v>1367047287</v>
      </c>
      <c r="AA35" s="234">
        <f t="shared" si="34"/>
        <v>18976280363</v>
      </c>
      <c r="AB35" s="233">
        <f t="shared" si="34"/>
        <v>15535883907</v>
      </c>
      <c r="AC35" s="231">
        <f>SUM(AC36:AC41)</f>
        <v>1674307946</v>
      </c>
      <c r="AD35" s="234">
        <f t="shared" si="34"/>
        <v>17210191853</v>
      </c>
      <c r="AE35" s="233">
        <f t="shared" si="34"/>
        <v>11223666736</v>
      </c>
      <c r="AF35" s="231">
        <f>SUM(AF36:AF41)</f>
        <v>1299910783</v>
      </c>
      <c r="AG35" s="234">
        <f t="shared" si="34"/>
        <v>12523577519</v>
      </c>
      <c r="AH35" s="233">
        <f t="shared" si="34"/>
        <v>17227644</v>
      </c>
      <c r="AI35" s="231">
        <f t="shared" si="34"/>
        <v>1783316154</v>
      </c>
      <c r="AJ35" s="232">
        <f t="shared" si="34"/>
        <v>6469930488</v>
      </c>
      <c r="AK35" s="101"/>
      <c r="AL35" s="233">
        <f>SUM(AL36:AL41)</f>
        <v>1261000000</v>
      </c>
      <c r="AM35" s="232">
        <f>SUM(AM36:AM41)</f>
        <v>0</v>
      </c>
      <c r="AN35" s="101"/>
      <c r="AO35" s="156"/>
      <c r="AP35" s="358"/>
      <c r="AQ35" s="61"/>
      <c r="AR35" s="359"/>
      <c r="AS35" s="359"/>
      <c r="AT35" s="359"/>
      <c r="AU35" s="360">
        <f>AR17-AR32</f>
        <v>84928674194</v>
      </c>
      <c r="AV35" s="361">
        <f>AS17-AR32</f>
        <v>18261571</v>
      </c>
      <c r="AW35" s="1329" t="s">
        <v>205</v>
      </c>
      <c r="AX35" s="1330"/>
      <c r="AY35" s="361" t="e">
        <f>AY17+AY32</f>
        <v>#REF!</v>
      </c>
      <c r="AZ35" s="362" t="e">
        <f>AZ17+AY32</f>
        <v>#REF!</v>
      </c>
      <c r="BA35" s="67"/>
      <c r="BB35" s="336"/>
      <c r="BC35" s="336"/>
      <c r="BD35" s="336"/>
      <c r="BE35" s="336"/>
      <c r="BF35" s="336"/>
      <c r="BG35" s="67"/>
      <c r="BH35" s="67"/>
      <c r="BI35" s="67"/>
      <c r="BJ35" s="67"/>
      <c r="BK35" s="67"/>
      <c r="BL35" s="67"/>
      <c r="BM35" s="67"/>
      <c r="BN35" s="67"/>
      <c r="BO35" s="67"/>
      <c r="BP35" s="67"/>
      <c r="BQ35" s="67"/>
    </row>
    <row r="36" spans="1:69" ht="24.75" customHeight="1" thickBot="1">
      <c r="A36" s="202" t="str">
        <f>+IF(OCTUBRE!A36=0,"",OCTUBRE!A36)</f>
        <v>1130103-3-1</v>
      </c>
      <c r="B36" s="331" t="str">
        <f>+CONCATENATE("Vigencia ",INSTRUCCIONES!$F$3)</f>
        <v>Vigencia 2025</v>
      </c>
      <c r="C36" s="204">
        <f>+ENERO!C36</f>
        <v>0</v>
      </c>
      <c r="D36" s="205">
        <f>OCTUBRE!D36+NOVIEMBRE!P36</f>
        <v>0</v>
      </c>
      <c r="E36" s="205">
        <f>OCTUBRE!E36+NOVIEMBRE!Q36</f>
        <v>0</v>
      </c>
      <c r="F36" s="205">
        <f t="shared" ref="F36:F41" si="35">SUM(C36:E36)</f>
        <v>0</v>
      </c>
      <c r="G36" s="205">
        <f>OCTUBRE!I36</f>
        <v>0</v>
      </c>
      <c r="H36" s="208"/>
      <c r="I36" s="205">
        <f t="shared" ref="I36:I41" si="36">SUM(G36:H36)</f>
        <v>0</v>
      </c>
      <c r="J36" s="205">
        <f>OCTUBRE!L36</f>
        <v>0</v>
      </c>
      <c r="K36" s="208"/>
      <c r="L36" s="205">
        <f t="shared" ref="L36:L41" si="37">SUM(J36:K36)</f>
        <v>0</v>
      </c>
      <c r="M36" s="205">
        <f t="shared" ref="M36:M41" si="38">F36-I36</f>
        <v>0</v>
      </c>
      <c r="N36" s="206">
        <f t="shared" ref="N36:N41" si="39">F36-L36</f>
        <v>0</v>
      </c>
      <c r="O36" s="101"/>
      <c r="P36" s="204">
        <v>0</v>
      </c>
      <c r="Q36" s="210"/>
      <c r="R36" s="101"/>
      <c r="S36" s="266" t="str">
        <f>+IF(OCTUBRE!S36=0,"",OCTUBRE!S36)</f>
        <v>2.1.2.02.02.008.802</v>
      </c>
      <c r="T36" s="267" t="str">
        <f>+IF(OCTUBRE!T36=0,"",OCTUBRE!T36)</f>
        <v>Servicios Personales Administrativos (Contador, Abogado, otros)</v>
      </c>
      <c r="U36" s="373">
        <f>+ENERO!U36</f>
        <v>771615965</v>
      </c>
      <c r="V36" s="220">
        <f>OCTUBRE!V36+NOVIEMBRE!AL36</f>
        <v>390000000</v>
      </c>
      <c r="W36" s="220">
        <f>OCTUBRE!W36+NOVIEMBRE!AM36</f>
        <v>0</v>
      </c>
      <c r="X36" s="271">
        <f t="shared" ref="X36:X41" si="40">SUM(U36:W36)</f>
        <v>1161615965</v>
      </c>
      <c r="Y36" s="270">
        <f>OCTUBRE!AA36</f>
        <v>1135557020</v>
      </c>
      <c r="Z36" s="208">
        <v>20000000</v>
      </c>
      <c r="AA36" s="271">
        <f t="shared" ref="AA36:AA41" si="41">SUM(Y36:Z36)</f>
        <v>1155557020</v>
      </c>
      <c r="AB36" s="270">
        <f>OCTUBRE!AD36</f>
        <v>499139967</v>
      </c>
      <c r="AC36" s="208">
        <v>374111900</v>
      </c>
      <c r="AD36" s="271">
        <f t="shared" ref="AD36:AD41" si="42">SUM(AB36:AC36)</f>
        <v>873251867</v>
      </c>
      <c r="AE36" s="270">
        <f>OCTUBRE!AG36</f>
        <v>462032751</v>
      </c>
      <c r="AF36" s="208">
        <v>23613971</v>
      </c>
      <c r="AG36" s="271">
        <f t="shared" ref="AG36:AG41" si="43">SUM(AE36:AF36)</f>
        <v>485646722</v>
      </c>
      <c r="AH36" s="270">
        <f t="shared" ref="AH36:AH41" si="44">X36-AA36</f>
        <v>6058945</v>
      </c>
      <c r="AI36" s="220">
        <f t="shared" ref="AI36:AI41" si="45">X36-AD36</f>
        <v>288364098</v>
      </c>
      <c r="AJ36" s="269">
        <f t="shared" ref="AJ36:AJ41" si="46">X36-AG36</f>
        <v>675969243</v>
      </c>
      <c r="AK36" s="101"/>
      <c r="AL36" s="204">
        <v>-60000000</v>
      </c>
      <c r="AM36" s="210"/>
      <c r="AN36" s="101"/>
      <c r="AO36" s="363"/>
      <c r="AP36" s="364"/>
      <c r="AQ36" s="364"/>
      <c r="AR36" s="364"/>
      <c r="AS36" s="364"/>
      <c r="AT36" s="364"/>
      <c r="AU36" s="364"/>
      <c r="AV36" s="364"/>
      <c r="AW36" s="364"/>
      <c r="AX36" s="364"/>
      <c r="AY36" s="364"/>
      <c r="AZ36" s="365"/>
      <c r="BA36" s="67"/>
      <c r="BB36" s="336"/>
      <c r="BC36" s="336"/>
      <c r="BD36" s="336"/>
      <c r="BE36" s="336"/>
      <c r="BF36" s="336"/>
      <c r="BG36" s="67"/>
      <c r="BH36" s="67"/>
      <c r="BI36" s="67"/>
      <c r="BJ36" s="67"/>
      <c r="BK36" s="67"/>
      <c r="BL36" s="67"/>
      <c r="BM36" s="67"/>
      <c r="BN36" s="67"/>
      <c r="BO36" s="67"/>
      <c r="BP36" s="67"/>
      <c r="BQ36" s="67"/>
    </row>
    <row r="37" spans="1:69" ht="24.75" customHeight="1">
      <c r="A37" s="202" t="str">
        <f>+IF(OCTUBRE!A37=0,"",OCTUBRE!A37)</f>
        <v>1130103-3-2</v>
      </c>
      <c r="B37" s="331" t="str">
        <f>+IF(OCTUBRE!B37=0,"",OCTUBRE!B37)</f>
        <v>Vigencia Anterior</v>
      </c>
      <c r="C37" s="204">
        <f>+ENERO!C37</f>
        <v>0</v>
      </c>
      <c r="D37" s="205">
        <f>OCTUBRE!D37+NOVIEMBRE!P37</f>
        <v>0</v>
      </c>
      <c r="E37" s="205">
        <f>OCTUBRE!E37+NOVIEMBRE!Q37</f>
        <v>0</v>
      </c>
      <c r="F37" s="205">
        <f t="shared" si="35"/>
        <v>0</v>
      </c>
      <c r="G37" s="205">
        <f>OCTUBRE!I37</f>
        <v>0</v>
      </c>
      <c r="H37" s="208"/>
      <c r="I37" s="205">
        <f t="shared" si="36"/>
        <v>0</v>
      </c>
      <c r="J37" s="205">
        <f>OCTUBRE!L37</f>
        <v>0</v>
      </c>
      <c r="K37" s="208"/>
      <c r="L37" s="205">
        <f t="shared" si="37"/>
        <v>0</v>
      </c>
      <c r="M37" s="205">
        <f t="shared" si="38"/>
        <v>0</v>
      </c>
      <c r="N37" s="206">
        <f t="shared" si="39"/>
        <v>0</v>
      </c>
      <c r="O37" s="67"/>
      <c r="P37" s="204">
        <v>0</v>
      </c>
      <c r="Q37" s="210"/>
      <c r="R37" s="101"/>
      <c r="S37" s="266" t="str">
        <f>+IF(OCTUBRE!S37=0,"",OCTUBRE!S37)</f>
        <v>1010200-2</v>
      </c>
      <c r="T37" s="267" t="str">
        <f>+IF(OCTUBRE!T37=0,"",OCTUBRE!T37)</f>
        <v>Personal Supernumerario</v>
      </c>
      <c r="U37" s="373">
        <f>+ENERO!U37</f>
        <v>0</v>
      </c>
      <c r="V37" s="220">
        <f>OCTUBRE!V37+NOVIEMBRE!AL37</f>
        <v>0</v>
      </c>
      <c r="W37" s="220">
        <f>OCTUBRE!W37+NOVIEMBRE!AM37</f>
        <v>0</v>
      </c>
      <c r="X37" s="271">
        <f t="shared" si="40"/>
        <v>0</v>
      </c>
      <c r="Y37" s="270">
        <f>OCTUBRE!AA37</f>
        <v>0</v>
      </c>
      <c r="Z37" s="208">
        <v>0</v>
      </c>
      <c r="AA37" s="271">
        <f t="shared" si="41"/>
        <v>0</v>
      </c>
      <c r="AB37" s="270">
        <f>OCTUBRE!AD37</f>
        <v>0</v>
      </c>
      <c r="AC37" s="208">
        <v>0</v>
      </c>
      <c r="AD37" s="271">
        <f t="shared" si="42"/>
        <v>0</v>
      </c>
      <c r="AE37" s="270">
        <f>OCTUBRE!AG37</f>
        <v>0</v>
      </c>
      <c r="AF37" s="208">
        <v>0</v>
      </c>
      <c r="AG37" s="271">
        <f t="shared" si="43"/>
        <v>0</v>
      </c>
      <c r="AH37" s="270">
        <f t="shared" si="44"/>
        <v>0</v>
      </c>
      <c r="AI37" s="220">
        <f t="shared" si="45"/>
        <v>0</v>
      </c>
      <c r="AJ37" s="269">
        <f t="shared" si="46"/>
        <v>0</v>
      </c>
      <c r="AK37" s="101"/>
      <c r="AL37" s="204"/>
      <c r="AM37" s="210"/>
      <c r="AN37" s="101"/>
      <c r="AO37" s="366" t="s">
        <v>209</v>
      </c>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row>
    <row r="38" spans="1:69" ht="24.75" customHeight="1">
      <c r="A38" s="367" t="str">
        <f>+IF(OCTUBRE!A38=0,"",OCTUBRE!A38)</f>
        <v>1130103-4</v>
      </c>
      <c r="B38" s="368" t="str">
        <f>+IF(OCTUBRE!B38=0,"",OCTUBRE!B38)</f>
        <v xml:space="preserve"> Aportes Patronales  1o. Nivel</v>
      </c>
      <c r="C38" s="204">
        <f>+ENERO!C38</f>
        <v>0</v>
      </c>
      <c r="D38" s="205">
        <f>OCTUBRE!D38+NOVIEMBRE!P38</f>
        <v>0</v>
      </c>
      <c r="E38" s="205">
        <f>OCTUBRE!E38+NOVIEMBRE!Q38</f>
        <v>0</v>
      </c>
      <c r="F38" s="205">
        <f t="shared" si="35"/>
        <v>0</v>
      </c>
      <c r="G38" s="205">
        <f>OCTUBRE!I38</f>
        <v>0</v>
      </c>
      <c r="H38" s="208"/>
      <c r="I38" s="205">
        <f t="shared" si="36"/>
        <v>0</v>
      </c>
      <c r="J38" s="205">
        <f>OCTUBRE!L38</f>
        <v>0</v>
      </c>
      <c r="K38" s="208"/>
      <c r="L38" s="205">
        <f t="shared" si="37"/>
        <v>0</v>
      </c>
      <c r="M38" s="205">
        <f t="shared" si="38"/>
        <v>0</v>
      </c>
      <c r="N38" s="206">
        <f t="shared" si="39"/>
        <v>0</v>
      </c>
      <c r="O38" s="369"/>
      <c r="P38" s="204">
        <v>0</v>
      </c>
      <c r="Q38" s="210"/>
      <c r="R38" s="101"/>
      <c r="S38" s="266" t="str">
        <f>+IF(OCTUBRE!S38=0,"",OCTUBRE!S38)</f>
        <v>2.1.2.02.02.008.810</v>
      </c>
      <c r="T38" s="267" t="str">
        <f>+IF(OCTUBRE!T38=0,"",OCTUBRE!T38)</f>
        <v>Honorarios de la Junta Directiva</v>
      </c>
      <c r="U38" s="373">
        <f>+ENERO!U38</f>
        <v>38518134</v>
      </c>
      <c r="V38" s="220">
        <f>OCTUBRE!V38+NOVIEMBRE!AL38</f>
        <v>0</v>
      </c>
      <c r="W38" s="220">
        <f>OCTUBRE!W38+NOVIEMBRE!AM38</f>
        <v>0</v>
      </c>
      <c r="X38" s="271">
        <f t="shared" si="40"/>
        <v>38518134</v>
      </c>
      <c r="Y38" s="270">
        <f>OCTUBRE!AA38</f>
        <v>23487750</v>
      </c>
      <c r="Z38" s="208">
        <v>5694000</v>
      </c>
      <c r="AA38" s="271">
        <f t="shared" si="41"/>
        <v>29181750</v>
      </c>
      <c r="AB38" s="270">
        <f>OCTUBRE!AD38</f>
        <v>20640750</v>
      </c>
      <c r="AC38" s="208">
        <v>2847000</v>
      </c>
      <c r="AD38" s="271">
        <f t="shared" si="42"/>
        <v>23487750</v>
      </c>
      <c r="AE38" s="270">
        <f>OCTUBRE!AG38</f>
        <v>17793750</v>
      </c>
      <c r="AF38" s="208">
        <v>5694000</v>
      </c>
      <c r="AG38" s="271">
        <f t="shared" si="43"/>
        <v>23487750</v>
      </c>
      <c r="AH38" s="270">
        <f t="shared" si="44"/>
        <v>9336384</v>
      </c>
      <c r="AI38" s="220">
        <f t="shared" si="45"/>
        <v>15030384</v>
      </c>
      <c r="AJ38" s="269">
        <f t="shared" si="46"/>
        <v>15030384</v>
      </c>
      <c r="AK38" s="101"/>
      <c r="AL38" s="204"/>
      <c r="AM38" s="210"/>
      <c r="AN38" s="101"/>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row>
    <row r="39" spans="1:69" ht="24.75" customHeight="1">
      <c r="A39" s="367" t="str">
        <f>+IF(OCTUBRE!A39=0,"",OCTUBRE!A39)</f>
        <v>1130103-5</v>
      </c>
      <c r="B39" s="368" t="str">
        <f>+IF(OCTUBRE!B39=0,"",OCTUBRE!B39)</f>
        <v xml:space="preserve"> Aportes Patronales  2o. Nivel</v>
      </c>
      <c r="C39" s="204">
        <f>+ENERO!C39</f>
        <v>0</v>
      </c>
      <c r="D39" s="205">
        <f>OCTUBRE!D39+NOVIEMBRE!P39</f>
        <v>0</v>
      </c>
      <c r="E39" s="205">
        <f>OCTUBRE!E39+NOVIEMBRE!Q39</f>
        <v>0</v>
      </c>
      <c r="F39" s="205">
        <f t="shared" si="35"/>
        <v>0</v>
      </c>
      <c r="G39" s="205">
        <f>OCTUBRE!I39</f>
        <v>0</v>
      </c>
      <c r="H39" s="208"/>
      <c r="I39" s="205">
        <f t="shared" si="36"/>
        <v>0</v>
      </c>
      <c r="J39" s="205">
        <f>OCTUBRE!L39</f>
        <v>0</v>
      </c>
      <c r="K39" s="208"/>
      <c r="L39" s="205">
        <f t="shared" si="37"/>
        <v>0</v>
      </c>
      <c r="M39" s="205">
        <f t="shared" si="38"/>
        <v>0</v>
      </c>
      <c r="N39" s="206">
        <f t="shared" si="39"/>
        <v>0</v>
      </c>
      <c r="O39" s="369"/>
      <c r="P39" s="204">
        <v>0</v>
      </c>
      <c r="Q39" s="210"/>
      <c r="R39" s="101"/>
      <c r="S39" s="266" t="str">
        <f>+IF(OCTUBRE!S39=0,"",OCTUBRE!S39)</f>
        <v>2.1.2.02.02.009.906</v>
      </c>
      <c r="T39" s="267" t="str">
        <f>+IF(OCTUBRE!T39=0,"",OCTUBRE!T39)</f>
        <v>Servicios de Agremiación (administrativo)</v>
      </c>
      <c r="U39" s="373">
        <f>+ENERO!U39</f>
        <v>9849382921</v>
      </c>
      <c r="V39" s="220">
        <f>OCTUBRE!V39+NOVIEMBRE!AL39</f>
        <v>4441000000</v>
      </c>
      <c r="W39" s="220">
        <f>OCTUBRE!W39+NOVIEMBRE!AM39</f>
        <v>865000000</v>
      </c>
      <c r="X39" s="271">
        <f t="shared" si="40"/>
        <v>15155382921</v>
      </c>
      <c r="Y39" s="270">
        <f>OCTUBRE!AA39</f>
        <v>13813077872</v>
      </c>
      <c r="Z39" s="208">
        <v>1341353287</v>
      </c>
      <c r="AA39" s="271">
        <f t="shared" si="41"/>
        <v>15154431159</v>
      </c>
      <c r="AB39" s="270">
        <f>OCTUBRE!AD39</f>
        <v>12378992756</v>
      </c>
      <c r="AC39" s="208">
        <v>1297349046</v>
      </c>
      <c r="AD39" s="271">
        <f t="shared" si="42"/>
        <v>13676341802</v>
      </c>
      <c r="AE39" s="270">
        <f>OCTUBRE!AG39</f>
        <v>8106729801</v>
      </c>
      <c r="AF39" s="208">
        <v>1270602812</v>
      </c>
      <c r="AG39" s="271">
        <f t="shared" si="43"/>
        <v>9377332613</v>
      </c>
      <c r="AH39" s="270">
        <f t="shared" si="44"/>
        <v>951762</v>
      </c>
      <c r="AI39" s="220">
        <f t="shared" si="45"/>
        <v>1479041119</v>
      </c>
      <c r="AJ39" s="269">
        <f t="shared" si="46"/>
        <v>5778050308</v>
      </c>
      <c r="AK39" s="101"/>
      <c r="AL39" s="204">
        <f>384000000+937000000</f>
        <v>1321000000</v>
      </c>
      <c r="AM39" s="210"/>
      <c r="AN39" s="101"/>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row>
    <row r="40" spans="1:69" ht="24.75" customHeight="1">
      <c r="A40" s="367" t="str">
        <f>+IF(OCTUBRE!A40=0,"",OCTUBRE!A40)</f>
        <v>1130103-6</v>
      </c>
      <c r="B40" s="368" t="str">
        <f>+IF(OCTUBRE!B40=0,"",OCTUBRE!B40)</f>
        <v xml:space="preserve"> Aportes Patronales  3er. Nivel</v>
      </c>
      <c r="C40" s="204">
        <f>+ENERO!C40</f>
        <v>0</v>
      </c>
      <c r="D40" s="205">
        <f>OCTUBRE!D40+NOVIEMBRE!P40</f>
        <v>0</v>
      </c>
      <c r="E40" s="205">
        <f>OCTUBRE!E40+NOVIEMBRE!Q40</f>
        <v>0</v>
      </c>
      <c r="F40" s="205">
        <f t="shared" si="35"/>
        <v>0</v>
      </c>
      <c r="G40" s="205">
        <f>OCTUBRE!I40</f>
        <v>0</v>
      </c>
      <c r="H40" s="208"/>
      <c r="I40" s="205">
        <f t="shared" si="36"/>
        <v>0</v>
      </c>
      <c r="J40" s="205">
        <f>OCTUBRE!L40</f>
        <v>0</v>
      </c>
      <c r="K40" s="208"/>
      <c r="L40" s="205">
        <f t="shared" si="37"/>
        <v>0</v>
      </c>
      <c r="M40" s="205">
        <f t="shared" si="38"/>
        <v>0</v>
      </c>
      <c r="N40" s="206">
        <f t="shared" si="39"/>
        <v>0</v>
      </c>
      <c r="O40" s="369"/>
      <c r="P40" s="204">
        <v>0</v>
      </c>
      <c r="Q40" s="210"/>
      <c r="R40" s="101"/>
      <c r="S40" s="1185" t="str">
        <f>+IF(OCTUBRE!S40=0,"",OCTUBRE!S40)</f>
        <v/>
      </c>
      <c r="T40" s="267" t="str">
        <f>+IF(OCTUBRE!T40=0,"",OCTUBRE!T40)</f>
        <v>Certificación, Habilitación y Acreditación</v>
      </c>
      <c r="U40" s="373">
        <f>+ENERO!U40</f>
        <v>0</v>
      </c>
      <c r="V40" s="220">
        <f>OCTUBRE!V40+NOVIEMBRE!AL40</f>
        <v>0</v>
      </c>
      <c r="W40" s="220">
        <f>OCTUBRE!W40+NOVIEMBRE!AM40</f>
        <v>0</v>
      </c>
      <c r="X40" s="271">
        <f t="shared" si="40"/>
        <v>0</v>
      </c>
      <c r="Y40" s="270">
        <f>OCTUBRE!AA40</f>
        <v>0</v>
      </c>
      <c r="Z40" s="208">
        <v>0</v>
      </c>
      <c r="AA40" s="271">
        <f t="shared" si="41"/>
        <v>0</v>
      </c>
      <c r="AB40" s="270">
        <f>OCTUBRE!AD40</f>
        <v>0</v>
      </c>
      <c r="AC40" s="208">
        <v>0</v>
      </c>
      <c r="AD40" s="271">
        <f t="shared" si="42"/>
        <v>0</v>
      </c>
      <c r="AE40" s="270">
        <f>OCTUBRE!AG40</f>
        <v>0</v>
      </c>
      <c r="AF40" s="208">
        <v>0</v>
      </c>
      <c r="AG40" s="271">
        <f t="shared" si="43"/>
        <v>0</v>
      </c>
      <c r="AH40" s="270">
        <f t="shared" si="44"/>
        <v>0</v>
      </c>
      <c r="AI40" s="220">
        <f t="shared" si="45"/>
        <v>0</v>
      </c>
      <c r="AJ40" s="269">
        <f t="shared" si="46"/>
        <v>0</v>
      </c>
      <c r="AK40" s="101"/>
      <c r="AL40" s="204"/>
      <c r="AM40" s="210"/>
      <c r="AN40" s="101"/>
      <c r="AO40" s="67"/>
      <c r="AP40" s="67"/>
      <c r="AQ40" s="67"/>
      <c r="AR40" s="67"/>
      <c r="AS40" s="67"/>
      <c r="AT40" s="67"/>
      <c r="AU40" s="67"/>
      <c r="AV40" s="67"/>
      <c r="AW40" s="67"/>
      <c r="AX40" s="67"/>
      <c r="AY40" s="67"/>
      <c r="AZ40" s="67"/>
      <c r="BA40" s="67"/>
      <c r="BB40" s="336"/>
      <c r="BC40" s="336"/>
      <c r="BD40" s="336"/>
      <c r="BE40" s="336"/>
      <c r="BF40" s="67"/>
      <c r="BG40" s="67"/>
      <c r="BH40" s="67"/>
      <c r="BI40" s="67"/>
      <c r="BJ40" s="67"/>
      <c r="BK40" s="67"/>
      <c r="BL40" s="67"/>
      <c r="BM40" s="67"/>
      <c r="BN40" s="67"/>
      <c r="BO40" s="67"/>
      <c r="BP40" s="67"/>
      <c r="BQ40" s="67"/>
    </row>
    <row r="41" spans="1:69" ht="24.75" customHeight="1">
      <c r="A41" s="286">
        <f>+IF(OCTUBRE!A41=0,"",OCTUBRE!A41)</f>
        <v>1130104</v>
      </c>
      <c r="B41" s="319" t="str">
        <f>+IF(OCTUBRE!B41=0,"",OCTUBRE!B41)</f>
        <v>SUBSIDIO A LA OFERTA- ACTIVIDADES NO POS-S</v>
      </c>
      <c r="C41" s="204">
        <f>+ENERO!C41</f>
        <v>0</v>
      </c>
      <c r="D41" s="231">
        <f>OCTUBRE!D41+NOVIEMBRE!P41</f>
        <v>0</v>
      </c>
      <c r="E41" s="231">
        <f>OCTUBRE!E41+NOVIEMBRE!Q41</f>
        <v>0</v>
      </c>
      <c r="F41" s="231">
        <f t="shared" si="35"/>
        <v>0</v>
      </c>
      <c r="G41" s="231">
        <f>OCTUBRE!I41</f>
        <v>0</v>
      </c>
      <c r="H41" s="208"/>
      <c r="I41" s="231">
        <f t="shared" si="36"/>
        <v>0</v>
      </c>
      <c r="J41" s="231">
        <f>OCTUBRE!L41</f>
        <v>0</v>
      </c>
      <c r="K41" s="208"/>
      <c r="L41" s="231">
        <f t="shared" si="37"/>
        <v>0</v>
      </c>
      <c r="M41" s="231">
        <f t="shared" si="38"/>
        <v>0</v>
      </c>
      <c r="N41" s="232">
        <f t="shared" si="39"/>
        <v>0</v>
      </c>
      <c r="O41" s="67"/>
      <c r="P41" s="208">
        <v>0</v>
      </c>
      <c r="Q41" s="210"/>
      <c r="R41" s="101"/>
      <c r="S41" s="266" t="str">
        <f>+IF(OCTUBRE!S41=0,"",OCTUBRE!S41)</f>
        <v>2.1.2.02.02.009.99.02</v>
      </c>
      <c r="T41" s="267" t="str">
        <f>+IF(OCTUBRE!T41=0,"",OCTUBRE!T41)</f>
        <v>Vigencias Anteriores</v>
      </c>
      <c r="U41" s="373">
        <f>+ENERO!U41</f>
        <v>1854990987</v>
      </c>
      <c r="V41" s="220">
        <f>OCTUBRE!V41+NOVIEMBRE!AL41</f>
        <v>783000000</v>
      </c>
      <c r="W41" s="220">
        <f>OCTUBRE!W41+NOVIEMBRE!AM41</f>
        <v>0</v>
      </c>
      <c r="X41" s="271">
        <f t="shared" si="40"/>
        <v>2637990987</v>
      </c>
      <c r="Y41" s="270">
        <f>OCTUBRE!AA41</f>
        <v>2637110434</v>
      </c>
      <c r="Z41" s="208">
        <v>0</v>
      </c>
      <c r="AA41" s="271">
        <f t="shared" si="41"/>
        <v>2637110434</v>
      </c>
      <c r="AB41" s="270">
        <f>OCTUBRE!AD41</f>
        <v>2637110434</v>
      </c>
      <c r="AC41" s="208">
        <v>0</v>
      </c>
      <c r="AD41" s="271">
        <f t="shared" si="42"/>
        <v>2637110434</v>
      </c>
      <c r="AE41" s="270">
        <f>OCTUBRE!AG41</f>
        <v>2637110434</v>
      </c>
      <c r="AF41" s="208">
        <v>0</v>
      </c>
      <c r="AG41" s="271">
        <f t="shared" si="43"/>
        <v>2637110434</v>
      </c>
      <c r="AH41" s="270">
        <f t="shared" si="44"/>
        <v>880553</v>
      </c>
      <c r="AI41" s="220">
        <f t="shared" si="45"/>
        <v>880553</v>
      </c>
      <c r="AJ41" s="269">
        <f t="shared" si="46"/>
        <v>880553</v>
      </c>
      <c r="AK41" s="101"/>
      <c r="AL41" s="204">
        <v>0</v>
      </c>
      <c r="AM41" s="210">
        <v>0</v>
      </c>
      <c r="AN41" s="101"/>
      <c r="AO41" s="67"/>
      <c r="AP41" s="67"/>
      <c r="AQ41" s="67"/>
      <c r="AR41" s="67"/>
      <c r="AS41" s="67"/>
      <c r="AT41" s="67"/>
      <c r="AU41" s="67"/>
      <c r="AV41" s="67"/>
      <c r="AW41" s="67"/>
      <c r="AX41" s="67"/>
      <c r="AY41" s="67"/>
      <c r="AZ41" s="67"/>
      <c r="BA41" s="67"/>
      <c r="BB41" s="336"/>
      <c r="BC41" s="336"/>
      <c r="BD41" s="336"/>
      <c r="BE41" s="336"/>
      <c r="BF41" s="67"/>
      <c r="BG41" s="67"/>
      <c r="BH41" s="67"/>
      <c r="BI41" s="67"/>
      <c r="BJ41" s="67"/>
      <c r="BK41" s="67"/>
      <c r="BL41" s="67"/>
      <c r="BM41" s="336"/>
      <c r="BN41" s="336"/>
      <c r="BO41" s="336"/>
      <c r="BP41" s="336"/>
      <c r="BQ41" s="336"/>
    </row>
    <row r="42" spans="1:69" ht="24.75" customHeight="1">
      <c r="A42" s="286" t="str">
        <f>+IF(OCTUBRE!A42=0,"",OCTUBRE!A42)</f>
        <v>1.1.02.05.001.09.02.03</v>
      </c>
      <c r="B42" s="319" t="str">
        <f>+IF(OCTUBRE!B42=0,"",OCTUBRE!B42)</f>
        <v>SALUD PUBLICA - PLAN DE INTERVENCIONES COLECTIVAS</v>
      </c>
      <c r="C42" s="288">
        <f t="shared" ref="C42:N42" si="47">SUM(C43:C44)</f>
        <v>287170800</v>
      </c>
      <c r="D42" s="320">
        <f t="shared" si="47"/>
        <v>0</v>
      </c>
      <c r="E42" s="320">
        <f t="shared" si="47"/>
        <v>0</v>
      </c>
      <c r="F42" s="320">
        <f t="shared" si="47"/>
        <v>287170800</v>
      </c>
      <c r="G42" s="320">
        <f t="shared" si="47"/>
        <v>113465795</v>
      </c>
      <c r="H42" s="320">
        <f t="shared" si="47"/>
        <v>4795161</v>
      </c>
      <c r="I42" s="320">
        <f t="shared" si="47"/>
        <v>118260956</v>
      </c>
      <c r="J42" s="320">
        <f t="shared" si="47"/>
        <v>75044358</v>
      </c>
      <c r="K42" s="320">
        <f t="shared" si="47"/>
        <v>0</v>
      </c>
      <c r="L42" s="320">
        <f t="shared" si="47"/>
        <v>75044358</v>
      </c>
      <c r="M42" s="320">
        <f t="shared" si="47"/>
        <v>168909844</v>
      </c>
      <c r="N42" s="289">
        <f t="shared" si="47"/>
        <v>212126442</v>
      </c>
      <c r="O42" s="67"/>
      <c r="P42" s="288">
        <f>SUM(P43:P44)</f>
        <v>0</v>
      </c>
      <c r="Q42" s="289">
        <f>SUM(Q43:Q44)</f>
        <v>0</v>
      </c>
      <c r="R42" s="101"/>
      <c r="S42" s="189">
        <f>+IF(OCTUBRE!S42=0,"",OCTUBRE!S42)</f>
        <v>1130106</v>
      </c>
      <c r="T42" s="488" t="str">
        <f>+IF(OCTUBRE!T42=0,"",OCTUBRE!T42)</f>
        <v/>
      </c>
      <c r="U42" s="191"/>
      <c r="V42" s="191"/>
      <c r="W42" s="191"/>
      <c r="X42" s="191"/>
      <c r="Y42" s="191"/>
      <c r="Z42" s="191"/>
      <c r="AA42" s="191"/>
      <c r="AB42" s="191"/>
      <c r="AC42" s="191"/>
      <c r="AD42" s="191"/>
      <c r="AE42" s="191"/>
      <c r="AF42" s="191"/>
      <c r="AG42" s="191"/>
      <c r="AH42" s="191"/>
      <c r="AI42" s="191"/>
      <c r="AJ42" s="192"/>
      <c r="AK42" s="216"/>
      <c r="AL42" s="370"/>
      <c r="AM42" s="371"/>
      <c r="AN42" s="101"/>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row>
    <row r="43" spans="1:69" ht="24.75" customHeight="1">
      <c r="A43" s="202" t="str">
        <f>+IF(OCTUBRE!A43=0,"",OCTUBRE!A43)</f>
        <v>1.1.02.05.001.09.02.03</v>
      </c>
      <c r="B43" s="331" t="str">
        <f>+CONCATENATE("Vigencia ",INSTRUCCIONES!$F$3)</f>
        <v>Vigencia 2025</v>
      </c>
      <c r="C43" s="204">
        <f>+ENERO!C43</f>
        <v>0</v>
      </c>
      <c r="D43" s="205">
        <f>OCTUBRE!D43+NOVIEMBRE!P43</f>
        <v>0</v>
      </c>
      <c r="E43" s="205">
        <f>OCTUBRE!E43+NOVIEMBRE!Q43</f>
        <v>0</v>
      </c>
      <c r="F43" s="205">
        <f>SUM(C43:E43)</f>
        <v>0</v>
      </c>
      <c r="G43" s="205">
        <f>OCTUBRE!I43</f>
        <v>51068563</v>
      </c>
      <c r="H43" s="208">
        <v>4795161</v>
      </c>
      <c r="I43" s="205">
        <f>SUM(G43:H43)</f>
        <v>55863724</v>
      </c>
      <c r="J43" s="205">
        <f>OCTUBRE!L43</f>
        <v>12647126</v>
      </c>
      <c r="K43" s="208"/>
      <c r="L43" s="205">
        <f>SUM(J43:K43)</f>
        <v>12647126</v>
      </c>
      <c r="M43" s="205">
        <f>F43-I43</f>
        <v>-55863724</v>
      </c>
      <c r="N43" s="206">
        <f>F43-L43</f>
        <v>-12647126</v>
      </c>
      <c r="O43" s="67"/>
      <c r="P43" s="204">
        <v>0</v>
      </c>
      <c r="Q43" s="210"/>
      <c r="R43" s="101"/>
      <c r="S43" s="257">
        <f>+IF(OCTUBRE!S43=0,"",OCTUBRE!S43)</f>
        <v>1010300</v>
      </c>
      <c r="T43" s="546" t="str">
        <f>+IF(OCTUBRE!T43=0,"",OCTUBRE!T43)</f>
        <v>Contribuciones Inherentes nómina al Sector Privado</v>
      </c>
      <c r="U43" s="230">
        <f t="shared" ref="U43:AJ43" si="48">U44+U49+U55</f>
        <v>2871199937.9625015</v>
      </c>
      <c r="V43" s="231">
        <f t="shared" si="48"/>
        <v>0</v>
      </c>
      <c r="W43" s="231">
        <f t="shared" si="48"/>
        <v>0</v>
      </c>
      <c r="X43" s="234">
        <f t="shared" si="48"/>
        <v>2871199937.9625015</v>
      </c>
      <c r="Y43" s="233">
        <f t="shared" si="48"/>
        <v>1856734201</v>
      </c>
      <c r="Z43" s="231">
        <f t="shared" si="48"/>
        <v>115095600</v>
      </c>
      <c r="AA43" s="234">
        <f t="shared" si="48"/>
        <v>1971829801</v>
      </c>
      <c r="AB43" s="233">
        <f t="shared" si="48"/>
        <v>1856734201</v>
      </c>
      <c r="AC43" s="231">
        <f>AC44+AC49+AC55</f>
        <v>115095600</v>
      </c>
      <c r="AD43" s="234">
        <f t="shared" si="48"/>
        <v>1971829801</v>
      </c>
      <c r="AE43" s="233">
        <f t="shared" si="48"/>
        <v>1856734200</v>
      </c>
      <c r="AF43" s="231">
        <f>AF44+AF49+AF55</f>
        <v>115095600</v>
      </c>
      <c r="AG43" s="234">
        <f t="shared" si="48"/>
        <v>1971829800</v>
      </c>
      <c r="AH43" s="233">
        <f t="shared" si="48"/>
        <v>899370136.96250129</v>
      </c>
      <c r="AI43" s="231">
        <f t="shared" si="48"/>
        <v>899370136.96250129</v>
      </c>
      <c r="AJ43" s="232">
        <f t="shared" si="48"/>
        <v>899370137.96250129</v>
      </c>
      <c r="AK43" s="101"/>
      <c r="AL43" s="233">
        <f>AL44+AL49+AL55</f>
        <v>0</v>
      </c>
      <c r="AM43" s="232">
        <f>AM44+AM49+AM55</f>
        <v>0</v>
      </c>
      <c r="AN43" s="101"/>
      <c r="AO43" s="67"/>
      <c r="AP43" s="372"/>
      <c r="AQ43" s="67"/>
      <c r="AR43" s="67"/>
      <c r="AS43" s="67"/>
      <c r="AT43" s="67"/>
      <c r="AU43" s="67"/>
      <c r="AV43" s="67"/>
      <c r="AW43" s="67"/>
      <c r="AX43" s="67"/>
      <c r="AY43" s="67"/>
      <c r="AZ43" s="67"/>
      <c r="BA43" s="67"/>
      <c r="BB43" s="336"/>
      <c r="BC43" s="336"/>
      <c r="BD43" s="336"/>
      <c r="BE43" s="336"/>
      <c r="BF43" s="67"/>
      <c r="BG43" s="67"/>
      <c r="BH43" s="67"/>
      <c r="BI43" s="67"/>
      <c r="BJ43" s="67"/>
      <c r="BK43" s="67"/>
      <c r="BL43" s="67"/>
      <c r="BM43" s="67"/>
      <c r="BN43" s="67"/>
      <c r="BO43" s="67"/>
      <c r="BP43" s="67"/>
      <c r="BQ43" s="67"/>
    </row>
    <row r="44" spans="1:69" ht="24.75" customHeight="1">
      <c r="A44" s="202" t="str">
        <f>+IF(OCTUBRE!A44=0,"",OCTUBRE!A44)</f>
        <v>1.1.02.05.001.09.02.03.99</v>
      </c>
      <c r="B44" s="331" t="str">
        <f>+IF(OCTUBRE!B44=0,"",OCTUBRE!B44)</f>
        <v>Vigencia Anterior</v>
      </c>
      <c r="C44" s="204">
        <f>+ENERO!C44</f>
        <v>287170800</v>
      </c>
      <c r="D44" s="205">
        <f>OCTUBRE!D44+NOVIEMBRE!P44</f>
        <v>0</v>
      </c>
      <c r="E44" s="205">
        <f>OCTUBRE!E44+NOVIEMBRE!Q44</f>
        <v>0</v>
      </c>
      <c r="F44" s="205">
        <f>SUM(C44:E44)</f>
        <v>287170800</v>
      </c>
      <c r="G44" s="205">
        <f>OCTUBRE!I44</f>
        <v>62397232</v>
      </c>
      <c r="H44" s="208"/>
      <c r="I44" s="205">
        <f>SUM(G44:H44)</f>
        <v>62397232</v>
      </c>
      <c r="J44" s="205">
        <f>OCTUBRE!L44</f>
        <v>62397232</v>
      </c>
      <c r="K44" s="208"/>
      <c r="L44" s="205">
        <f>SUM(J44:K44)</f>
        <v>62397232</v>
      </c>
      <c r="M44" s="205">
        <f>F44-I44</f>
        <v>224773568</v>
      </c>
      <c r="N44" s="206">
        <f>F44-L44</f>
        <v>224773568</v>
      </c>
      <c r="O44" s="67"/>
      <c r="P44" s="204">
        <v>0</v>
      </c>
      <c r="Q44" s="210"/>
      <c r="R44" s="101"/>
      <c r="S44" s="266">
        <f>+IF(OCTUBRE!S44=0,"",OCTUBRE!S44)</f>
        <v>1010301</v>
      </c>
      <c r="T44" s="267" t="str">
        <f>+IF(OCTUBRE!T44=0,"",OCTUBRE!T44)</f>
        <v>Contribuciones - SGP - Aportes Patronales - Cuenta Maestra</v>
      </c>
      <c r="U44" s="373">
        <f t="shared" ref="U44:AJ44" si="49">SUM(U45:U48)</f>
        <v>0</v>
      </c>
      <c r="V44" s="220">
        <f t="shared" si="49"/>
        <v>0</v>
      </c>
      <c r="W44" s="220">
        <f t="shared" si="49"/>
        <v>0</v>
      </c>
      <c r="X44" s="271">
        <f t="shared" si="49"/>
        <v>0</v>
      </c>
      <c r="Y44" s="270">
        <f t="shared" si="49"/>
        <v>0</v>
      </c>
      <c r="Z44" s="300">
        <f t="shared" si="49"/>
        <v>0</v>
      </c>
      <c r="AA44" s="271">
        <f t="shared" si="49"/>
        <v>0</v>
      </c>
      <c r="AB44" s="270">
        <f t="shared" si="49"/>
        <v>0</v>
      </c>
      <c r="AC44" s="300">
        <f>SUM(AC45:AC48)</f>
        <v>0</v>
      </c>
      <c r="AD44" s="271">
        <f t="shared" si="49"/>
        <v>0</v>
      </c>
      <c r="AE44" s="270">
        <f t="shared" si="49"/>
        <v>0</v>
      </c>
      <c r="AF44" s="300">
        <f>SUM(AF45:AF48)</f>
        <v>0</v>
      </c>
      <c r="AG44" s="271">
        <f t="shared" si="49"/>
        <v>0</v>
      </c>
      <c r="AH44" s="270">
        <f t="shared" si="49"/>
        <v>0</v>
      </c>
      <c r="AI44" s="220">
        <f t="shared" si="49"/>
        <v>0</v>
      </c>
      <c r="AJ44" s="269">
        <f t="shared" si="49"/>
        <v>0</v>
      </c>
      <c r="AK44" s="101"/>
      <c r="AL44" s="301">
        <f>SUM(AL45:AL48)</f>
        <v>0</v>
      </c>
      <c r="AM44" s="302">
        <f>SUM(AM45:AM48)</f>
        <v>0</v>
      </c>
      <c r="AN44" s="101"/>
      <c r="AO44" s="67"/>
      <c r="AP44" s="67"/>
      <c r="AQ44" s="67"/>
      <c r="AR44" s="67"/>
      <c r="AS44" s="67"/>
      <c r="AT44" s="67"/>
      <c r="AU44" s="67"/>
      <c r="AV44" s="67"/>
      <c r="AW44" s="67"/>
      <c r="AX44" s="67"/>
      <c r="AY44" s="67"/>
      <c r="AZ44" s="67"/>
      <c r="BA44" s="67"/>
      <c r="BB44" s="336"/>
      <c r="BC44" s="336"/>
      <c r="BD44" s="336"/>
      <c r="BE44" s="336"/>
      <c r="BF44" s="67"/>
      <c r="BG44" s="67"/>
      <c r="BH44" s="67"/>
      <c r="BI44" s="67"/>
      <c r="BJ44" s="67"/>
      <c r="BK44" s="67"/>
      <c r="BL44" s="67"/>
      <c r="BM44" s="67"/>
      <c r="BN44" s="67"/>
      <c r="BO44" s="67"/>
      <c r="BP44" s="67"/>
      <c r="BQ44" s="67"/>
    </row>
    <row r="45" spans="1:69" ht="24.75" customHeight="1">
      <c r="A45" s="286" t="str">
        <f>+IF(OCTUBRE!A45=0,"",OCTUBRE!A45)</f>
        <v>1.1.02.05.001.09.02.04</v>
      </c>
      <c r="B45" s="319" t="str">
        <f>+IF(OCTUBRE!B45=0,"",OCTUBRE!B45)</f>
        <v>EVENTOS CATASTROFICOS Y ACCIDENTES DE TRANSITO</v>
      </c>
      <c r="C45" s="288">
        <f t="shared" ref="C45:N45" si="50">SUM(C46:C47)</f>
        <v>1301505717</v>
      </c>
      <c r="D45" s="320">
        <f t="shared" si="50"/>
        <v>0</v>
      </c>
      <c r="E45" s="320">
        <f t="shared" si="50"/>
        <v>0</v>
      </c>
      <c r="F45" s="320">
        <f t="shared" si="50"/>
        <v>1301505717</v>
      </c>
      <c r="G45" s="320">
        <f t="shared" si="50"/>
        <v>681196642</v>
      </c>
      <c r="H45" s="320">
        <f t="shared" si="50"/>
        <v>27931136</v>
      </c>
      <c r="I45" s="320">
        <f t="shared" si="50"/>
        <v>709127778</v>
      </c>
      <c r="J45" s="320">
        <f t="shared" si="50"/>
        <v>396687321</v>
      </c>
      <c r="K45" s="320">
        <f t="shared" si="50"/>
        <v>0</v>
      </c>
      <c r="L45" s="320">
        <f t="shared" si="50"/>
        <v>396687321</v>
      </c>
      <c r="M45" s="320">
        <f t="shared" si="50"/>
        <v>592377939</v>
      </c>
      <c r="N45" s="289">
        <f t="shared" si="50"/>
        <v>904818396</v>
      </c>
      <c r="O45" s="67"/>
      <c r="P45" s="288">
        <f>SUM(P46:P47)</f>
        <v>0</v>
      </c>
      <c r="Q45" s="289">
        <f>SUM(Q46:Q47)</f>
        <v>0</v>
      </c>
      <c r="R45" s="101"/>
      <c r="S45" s="311" t="str">
        <f>+IF(OCTUBRE!S45=0,"",OCTUBRE!S45)</f>
        <v>1010301-1</v>
      </c>
      <c r="T45" s="312" t="str">
        <f>+IF(OCTUBRE!T45=0,"",OCTUBRE!T45)</f>
        <v>E.P.S. - Aportes cuenta maestra</v>
      </c>
      <c r="U45" s="373">
        <f>+ENERO!U45</f>
        <v>0</v>
      </c>
      <c r="V45" s="220">
        <f>OCTUBRE!V45+NOVIEMBRE!AL45</f>
        <v>0</v>
      </c>
      <c r="W45" s="220">
        <f>OCTUBRE!W45+NOVIEMBRE!AM45</f>
        <v>0</v>
      </c>
      <c r="X45" s="271">
        <f>SUM(U45:W45)</f>
        <v>0</v>
      </c>
      <c r="Y45" s="270">
        <f>OCTUBRE!AA45</f>
        <v>0</v>
      </c>
      <c r="Z45" s="208"/>
      <c r="AA45" s="271">
        <f>SUM(Y45:Z45)</f>
        <v>0</v>
      </c>
      <c r="AB45" s="270">
        <f>OCTUBRE!AD45</f>
        <v>0</v>
      </c>
      <c r="AC45" s="208"/>
      <c r="AD45" s="271">
        <f>SUM(AB45:AC45)</f>
        <v>0</v>
      </c>
      <c r="AE45" s="270">
        <f>OCTUBRE!AG45</f>
        <v>0</v>
      </c>
      <c r="AF45" s="208"/>
      <c r="AG45" s="271">
        <f>SUM(AE45:AF45)</f>
        <v>0</v>
      </c>
      <c r="AH45" s="270">
        <f>X45-AA45</f>
        <v>0</v>
      </c>
      <c r="AI45" s="220">
        <f>X45-AD45</f>
        <v>0</v>
      </c>
      <c r="AJ45" s="269">
        <f>X45-AG45</f>
        <v>0</v>
      </c>
      <c r="AK45" s="101"/>
      <c r="AL45" s="204">
        <v>0</v>
      </c>
      <c r="AM45" s="210">
        <v>0</v>
      </c>
      <c r="AN45" s="101"/>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row>
    <row r="46" spans="1:69" s="1273" customFormat="1" ht="24.75" customHeight="1">
      <c r="A46" s="1274" t="str">
        <f>+IF(OCTUBRE!A46=0,"",OCTUBRE!A46)</f>
        <v>1.1.02.05.001.09.02.04</v>
      </c>
      <c r="B46" s="1275" t="str">
        <f>+CONCATENATE("Vigencia ",INSTRUCCIONES!$F$3)</f>
        <v>Vigencia 2025</v>
      </c>
      <c r="C46" s="1271">
        <f>+ENERO!C46</f>
        <v>795758987</v>
      </c>
      <c r="D46" s="1276">
        <f>OCTUBRE!D46+NOVIEMBRE!P46</f>
        <v>0</v>
      </c>
      <c r="E46" s="1276">
        <f>OCTUBRE!E46+NOVIEMBRE!Q46</f>
        <v>0</v>
      </c>
      <c r="F46" s="1276">
        <f>SUM(C46:E46)</f>
        <v>795758987</v>
      </c>
      <c r="G46" s="1276">
        <f>OCTUBRE!I46</f>
        <v>299997626</v>
      </c>
      <c r="H46" s="1269">
        <v>27931136</v>
      </c>
      <c r="I46" s="1276">
        <f>SUM(G46:H46)</f>
        <v>327928762</v>
      </c>
      <c r="J46" s="1276">
        <f>OCTUBRE!L46</f>
        <v>15488305</v>
      </c>
      <c r="K46" s="1269"/>
      <c r="L46" s="1276">
        <f>SUM(J46:K46)</f>
        <v>15488305</v>
      </c>
      <c r="M46" s="1276">
        <f>F46-I46</f>
        <v>467830225</v>
      </c>
      <c r="N46" s="1277">
        <f>F46-L46</f>
        <v>780270682</v>
      </c>
      <c r="O46" s="1261"/>
      <c r="P46" s="1271">
        <v>0</v>
      </c>
      <c r="Q46" s="1272"/>
      <c r="R46" s="1262"/>
      <c r="S46" s="1263" t="str">
        <f>+IF(OCTUBRE!S46=0,"",OCTUBRE!S46)</f>
        <v>1010301-2</v>
      </c>
      <c r="T46" s="1264" t="str">
        <f>+IF(OCTUBRE!T46=0,"",OCTUBRE!T46)</f>
        <v>Fondos pensionales - Aportes cuenta maestra</v>
      </c>
      <c r="U46" s="1265">
        <f>+ENERO!U46</f>
        <v>0</v>
      </c>
      <c r="V46" s="1266">
        <f>OCTUBRE!V46+NOVIEMBRE!AL46</f>
        <v>0</v>
      </c>
      <c r="W46" s="1266">
        <f>OCTUBRE!W46+NOVIEMBRE!AM46</f>
        <v>0</v>
      </c>
      <c r="X46" s="1267">
        <f>SUM(U46:W46)</f>
        <v>0</v>
      </c>
      <c r="Y46" s="1268">
        <f>OCTUBRE!AA46</f>
        <v>0</v>
      </c>
      <c r="Z46" s="1269"/>
      <c r="AA46" s="1267">
        <f>SUM(Y46:Z46)</f>
        <v>0</v>
      </c>
      <c r="AB46" s="1268">
        <f>OCTUBRE!AD46</f>
        <v>0</v>
      </c>
      <c r="AC46" s="1269"/>
      <c r="AD46" s="1267">
        <f>SUM(AB46:AC46)</f>
        <v>0</v>
      </c>
      <c r="AE46" s="1268">
        <f>OCTUBRE!AG46</f>
        <v>0</v>
      </c>
      <c r="AF46" s="1269"/>
      <c r="AG46" s="1267">
        <f>SUM(AE46:AF46)</f>
        <v>0</v>
      </c>
      <c r="AH46" s="1268">
        <f>X46-AA46</f>
        <v>0</v>
      </c>
      <c r="AI46" s="1266">
        <f>X46-AD46</f>
        <v>0</v>
      </c>
      <c r="AJ46" s="1270">
        <f>X46-AG46</f>
        <v>0</v>
      </c>
      <c r="AK46" s="1262"/>
      <c r="AL46" s="1271">
        <v>0</v>
      </c>
      <c r="AM46" s="1272">
        <v>0</v>
      </c>
      <c r="AN46" s="1262"/>
      <c r="AO46" s="1278"/>
      <c r="AP46" s="1279"/>
      <c r="AQ46" s="1261"/>
      <c r="AR46" s="1261"/>
      <c r="AS46" s="1261"/>
      <c r="AT46" s="1261"/>
      <c r="AU46" s="1261"/>
      <c r="AV46" s="1261"/>
      <c r="AW46" s="1261"/>
      <c r="AX46" s="1261"/>
      <c r="AY46" s="1261"/>
      <c r="AZ46" s="1261"/>
      <c r="BA46" s="1261"/>
      <c r="BB46" s="1280"/>
      <c r="BC46" s="1280"/>
      <c r="BD46" s="1280"/>
      <c r="BE46" s="1280"/>
      <c r="BF46" s="1261"/>
      <c r="BG46" s="1261"/>
      <c r="BH46" s="1261"/>
      <c r="BI46" s="1261"/>
      <c r="BJ46" s="1261"/>
      <c r="BK46" s="1261"/>
      <c r="BL46" s="1261"/>
      <c r="BM46" s="1280"/>
      <c r="BN46" s="1280"/>
      <c r="BO46" s="1280"/>
      <c r="BP46" s="1280"/>
      <c r="BQ46" s="1280"/>
    </row>
    <row r="47" spans="1:69" ht="24.75" customHeight="1">
      <c r="A47" s="202" t="str">
        <f>+IF(OCTUBRE!A47=0,"",OCTUBRE!A47)</f>
        <v>1.1.02.05.001.09.02.04.99</v>
      </c>
      <c r="B47" s="331" t="str">
        <f>+IF(OCTUBRE!B47=0,"",OCTUBRE!B47)</f>
        <v>Vigencia Anterior</v>
      </c>
      <c r="C47" s="204">
        <f>+ENERO!C47</f>
        <v>505746730</v>
      </c>
      <c r="D47" s="205">
        <f>OCTUBRE!D47+NOVIEMBRE!P47</f>
        <v>0</v>
      </c>
      <c r="E47" s="205">
        <f>OCTUBRE!E47+NOVIEMBRE!Q47</f>
        <v>0</v>
      </c>
      <c r="F47" s="205">
        <f>SUM(C47:E47)</f>
        <v>505746730</v>
      </c>
      <c r="G47" s="205">
        <f>OCTUBRE!I47</f>
        <v>381199016</v>
      </c>
      <c r="H47" s="208"/>
      <c r="I47" s="205">
        <f>SUM(G47:H47)</f>
        <v>381199016</v>
      </c>
      <c r="J47" s="205">
        <f>OCTUBRE!L47</f>
        <v>381199016</v>
      </c>
      <c r="K47" s="208"/>
      <c r="L47" s="205">
        <f>SUM(J47:K47)</f>
        <v>381199016</v>
      </c>
      <c r="M47" s="205">
        <f>F47-I47</f>
        <v>124547714</v>
      </c>
      <c r="N47" s="206">
        <f>F47-L47</f>
        <v>124547714</v>
      </c>
      <c r="O47" s="67"/>
      <c r="P47" s="204">
        <v>0</v>
      </c>
      <c r="Q47" s="210"/>
      <c r="R47" s="101"/>
      <c r="S47" s="311" t="str">
        <f>+IF(OCTUBRE!S47=0,"",OCTUBRE!S47)</f>
        <v>1010301-3</v>
      </c>
      <c r="T47" s="312" t="str">
        <f>+IF(OCTUBRE!T47=0,"",OCTUBRE!T47)</f>
        <v>Fondos de cesantías - Aportes cuenta maestra</v>
      </c>
      <c r="U47" s="373">
        <f>+ENERO!U47</f>
        <v>0</v>
      </c>
      <c r="V47" s="220">
        <f>OCTUBRE!V47+NOVIEMBRE!AL47</f>
        <v>0</v>
      </c>
      <c r="W47" s="220">
        <f>OCTUBRE!W47+NOVIEMBRE!AM47</f>
        <v>0</v>
      </c>
      <c r="X47" s="271">
        <f>SUM(U47:W47)</f>
        <v>0</v>
      </c>
      <c r="Y47" s="270">
        <f>OCTUBRE!AA47</f>
        <v>0</v>
      </c>
      <c r="Z47" s="208"/>
      <c r="AA47" s="271">
        <f>SUM(Y47:Z47)</f>
        <v>0</v>
      </c>
      <c r="AB47" s="270">
        <f>OCTUBRE!AD47</f>
        <v>0</v>
      </c>
      <c r="AC47" s="208"/>
      <c r="AD47" s="271">
        <f>SUM(AB47:AC47)</f>
        <v>0</v>
      </c>
      <c r="AE47" s="270">
        <f>OCTUBRE!AG47</f>
        <v>0</v>
      </c>
      <c r="AF47" s="208"/>
      <c r="AG47" s="271">
        <f>SUM(AE47:AF47)</f>
        <v>0</v>
      </c>
      <c r="AH47" s="270">
        <f>X47-AA47</f>
        <v>0</v>
      </c>
      <c r="AI47" s="220">
        <f>X47-AD47</f>
        <v>0</v>
      </c>
      <c r="AJ47" s="269">
        <f>X47-AG47</f>
        <v>0</v>
      </c>
      <c r="AK47" s="101"/>
      <c r="AL47" s="204">
        <v>0</v>
      </c>
      <c r="AM47" s="210">
        <v>0</v>
      </c>
      <c r="AN47" s="101"/>
      <c r="AO47" s="67"/>
      <c r="AP47" s="67"/>
      <c r="AQ47" s="67"/>
      <c r="AR47" s="67"/>
      <c r="AS47" s="67"/>
      <c r="AT47" s="67"/>
      <c r="AU47" s="67"/>
      <c r="AV47" s="67"/>
      <c r="AW47" s="67"/>
      <c r="AX47" s="67"/>
      <c r="AY47" s="67"/>
      <c r="AZ47" s="67"/>
      <c r="BA47" s="67"/>
      <c r="BB47" s="336"/>
      <c r="BC47" s="336"/>
      <c r="BD47" s="336"/>
      <c r="BE47" s="336"/>
      <c r="BF47" s="67"/>
      <c r="BG47" s="67"/>
      <c r="BH47" s="67"/>
      <c r="BI47" s="67"/>
      <c r="BJ47" s="67"/>
      <c r="BK47" s="67"/>
      <c r="BL47" s="67"/>
      <c r="BM47" s="67"/>
      <c r="BN47" s="67"/>
      <c r="BO47" s="67"/>
      <c r="BP47" s="67"/>
      <c r="BQ47" s="67"/>
    </row>
    <row r="48" spans="1:69" ht="24.75" customHeight="1">
      <c r="A48" s="286" t="str">
        <f>+IF(OCTUBRE!A48=0,"",OCTUBRE!A48)</f>
        <v>1.1.02.05.001.09.02.11</v>
      </c>
      <c r="B48" s="319" t="str">
        <f>+IF(OCTUBRE!B48=0,"",OCTUBRE!B48)</f>
        <v>Poblacion Especial</v>
      </c>
      <c r="C48" s="288">
        <f t="shared" ref="C48:N48" si="51">SUM(C49:C50)</f>
        <v>225672391</v>
      </c>
      <c r="D48" s="320">
        <f t="shared" si="51"/>
        <v>0</v>
      </c>
      <c r="E48" s="320">
        <f t="shared" si="51"/>
        <v>0</v>
      </c>
      <c r="F48" s="320">
        <f t="shared" si="51"/>
        <v>225672391</v>
      </c>
      <c r="G48" s="320">
        <f t="shared" si="51"/>
        <v>138817449</v>
      </c>
      <c r="H48" s="320">
        <f t="shared" si="51"/>
        <v>7124332</v>
      </c>
      <c r="I48" s="320">
        <f t="shared" si="51"/>
        <v>145941781</v>
      </c>
      <c r="J48" s="320">
        <f t="shared" si="51"/>
        <v>77521640</v>
      </c>
      <c r="K48" s="320">
        <f t="shared" si="51"/>
        <v>0</v>
      </c>
      <c r="L48" s="320">
        <f t="shared" si="51"/>
        <v>77521640</v>
      </c>
      <c r="M48" s="320">
        <f t="shared" si="51"/>
        <v>79730610</v>
      </c>
      <c r="N48" s="289">
        <f t="shared" si="51"/>
        <v>148150751</v>
      </c>
      <c r="O48" s="67"/>
      <c r="P48" s="288">
        <f>SUM(P49:P50)</f>
        <v>0</v>
      </c>
      <c r="Q48" s="289">
        <f>SUM(Q49:Q50)</f>
        <v>0</v>
      </c>
      <c r="R48" s="101"/>
      <c r="S48" s="311" t="str">
        <f>+IF(OCTUBRE!S48=0,"",OCTUBRE!S48)</f>
        <v>1010301-4</v>
      </c>
      <c r="T48" s="312" t="str">
        <f>+IF(OCTUBRE!T48=0,"",OCTUBRE!T48)</f>
        <v>Riesgos laborales - Aportes cuenta maestra</v>
      </c>
      <c r="U48" s="373">
        <f>+ENERO!U48</f>
        <v>0</v>
      </c>
      <c r="V48" s="220">
        <f>OCTUBRE!V48+NOVIEMBRE!AL48</f>
        <v>0</v>
      </c>
      <c r="W48" s="220">
        <f>OCTUBRE!W48+NOVIEMBRE!AM48</f>
        <v>0</v>
      </c>
      <c r="X48" s="271">
        <f>SUM(U48:W48)</f>
        <v>0</v>
      </c>
      <c r="Y48" s="270">
        <f>OCTUBRE!AA48</f>
        <v>0</v>
      </c>
      <c r="Z48" s="208"/>
      <c r="AA48" s="271">
        <f>SUM(Y48:Z48)</f>
        <v>0</v>
      </c>
      <c r="AB48" s="270">
        <f>OCTUBRE!AD48</f>
        <v>0</v>
      </c>
      <c r="AC48" s="208"/>
      <c r="AD48" s="271">
        <f>SUM(AB48:AC48)</f>
        <v>0</v>
      </c>
      <c r="AE48" s="270">
        <f>OCTUBRE!AG48</f>
        <v>0</v>
      </c>
      <c r="AF48" s="208"/>
      <c r="AG48" s="271">
        <f>SUM(AE48:AF48)</f>
        <v>0</v>
      </c>
      <c r="AH48" s="270">
        <f>X48-AA48</f>
        <v>0</v>
      </c>
      <c r="AI48" s="220">
        <f>X48-AD48</f>
        <v>0</v>
      </c>
      <c r="AJ48" s="269">
        <f>X48-AG48</f>
        <v>0</v>
      </c>
      <c r="AK48" s="101"/>
      <c r="AL48" s="204">
        <v>0</v>
      </c>
      <c r="AM48" s="210">
        <v>0</v>
      </c>
      <c r="AN48" s="101"/>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row>
    <row r="49" spans="1:39" ht="24.75" customHeight="1">
      <c r="A49" s="202" t="str">
        <f>+IF(OCTUBRE!A49=0,"",OCTUBRE!A49)</f>
        <v>1.1.02.05.001.09.02.11</v>
      </c>
      <c r="B49" s="331" t="str">
        <f>+CONCATENATE("Vigencia ",INSTRUCCIONES!$F$3)</f>
        <v>Vigencia 2025</v>
      </c>
      <c r="C49" s="204">
        <f>+ENERO!C49</f>
        <v>180672391</v>
      </c>
      <c r="D49" s="205">
        <f>OCTUBRE!D49+NOVIEMBRE!P49</f>
        <v>0</v>
      </c>
      <c r="E49" s="205">
        <f>OCTUBRE!E49+NOVIEMBRE!Q49</f>
        <v>0</v>
      </c>
      <c r="F49" s="205">
        <f>SUM(C49:E49)</f>
        <v>180672391</v>
      </c>
      <c r="G49" s="205">
        <f>OCTUBRE!I49</f>
        <v>99615105</v>
      </c>
      <c r="H49" s="208">
        <v>7124332</v>
      </c>
      <c r="I49" s="205">
        <f>SUM(G49:H49)</f>
        <v>106739437</v>
      </c>
      <c r="J49" s="205">
        <f>OCTUBRE!L49</f>
        <v>38319296</v>
      </c>
      <c r="K49" s="208"/>
      <c r="L49" s="205">
        <f>SUM(J49:K49)</f>
        <v>38319296</v>
      </c>
      <c r="M49" s="205">
        <f>F49-I49</f>
        <v>73932954</v>
      </c>
      <c r="N49" s="206">
        <f>F49-L49</f>
        <v>142353095</v>
      </c>
      <c r="O49" s="67"/>
      <c r="P49" s="204">
        <v>0</v>
      </c>
      <c r="Q49" s="210"/>
      <c r="R49" s="101"/>
      <c r="S49" s="266">
        <f>+IF(OCTUBRE!S49=0,"",OCTUBRE!S49)</f>
        <v>1010302</v>
      </c>
      <c r="T49" s="267" t="str">
        <f>+IF(OCTUBRE!T49=0,"",OCTUBRE!T49)</f>
        <v>Contribuciones - Otros</v>
      </c>
      <c r="U49" s="373">
        <f t="shared" ref="U49:AJ49" si="52">SUM(U50:U54)</f>
        <v>2369058848.2960005</v>
      </c>
      <c r="V49" s="220">
        <f t="shared" si="52"/>
        <v>-30000000</v>
      </c>
      <c r="W49" s="220">
        <f t="shared" si="52"/>
        <v>0</v>
      </c>
      <c r="X49" s="271">
        <f t="shared" si="52"/>
        <v>2339058848.2960005</v>
      </c>
      <c r="Y49" s="270">
        <f t="shared" si="52"/>
        <v>1332426567</v>
      </c>
      <c r="Z49" s="300">
        <f t="shared" si="52"/>
        <v>115095600</v>
      </c>
      <c r="AA49" s="271">
        <f t="shared" si="52"/>
        <v>1447522167</v>
      </c>
      <c r="AB49" s="270">
        <f t="shared" si="52"/>
        <v>1332426567</v>
      </c>
      <c r="AC49" s="300">
        <f>SUM(AC50:AC54)</f>
        <v>115095600</v>
      </c>
      <c r="AD49" s="271">
        <f t="shared" si="52"/>
        <v>1447522167</v>
      </c>
      <c r="AE49" s="270">
        <f t="shared" si="52"/>
        <v>1332426566</v>
      </c>
      <c r="AF49" s="300">
        <f>SUM(AF50:AF54)</f>
        <v>115095600</v>
      </c>
      <c r="AG49" s="271">
        <f t="shared" si="52"/>
        <v>1447522166</v>
      </c>
      <c r="AH49" s="270">
        <f t="shared" si="52"/>
        <v>891536681.29600024</v>
      </c>
      <c r="AI49" s="220">
        <f t="shared" si="52"/>
        <v>891536681.29600024</v>
      </c>
      <c r="AJ49" s="269">
        <f t="shared" si="52"/>
        <v>891536682.29600024</v>
      </c>
      <c r="AK49" s="101"/>
      <c r="AL49" s="301">
        <f>SUM(AL50:AL54)</f>
        <v>0</v>
      </c>
      <c r="AM49" s="302">
        <f>SUM(AM50:AM54)</f>
        <v>0</v>
      </c>
    </row>
    <row r="50" spans="1:39" ht="24.75" customHeight="1">
      <c r="A50" s="202" t="str">
        <f>+IF(OCTUBRE!A50=0,"",OCTUBRE!A50)</f>
        <v>1.1.02.05.001.09.02.11.99</v>
      </c>
      <c r="B50" s="331" t="str">
        <f>+IF(OCTUBRE!B50=0,"",OCTUBRE!B50)</f>
        <v>Vigencia Anterior</v>
      </c>
      <c r="C50" s="204">
        <f>+ENERO!C50</f>
        <v>45000000</v>
      </c>
      <c r="D50" s="205">
        <f>OCTUBRE!D50+NOVIEMBRE!P50</f>
        <v>0</v>
      </c>
      <c r="E50" s="205">
        <f>OCTUBRE!E50+NOVIEMBRE!Q50</f>
        <v>0</v>
      </c>
      <c r="F50" s="205">
        <f>SUM(C50:E50)</f>
        <v>45000000</v>
      </c>
      <c r="G50" s="205">
        <f>OCTUBRE!I50</f>
        <v>39202344</v>
      </c>
      <c r="H50" s="208"/>
      <c r="I50" s="205">
        <f>SUM(G50:H50)</f>
        <v>39202344</v>
      </c>
      <c r="J50" s="205">
        <f>OCTUBRE!L50</f>
        <v>39202344</v>
      </c>
      <c r="K50" s="208"/>
      <c r="L50" s="205">
        <f>SUM(J50:K50)</f>
        <v>39202344</v>
      </c>
      <c r="M50" s="205">
        <f>F50-I50</f>
        <v>5797656</v>
      </c>
      <c r="N50" s="206">
        <f>F50-L50</f>
        <v>5797656</v>
      </c>
      <c r="O50" s="67"/>
      <c r="P50" s="204">
        <v>0</v>
      </c>
      <c r="Q50" s="210"/>
      <c r="R50" s="101"/>
      <c r="S50" s="311" t="str">
        <f>+IF(OCTUBRE!S50=0,"",OCTUBRE!S50)</f>
        <v>2.1.1.01.02.002</v>
      </c>
      <c r="T50" s="312" t="str">
        <f>+IF(OCTUBRE!T50=0,"",OCTUBRE!T50)</f>
        <v>Aportes a E.P.S. - recursos propios</v>
      </c>
      <c r="U50" s="373">
        <f>+ENERO!U50</f>
        <v>555207343.50000024</v>
      </c>
      <c r="V50" s="220">
        <f>OCTUBRE!V50+NOVIEMBRE!AL50</f>
        <v>0</v>
      </c>
      <c r="W50" s="220">
        <f>OCTUBRE!W50+NOVIEMBRE!AM50</f>
        <v>0</v>
      </c>
      <c r="X50" s="271">
        <f t="shared" ref="X50:X55" si="53">SUM(U50:W50)</f>
        <v>555207343.50000024</v>
      </c>
      <c r="Y50" s="270">
        <f>OCTUBRE!AA50</f>
        <v>397849651</v>
      </c>
      <c r="Z50" s="208">
        <v>37351100</v>
      </c>
      <c r="AA50" s="271">
        <f t="shared" ref="AA50:AA55" si="54">SUM(Y50:Z50)</f>
        <v>435200751</v>
      </c>
      <c r="AB50" s="270">
        <f>OCTUBRE!AD50</f>
        <v>397849651</v>
      </c>
      <c r="AC50" s="208">
        <v>37351100</v>
      </c>
      <c r="AD50" s="271">
        <f t="shared" ref="AD50:AD55" si="55">SUM(AB50:AC50)</f>
        <v>435200751</v>
      </c>
      <c r="AE50" s="270">
        <f>OCTUBRE!AG50</f>
        <v>397849651</v>
      </c>
      <c r="AF50" s="208">
        <v>37351100</v>
      </c>
      <c r="AG50" s="271">
        <f t="shared" ref="AG50:AG55" si="56">SUM(AE50:AF50)</f>
        <v>435200751</v>
      </c>
      <c r="AH50" s="270">
        <f t="shared" ref="AH50:AH55" si="57">X50-AA50</f>
        <v>120006592.50000024</v>
      </c>
      <c r="AI50" s="220">
        <f t="shared" ref="AI50:AI55" si="58">X50-AD50</f>
        <v>120006592.50000024</v>
      </c>
      <c r="AJ50" s="269">
        <f t="shared" ref="AJ50:AJ55" si="59">X50-AG50</f>
        <v>120006592.50000024</v>
      </c>
      <c r="AK50" s="101"/>
      <c r="AL50" s="204">
        <v>0</v>
      </c>
      <c r="AM50" s="210">
        <v>0</v>
      </c>
    </row>
    <row r="51" spans="1:39" ht="24.75" customHeight="1">
      <c r="A51" s="286" t="str">
        <f>+IF(OCTUBRE!A51=0,"",OCTUBRE!A51)</f>
        <v>1.1.02.05.001.09.02.16</v>
      </c>
      <c r="B51" s="319" t="str">
        <f>+IF(OCTUBRE!B51=0,"",OCTUBRE!B51)</f>
        <v>Fondo Nacional de la Salud personas privadas de la Libertad</v>
      </c>
      <c r="C51" s="288">
        <f t="shared" ref="C51:N51" si="60">SUM(C52:C53)</f>
        <v>168856</v>
      </c>
      <c r="D51" s="320">
        <f t="shared" si="60"/>
        <v>0</v>
      </c>
      <c r="E51" s="320">
        <f t="shared" si="60"/>
        <v>0</v>
      </c>
      <c r="F51" s="320">
        <f t="shared" si="60"/>
        <v>168856</v>
      </c>
      <c r="G51" s="320">
        <f t="shared" si="60"/>
        <v>43047331</v>
      </c>
      <c r="H51" s="320">
        <f t="shared" si="60"/>
        <v>0</v>
      </c>
      <c r="I51" s="320">
        <f t="shared" si="60"/>
        <v>43047331</v>
      </c>
      <c r="J51" s="320">
        <f t="shared" si="60"/>
        <v>15371803</v>
      </c>
      <c r="K51" s="320">
        <f t="shared" si="60"/>
        <v>0</v>
      </c>
      <c r="L51" s="320">
        <f t="shared" si="60"/>
        <v>15371803</v>
      </c>
      <c r="M51" s="320">
        <f t="shared" si="60"/>
        <v>-42878475</v>
      </c>
      <c r="N51" s="289">
        <f t="shared" si="60"/>
        <v>-15202947</v>
      </c>
      <c r="O51" s="67"/>
      <c r="P51" s="288">
        <f>SUM(P52:P53)</f>
        <v>0</v>
      </c>
      <c r="Q51" s="289">
        <f>SUM(Q52:Q53)</f>
        <v>0</v>
      </c>
      <c r="R51" s="101"/>
      <c r="S51" s="311" t="str">
        <f>+IF(OCTUBRE!S51=0,"",OCTUBRE!S51)</f>
        <v>2.1.1.01.02.001</v>
      </c>
      <c r="T51" s="312" t="str">
        <f>+IF(OCTUBRE!T51=0,"",OCTUBRE!T51)</f>
        <v>Aportes Fondos Pensionales - recursos propios</v>
      </c>
      <c r="U51" s="373">
        <f>+ENERO!U51</f>
        <v>783822132</v>
      </c>
      <c r="V51" s="220">
        <f>OCTUBRE!V51+NOVIEMBRE!AL51</f>
        <v>0</v>
      </c>
      <c r="W51" s="220">
        <f>OCTUBRE!W51+NOVIEMBRE!AM51</f>
        <v>0</v>
      </c>
      <c r="X51" s="271">
        <f t="shared" si="53"/>
        <v>783822132</v>
      </c>
      <c r="Y51" s="270">
        <f>OCTUBRE!AA51</f>
        <v>564822795</v>
      </c>
      <c r="Z51" s="208">
        <v>53456200</v>
      </c>
      <c r="AA51" s="271">
        <f t="shared" si="54"/>
        <v>618278995</v>
      </c>
      <c r="AB51" s="270">
        <f>OCTUBRE!AD51</f>
        <v>564822795</v>
      </c>
      <c r="AC51" s="208">
        <v>53456200</v>
      </c>
      <c r="AD51" s="271">
        <f t="shared" si="55"/>
        <v>618278995</v>
      </c>
      <c r="AE51" s="270">
        <f>OCTUBRE!AG51</f>
        <v>564822795</v>
      </c>
      <c r="AF51" s="208">
        <v>53456200</v>
      </c>
      <c r="AG51" s="271">
        <f t="shared" si="56"/>
        <v>618278995</v>
      </c>
      <c r="AH51" s="270">
        <f t="shared" si="57"/>
        <v>165543137</v>
      </c>
      <c r="AI51" s="220">
        <f t="shared" si="58"/>
        <v>165543137</v>
      </c>
      <c r="AJ51" s="269">
        <f t="shared" si="59"/>
        <v>165543137</v>
      </c>
      <c r="AK51" s="101"/>
      <c r="AL51" s="204">
        <v>0</v>
      </c>
      <c r="AM51" s="210">
        <v>0</v>
      </c>
    </row>
    <row r="52" spans="1:39" ht="24.75" customHeight="1">
      <c r="A52" s="202" t="str">
        <f>+IF(OCTUBRE!A52=0,"",OCTUBRE!A52)</f>
        <v>1.1.02.05.001.09.02.16</v>
      </c>
      <c r="B52" s="331" t="str">
        <f>+CONCATENATE("Vigencia ",INSTRUCCIONES!$F$3)</f>
        <v>Vigencia 2025</v>
      </c>
      <c r="C52" s="204">
        <f>+ENERO!C52</f>
        <v>168856</v>
      </c>
      <c r="D52" s="205">
        <f>OCTUBRE!D52+NOVIEMBRE!P52</f>
        <v>0</v>
      </c>
      <c r="E52" s="205">
        <f>OCTUBRE!E52+NOVIEMBRE!Q52</f>
        <v>0</v>
      </c>
      <c r="F52" s="205">
        <f>SUM(C52:E52)</f>
        <v>168856</v>
      </c>
      <c r="G52" s="205">
        <f>OCTUBRE!I52</f>
        <v>27675528</v>
      </c>
      <c r="H52" s="208"/>
      <c r="I52" s="205">
        <f>SUM(G52:H52)</f>
        <v>27675528</v>
      </c>
      <c r="J52" s="205">
        <f>OCTUBRE!L52</f>
        <v>0</v>
      </c>
      <c r="K52" s="208"/>
      <c r="L52" s="205">
        <f>SUM(J52:K52)</f>
        <v>0</v>
      </c>
      <c r="M52" s="205">
        <f>F52-I52</f>
        <v>-27506672</v>
      </c>
      <c r="N52" s="206">
        <f>F52-L52</f>
        <v>168856</v>
      </c>
      <c r="O52" s="67"/>
      <c r="P52" s="204">
        <v>0</v>
      </c>
      <c r="Q52" s="210"/>
      <c r="R52" s="101"/>
      <c r="S52" s="311" t="str">
        <f>+IF(OCTUBRE!S52=0,"",OCTUBRE!S52)</f>
        <v>2.1.1.01.02.003</v>
      </c>
      <c r="T52" s="312" t="str">
        <f>+IF(OCTUBRE!T52=0,"",OCTUBRE!T52)</f>
        <v>Aportes a Fondos de Cesantia - recursos propios</v>
      </c>
      <c r="U52" s="373">
        <f>+ENERO!U52</f>
        <v>609639436</v>
      </c>
      <c r="V52" s="220">
        <f>OCTUBRE!V52+NOVIEMBRE!AL52</f>
        <v>-30000000</v>
      </c>
      <c r="W52" s="220">
        <f>OCTUBRE!W52+NOVIEMBRE!AM52</f>
        <v>0</v>
      </c>
      <c r="X52" s="271">
        <f t="shared" si="53"/>
        <v>579639436</v>
      </c>
      <c r="Y52" s="270">
        <f>OCTUBRE!AA52</f>
        <v>95176921</v>
      </c>
      <c r="Z52" s="208">
        <v>0</v>
      </c>
      <c r="AA52" s="271">
        <f t="shared" si="54"/>
        <v>95176921</v>
      </c>
      <c r="AB52" s="270">
        <f>OCTUBRE!AD52</f>
        <v>95176921</v>
      </c>
      <c r="AC52" s="208">
        <v>0</v>
      </c>
      <c r="AD52" s="271">
        <f t="shared" si="55"/>
        <v>95176921</v>
      </c>
      <c r="AE52" s="270">
        <f>OCTUBRE!AG52</f>
        <v>95176920</v>
      </c>
      <c r="AF52" s="208">
        <v>0</v>
      </c>
      <c r="AG52" s="271">
        <f t="shared" si="56"/>
        <v>95176920</v>
      </c>
      <c r="AH52" s="270">
        <f t="shared" si="57"/>
        <v>484462515</v>
      </c>
      <c r="AI52" s="220">
        <f t="shared" si="58"/>
        <v>484462515</v>
      </c>
      <c r="AJ52" s="269">
        <f t="shared" si="59"/>
        <v>484462516</v>
      </c>
      <c r="AK52" s="101"/>
      <c r="AL52" s="204">
        <v>0</v>
      </c>
      <c r="AM52" s="210">
        <v>0</v>
      </c>
    </row>
    <row r="53" spans="1:39" ht="24.75" customHeight="1">
      <c r="A53" s="202" t="str">
        <f>+IF(OCTUBRE!A53=0,"",OCTUBRE!A53)</f>
        <v>1.1.02.05.001.09.02.16.99</v>
      </c>
      <c r="B53" s="331" t="str">
        <f>+IF(OCTUBRE!B53=0,"",OCTUBRE!B53)</f>
        <v>Vigencia Anterior</v>
      </c>
      <c r="C53" s="204">
        <f>+ENERO!C53</f>
        <v>0</v>
      </c>
      <c r="D53" s="205">
        <f>OCTUBRE!D53+NOVIEMBRE!P53</f>
        <v>0</v>
      </c>
      <c r="E53" s="205">
        <f>OCTUBRE!E53+NOVIEMBRE!Q53</f>
        <v>0</v>
      </c>
      <c r="F53" s="205">
        <f>SUM(C53:E53)</f>
        <v>0</v>
      </c>
      <c r="G53" s="205">
        <f>OCTUBRE!I53</f>
        <v>15371803</v>
      </c>
      <c r="H53" s="208"/>
      <c r="I53" s="205">
        <f>SUM(G53:H53)</f>
        <v>15371803</v>
      </c>
      <c r="J53" s="205">
        <f>OCTUBRE!L53</f>
        <v>15371803</v>
      </c>
      <c r="K53" s="208"/>
      <c r="L53" s="205">
        <f>SUM(J53:K53)</f>
        <v>15371803</v>
      </c>
      <c r="M53" s="205">
        <f>F53-I53</f>
        <v>-15371803</v>
      </c>
      <c r="N53" s="206">
        <f>F53-L53</f>
        <v>-15371803</v>
      </c>
      <c r="O53" s="67"/>
      <c r="P53" s="204">
        <v>0</v>
      </c>
      <c r="Q53" s="210"/>
      <c r="R53" s="101"/>
      <c r="S53" s="311" t="str">
        <f>+IF(OCTUBRE!S53=0,"",OCTUBRE!S53)</f>
        <v>2.1.1.01.02.005</v>
      </c>
      <c r="T53" s="312" t="str">
        <f>+IF(OCTUBRE!T53=0,"",OCTUBRE!T53)</f>
        <v>Aporte a ARL. - recursos propios</v>
      </c>
      <c r="U53" s="373">
        <f>+ENERO!U53</f>
        <v>159115892.79599997</v>
      </c>
      <c r="V53" s="220">
        <f>OCTUBRE!V53+NOVIEMBRE!AL53</f>
        <v>0</v>
      </c>
      <c r="W53" s="220">
        <f>OCTUBRE!W53+NOVIEMBRE!AM53</f>
        <v>0</v>
      </c>
      <c r="X53" s="271">
        <f t="shared" si="53"/>
        <v>159115892.79599997</v>
      </c>
      <c r="Y53" s="270">
        <f>OCTUBRE!AA53</f>
        <v>79234600</v>
      </c>
      <c r="Z53" s="208">
        <v>7154700</v>
      </c>
      <c r="AA53" s="271">
        <f t="shared" si="54"/>
        <v>86389300</v>
      </c>
      <c r="AB53" s="270">
        <f>OCTUBRE!AD53</f>
        <v>79234600</v>
      </c>
      <c r="AC53" s="208">
        <v>7154700</v>
      </c>
      <c r="AD53" s="271">
        <f t="shared" si="55"/>
        <v>86389300</v>
      </c>
      <c r="AE53" s="270">
        <f>OCTUBRE!AG53</f>
        <v>79234600</v>
      </c>
      <c r="AF53" s="208">
        <v>7154700</v>
      </c>
      <c r="AG53" s="271">
        <f t="shared" si="56"/>
        <v>86389300</v>
      </c>
      <c r="AH53" s="270">
        <f t="shared" si="57"/>
        <v>72726592.795999974</v>
      </c>
      <c r="AI53" s="220">
        <f t="shared" si="58"/>
        <v>72726592.795999974</v>
      </c>
      <c r="AJ53" s="269">
        <f t="shared" si="59"/>
        <v>72726592.795999974</v>
      </c>
      <c r="AK53" s="101"/>
      <c r="AL53" s="204">
        <v>0</v>
      </c>
      <c r="AM53" s="210">
        <v>0</v>
      </c>
    </row>
    <row r="54" spans="1:39" ht="24.75" customHeight="1">
      <c r="A54" s="286" t="str">
        <f>+IF(OCTUBRE!A54=0,"",OCTUBRE!A54)</f>
        <v>1.1.02.05.001.09.02.17</v>
      </c>
      <c r="B54" s="319" t="str">
        <f>+IF(OCTUBRE!B54=0,"",OCTUBRE!B54)</f>
        <v>EMPRESAS MEDICINA PREPAGADA</v>
      </c>
      <c r="C54" s="288">
        <f t="shared" ref="C54:N54" si="61">SUM(C55:C56)</f>
        <v>968592.84788797423</v>
      </c>
      <c r="D54" s="320">
        <f t="shared" si="61"/>
        <v>0</v>
      </c>
      <c r="E54" s="320">
        <f t="shared" si="61"/>
        <v>0</v>
      </c>
      <c r="F54" s="320">
        <f t="shared" si="61"/>
        <v>968592.84788797423</v>
      </c>
      <c r="G54" s="320">
        <f t="shared" si="61"/>
        <v>13961543</v>
      </c>
      <c r="H54" s="320">
        <f t="shared" si="61"/>
        <v>1700495</v>
      </c>
      <c r="I54" s="320">
        <f t="shared" si="61"/>
        <v>15662038</v>
      </c>
      <c r="J54" s="320">
        <f t="shared" si="61"/>
        <v>11142773</v>
      </c>
      <c r="K54" s="320">
        <f t="shared" si="61"/>
        <v>0</v>
      </c>
      <c r="L54" s="320">
        <f t="shared" si="61"/>
        <v>11142773</v>
      </c>
      <c r="M54" s="320">
        <f t="shared" si="61"/>
        <v>-14693445.152112026</v>
      </c>
      <c r="N54" s="289">
        <f t="shared" si="61"/>
        <v>-10174180.152112026</v>
      </c>
      <c r="O54" s="67"/>
      <c r="P54" s="288">
        <f>SUM(P55:P56)</f>
        <v>0</v>
      </c>
      <c r="Q54" s="289">
        <f>SUM(Q55:Q56)</f>
        <v>0</v>
      </c>
      <c r="R54" s="101"/>
      <c r="S54" s="311" t="str">
        <f>+IF(OCTUBRE!S54=0,"",OCTUBRE!S54)</f>
        <v>2.1.1.01.02.004</v>
      </c>
      <c r="T54" s="312" t="str">
        <f>+IF(OCTUBRE!T54=0,"",OCTUBRE!T54)</f>
        <v>Aporte a Caja Compensación Familiar</v>
      </c>
      <c r="U54" s="373">
        <f>+ENERO!U54</f>
        <v>261274044</v>
      </c>
      <c r="V54" s="220">
        <f>OCTUBRE!V54+NOVIEMBRE!AL54</f>
        <v>0</v>
      </c>
      <c r="W54" s="220">
        <f>OCTUBRE!W54+NOVIEMBRE!AM54</f>
        <v>0</v>
      </c>
      <c r="X54" s="271">
        <f t="shared" si="53"/>
        <v>261274044</v>
      </c>
      <c r="Y54" s="270">
        <f>OCTUBRE!AA54</f>
        <v>195342600</v>
      </c>
      <c r="Z54" s="208">
        <v>17133600</v>
      </c>
      <c r="AA54" s="271">
        <f t="shared" si="54"/>
        <v>212476200</v>
      </c>
      <c r="AB54" s="270">
        <f>OCTUBRE!AD54</f>
        <v>195342600</v>
      </c>
      <c r="AC54" s="208">
        <v>17133600</v>
      </c>
      <c r="AD54" s="271">
        <f t="shared" si="55"/>
        <v>212476200</v>
      </c>
      <c r="AE54" s="270">
        <f>OCTUBRE!AG54</f>
        <v>195342600</v>
      </c>
      <c r="AF54" s="208">
        <v>17133600</v>
      </c>
      <c r="AG54" s="271">
        <f t="shared" si="56"/>
        <v>212476200</v>
      </c>
      <c r="AH54" s="270">
        <f t="shared" si="57"/>
        <v>48797844</v>
      </c>
      <c r="AI54" s="220">
        <f t="shared" si="58"/>
        <v>48797844</v>
      </c>
      <c r="AJ54" s="269">
        <f t="shared" si="59"/>
        <v>48797844</v>
      </c>
      <c r="AK54" s="101"/>
      <c r="AL54" s="204">
        <v>0</v>
      </c>
      <c r="AM54" s="210">
        <v>0</v>
      </c>
    </row>
    <row r="55" spans="1:39" ht="24.75" customHeight="1">
      <c r="A55" s="202" t="str">
        <f>+IF(OCTUBRE!A55=0,"",OCTUBRE!A55)</f>
        <v>1.1.02.05.001.09.02.17</v>
      </c>
      <c r="B55" s="331" t="str">
        <f>+CONCATENATE("Vigencia ",INSTRUCCIONES!$F$3)</f>
        <v>Vigencia 2025</v>
      </c>
      <c r="C55" s="204">
        <f>+ENERO!C55</f>
        <v>968592.84788797423</v>
      </c>
      <c r="D55" s="205">
        <f>OCTUBRE!D55+NOVIEMBRE!P55</f>
        <v>0</v>
      </c>
      <c r="E55" s="205">
        <f>OCTUBRE!E55+NOVIEMBRE!Q55</f>
        <v>0</v>
      </c>
      <c r="F55" s="205">
        <f>SUM(C55:E55)</f>
        <v>968592.84788797423</v>
      </c>
      <c r="G55" s="205">
        <f>OCTUBRE!I55</f>
        <v>3620634</v>
      </c>
      <c r="H55" s="208">
        <v>1700495</v>
      </c>
      <c r="I55" s="205">
        <f>SUM(G55:H55)</f>
        <v>5321129</v>
      </c>
      <c r="J55" s="205">
        <f>OCTUBRE!L55</f>
        <v>801864</v>
      </c>
      <c r="K55" s="208"/>
      <c r="L55" s="205">
        <f>SUM(J55:K55)</f>
        <v>801864</v>
      </c>
      <c r="M55" s="205">
        <f>F55-I55</f>
        <v>-4352536.1521120258</v>
      </c>
      <c r="N55" s="206">
        <f>F55-L55</f>
        <v>166728.84788797423</v>
      </c>
      <c r="O55" s="67"/>
      <c r="P55" s="204">
        <v>0</v>
      </c>
      <c r="Q55" s="210"/>
      <c r="R55" s="101"/>
      <c r="S55" s="266" t="str">
        <f>+IF(OCTUBRE!S55=0,"",OCTUBRE!S55)</f>
        <v>2.1.1.01.02.003.99</v>
      </c>
      <c r="T55" s="267" t="str">
        <f>+IF(OCTUBRE!T55=0,"",OCTUBRE!T55)</f>
        <v>Vigencias Anteriores</v>
      </c>
      <c r="U55" s="373">
        <f>+ENERO!U55</f>
        <v>502141089.6665011</v>
      </c>
      <c r="V55" s="220">
        <f>OCTUBRE!V55+NOVIEMBRE!AL55</f>
        <v>30000000</v>
      </c>
      <c r="W55" s="220">
        <f>OCTUBRE!W55+NOVIEMBRE!AM55</f>
        <v>0</v>
      </c>
      <c r="X55" s="271">
        <f t="shared" si="53"/>
        <v>532141089.6665011</v>
      </c>
      <c r="Y55" s="270">
        <f>OCTUBRE!AA55</f>
        <v>524307634</v>
      </c>
      <c r="Z55" s="208">
        <v>0</v>
      </c>
      <c r="AA55" s="271">
        <f t="shared" si="54"/>
        <v>524307634</v>
      </c>
      <c r="AB55" s="270">
        <f>OCTUBRE!AD55</f>
        <v>524307634</v>
      </c>
      <c r="AC55" s="208">
        <v>0</v>
      </c>
      <c r="AD55" s="271">
        <f t="shared" si="55"/>
        <v>524307634</v>
      </c>
      <c r="AE55" s="270">
        <f>OCTUBRE!AG55</f>
        <v>524307634</v>
      </c>
      <c r="AF55" s="208">
        <v>0</v>
      </c>
      <c r="AG55" s="271">
        <f t="shared" si="56"/>
        <v>524307634</v>
      </c>
      <c r="AH55" s="270">
        <f t="shared" si="57"/>
        <v>7833455.6665011048</v>
      </c>
      <c r="AI55" s="220">
        <f t="shared" si="58"/>
        <v>7833455.6665011048</v>
      </c>
      <c r="AJ55" s="269">
        <f t="shared" si="59"/>
        <v>7833455.6665011048</v>
      </c>
      <c r="AK55" s="101"/>
      <c r="AL55" s="204">
        <v>0</v>
      </c>
      <c r="AM55" s="210">
        <v>0</v>
      </c>
    </row>
    <row r="56" spans="1:39" ht="24.75" customHeight="1">
      <c r="A56" s="202" t="str">
        <f>+IF(OCTUBRE!A56=0,"",OCTUBRE!A56)</f>
        <v>1.1.02.05.001.09.02.17.99</v>
      </c>
      <c r="B56" s="331" t="str">
        <f>+IF(OCTUBRE!B56=0,"",OCTUBRE!B56)</f>
        <v>Vigencia Anterior</v>
      </c>
      <c r="C56" s="204">
        <f>+ENERO!C56</f>
        <v>0</v>
      </c>
      <c r="D56" s="205">
        <f>OCTUBRE!D56+NOVIEMBRE!P56</f>
        <v>0</v>
      </c>
      <c r="E56" s="205">
        <f>OCTUBRE!E56+NOVIEMBRE!Q56</f>
        <v>0</v>
      </c>
      <c r="F56" s="205">
        <f>SUM(C56:E56)</f>
        <v>0</v>
      </c>
      <c r="G56" s="205">
        <f>OCTUBRE!I56</f>
        <v>10340909</v>
      </c>
      <c r="H56" s="208">
        <v>0</v>
      </c>
      <c r="I56" s="205">
        <f>SUM(G56:H56)</f>
        <v>10340909</v>
      </c>
      <c r="J56" s="205">
        <f>OCTUBRE!L56</f>
        <v>10340909</v>
      </c>
      <c r="K56" s="208"/>
      <c r="L56" s="205">
        <f>SUM(J56:K56)</f>
        <v>10340909</v>
      </c>
      <c r="M56" s="205">
        <f>F56-I56</f>
        <v>-10340909</v>
      </c>
      <c r="N56" s="206">
        <f>F56-L56</f>
        <v>-10340909</v>
      </c>
      <c r="O56" s="67"/>
      <c r="P56" s="204">
        <v>0</v>
      </c>
      <c r="Q56" s="210"/>
      <c r="R56" s="101"/>
      <c r="S56" s="189">
        <f>+IF(OCTUBRE!S56=0,"",OCTUBRE!S56)</f>
        <v>10340904</v>
      </c>
      <c r="T56" s="488" t="str">
        <f>+IF(OCTUBRE!T56=0,"",OCTUBRE!T56)</f>
        <v/>
      </c>
      <c r="U56" s="191"/>
      <c r="V56" s="191"/>
      <c r="W56" s="191"/>
      <c r="X56" s="191"/>
      <c r="Y56" s="191"/>
      <c r="Z56" s="191"/>
      <c r="AA56" s="191"/>
      <c r="AB56" s="191"/>
      <c r="AC56" s="191"/>
      <c r="AD56" s="191"/>
      <c r="AE56" s="191"/>
      <c r="AF56" s="191"/>
      <c r="AG56" s="191"/>
      <c r="AH56" s="191"/>
      <c r="AI56" s="191"/>
      <c r="AJ56" s="192"/>
      <c r="AK56" s="216"/>
      <c r="AL56" s="370"/>
      <c r="AM56" s="371"/>
    </row>
    <row r="57" spans="1:39" ht="24.75" customHeight="1">
      <c r="A57" s="286" t="str">
        <f>+IF(OCTUBRE!A57=0,"",OCTUBRE!A57)</f>
        <v>1.1.02.05.001.09.02.09</v>
      </c>
      <c r="B57" s="319" t="str">
        <f>+IF(OCTUBRE!B57=0,"",OCTUBRE!B57)</f>
        <v>IPS PRIVADAS</v>
      </c>
      <c r="C57" s="288">
        <f t="shared" ref="C57:N57" si="62">SUM(C58:C59)</f>
        <v>8042608</v>
      </c>
      <c r="D57" s="320">
        <f t="shared" si="62"/>
        <v>0</v>
      </c>
      <c r="E57" s="320">
        <f t="shared" si="62"/>
        <v>0</v>
      </c>
      <c r="F57" s="320">
        <f t="shared" si="62"/>
        <v>8042608</v>
      </c>
      <c r="G57" s="320">
        <f t="shared" si="62"/>
        <v>0</v>
      </c>
      <c r="H57" s="320">
        <f t="shared" si="62"/>
        <v>0</v>
      </c>
      <c r="I57" s="320">
        <f t="shared" si="62"/>
        <v>0</v>
      </c>
      <c r="J57" s="320">
        <f t="shared" si="62"/>
        <v>0</v>
      </c>
      <c r="K57" s="320">
        <f t="shared" si="62"/>
        <v>0</v>
      </c>
      <c r="L57" s="320">
        <f t="shared" si="62"/>
        <v>0</v>
      </c>
      <c r="M57" s="320">
        <f t="shared" si="62"/>
        <v>8042608</v>
      </c>
      <c r="N57" s="289">
        <f t="shared" si="62"/>
        <v>8042608</v>
      </c>
      <c r="O57" s="67"/>
      <c r="P57" s="288">
        <f>SUM(P58:P59)</f>
        <v>0</v>
      </c>
      <c r="Q57" s="289">
        <f>SUM(Q58:Q59)</f>
        <v>0</v>
      </c>
      <c r="R57" s="101"/>
      <c r="S57" s="257">
        <f>+IF(OCTUBRE!S57=0,"",OCTUBRE!S57)</f>
        <v>1010400</v>
      </c>
      <c r="T57" s="546" t="str">
        <f>+IF(OCTUBRE!T57=0,"",OCTUBRE!T57)</f>
        <v>Contribuciones Inherentes nómina del Sector Publico</v>
      </c>
      <c r="U57" s="230">
        <f t="shared" ref="U57:AJ57" si="63">U58+U61</f>
        <v>326592555</v>
      </c>
      <c r="V57" s="231">
        <f t="shared" si="63"/>
        <v>0</v>
      </c>
      <c r="W57" s="231">
        <f t="shared" si="63"/>
        <v>0</v>
      </c>
      <c r="X57" s="234">
        <f t="shared" si="63"/>
        <v>326592555</v>
      </c>
      <c r="Y57" s="233">
        <f t="shared" si="63"/>
        <v>244234700</v>
      </c>
      <c r="Z57" s="231">
        <f t="shared" si="63"/>
        <v>21422100</v>
      </c>
      <c r="AA57" s="234">
        <f t="shared" si="63"/>
        <v>265656800</v>
      </c>
      <c r="AB57" s="233">
        <f t="shared" si="63"/>
        <v>244234700</v>
      </c>
      <c r="AC57" s="231">
        <f>AC58+AC61</f>
        <v>21422100</v>
      </c>
      <c r="AD57" s="234">
        <f t="shared" si="63"/>
        <v>265656800</v>
      </c>
      <c r="AE57" s="233">
        <f t="shared" si="63"/>
        <v>244234700</v>
      </c>
      <c r="AF57" s="231">
        <f>AF58+AF61</f>
        <v>21422100</v>
      </c>
      <c r="AG57" s="234">
        <f t="shared" si="63"/>
        <v>265656800</v>
      </c>
      <c r="AH57" s="233">
        <f t="shared" si="63"/>
        <v>60935755</v>
      </c>
      <c r="AI57" s="231">
        <f t="shared" si="63"/>
        <v>60935755</v>
      </c>
      <c r="AJ57" s="232">
        <f t="shared" si="63"/>
        <v>60935755</v>
      </c>
      <c r="AK57" s="101"/>
      <c r="AL57" s="233">
        <f>AL58+AL61</f>
        <v>0</v>
      </c>
      <c r="AM57" s="232">
        <f>AM58+AM61</f>
        <v>0</v>
      </c>
    </row>
    <row r="58" spans="1:39" ht="24.75" customHeight="1">
      <c r="A58" s="202" t="str">
        <f>+IF(OCTUBRE!A58=0,"",OCTUBRE!A58)</f>
        <v>1.1.02.05.001.09.02.09</v>
      </c>
      <c r="B58" s="331" t="str">
        <f>+CONCATENATE("Vigencia ",INSTRUCCIONES!$F$3)</f>
        <v>Vigencia 2025</v>
      </c>
      <c r="C58" s="204">
        <f>+ENERO!C58</f>
        <v>8042608</v>
      </c>
      <c r="D58" s="205">
        <f>OCTUBRE!D58+NOVIEMBRE!P58</f>
        <v>0</v>
      </c>
      <c r="E58" s="205">
        <f>OCTUBRE!E58+NOVIEMBRE!Q58</f>
        <v>0</v>
      </c>
      <c r="F58" s="205">
        <f>SUM(C58:E58)</f>
        <v>8042608</v>
      </c>
      <c r="G58" s="205">
        <f>OCTUBRE!I58</f>
        <v>0</v>
      </c>
      <c r="H58" s="208">
        <v>0</v>
      </c>
      <c r="I58" s="205">
        <f>SUM(G58:H58)</f>
        <v>0</v>
      </c>
      <c r="J58" s="205">
        <f>OCTUBRE!L58</f>
        <v>0</v>
      </c>
      <c r="K58" s="208"/>
      <c r="L58" s="205">
        <f>SUM(J58:K58)</f>
        <v>0</v>
      </c>
      <c r="M58" s="205">
        <f>F58-I58</f>
        <v>8042608</v>
      </c>
      <c r="N58" s="206">
        <f>F58-L58</f>
        <v>8042608</v>
      </c>
      <c r="O58" s="67"/>
      <c r="P58" s="204">
        <v>0</v>
      </c>
      <c r="Q58" s="210"/>
      <c r="R58" s="101"/>
      <c r="S58" s="266">
        <f>+IF(OCTUBRE!S58=0,"",OCTUBRE!S58)</f>
        <v>1010402</v>
      </c>
      <c r="T58" s="267" t="str">
        <f>+IF(OCTUBRE!T58=0,"",OCTUBRE!T58)</f>
        <v>Contribuciones - Otros</v>
      </c>
      <c r="U58" s="373">
        <f t="shared" ref="U58:AJ58" si="64">SUM(U59:U60)</f>
        <v>326592555</v>
      </c>
      <c r="V58" s="220">
        <f t="shared" si="64"/>
        <v>0</v>
      </c>
      <c r="W58" s="220">
        <f t="shared" si="64"/>
        <v>0</v>
      </c>
      <c r="X58" s="271">
        <f t="shared" si="64"/>
        <v>326592555</v>
      </c>
      <c r="Y58" s="270">
        <f t="shared" si="64"/>
        <v>244234700</v>
      </c>
      <c r="Z58" s="300">
        <f t="shared" si="64"/>
        <v>21422100</v>
      </c>
      <c r="AA58" s="271">
        <f t="shared" si="64"/>
        <v>265656800</v>
      </c>
      <c r="AB58" s="270">
        <f t="shared" si="64"/>
        <v>244234700</v>
      </c>
      <c r="AC58" s="300">
        <f>SUM(AC59:AC60)</f>
        <v>21422100</v>
      </c>
      <c r="AD58" s="271">
        <f t="shared" si="64"/>
        <v>265656800</v>
      </c>
      <c r="AE58" s="270">
        <f t="shared" si="64"/>
        <v>244234700</v>
      </c>
      <c r="AF58" s="300">
        <f>SUM(AF59:AF60)</f>
        <v>21422100</v>
      </c>
      <c r="AG58" s="271">
        <f t="shared" si="64"/>
        <v>265656800</v>
      </c>
      <c r="AH58" s="270">
        <f t="shared" si="64"/>
        <v>60935755</v>
      </c>
      <c r="AI58" s="220">
        <f t="shared" si="64"/>
        <v>60935755</v>
      </c>
      <c r="AJ58" s="269">
        <f t="shared" si="64"/>
        <v>60935755</v>
      </c>
      <c r="AK58" s="101"/>
      <c r="AL58" s="301">
        <f>SUM(AL59:AL60)</f>
        <v>0</v>
      </c>
      <c r="AM58" s="302">
        <f>SUM(AM59:AM60)</f>
        <v>0</v>
      </c>
    </row>
    <row r="59" spans="1:39" ht="24.75" customHeight="1">
      <c r="A59" s="202" t="str">
        <f>+IF(OCTUBRE!A59=0,"",OCTUBRE!A59)</f>
        <v>1.1.02.05.001.09.02.09.99</v>
      </c>
      <c r="B59" s="331" t="str">
        <f>+IF(OCTUBRE!B59=0,"",OCTUBRE!B59)</f>
        <v>Vigencia Anterior</v>
      </c>
      <c r="C59" s="204">
        <f>+ENERO!C59</f>
        <v>0</v>
      </c>
      <c r="D59" s="205">
        <f>OCTUBRE!D59+NOVIEMBRE!P59</f>
        <v>0</v>
      </c>
      <c r="E59" s="205">
        <f>OCTUBRE!E59+NOVIEMBRE!Q59</f>
        <v>0</v>
      </c>
      <c r="F59" s="205">
        <f>SUM(C59:E59)</f>
        <v>0</v>
      </c>
      <c r="G59" s="205">
        <f>OCTUBRE!I59</f>
        <v>0</v>
      </c>
      <c r="H59" s="208">
        <v>0</v>
      </c>
      <c r="I59" s="205">
        <f>SUM(G59:H59)</f>
        <v>0</v>
      </c>
      <c r="J59" s="205">
        <f>OCTUBRE!L59</f>
        <v>0</v>
      </c>
      <c r="K59" s="208"/>
      <c r="L59" s="205">
        <f>SUM(J59:K59)</f>
        <v>0</v>
      </c>
      <c r="M59" s="205">
        <f>F59-I59</f>
        <v>0</v>
      </c>
      <c r="N59" s="206">
        <f>F59-L59</f>
        <v>0</v>
      </c>
      <c r="O59" s="67"/>
      <c r="P59" s="204">
        <v>0</v>
      </c>
      <c r="Q59" s="210"/>
      <c r="R59" s="101"/>
      <c r="S59" s="311" t="str">
        <f>+IF(OCTUBRE!S59=0,"",OCTUBRE!S59)</f>
        <v>2.1.1.01.02.006</v>
      </c>
      <c r="T59" s="312" t="str">
        <f>+IF(OCTUBRE!T59=0,"",OCTUBRE!T59)</f>
        <v>I.C.B.F.</v>
      </c>
      <c r="U59" s="373">
        <f>+ENERO!U59</f>
        <v>195955533</v>
      </c>
      <c r="V59" s="220">
        <f>OCTUBRE!V59+NOVIEMBRE!AL59</f>
        <v>0</v>
      </c>
      <c r="W59" s="220">
        <f>OCTUBRE!W59+NOVIEMBRE!AM59</f>
        <v>0</v>
      </c>
      <c r="X59" s="271">
        <f>SUM(U59:W59)</f>
        <v>195955533</v>
      </c>
      <c r="Y59" s="270">
        <f>OCTUBRE!AA59</f>
        <v>146525700</v>
      </c>
      <c r="Z59" s="208">
        <v>12852100</v>
      </c>
      <c r="AA59" s="271">
        <f>SUM(Y59:Z59)</f>
        <v>159377800</v>
      </c>
      <c r="AB59" s="270">
        <f>OCTUBRE!AD59</f>
        <v>146525700</v>
      </c>
      <c r="AC59" s="208">
        <v>12852100</v>
      </c>
      <c r="AD59" s="271">
        <f>SUM(AB59:AC59)</f>
        <v>159377800</v>
      </c>
      <c r="AE59" s="270">
        <f>OCTUBRE!AG59</f>
        <v>146525700</v>
      </c>
      <c r="AF59" s="208">
        <v>12852100</v>
      </c>
      <c r="AG59" s="271">
        <f>SUM(AE59:AF59)</f>
        <v>159377800</v>
      </c>
      <c r="AH59" s="270">
        <f>X59-AA59</f>
        <v>36577733</v>
      </c>
      <c r="AI59" s="220">
        <f>X59-AD59</f>
        <v>36577733</v>
      </c>
      <c r="AJ59" s="269">
        <f>X59-AG59</f>
        <v>36577733</v>
      </c>
      <c r="AK59" s="101"/>
      <c r="AL59" s="204">
        <v>0</v>
      </c>
      <c r="AM59" s="210">
        <v>0</v>
      </c>
    </row>
    <row r="60" spans="1:39" ht="24.75" customHeight="1">
      <c r="A60" s="286" t="str">
        <f>+IF(OCTUBRE!A60=0,"",OCTUBRE!A60)</f>
        <v>1.1.02.05.001.09.02.10</v>
      </c>
      <c r="B60" s="319" t="str">
        <f>+IF(OCTUBRE!B60=0,"",OCTUBRE!B60)</f>
        <v>IPS PUBLICAS</v>
      </c>
      <c r="C60" s="288">
        <f t="shared" ref="C60:N60" si="65">SUM(C61:C62)</f>
        <v>46623238</v>
      </c>
      <c r="D60" s="320">
        <f t="shared" si="65"/>
        <v>0</v>
      </c>
      <c r="E60" s="320">
        <f t="shared" si="65"/>
        <v>0</v>
      </c>
      <c r="F60" s="320">
        <f t="shared" si="65"/>
        <v>46623238</v>
      </c>
      <c r="G60" s="320">
        <f t="shared" si="65"/>
        <v>94331144</v>
      </c>
      <c r="H60" s="320">
        <f t="shared" si="65"/>
        <v>11314800</v>
      </c>
      <c r="I60" s="320">
        <f t="shared" si="65"/>
        <v>105645944</v>
      </c>
      <c r="J60" s="320">
        <f t="shared" si="65"/>
        <v>13201974</v>
      </c>
      <c r="K60" s="320">
        <f t="shared" si="65"/>
        <v>3278912</v>
      </c>
      <c r="L60" s="320">
        <f t="shared" si="65"/>
        <v>16480886</v>
      </c>
      <c r="M60" s="320">
        <f t="shared" si="65"/>
        <v>-59022706</v>
      </c>
      <c r="N60" s="289">
        <f t="shared" si="65"/>
        <v>30142352</v>
      </c>
      <c r="O60" s="67"/>
      <c r="P60" s="288">
        <f>SUM(P61:P62)</f>
        <v>0</v>
      </c>
      <c r="Q60" s="289">
        <f>SUM(Q61:Q62)</f>
        <v>0</v>
      </c>
      <c r="R60" s="101"/>
      <c r="S60" s="311" t="str">
        <f>+IF(OCTUBRE!S60=0,"",OCTUBRE!S60)</f>
        <v>2.1.1.01.02.007</v>
      </c>
      <c r="T60" s="312" t="str">
        <f>+IF(OCTUBRE!T60=0,"",OCTUBRE!T60)</f>
        <v>SENA</v>
      </c>
      <c r="U60" s="373">
        <f>+ENERO!U60</f>
        <v>130637022</v>
      </c>
      <c r="V60" s="220">
        <f>OCTUBRE!V60+NOVIEMBRE!AL60</f>
        <v>0</v>
      </c>
      <c r="W60" s="220">
        <f>OCTUBRE!W60+NOVIEMBRE!AM60</f>
        <v>0</v>
      </c>
      <c r="X60" s="271">
        <f>SUM(U60:W60)</f>
        <v>130637022</v>
      </c>
      <c r="Y60" s="270">
        <f>OCTUBRE!AA60</f>
        <v>97709000</v>
      </c>
      <c r="Z60" s="208">
        <v>8570000</v>
      </c>
      <c r="AA60" s="271">
        <f>SUM(Y60:Z60)</f>
        <v>106279000</v>
      </c>
      <c r="AB60" s="270">
        <f>OCTUBRE!AD60</f>
        <v>97709000</v>
      </c>
      <c r="AC60" s="208">
        <v>8570000</v>
      </c>
      <c r="AD60" s="271">
        <f>SUM(AB60:AC60)</f>
        <v>106279000</v>
      </c>
      <c r="AE60" s="270">
        <f>OCTUBRE!AG60</f>
        <v>97709000</v>
      </c>
      <c r="AF60" s="208">
        <v>8570000</v>
      </c>
      <c r="AG60" s="271">
        <f>SUM(AE60:AF60)</f>
        <v>106279000</v>
      </c>
      <c r="AH60" s="270">
        <f>X60-AA60</f>
        <v>24358022</v>
      </c>
      <c r="AI60" s="220">
        <f>X60-AD60</f>
        <v>24358022</v>
      </c>
      <c r="AJ60" s="269">
        <f>X60-AG60</f>
        <v>24358022</v>
      </c>
      <c r="AK60" s="101"/>
      <c r="AL60" s="204">
        <v>0</v>
      </c>
      <c r="AM60" s="210">
        <v>0</v>
      </c>
    </row>
    <row r="61" spans="1:39" ht="24.75" customHeight="1">
      <c r="A61" s="202" t="str">
        <f>+IF(OCTUBRE!A61=0,"",OCTUBRE!A61)</f>
        <v>1.1.02.05.001.09.02.10</v>
      </c>
      <c r="B61" s="331" t="str">
        <f>+CONCATENATE("Vigencia ",INSTRUCCIONES!$F$3)</f>
        <v>Vigencia 2025</v>
      </c>
      <c r="C61" s="204">
        <f>+ENERO!C61</f>
        <v>46623238</v>
      </c>
      <c r="D61" s="205">
        <f>OCTUBRE!D61+NOVIEMBRE!P61</f>
        <v>0</v>
      </c>
      <c r="E61" s="205">
        <f>OCTUBRE!E61+NOVIEMBRE!Q61</f>
        <v>0</v>
      </c>
      <c r="F61" s="205">
        <f>SUM(C61:E61)</f>
        <v>46623238</v>
      </c>
      <c r="G61" s="205">
        <f>OCTUBRE!I61</f>
        <v>84188283</v>
      </c>
      <c r="H61" s="208">
        <v>11314800</v>
      </c>
      <c r="I61" s="205">
        <f>SUM(G61:H61)</f>
        <v>95503083</v>
      </c>
      <c r="J61" s="205">
        <f>OCTUBRE!L61</f>
        <v>3059113</v>
      </c>
      <c r="K61" s="208">
        <v>3278912</v>
      </c>
      <c r="L61" s="205">
        <f>SUM(J61:K61)</f>
        <v>6338025</v>
      </c>
      <c r="M61" s="205">
        <f>F61-I61</f>
        <v>-48879845</v>
      </c>
      <c r="N61" s="206">
        <f>F61-L61</f>
        <v>40285213</v>
      </c>
      <c r="O61" s="67"/>
      <c r="P61" s="204">
        <v>0</v>
      </c>
      <c r="Q61" s="210"/>
      <c r="R61" s="101"/>
      <c r="S61" s="266">
        <f>+IF(OCTUBRE!S61=0,"",OCTUBRE!S61)</f>
        <v>1010499</v>
      </c>
      <c r="T61" s="267" t="str">
        <f>+IF(OCTUBRE!T61=0,"",OCTUBRE!T61)</f>
        <v>Vigencias Anteriores</v>
      </c>
      <c r="U61" s="373">
        <f>+ENERO!U61</f>
        <v>0</v>
      </c>
      <c r="V61" s="220">
        <f>OCTUBRE!V61+NOVIEMBRE!AL61</f>
        <v>0</v>
      </c>
      <c r="W61" s="220">
        <f>OCTUBRE!W61+NOVIEMBRE!AM61</f>
        <v>0</v>
      </c>
      <c r="X61" s="271">
        <f>SUM(U61:W61)</f>
        <v>0</v>
      </c>
      <c r="Y61" s="270">
        <f>OCTUBRE!AA61</f>
        <v>0</v>
      </c>
      <c r="Z61" s="208">
        <v>0</v>
      </c>
      <c r="AA61" s="271">
        <f>SUM(Y61:Z61)</f>
        <v>0</v>
      </c>
      <c r="AB61" s="270">
        <f>OCTUBRE!AD61</f>
        <v>0</v>
      </c>
      <c r="AC61" s="208">
        <v>0</v>
      </c>
      <c r="AD61" s="271">
        <f>SUM(AB61:AC61)</f>
        <v>0</v>
      </c>
      <c r="AE61" s="270">
        <f>OCTUBRE!AG61</f>
        <v>0</v>
      </c>
      <c r="AF61" s="208">
        <v>0</v>
      </c>
      <c r="AG61" s="271">
        <f>SUM(AE61:AF61)</f>
        <v>0</v>
      </c>
      <c r="AH61" s="270">
        <f>X61-AA61</f>
        <v>0</v>
      </c>
      <c r="AI61" s="220">
        <f>X61-AD61</f>
        <v>0</v>
      </c>
      <c r="AJ61" s="269">
        <f>X61-AG61</f>
        <v>0</v>
      </c>
      <c r="AK61" s="101"/>
      <c r="AL61" s="204">
        <v>0</v>
      </c>
      <c r="AM61" s="210">
        <v>0</v>
      </c>
    </row>
    <row r="62" spans="1:39" ht="24.75" customHeight="1">
      <c r="A62" s="202" t="str">
        <f>+IF(OCTUBRE!A62=0,"",OCTUBRE!A62)</f>
        <v>1.1.02.05.001.09.02.10.99</v>
      </c>
      <c r="B62" s="331" t="str">
        <f>+IF(OCTUBRE!B62=0,"",OCTUBRE!B62)</f>
        <v>Vigencia Anterior</v>
      </c>
      <c r="C62" s="204">
        <f>+ENERO!C62</f>
        <v>0</v>
      </c>
      <c r="D62" s="205">
        <f>OCTUBRE!D62+NOVIEMBRE!P62</f>
        <v>0</v>
      </c>
      <c r="E62" s="205">
        <f>OCTUBRE!E62+NOVIEMBRE!Q62</f>
        <v>0</v>
      </c>
      <c r="F62" s="205">
        <f>SUM(C62:E62)</f>
        <v>0</v>
      </c>
      <c r="G62" s="205">
        <f>OCTUBRE!I62</f>
        <v>10142861</v>
      </c>
      <c r="H62" s="208"/>
      <c r="I62" s="205">
        <f>SUM(G62:H62)</f>
        <v>10142861</v>
      </c>
      <c r="J62" s="205">
        <f>OCTUBRE!L62</f>
        <v>10142861</v>
      </c>
      <c r="K62" s="208"/>
      <c r="L62" s="205">
        <f>SUM(J62:K62)</f>
        <v>10142861</v>
      </c>
      <c r="M62" s="205">
        <f>F62-I62</f>
        <v>-10142861</v>
      </c>
      <c r="N62" s="206">
        <f>F62-L62</f>
        <v>-10142861</v>
      </c>
      <c r="O62" s="67"/>
      <c r="P62" s="204">
        <v>0</v>
      </c>
      <c r="Q62" s="210"/>
      <c r="R62" s="101"/>
      <c r="S62" s="189">
        <f>+IF(OCTUBRE!S62=0,"",OCTUBRE!S62)</f>
        <v>1174808</v>
      </c>
      <c r="T62" s="488" t="str">
        <f>+IF(OCTUBRE!T62=0,"",OCTUBRE!T62)</f>
        <v/>
      </c>
      <c r="U62" s="191"/>
      <c r="V62" s="191"/>
      <c r="W62" s="191"/>
      <c r="X62" s="191"/>
      <c r="Y62" s="191"/>
      <c r="Z62" s="191"/>
      <c r="AA62" s="191"/>
      <c r="AB62" s="191"/>
      <c r="AC62" s="191"/>
      <c r="AD62" s="191"/>
      <c r="AE62" s="191"/>
      <c r="AF62" s="191"/>
      <c r="AG62" s="191"/>
      <c r="AH62" s="191"/>
      <c r="AI62" s="191"/>
      <c r="AJ62" s="192"/>
      <c r="AK62" s="216"/>
      <c r="AL62" s="370"/>
      <c r="AM62" s="371"/>
    </row>
    <row r="63" spans="1:39" ht="24.75" customHeight="1">
      <c r="A63" s="286" t="str">
        <f>+IF(OCTUBRE!A63=0,"",OCTUBRE!A63)</f>
        <v>1.1.02.05.001.09.02.90.01</v>
      </c>
      <c r="B63" s="319" t="str">
        <f>+IF(OCTUBRE!B63=0,"",OCTUBRE!B63)</f>
        <v>COMPAÑIAS DE SEGUROS  - ACCIDENTES DE TRANSITO (SOAT)</v>
      </c>
      <c r="C63" s="288">
        <f t="shared" ref="C63:N63" si="66">SUM(C64:C65)</f>
        <v>2461795617.04175</v>
      </c>
      <c r="D63" s="320">
        <f t="shared" si="66"/>
        <v>0</v>
      </c>
      <c r="E63" s="320">
        <f t="shared" si="66"/>
        <v>0</v>
      </c>
      <c r="F63" s="320">
        <f t="shared" si="66"/>
        <v>2461795617.04175</v>
      </c>
      <c r="G63" s="320">
        <f t="shared" si="66"/>
        <v>1836949053</v>
      </c>
      <c r="H63" s="320">
        <f t="shared" si="66"/>
        <v>148709084</v>
      </c>
      <c r="I63" s="320">
        <f t="shared" si="66"/>
        <v>1985658137</v>
      </c>
      <c r="J63" s="320">
        <f t="shared" si="66"/>
        <v>1168603939</v>
      </c>
      <c r="K63" s="320">
        <f t="shared" si="66"/>
        <v>83886891</v>
      </c>
      <c r="L63" s="320">
        <f t="shared" si="66"/>
        <v>1252490830</v>
      </c>
      <c r="M63" s="320">
        <f t="shared" si="66"/>
        <v>476137480.04174984</v>
      </c>
      <c r="N63" s="289">
        <f t="shared" si="66"/>
        <v>1209304787.04175</v>
      </c>
      <c r="O63" s="67"/>
      <c r="P63" s="288">
        <f>SUM(P64:P65)</f>
        <v>0</v>
      </c>
      <c r="Q63" s="289">
        <f>SUM(Q64:Q65)</f>
        <v>0</v>
      </c>
      <c r="R63" s="101"/>
      <c r="S63" s="228">
        <f>+IF(OCTUBRE!S63=0,"",OCTUBRE!S63)</f>
        <v>1020010</v>
      </c>
      <c r="T63" s="229" t="str">
        <f>+IF(OCTUBRE!T63=0,"",OCTUBRE!T63)</f>
        <v>Gastos de Operación</v>
      </c>
      <c r="U63" s="230">
        <f t="shared" ref="U63:AJ63" si="67">U65+U83+U90+U104</f>
        <v>64518803470</v>
      </c>
      <c r="V63" s="231">
        <f t="shared" si="67"/>
        <v>-904000000</v>
      </c>
      <c r="W63" s="231">
        <f t="shared" si="67"/>
        <v>7490635160</v>
      </c>
      <c r="X63" s="234">
        <f t="shared" si="67"/>
        <v>71105438630</v>
      </c>
      <c r="Y63" s="233">
        <f t="shared" si="67"/>
        <v>66112570644</v>
      </c>
      <c r="Z63" s="231">
        <f t="shared" si="67"/>
        <v>4988250000</v>
      </c>
      <c r="AA63" s="234">
        <f t="shared" si="67"/>
        <v>71100820644</v>
      </c>
      <c r="AB63" s="233">
        <f t="shared" si="67"/>
        <v>60790544571</v>
      </c>
      <c r="AC63" s="231">
        <f>AC65+AC83+AC90+AC104</f>
        <v>4814794874</v>
      </c>
      <c r="AD63" s="234">
        <f t="shared" si="67"/>
        <v>65605339445</v>
      </c>
      <c r="AE63" s="233">
        <f t="shared" si="67"/>
        <v>44547929056</v>
      </c>
      <c r="AF63" s="231">
        <f>AF65+AF83+AF90+AF104</f>
        <v>5389604696</v>
      </c>
      <c r="AG63" s="234">
        <f t="shared" si="67"/>
        <v>49937533752</v>
      </c>
      <c r="AH63" s="233">
        <f t="shared" si="67"/>
        <v>4617986</v>
      </c>
      <c r="AI63" s="231">
        <f t="shared" si="67"/>
        <v>5500099185</v>
      </c>
      <c r="AJ63" s="232">
        <f t="shared" si="67"/>
        <v>21167904878</v>
      </c>
      <c r="AK63" s="101"/>
      <c r="AL63" s="233">
        <f>AL65+AL83+AL90+AL104</f>
        <v>2809000000</v>
      </c>
      <c r="AM63" s="232">
        <f>AM65+AM83+AM90+AM104</f>
        <v>0</v>
      </c>
    </row>
    <row r="64" spans="1:39" ht="24.75" customHeight="1">
      <c r="A64" s="202" t="str">
        <f>+IF(OCTUBRE!A64=0,"",OCTUBRE!A64)</f>
        <v>1.1.02.05.001.09.02.90.01</v>
      </c>
      <c r="B64" s="331" t="str">
        <f>+CONCATENATE("Vigencia ",INSTRUCCIONES!$F$3)</f>
        <v>Vigencia 2025</v>
      </c>
      <c r="C64" s="204">
        <f>+ENERO!C64</f>
        <v>2137731076.9417498</v>
      </c>
      <c r="D64" s="205">
        <f>OCTUBRE!D64+NOVIEMBRE!P64</f>
        <v>0</v>
      </c>
      <c r="E64" s="205">
        <f>OCTUBRE!E64+NOVIEMBRE!Q64</f>
        <v>0</v>
      </c>
      <c r="F64" s="205">
        <f>SUM(C64:E64)</f>
        <v>2137731076.9417498</v>
      </c>
      <c r="G64" s="205">
        <f>OCTUBRE!I64</f>
        <v>1441223287</v>
      </c>
      <c r="H64" s="208">
        <v>148044892</v>
      </c>
      <c r="I64" s="205">
        <f>SUM(G64:H64)</f>
        <v>1589268179</v>
      </c>
      <c r="J64" s="205">
        <f>OCTUBRE!L64</f>
        <v>772878173</v>
      </c>
      <c r="K64" s="208">
        <v>83222699</v>
      </c>
      <c r="L64" s="205">
        <f>SUM(J64:K64)</f>
        <v>856100872</v>
      </c>
      <c r="M64" s="205">
        <f>F64-I64</f>
        <v>548462897.94174981</v>
      </c>
      <c r="N64" s="206">
        <f>F64-L64</f>
        <v>1281630204.9417498</v>
      </c>
      <c r="O64" s="67"/>
      <c r="P64" s="204">
        <v>0</v>
      </c>
      <c r="Q64" s="210"/>
      <c r="R64" s="101"/>
      <c r="S64" s="189">
        <f>+IF(OCTUBRE!S64=0,"",OCTUBRE!S64)</f>
        <v>2290826</v>
      </c>
      <c r="T64" s="488" t="str">
        <f>+IF(OCTUBRE!T64=0,"",OCTUBRE!T64)</f>
        <v/>
      </c>
      <c r="U64" s="191"/>
      <c r="V64" s="191"/>
      <c r="W64" s="191"/>
      <c r="X64" s="191"/>
      <c r="Y64" s="191"/>
      <c r="Z64" s="191"/>
      <c r="AA64" s="191"/>
      <c r="AB64" s="191"/>
      <c r="AC64" s="191"/>
      <c r="AD64" s="191"/>
      <c r="AE64" s="191"/>
      <c r="AF64" s="191"/>
      <c r="AG64" s="191"/>
      <c r="AH64" s="191"/>
      <c r="AI64" s="191"/>
      <c r="AJ64" s="192"/>
      <c r="AK64" s="101"/>
      <c r="AL64" s="249"/>
      <c r="AM64" s="250"/>
    </row>
    <row r="65" spans="1:39" ht="24.75" customHeight="1">
      <c r="A65" s="202" t="str">
        <f>+IF(OCTUBRE!A65=0,"",OCTUBRE!A65)</f>
        <v>1.1.02.05.001.09.02.90.01.99</v>
      </c>
      <c r="B65" s="331" t="str">
        <f>+IF(OCTUBRE!B65=0,"",OCTUBRE!B65)</f>
        <v>Vigencia Anterior</v>
      </c>
      <c r="C65" s="204">
        <f>+ENERO!C65</f>
        <v>324064540.10000002</v>
      </c>
      <c r="D65" s="205">
        <f>OCTUBRE!D65+NOVIEMBRE!P65</f>
        <v>0</v>
      </c>
      <c r="E65" s="205">
        <f>OCTUBRE!E65+NOVIEMBRE!Q65</f>
        <v>0</v>
      </c>
      <c r="F65" s="205">
        <f>SUM(C65:E65)</f>
        <v>324064540.10000002</v>
      </c>
      <c r="G65" s="205">
        <f>OCTUBRE!I65</f>
        <v>395725766</v>
      </c>
      <c r="H65" s="208">
        <v>664192</v>
      </c>
      <c r="I65" s="205">
        <f>SUM(G65:H65)</f>
        <v>396389958</v>
      </c>
      <c r="J65" s="205">
        <f>OCTUBRE!L65</f>
        <v>395725766</v>
      </c>
      <c r="K65" s="208">
        <v>664192</v>
      </c>
      <c r="L65" s="205">
        <f>SUM(J65:K65)</f>
        <v>396389958</v>
      </c>
      <c r="M65" s="205">
        <f>F65-I65</f>
        <v>-72325417.899999976</v>
      </c>
      <c r="N65" s="206">
        <f>F65-L65</f>
        <v>-72325417.899999976</v>
      </c>
      <c r="O65" s="67"/>
      <c r="P65" s="204">
        <v>0</v>
      </c>
      <c r="Q65" s="210"/>
      <c r="R65" s="101"/>
      <c r="S65" s="257" t="str">
        <f>+IF(OCTUBRE!S65=0,"",OCTUBRE!S65)</f>
        <v>2.1.1.01.01-1</v>
      </c>
      <c r="T65" s="546" t="str">
        <f>+IF(OCTUBRE!T65=0,"",OCTUBRE!T65)</f>
        <v>Servicios Personales Asociados a Nómina</v>
      </c>
      <c r="U65" s="230">
        <f t="shared" ref="U65:AJ65" si="68">SUM(U66:U69)+U81</f>
        <v>0</v>
      </c>
      <c r="V65" s="231">
        <f t="shared" si="68"/>
        <v>0</v>
      </c>
      <c r="W65" s="231">
        <f t="shared" si="68"/>
        <v>0</v>
      </c>
      <c r="X65" s="234">
        <f t="shared" si="68"/>
        <v>0</v>
      </c>
      <c r="Y65" s="233">
        <f t="shared" si="68"/>
        <v>0</v>
      </c>
      <c r="Z65" s="231">
        <f t="shared" si="68"/>
        <v>0</v>
      </c>
      <c r="AA65" s="234">
        <f t="shared" si="68"/>
        <v>0</v>
      </c>
      <c r="AB65" s="233">
        <f t="shared" si="68"/>
        <v>0</v>
      </c>
      <c r="AC65" s="231">
        <f>SUM(AC66:AC69)+AC81</f>
        <v>0</v>
      </c>
      <c r="AD65" s="234">
        <f t="shared" si="68"/>
        <v>0</v>
      </c>
      <c r="AE65" s="233">
        <f t="shared" si="68"/>
        <v>0</v>
      </c>
      <c r="AF65" s="231">
        <f>SUM(AF66:AF69)+AF81</f>
        <v>0</v>
      </c>
      <c r="AG65" s="234">
        <f t="shared" si="68"/>
        <v>0</v>
      </c>
      <c r="AH65" s="233">
        <f t="shared" si="68"/>
        <v>0</v>
      </c>
      <c r="AI65" s="231">
        <f t="shared" si="68"/>
        <v>0</v>
      </c>
      <c r="AJ65" s="232">
        <f t="shared" si="68"/>
        <v>0</v>
      </c>
      <c r="AK65" s="101"/>
      <c r="AL65" s="233">
        <f>SUM(AL66:AL69)+AL81</f>
        <v>0</v>
      </c>
      <c r="AM65" s="232">
        <f>SUM(AM66:AM69)+AM81</f>
        <v>0</v>
      </c>
    </row>
    <row r="66" spans="1:39" ht="24.75" customHeight="1">
      <c r="A66" s="286" t="str">
        <f>+IF(OCTUBRE!A66=0,"",OCTUBRE!A66)</f>
        <v>1.1.02.05.001.09.02.18.01</v>
      </c>
      <c r="B66" s="319" t="str">
        <f>+IF(OCTUBRE!B66=0,"",OCTUBRE!B66)</f>
        <v xml:space="preserve">COMPAÑIAS DE SEGUROS  - PLANES DE SALUD </v>
      </c>
      <c r="C66" s="288">
        <f t="shared" ref="C66:N66" si="69">SUM(C67:C68)</f>
        <v>185631948</v>
      </c>
      <c r="D66" s="320">
        <f t="shared" si="69"/>
        <v>0</v>
      </c>
      <c r="E66" s="320">
        <f t="shared" si="69"/>
        <v>0</v>
      </c>
      <c r="F66" s="320">
        <f t="shared" si="69"/>
        <v>185631948</v>
      </c>
      <c r="G66" s="320">
        <f t="shared" si="69"/>
        <v>113516595</v>
      </c>
      <c r="H66" s="320">
        <f t="shared" si="69"/>
        <v>8717135</v>
      </c>
      <c r="I66" s="320">
        <f t="shared" si="69"/>
        <v>122233730</v>
      </c>
      <c r="J66" s="320">
        <f t="shared" si="69"/>
        <v>37062276</v>
      </c>
      <c r="K66" s="320">
        <f t="shared" si="69"/>
        <v>587602</v>
      </c>
      <c r="L66" s="320">
        <f t="shared" si="69"/>
        <v>37649878</v>
      </c>
      <c r="M66" s="320">
        <f t="shared" si="69"/>
        <v>63398218</v>
      </c>
      <c r="N66" s="289">
        <f t="shared" si="69"/>
        <v>147982070</v>
      </c>
      <c r="O66" s="67"/>
      <c r="P66" s="288">
        <f>SUM(P67:P68)</f>
        <v>0</v>
      </c>
      <c r="Q66" s="289">
        <f>SUM(Q67:Q68)</f>
        <v>0</v>
      </c>
      <c r="R66" s="101"/>
      <c r="S66" s="266" t="str">
        <f>+IF(OCTUBRE!S66=0,"",OCTUBRE!S66)</f>
        <v>2.1.1.01.01.001.01-1</v>
      </c>
      <c r="T66" s="267" t="str">
        <f>+IF(OCTUBRE!T66=0,"",OCTUBRE!T66)</f>
        <v>Sueldos del Personal de nómina</v>
      </c>
      <c r="U66" s="373">
        <f>+ENERO!U66</f>
        <v>0</v>
      </c>
      <c r="V66" s="220">
        <f>OCTUBRE!V66+NOVIEMBRE!AL66</f>
        <v>0</v>
      </c>
      <c r="W66" s="220">
        <f>OCTUBRE!W66+NOVIEMBRE!AM66</f>
        <v>0</v>
      </c>
      <c r="X66" s="271">
        <f>SUM(U66:W66)</f>
        <v>0</v>
      </c>
      <c r="Y66" s="270">
        <f>OCTUBRE!AA66</f>
        <v>0</v>
      </c>
      <c r="Z66" s="208">
        <v>0</v>
      </c>
      <c r="AA66" s="271">
        <f>SUM(Y66:Z66)</f>
        <v>0</v>
      </c>
      <c r="AB66" s="270">
        <f>OCTUBRE!AD66</f>
        <v>0</v>
      </c>
      <c r="AC66" s="208">
        <v>0</v>
      </c>
      <c r="AD66" s="271">
        <f>SUM(AB66:AC66)</f>
        <v>0</v>
      </c>
      <c r="AE66" s="270">
        <f>OCTUBRE!AG66</f>
        <v>0</v>
      </c>
      <c r="AF66" s="208">
        <v>0</v>
      </c>
      <c r="AG66" s="271">
        <f>SUM(AE66:AF66)</f>
        <v>0</v>
      </c>
      <c r="AH66" s="270">
        <f>X66-AA66</f>
        <v>0</v>
      </c>
      <c r="AI66" s="220">
        <f>X66-AD66</f>
        <v>0</v>
      </c>
      <c r="AJ66" s="269">
        <f>X66-AG66</f>
        <v>0</v>
      </c>
      <c r="AK66" s="101"/>
      <c r="AL66" s="204">
        <v>0</v>
      </c>
      <c r="AM66" s="210">
        <v>0</v>
      </c>
    </row>
    <row r="67" spans="1:39" ht="24.75" customHeight="1">
      <c r="A67" s="202" t="str">
        <f>+IF(OCTUBRE!A67=0,"",OCTUBRE!A67)</f>
        <v>1.1.02.05.001.09.02.18.01</v>
      </c>
      <c r="B67" s="331" t="str">
        <f>+CONCATENATE("Vigencia ",INSTRUCCIONES!$F$3)</f>
        <v>Vigencia 2025</v>
      </c>
      <c r="C67" s="204">
        <f>+ENERO!C67</f>
        <v>111911928</v>
      </c>
      <c r="D67" s="205">
        <f>OCTUBRE!D67+NOVIEMBRE!P67</f>
        <v>0</v>
      </c>
      <c r="E67" s="205">
        <f>OCTUBRE!E67+NOVIEMBRE!Q67</f>
        <v>0</v>
      </c>
      <c r="F67" s="205">
        <f>SUM(C67:E67)</f>
        <v>111911928</v>
      </c>
      <c r="G67" s="205">
        <f>OCTUBRE!I67</f>
        <v>101603750</v>
      </c>
      <c r="H67" s="208">
        <v>8717135</v>
      </c>
      <c r="I67" s="205">
        <f>SUM(G67:H67)</f>
        <v>110320885</v>
      </c>
      <c r="J67" s="205">
        <f>OCTUBRE!L67</f>
        <v>25149431</v>
      </c>
      <c r="K67" s="208">
        <v>587602</v>
      </c>
      <c r="L67" s="205">
        <f>SUM(J67:K67)</f>
        <v>25737033</v>
      </c>
      <c r="M67" s="205">
        <f>F67-I67</f>
        <v>1591043</v>
      </c>
      <c r="N67" s="206">
        <f>F67-L67</f>
        <v>86174895</v>
      </c>
      <c r="O67" s="67"/>
      <c r="P67" s="204">
        <v>0</v>
      </c>
      <c r="Q67" s="210"/>
      <c r="R67" s="101"/>
      <c r="S67" s="266" t="str">
        <f>+IF(OCTUBRE!S67=0,"",OCTUBRE!S67)</f>
        <v>2.1.1.01.01.001.02-1</v>
      </c>
      <c r="T67" s="267" t="str">
        <f>+IF(OCTUBRE!T67=0,"",OCTUBRE!T67)</f>
        <v>Horas Extras,Dominic.,Festivos y Rec. Nocturnos</v>
      </c>
      <c r="U67" s="373">
        <f>+ENERO!U67</f>
        <v>0</v>
      </c>
      <c r="V67" s="220">
        <f>OCTUBRE!V67+NOVIEMBRE!AL67</f>
        <v>0</v>
      </c>
      <c r="W67" s="220">
        <f>OCTUBRE!W67+NOVIEMBRE!AM67</f>
        <v>0</v>
      </c>
      <c r="X67" s="271">
        <f>SUM(U67:W67)</f>
        <v>0</v>
      </c>
      <c r="Y67" s="270">
        <f>OCTUBRE!AA67</f>
        <v>0</v>
      </c>
      <c r="Z67" s="208">
        <v>0</v>
      </c>
      <c r="AA67" s="271">
        <f>SUM(Y67:Z67)</f>
        <v>0</v>
      </c>
      <c r="AB67" s="270">
        <f>OCTUBRE!AD67</f>
        <v>0</v>
      </c>
      <c r="AC67" s="208">
        <v>0</v>
      </c>
      <c r="AD67" s="271">
        <f>SUM(AB67:AC67)</f>
        <v>0</v>
      </c>
      <c r="AE67" s="270">
        <f>OCTUBRE!AG67</f>
        <v>0</v>
      </c>
      <c r="AF67" s="208">
        <v>0</v>
      </c>
      <c r="AG67" s="271">
        <f>SUM(AE67:AF67)</f>
        <v>0</v>
      </c>
      <c r="AH67" s="270">
        <f>X67-AA67</f>
        <v>0</v>
      </c>
      <c r="AI67" s="220">
        <f>X67-AD67</f>
        <v>0</v>
      </c>
      <c r="AJ67" s="269">
        <f>X67-AG67</f>
        <v>0</v>
      </c>
      <c r="AK67" s="101"/>
      <c r="AL67" s="204">
        <v>0</v>
      </c>
      <c r="AM67" s="210">
        <v>0</v>
      </c>
    </row>
    <row r="68" spans="1:39" ht="24.75" customHeight="1">
      <c r="A68" s="202" t="str">
        <f>+IF(OCTUBRE!A68=0,"",OCTUBRE!A68)</f>
        <v>1.1.02.05.001.09.02.18.01.99</v>
      </c>
      <c r="B68" s="331" t="str">
        <f>+IF(OCTUBRE!B68=0,"",OCTUBRE!B68)</f>
        <v>Vigencia Anterior</v>
      </c>
      <c r="C68" s="204">
        <f>+ENERO!C68</f>
        <v>73720020</v>
      </c>
      <c r="D68" s="205">
        <f>OCTUBRE!D68+NOVIEMBRE!P68</f>
        <v>0</v>
      </c>
      <c r="E68" s="205">
        <f>OCTUBRE!E68+NOVIEMBRE!Q68</f>
        <v>0</v>
      </c>
      <c r="F68" s="205">
        <f>SUM(C68:E68)</f>
        <v>73720020</v>
      </c>
      <c r="G68" s="205">
        <f>OCTUBRE!I68</f>
        <v>11912845</v>
      </c>
      <c r="H68" s="208">
        <v>0</v>
      </c>
      <c r="I68" s="205">
        <f>SUM(G68:H68)</f>
        <v>11912845</v>
      </c>
      <c r="J68" s="205">
        <f>OCTUBRE!L68</f>
        <v>11912845</v>
      </c>
      <c r="K68" s="208">
        <v>0</v>
      </c>
      <c r="L68" s="205">
        <f>SUM(J68:K68)</f>
        <v>11912845</v>
      </c>
      <c r="M68" s="205">
        <f>F68-I68</f>
        <v>61807175</v>
      </c>
      <c r="N68" s="206">
        <f>F68-L68</f>
        <v>61807175</v>
      </c>
      <c r="O68" s="67"/>
      <c r="P68" s="204">
        <v>0</v>
      </c>
      <c r="Q68" s="210"/>
      <c r="R68" s="101"/>
      <c r="S68" s="266">
        <f>+IF(OCTUBRE!S68=0,"",OCTUBRE!S68)</f>
        <v>1010103</v>
      </c>
      <c r="T68" s="267" t="str">
        <f>+IF(OCTUBRE!T68=0,"",OCTUBRE!T68)</f>
        <v>Prima Técnica</v>
      </c>
      <c r="U68" s="373">
        <f>+ENERO!U68</f>
        <v>0</v>
      </c>
      <c r="V68" s="220">
        <f>OCTUBRE!V68+NOVIEMBRE!AL68</f>
        <v>0</v>
      </c>
      <c r="W68" s="220">
        <f>OCTUBRE!W68+NOVIEMBRE!AM68</f>
        <v>0</v>
      </c>
      <c r="X68" s="271">
        <f>SUM(U68:W68)</f>
        <v>0</v>
      </c>
      <c r="Y68" s="270">
        <f>OCTUBRE!AA68</f>
        <v>0</v>
      </c>
      <c r="Z68" s="208">
        <v>0</v>
      </c>
      <c r="AA68" s="271">
        <f>SUM(Y68:Z68)</f>
        <v>0</v>
      </c>
      <c r="AB68" s="270">
        <f>OCTUBRE!AD68</f>
        <v>0</v>
      </c>
      <c r="AC68" s="208">
        <v>0</v>
      </c>
      <c r="AD68" s="271">
        <f>SUM(AB68:AC68)</f>
        <v>0</v>
      </c>
      <c r="AE68" s="270">
        <f>OCTUBRE!AG68</f>
        <v>0</v>
      </c>
      <c r="AF68" s="208">
        <v>0</v>
      </c>
      <c r="AG68" s="271">
        <f>SUM(AE68:AF68)</f>
        <v>0</v>
      </c>
      <c r="AH68" s="270">
        <f>X68-AA68</f>
        <v>0</v>
      </c>
      <c r="AI68" s="220">
        <f>X68-AD68</f>
        <v>0</v>
      </c>
      <c r="AJ68" s="269">
        <f>X68-AG68</f>
        <v>0</v>
      </c>
      <c r="AK68" s="101"/>
      <c r="AL68" s="204">
        <v>0</v>
      </c>
      <c r="AM68" s="210">
        <v>0</v>
      </c>
    </row>
    <row r="69" spans="1:39" ht="24.75" customHeight="1">
      <c r="A69" s="286" t="str">
        <f>+IF(OCTUBRE!A69=0,"",OCTUBRE!A69)</f>
        <v>1.1.02.05.001.09.02.90.02</v>
      </c>
      <c r="B69" s="319" t="str">
        <f>+IF(OCTUBRE!B69=0,"",OCTUBRE!B69)</f>
        <v>ENTIDADES DE REGIMEN ESPECIAL (Magisterio, Fuerza Pca.)</v>
      </c>
      <c r="C69" s="288">
        <f t="shared" ref="C69:N69" si="70">SUM(C70:C71)</f>
        <v>1378696551</v>
      </c>
      <c r="D69" s="320">
        <f t="shared" si="70"/>
        <v>0</v>
      </c>
      <c r="E69" s="320">
        <f t="shared" si="70"/>
        <v>0</v>
      </c>
      <c r="F69" s="320">
        <f t="shared" si="70"/>
        <v>1378696551</v>
      </c>
      <c r="G69" s="320">
        <f t="shared" si="70"/>
        <v>2083867498</v>
      </c>
      <c r="H69" s="320">
        <f t="shared" si="70"/>
        <v>155708059</v>
      </c>
      <c r="I69" s="320">
        <f t="shared" si="70"/>
        <v>2239575557</v>
      </c>
      <c r="J69" s="320">
        <f t="shared" si="70"/>
        <v>1065592290</v>
      </c>
      <c r="K69" s="320">
        <f t="shared" si="70"/>
        <v>0</v>
      </c>
      <c r="L69" s="320">
        <f t="shared" si="70"/>
        <v>1065592290</v>
      </c>
      <c r="M69" s="320">
        <f t="shared" si="70"/>
        <v>-860879006</v>
      </c>
      <c r="N69" s="289">
        <f t="shared" si="70"/>
        <v>313104261</v>
      </c>
      <c r="O69" s="67"/>
      <c r="P69" s="288">
        <f>SUM(P70:P71)</f>
        <v>0</v>
      </c>
      <c r="Q69" s="289">
        <f>SUM(Q70:Q71)</f>
        <v>0</v>
      </c>
      <c r="R69" s="101"/>
      <c r="S69" s="266">
        <f>+IF(OCTUBRE!S69=0,"",OCTUBRE!S69)</f>
        <v>1010104</v>
      </c>
      <c r="T69" s="267" t="str">
        <f>+IF(OCTUBRE!T69=0,"",OCTUBRE!T69)</f>
        <v>Otros</v>
      </c>
      <c r="U69" s="373">
        <f t="shared" ref="U69:AJ69" si="71">SUM(U70:U80)</f>
        <v>0</v>
      </c>
      <c r="V69" s="220">
        <f t="shared" si="71"/>
        <v>0</v>
      </c>
      <c r="W69" s="220">
        <f t="shared" si="71"/>
        <v>0</v>
      </c>
      <c r="X69" s="271">
        <f t="shared" si="71"/>
        <v>0</v>
      </c>
      <c r="Y69" s="270">
        <f t="shared" si="71"/>
        <v>0</v>
      </c>
      <c r="Z69" s="300">
        <f t="shared" si="71"/>
        <v>0</v>
      </c>
      <c r="AA69" s="271">
        <f t="shared" si="71"/>
        <v>0</v>
      </c>
      <c r="AB69" s="270">
        <f t="shared" si="71"/>
        <v>0</v>
      </c>
      <c r="AC69" s="300">
        <f>SUM(AC70:AC80)</f>
        <v>0</v>
      </c>
      <c r="AD69" s="271">
        <f t="shared" si="71"/>
        <v>0</v>
      </c>
      <c r="AE69" s="270">
        <f t="shared" si="71"/>
        <v>0</v>
      </c>
      <c r="AF69" s="300">
        <f>SUM(AF70:AF80)</f>
        <v>0</v>
      </c>
      <c r="AG69" s="271">
        <f t="shared" si="71"/>
        <v>0</v>
      </c>
      <c r="AH69" s="270">
        <f t="shared" si="71"/>
        <v>0</v>
      </c>
      <c r="AI69" s="220">
        <f t="shared" si="71"/>
        <v>0</v>
      </c>
      <c r="AJ69" s="269">
        <f t="shared" si="71"/>
        <v>0</v>
      </c>
      <c r="AK69" s="101"/>
      <c r="AL69" s="301">
        <f>SUM(AL70:AL80)</f>
        <v>0</v>
      </c>
      <c r="AM69" s="302">
        <f>SUM(AM70:AM80)</f>
        <v>0</v>
      </c>
    </row>
    <row r="70" spans="1:39" ht="24.75" customHeight="1">
      <c r="A70" s="202" t="str">
        <f>+IF(OCTUBRE!A70=0,"",OCTUBRE!A70)</f>
        <v>1.1.02.05.001.09.02.90.02</v>
      </c>
      <c r="B70" s="331" t="str">
        <f>+CONCATENATE("Vigencia ",INSTRUCCIONES!$F$3)</f>
        <v>Vigencia 2025</v>
      </c>
      <c r="C70" s="204">
        <f>+ENERO!C70</f>
        <v>898696551</v>
      </c>
      <c r="D70" s="205">
        <f>OCTUBRE!D70+NOVIEMBRE!P70</f>
        <v>0</v>
      </c>
      <c r="E70" s="205">
        <f>OCTUBRE!E70+NOVIEMBRE!Q70</f>
        <v>0</v>
      </c>
      <c r="F70" s="205">
        <f>SUM(C70:E70)</f>
        <v>898696551</v>
      </c>
      <c r="G70" s="205">
        <f>OCTUBRE!I70</f>
        <v>1240691342</v>
      </c>
      <c r="H70" s="208">
        <v>155708059</v>
      </c>
      <c r="I70" s="205">
        <f>SUM(G70:H70)</f>
        <v>1396399401</v>
      </c>
      <c r="J70" s="205">
        <f>OCTUBRE!L70</f>
        <v>222416134</v>
      </c>
      <c r="K70" s="208">
        <v>0</v>
      </c>
      <c r="L70" s="205">
        <f>SUM(J70:K70)</f>
        <v>222416134</v>
      </c>
      <c r="M70" s="205">
        <f>F70-I70</f>
        <v>-497702850</v>
      </c>
      <c r="N70" s="206">
        <f>F70-L70</f>
        <v>676280417</v>
      </c>
      <c r="O70" s="67"/>
      <c r="P70" s="204">
        <v>0</v>
      </c>
      <c r="Q70" s="210"/>
      <c r="R70" s="101"/>
      <c r="S70" s="311" t="str">
        <f>+IF(OCTUBRE!S70=0,"",OCTUBRE!S70)</f>
        <v>2.1.1.01.01.001.08.01-1</v>
      </c>
      <c r="T70" s="312" t="str">
        <f>+IF(OCTUBRE!T70=0,"",OCTUBRE!T70)</f>
        <v xml:space="preserve">Prima de Navidad </v>
      </c>
      <c r="U70" s="373">
        <f>+ENERO!U70</f>
        <v>0</v>
      </c>
      <c r="V70" s="220">
        <f>OCTUBRE!V70+NOVIEMBRE!AL70</f>
        <v>0</v>
      </c>
      <c r="W70" s="220">
        <f>OCTUBRE!W70+NOVIEMBRE!AM70</f>
        <v>0</v>
      </c>
      <c r="X70" s="271">
        <f t="shared" ref="X70:X81" si="72">SUM(U70:W70)</f>
        <v>0</v>
      </c>
      <c r="Y70" s="270">
        <f>OCTUBRE!AA70</f>
        <v>0</v>
      </c>
      <c r="Z70" s="208"/>
      <c r="AA70" s="271">
        <f t="shared" ref="AA70:AA81" si="73">SUM(Y70:Z70)</f>
        <v>0</v>
      </c>
      <c r="AB70" s="270">
        <f>OCTUBRE!AD70</f>
        <v>0</v>
      </c>
      <c r="AC70" s="208"/>
      <c r="AD70" s="271">
        <f t="shared" ref="AD70:AD81" si="74">SUM(AB70:AC70)</f>
        <v>0</v>
      </c>
      <c r="AE70" s="270">
        <f>OCTUBRE!AG70</f>
        <v>0</v>
      </c>
      <c r="AF70" s="208"/>
      <c r="AG70" s="271">
        <f t="shared" ref="AG70:AG81" si="75">SUM(AE70:AF70)</f>
        <v>0</v>
      </c>
      <c r="AH70" s="270">
        <f t="shared" ref="AH70:AH81" si="76">X70-AA70</f>
        <v>0</v>
      </c>
      <c r="AI70" s="220">
        <f t="shared" ref="AI70:AI81" si="77">X70-AD70</f>
        <v>0</v>
      </c>
      <c r="AJ70" s="269">
        <f t="shared" ref="AJ70:AJ81" si="78">X70-AG70</f>
        <v>0</v>
      </c>
      <c r="AK70" s="101"/>
      <c r="AL70" s="204">
        <v>0</v>
      </c>
      <c r="AM70" s="210">
        <v>0</v>
      </c>
    </row>
    <row r="71" spans="1:39" ht="24.75" customHeight="1">
      <c r="A71" s="202" t="str">
        <f>+IF(OCTUBRE!A71=0,"",OCTUBRE!A71)</f>
        <v>1.1.02.05.001.09.02.90.02.99</v>
      </c>
      <c r="B71" s="331" t="str">
        <f>+IF(OCTUBRE!B71=0,"",OCTUBRE!B71)</f>
        <v>Vigencia Anterior</v>
      </c>
      <c r="C71" s="204">
        <f>+ENERO!C71</f>
        <v>480000000</v>
      </c>
      <c r="D71" s="205">
        <f>OCTUBRE!D71+NOVIEMBRE!P71</f>
        <v>0</v>
      </c>
      <c r="E71" s="205">
        <f>OCTUBRE!E71+NOVIEMBRE!Q71</f>
        <v>0</v>
      </c>
      <c r="F71" s="205">
        <f>SUM(C71:E71)</f>
        <v>480000000</v>
      </c>
      <c r="G71" s="205">
        <f>OCTUBRE!I71</f>
        <v>843176156</v>
      </c>
      <c r="H71" s="208"/>
      <c r="I71" s="205">
        <f>SUM(G71:H71)</f>
        <v>843176156</v>
      </c>
      <c r="J71" s="205">
        <f>OCTUBRE!L71</f>
        <v>843176156</v>
      </c>
      <c r="K71" s="208"/>
      <c r="L71" s="205">
        <f>SUM(J71:K71)</f>
        <v>843176156</v>
      </c>
      <c r="M71" s="205">
        <f>F71-I71</f>
        <v>-363176156</v>
      </c>
      <c r="N71" s="206">
        <f>F71-L71</f>
        <v>-363176156</v>
      </c>
      <c r="O71" s="67"/>
      <c r="P71" s="204">
        <v>0</v>
      </c>
      <c r="Q71" s="210"/>
      <c r="R71" s="101"/>
      <c r="S71" s="311" t="str">
        <f>+IF(OCTUBRE!S71=0,"",OCTUBRE!S71)</f>
        <v>2.1.1.01.01.001.08.02-1</v>
      </c>
      <c r="T71" s="312" t="str">
        <f>+IF(OCTUBRE!T71=0,"",OCTUBRE!T71)</f>
        <v>Prima de Vacaciones</v>
      </c>
      <c r="U71" s="373">
        <f>+ENERO!U71</f>
        <v>0</v>
      </c>
      <c r="V71" s="220">
        <f>OCTUBRE!V71+NOVIEMBRE!AL71</f>
        <v>0</v>
      </c>
      <c r="W71" s="220">
        <f>OCTUBRE!W71+NOVIEMBRE!AM71</f>
        <v>0</v>
      </c>
      <c r="X71" s="271">
        <f t="shared" si="72"/>
        <v>0</v>
      </c>
      <c r="Y71" s="270">
        <f>OCTUBRE!AA71</f>
        <v>0</v>
      </c>
      <c r="Z71" s="208"/>
      <c r="AA71" s="271">
        <f t="shared" si="73"/>
        <v>0</v>
      </c>
      <c r="AB71" s="270">
        <f>OCTUBRE!AD71</f>
        <v>0</v>
      </c>
      <c r="AC71" s="208"/>
      <c r="AD71" s="271">
        <f t="shared" si="74"/>
        <v>0</v>
      </c>
      <c r="AE71" s="270">
        <f>OCTUBRE!AG71</f>
        <v>0</v>
      </c>
      <c r="AF71" s="208"/>
      <c r="AG71" s="271">
        <f t="shared" si="75"/>
        <v>0</v>
      </c>
      <c r="AH71" s="270">
        <f t="shared" si="76"/>
        <v>0</v>
      </c>
      <c r="AI71" s="220">
        <f t="shared" si="77"/>
        <v>0</v>
      </c>
      <c r="AJ71" s="269">
        <f t="shared" si="78"/>
        <v>0</v>
      </c>
      <c r="AK71" s="101"/>
      <c r="AL71" s="204">
        <v>0</v>
      </c>
      <c r="AM71" s="210">
        <v>0</v>
      </c>
    </row>
    <row r="72" spans="1:39" ht="24.75" customHeight="1">
      <c r="A72" s="286" t="str">
        <f>+IF(OCTUBRE!A72=0,"",OCTUBRE!A72)</f>
        <v>1.1.02.05.001.09.02.06</v>
      </c>
      <c r="B72" s="319" t="str">
        <f>+IF(OCTUBRE!B72=0,"",OCTUBRE!B72)</f>
        <v>ADMINISTRADORAS DE RIESGOS LABORALES</v>
      </c>
      <c r="C72" s="288">
        <f t="shared" ref="C72:N72" si="79">SUM(C73:C74)</f>
        <v>374950682</v>
      </c>
      <c r="D72" s="320">
        <f t="shared" si="79"/>
        <v>0</v>
      </c>
      <c r="E72" s="320">
        <f t="shared" si="79"/>
        <v>0</v>
      </c>
      <c r="F72" s="320">
        <f t="shared" si="79"/>
        <v>374950682</v>
      </c>
      <c r="G72" s="320">
        <f t="shared" si="79"/>
        <v>349560935</v>
      </c>
      <c r="H72" s="320">
        <f t="shared" si="79"/>
        <v>27757685</v>
      </c>
      <c r="I72" s="320">
        <f t="shared" si="79"/>
        <v>377318620</v>
      </c>
      <c r="J72" s="320">
        <f t="shared" si="79"/>
        <v>277387972</v>
      </c>
      <c r="K72" s="320">
        <f t="shared" si="79"/>
        <v>39141079</v>
      </c>
      <c r="L72" s="320">
        <f t="shared" si="79"/>
        <v>316529051</v>
      </c>
      <c r="M72" s="320">
        <f t="shared" si="79"/>
        <v>-2367938</v>
      </c>
      <c r="N72" s="289">
        <f t="shared" si="79"/>
        <v>58421631</v>
      </c>
      <c r="O72" s="67"/>
      <c r="P72" s="288">
        <f>SUM(P73:P74)</f>
        <v>0</v>
      </c>
      <c r="Q72" s="289">
        <f>SUM(Q73:Q74)</f>
        <v>0</v>
      </c>
      <c r="R72" s="101"/>
      <c r="S72" s="311" t="str">
        <f>+IF(OCTUBRE!S72=0,"",OCTUBRE!S72)</f>
        <v>2.1.1.01.01.001.07-1</v>
      </c>
      <c r="T72" s="312" t="str">
        <f>+IF(OCTUBRE!T72=0,"",OCTUBRE!T72)</f>
        <v>Bonificación  por servicios prestados</v>
      </c>
      <c r="U72" s="373">
        <f>+ENERO!U72</f>
        <v>0</v>
      </c>
      <c r="V72" s="220">
        <f>OCTUBRE!V72+NOVIEMBRE!AL72</f>
        <v>0</v>
      </c>
      <c r="W72" s="220">
        <f>OCTUBRE!W72+NOVIEMBRE!AM72</f>
        <v>0</v>
      </c>
      <c r="X72" s="271">
        <f t="shared" si="72"/>
        <v>0</v>
      </c>
      <c r="Y72" s="270">
        <f>OCTUBRE!AA72</f>
        <v>0</v>
      </c>
      <c r="Z72" s="208"/>
      <c r="AA72" s="271">
        <f t="shared" si="73"/>
        <v>0</v>
      </c>
      <c r="AB72" s="270">
        <f>OCTUBRE!AD72</f>
        <v>0</v>
      </c>
      <c r="AC72" s="208"/>
      <c r="AD72" s="271">
        <f t="shared" si="74"/>
        <v>0</v>
      </c>
      <c r="AE72" s="270">
        <f>OCTUBRE!AG72</f>
        <v>0</v>
      </c>
      <c r="AF72" s="208"/>
      <c r="AG72" s="271">
        <f t="shared" si="75"/>
        <v>0</v>
      </c>
      <c r="AH72" s="270">
        <f t="shared" si="76"/>
        <v>0</v>
      </c>
      <c r="AI72" s="220">
        <f t="shared" si="77"/>
        <v>0</v>
      </c>
      <c r="AJ72" s="269">
        <f t="shared" si="78"/>
        <v>0</v>
      </c>
      <c r="AK72" s="101"/>
      <c r="AL72" s="204">
        <v>0</v>
      </c>
      <c r="AM72" s="210">
        <v>0</v>
      </c>
    </row>
    <row r="73" spans="1:39" ht="24.75" customHeight="1">
      <c r="A73" s="202" t="str">
        <f>+IF(OCTUBRE!A73=0,"",OCTUBRE!A73)</f>
        <v>1.1.02.05.001.09.02.06</v>
      </c>
      <c r="B73" s="331" t="str">
        <f>+CONCATENATE("Vigencia ",INSTRUCCIONES!$F$3)</f>
        <v>Vigencia 2025</v>
      </c>
      <c r="C73" s="204">
        <f>+ENERO!C73</f>
        <v>337999834</v>
      </c>
      <c r="D73" s="205">
        <f>OCTUBRE!D73+NOVIEMBRE!P73</f>
        <v>0</v>
      </c>
      <c r="E73" s="205">
        <f>OCTUBRE!E73+NOVIEMBRE!Q73</f>
        <v>0</v>
      </c>
      <c r="F73" s="205">
        <f>SUM(C73:E73)</f>
        <v>337999834</v>
      </c>
      <c r="G73" s="205">
        <f>OCTUBRE!I73</f>
        <v>292908543</v>
      </c>
      <c r="H73" s="208">
        <v>27756571</v>
      </c>
      <c r="I73" s="205">
        <f>SUM(G73:H73)</f>
        <v>320665114</v>
      </c>
      <c r="J73" s="205">
        <f>OCTUBRE!L73</f>
        <v>220735580</v>
      </c>
      <c r="K73" s="208">
        <v>39139965</v>
      </c>
      <c r="L73" s="205">
        <f>SUM(J73:K73)</f>
        <v>259875545</v>
      </c>
      <c r="M73" s="205">
        <f>F73-I73</f>
        <v>17334720</v>
      </c>
      <c r="N73" s="206">
        <f>F73-L73</f>
        <v>78124289</v>
      </c>
      <c r="O73" s="67"/>
      <c r="P73" s="204">
        <v>0</v>
      </c>
      <c r="Q73" s="210"/>
      <c r="R73" s="101"/>
      <c r="S73" s="311" t="str">
        <f>+IF(OCTUBRE!S73=0,"",OCTUBRE!S73)</f>
        <v>2.1.1.01.01.001.06-1</v>
      </c>
      <c r="T73" s="312" t="str">
        <f>+IF(OCTUBRE!T73=0,"",OCTUBRE!T73)</f>
        <v>Prima de Servicios</v>
      </c>
      <c r="U73" s="373">
        <f>+ENERO!U73</f>
        <v>0</v>
      </c>
      <c r="V73" s="220">
        <f>OCTUBRE!V73+NOVIEMBRE!AL73</f>
        <v>0</v>
      </c>
      <c r="W73" s="220">
        <f>OCTUBRE!W73+NOVIEMBRE!AM73</f>
        <v>0</v>
      </c>
      <c r="X73" s="271">
        <f t="shared" si="72"/>
        <v>0</v>
      </c>
      <c r="Y73" s="270">
        <f>OCTUBRE!AA73</f>
        <v>0</v>
      </c>
      <c r="Z73" s="208"/>
      <c r="AA73" s="271">
        <f t="shared" si="73"/>
        <v>0</v>
      </c>
      <c r="AB73" s="270">
        <f>OCTUBRE!AD73</f>
        <v>0</v>
      </c>
      <c r="AC73" s="208"/>
      <c r="AD73" s="271">
        <f t="shared" si="74"/>
        <v>0</v>
      </c>
      <c r="AE73" s="270">
        <f>OCTUBRE!AG73</f>
        <v>0</v>
      </c>
      <c r="AF73" s="208"/>
      <c r="AG73" s="271">
        <f t="shared" si="75"/>
        <v>0</v>
      </c>
      <c r="AH73" s="270">
        <f t="shared" si="76"/>
        <v>0</v>
      </c>
      <c r="AI73" s="220">
        <f t="shared" si="77"/>
        <v>0</v>
      </c>
      <c r="AJ73" s="269">
        <f t="shared" si="78"/>
        <v>0</v>
      </c>
      <c r="AK73" s="101"/>
      <c r="AL73" s="204">
        <v>0</v>
      </c>
      <c r="AM73" s="210">
        <v>0</v>
      </c>
    </row>
    <row r="74" spans="1:39" ht="24.75" customHeight="1">
      <c r="A74" s="202" t="str">
        <f>+IF(OCTUBRE!A74=0,"",OCTUBRE!A74)</f>
        <v>1.1.02.05.001.09.02.06.99</v>
      </c>
      <c r="B74" s="331" t="str">
        <f>+IF(OCTUBRE!B74=0,"",OCTUBRE!B74)</f>
        <v>Vigencia Anterior</v>
      </c>
      <c r="C74" s="204">
        <f>+ENERO!C74</f>
        <v>36950848</v>
      </c>
      <c r="D74" s="205">
        <f>OCTUBRE!D74+NOVIEMBRE!P74</f>
        <v>0</v>
      </c>
      <c r="E74" s="205">
        <f>OCTUBRE!E74+NOVIEMBRE!Q74</f>
        <v>0</v>
      </c>
      <c r="F74" s="205">
        <f>SUM(C74:E74)</f>
        <v>36950848</v>
      </c>
      <c r="G74" s="205">
        <f>OCTUBRE!I74</f>
        <v>56652392</v>
      </c>
      <c r="H74" s="208">
        <v>1114</v>
      </c>
      <c r="I74" s="205">
        <f>SUM(G74:H74)</f>
        <v>56653506</v>
      </c>
      <c r="J74" s="205">
        <f>OCTUBRE!L74</f>
        <v>56652392</v>
      </c>
      <c r="K74" s="208">
        <v>1114</v>
      </c>
      <c r="L74" s="205">
        <f>SUM(J74:K74)</f>
        <v>56653506</v>
      </c>
      <c r="M74" s="205">
        <f>F74-I74</f>
        <v>-19702658</v>
      </c>
      <c r="N74" s="206">
        <f>F74-L74</f>
        <v>-19702658</v>
      </c>
      <c r="O74" s="67"/>
      <c r="P74" s="204">
        <v>0</v>
      </c>
      <c r="Q74" s="210"/>
      <c r="R74" s="101"/>
      <c r="S74" s="311" t="str">
        <f>+IF(OCTUBRE!S74=0,"",OCTUBRE!S74)</f>
        <v>1010104-5</v>
      </c>
      <c r="T74" s="312" t="str">
        <f>+IF(OCTUBRE!T74=0,"",OCTUBRE!T74)</f>
        <v>Bonificación Convencional</v>
      </c>
      <c r="U74" s="373">
        <f>+ENERO!U74</f>
        <v>0</v>
      </c>
      <c r="V74" s="220">
        <f>OCTUBRE!V74+NOVIEMBRE!AL74</f>
        <v>0</v>
      </c>
      <c r="W74" s="220">
        <f>OCTUBRE!W74+NOVIEMBRE!AM74</f>
        <v>0</v>
      </c>
      <c r="X74" s="271">
        <f t="shared" si="72"/>
        <v>0</v>
      </c>
      <c r="Y74" s="270">
        <f>OCTUBRE!AA74</f>
        <v>0</v>
      </c>
      <c r="Z74" s="208"/>
      <c r="AA74" s="271">
        <f t="shared" si="73"/>
        <v>0</v>
      </c>
      <c r="AB74" s="270">
        <f>OCTUBRE!AD74</f>
        <v>0</v>
      </c>
      <c r="AC74" s="208"/>
      <c r="AD74" s="271">
        <f t="shared" si="74"/>
        <v>0</v>
      </c>
      <c r="AE74" s="270">
        <f>OCTUBRE!AG74</f>
        <v>0</v>
      </c>
      <c r="AF74" s="208"/>
      <c r="AG74" s="271">
        <f t="shared" si="75"/>
        <v>0</v>
      </c>
      <c r="AH74" s="270">
        <f t="shared" si="76"/>
        <v>0</v>
      </c>
      <c r="AI74" s="220">
        <f t="shared" si="77"/>
        <v>0</v>
      </c>
      <c r="AJ74" s="269">
        <f t="shared" si="78"/>
        <v>0</v>
      </c>
      <c r="AK74" s="101"/>
      <c r="AL74" s="204">
        <v>0</v>
      </c>
      <c r="AM74" s="210">
        <v>0</v>
      </c>
    </row>
    <row r="75" spans="1:39" ht="24.75" customHeight="1">
      <c r="A75" s="286" t="str">
        <f>+IF(OCTUBRE!A75=0,"",OCTUBRE!A75)</f>
        <v>1.1.02.05.001.09.02.07</v>
      </c>
      <c r="B75" s="319" t="str">
        <f>+IF(OCTUBRE!B75=0,"",OCTUBRE!B75)</f>
        <v>FUERZAS MILITARES</v>
      </c>
      <c r="C75" s="288">
        <f t="shared" ref="C75:N75" si="80">SUM(C76:C77)</f>
        <v>448721976</v>
      </c>
      <c r="D75" s="320">
        <f t="shared" si="80"/>
        <v>0</v>
      </c>
      <c r="E75" s="320">
        <f t="shared" si="80"/>
        <v>0</v>
      </c>
      <c r="F75" s="320">
        <f t="shared" si="80"/>
        <v>448721976</v>
      </c>
      <c r="G75" s="320">
        <f t="shared" si="80"/>
        <v>402605327</v>
      </c>
      <c r="H75" s="320">
        <f t="shared" si="80"/>
        <v>10123122</v>
      </c>
      <c r="I75" s="320">
        <f t="shared" si="80"/>
        <v>412728449</v>
      </c>
      <c r="J75" s="320">
        <f t="shared" si="80"/>
        <v>271349298</v>
      </c>
      <c r="K75" s="320">
        <f t="shared" si="80"/>
        <v>283790</v>
      </c>
      <c r="L75" s="320">
        <f t="shared" si="80"/>
        <v>271633088</v>
      </c>
      <c r="M75" s="320">
        <f t="shared" si="80"/>
        <v>35993527</v>
      </c>
      <c r="N75" s="289">
        <f t="shared" si="80"/>
        <v>177088888</v>
      </c>
      <c r="O75" s="67"/>
      <c r="P75" s="288">
        <f>SUM(P76:P77)</f>
        <v>0</v>
      </c>
      <c r="Q75" s="289">
        <f>SUM(Q76:Q77)</f>
        <v>0</v>
      </c>
      <c r="R75" s="101"/>
      <c r="S75" s="311" t="str">
        <f>+IF(OCTUBRE!S75=0,"",OCTUBRE!S75)</f>
        <v>2.1.1.01.01.001.05-1</v>
      </c>
      <c r="T75" s="312" t="str">
        <f>+IF(OCTUBRE!T75=0,"",OCTUBRE!T75)</f>
        <v>Auxilio de Transporte</v>
      </c>
      <c r="U75" s="373">
        <f>+ENERO!U75</f>
        <v>0</v>
      </c>
      <c r="V75" s="220">
        <f>OCTUBRE!V75+NOVIEMBRE!AL75</f>
        <v>0</v>
      </c>
      <c r="W75" s="220">
        <f>OCTUBRE!W75+NOVIEMBRE!AM75</f>
        <v>0</v>
      </c>
      <c r="X75" s="271">
        <f t="shared" si="72"/>
        <v>0</v>
      </c>
      <c r="Y75" s="270">
        <f>OCTUBRE!AA75</f>
        <v>0</v>
      </c>
      <c r="Z75" s="208"/>
      <c r="AA75" s="271">
        <f t="shared" si="73"/>
        <v>0</v>
      </c>
      <c r="AB75" s="270">
        <f>OCTUBRE!AD75</f>
        <v>0</v>
      </c>
      <c r="AC75" s="208"/>
      <c r="AD75" s="271">
        <f t="shared" si="74"/>
        <v>0</v>
      </c>
      <c r="AE75" s="270">
        <f>OCTUBRE!AG75</f>
        <v>0</v>
      </c>
      <c r="AF75" s="208"/>
      <c r="AG75" s="271">
        <f t="shared" si="75"/>
        <v>0</v>
      </c>
      <c r="AH75" s="270">
        <f t="shared" si="76"/>
        <v>0</v>
      </c>
      <c r="AI75" s="220">
        <f t="shared" si="77"/>
        <v>0</v>
      </c>
      <c r="AJ75" s="269">
        <f t="shared" si="78"/>
        <v>0</v>
      </c>
      <c r="AK75" s="101"/>
      <c r="AL75" s="204">
        <v>0</v>
      </c>
      <c r="AM75" s="210">
        <v>0</v>
      </c>
    </row>
    <row r="76" spans="1:39" ht="24.75" customHeight="1">
      <c r="A76" s="202" t="str">
        <f>+IF(OCTUBRE!A76=0,"",OCTUBRE!A76)</f>
        <v>1.1.02.05.001.09.02.07</v>
      </c>
      <c r="B76" s="331" t="str">
        <f>+CONCATENATE("Vigencia ",INSTRUCCIONES!$F$3)</f>
        <v>Vigencia 2025</v>
      </c>
      <c r="C76" s="204">
        <f>+ENERO!C76</f>
        <v>341067989</v>
      </c>
      <c r="D76" s="205">
        <f>OCTUBRE!D76+NOVIEMBRE!P76</f>
        <v>0</v>
      </c>
      <c r="E76" s="205">
        <f>OCTUBRE!E76+NOVIEMBRE!Q76</f>
        <v>0</v>
      </c>
      <c r="F76" s="205">
        <f>SUM(C76:E76)</f>
        <v>341067989</v>
      </c>
      <c r="G76" s="205">
        <f>OCTUBRE!I76</f>
        <v>131428329</v>
      </c>
      <c r="H76" s="208">
        <v>10123122</v>
      </c>
      <c r="I76" s="205">
        <f>SUM(G76:H76)</f>
        <v>141551451</v>
      </c>
      <c r="J76" s="205">
        <f>OCTUBRE!L76</f>
        <v>172300</v>
      </c>
      <c r="K76" s="208">
        <v>283790</v>
      </c>
      <c r="L76" s="205">
        <f>SUM(J76:K76)</f>
        <v>456090</v>
      </c>
      <c r="M76" s="205">
        <f>F76-I76</f>
        <v>199516538</v>
      </c>
      <c r="N76" s="206">
        <f>F76-L76</f>
        <v>340611899</v>
      </c>
      <c r="O76" s="67"/>
      <c r="P76" s="204">
        <v>0</v>
      </c>
      <c r="Q76" s="210"/>
      <c r="R76" s="101"/>
      <c r="S76" s="311" t="str">
        <f>+IF(OCTUBRE!S76=0,"",OCTUBRE!S76)</f>
        <v>2.1.1.01.01.001.04-1</v>
      </c>
      <c r="T76" s="312" t="str">
        <f>+IF(OCTUBRE!T76=0,"",OCTUBRE!T76)</f>
        <v>Auxilio de Alimentación</v>
      </c>
      <c r="U76" s="373">
        <f>+ENERO!U76</f>
        <v>0</v>
      </c>
      <c r="V76" s="220">
        <f>OCTUBRE!V76+NOVIEMBRE!AL76</f>
        <v>0</v>
      </c>
      <c r="W76" s="220">
        <f>OCTUBRE!W76+NOVIEMBRE!AM76</f>
        <v>0</v>
      </c>
      <c r="X76" s="271">
        <f t="shared" si="72"/>
        <v>0</v>
      </c>
      <c r="Y76" s="270">
        <f>OCTUBRE!AA76</f>
        <v>0</v>
      </c>
      <c r="Z76" s="208"/>
      <c r="AA76" s="271">
        <f t="shared" si="73"/>
        <v>0</v>
      </c>
      <c r="AB76" s="270">
        <f>OCTUBRE!AD76</f>
        <v>0</v>
      </c>
      <c r="AC76" s="208"/>
      <c r="AD76" s="271">
        <f t="shared" si="74"/>
        <v>0</v>
      </c>
      <c r="AE76" s="270">
        <f>OCTUBRE!AG76</f>
        <v>0</v>
      </c>
      <c r="AF76" s="208"/>
      <c r="AG76" s="271">
        <f t="shared" si="75"/>
        <v>0</v>
      </c>
      <c r="AH76" s="270">
        <f t="shared" si="76"/>
        <v>0</v>
      </c>
      <c r="AI76" s="220">
        <f t="shared" si="77"/>
        <v>0</v>
      </c>
      <c r="AJ76" s="269">
        <f t="shared" si="78"/>
        <v>0</v>
      </c>
      <c r="AK76" s="101"/>
      <c r="AL76" s="204">
        <v>0</v>
      </c>
      <c r="AM76" s="210">
        <v>0</v>
      </c>
    </row>
    <row r="77" spans="1:39" ht="24.75" customHeight="1">
      <c r="A77" s="202" t="str">
        <f>+IF(OCTUBRE!A77=0,"",OCTUBRE!A77)</f>
        <v>1.1.02.05.001.09.02.07.99</v>
      </c>
      <c r="B77" s="331" t="str">
        <f>+IF(OCTUBRE!B77=0,"",OCTUBRE!B77)</f>
        <v>Vigencia Anterior</v>
      </c>
      <c r="C77" s="204">
        <f>+ENERO!C77</f>
        <v>107653987</v>
      </c>
      <c r="D77" s="205">
        <f>OCTUBRE!D77+NOVIEMBRE!P77</f>
        <v>0</v>
      </c>
      <c r="E77" s="205">
        <f>OCTUBRE!E77+NOVIEMBRE!Q77</f>
        <v>0</v>
      </c>
      <c r="F77" s="205">
        <f>SUM(C77:E77)</f>
        <v>107653987</v>
      </c>
      <c r="G77" s="205">
        <f>OCTUBRE!I77</f>
        <v>271176998</v>
      </c>
      <c r="H77" s="208"/>
      <c r="I77" s="205">
        <f>SUM(G77:H77)</f>
        <v>271176998</v>
      </c>
      <c r="J77" s="205">
        <f>OCTUBRE!L77</f>
        <v>271176998</v>
      </c>
      <c r="K77" s="208"/>
      <c r="L77" s="205">
        <f>SUM(J77:K77)</f>
        <v>271176998</v>
      </c>
      <c r="M77" s="205">
        <f>F77-I77</f>
        <v>-163523011</v>
      </c>
      <c r="N77" s="206">
        <f>F77-L77</f>
        <v>-163523011</v>
      </c>
      <c r="O77" s="67"/>
      <c r="P77" s="204">
        <v>0</v>
      </c>
      <c r="Q77" s="210"/>
      <c r="R77" s="101"/>
      <c r="S77" s="311" t="str">
        <f>+IF(OCTUBRE!S77=0,"",OCTUBRE!S77)</f>
        <v>1010104-8</v>
      </c>
      <c r="T77" s="312" t="str">
        <f>+IF(OCTUBRE!T77=0,"",OCTUBRE!T77)</f>
        <v>Indemnizaciones por Vacaciones o Supresión de Cargos por Reestructuración</v>
      </c>
      <c r="U77" s="373">
        <f>+ENERO!U77</f>
        <v>0</v>
      </c>
      <c r="V77" s="220">
        <f>OCTUBRE!V77+NOVIEMBRE!AL77</f>
        <v>0</v>
      </c>
      <c r="W77" s="220">
        <f>OCTUBRE!W77+NOVIEMBRE!AM77</f>
        <v>0</v>
      </c>
      <c r="X77" s="271">
        <f t="shared" si="72"/>
        <v>0</v>
      </c>
      <c r="Y77" s="270">
        <f>OCTUBRE!AA77</f>
        <v>0</v>
      </c>
      <c r="Z77" s="208"/>
      <c r="AA77" s="271">
        <f t="shared" si="73"/>
        <v>0</v>
      </c>
      <c r="AB77" s="270">
        <f>OCTUBRE!AD77</f>
        <v>0</v>
      </c>
      <c r="AC77" s="208"/>
      <c r="AD77" s="271">
        <f t="shared" si="74"/>
        <v>0</v>
      </c>
      <c r="AE77" s="270">
        <f>OCTUBRE!AG77</f>
        <v>0</v>
      </c>
      <c r="AF77" s="208"/>
      <c r="AG77" s="271">
        <f t="shared" si="75"/>
        <v>0</v>
      </c>
      <c r="AH77" s="270">
        <f t="shared" si="76"/>
        <v>0</v>
      </c>
      <c r="AI77" s="220">
        <f t="shared" si="77"/>
        <v>0</v>
      </c>
      <c r="AJ77" s="269">
        <f t="shared" si="78"/>
        <v>0</v>
      </c>
      <c r="AK77" s="101"/>
      <c r="AL77" s="204">
        <v>0</v>
      </c>
      <c r="AM77" s="210">
        <v>0</v>
      </c>
    </row>
    <row r="78" spans="1:39" ht="24.75" customHeight="1">
      <c r="A78" s="286" t="str">
        <f>+IF(OCTUBRE!A78=0,"",OCTUBRE!A78)</f>
        <v>1.1.02.05.001.09.02.13-1</v>
      </c>
      <c r="B78" s="319" t="str">
        <f>+IF(OCTUBRE!B78=0,"",OCTUBRE!B78)</f>
        <v>PARTICULARES   (Venta de Contado)</v>
      </c>
      <c r="C78" s="288">
        <f>SUM(C79:C80)</f>
        <v>681131551</v>
      </c>
      <c r="D78" s="320">
        <f>SUM(D79:D80)</f>
        <v>0</v>
      </c>
      <c r="E78" s="320">
        <f>SUM(E79:E80)</f>
        <v>0</v>
      </c>
      <c r="F78" s="320">
        <f>SUM(C78:E78)</f>
        <v>681131551</v>
      </c>
      <c r="G78" s="320">
        <f>SUM(G79:G80)</f>
        <v>260920739</v>
      </c>
      <c r="H78" s="320">
        <f>SUM(H79:H80)</f>
        <v>3486500</v>
      </c>
      <c r="I78" s="320">
        <f>SUM(G78:H78)</f>
        <v>264407239</v>
      </c>
      <c r="J78" s="320">
        <f>SUM(J79:J80)</f>
        <v>108419284</v>
      </c>
      <c r="K78" s="320">
        <f>SUM(K79:K80)</f>
        <v>14522900</v>
      </c>
      <c r="L78" s="320">
        <f>SUM(J78:K78)</f>
        <v>122942184</v>
      </c>
      <c r="M78" s="320">
        <f>F78-I78</f>
        <v>416724312</v>
      </c>
      <c r="N78" s="289">
        <f>F78-L78</f>
        <v>558189367</v>
      </c>
      <c r="O78" s="67"/>
      <c r="P78" s="288">
        <f>SUM(P79:P80)</f>
        <v>0</v>
      </c>
      <c r="Q78" s="289">
        <f>SUM(Q79:Q80)</f>
        <v>0</v>
      </c>
      <c r="R78" s="101"/>
      <c r="S78" s="311" t="str">
        <f>+IF(OCTUBRE!S78=0,"",OCTUBRE!S78)</f>
        <v>1010104-9</v>
      </c>
      <c r="T78" s="312" t="str">
        <f>+IF(OCTUBRE!T78=0,"",OCTUBRE!T78)</f>
        <v/>
      </c>
      <c r="U78" s="373">
        <f>+ENERO!U78</f>
        <v>0</v>
      </c>
      <c r="V78" s="220">
        <f>OCTUBRE!V78+NOVIEMBRE!AL78</f>
        <v>0</v>
      </c>
      <c r="W78" s="220">
        <f>OCTUBRE!W78+NOVIEMBRE!AM78</f>
        <v>0</v>
      </c>
      <c r="X78" s="271">
        <f t="shared" si="72"/>
        <v>0</v>
      </c>
      <c r="Y78" s="270">
        <f>OCTUBRE!AA78</f>
        <v>0</v>
      </c>
      <c r="Z78" s="208"/>
      <c r="AA78" s="271">
        <f t="shared" si="73"/>
        <v>0</v>
      </c>
      <c r="AB78" s="270">
        <f>OCTUBRE!AD78</f>
        <v>0</v>
      </c>
      <c r="AC78" s="208"/>
      <c r="AD78" s="271">
        <f t="shared" si="74"/>
        <v>0</v>
      </c>
      <c r="AE78" s="270">
        <f>OCTUBRE!AG78</f>
        <v>0</v>
      </c>
      <c r="AF78" s="208"/>
      <c r="AG78" s="271">
        <f t="shared" si="75"/>
        <v>0</v>
      </c>
      <c r="AH78" s="270">
        <f t="shared" si="76"/>
        <v>0</v>
      </c>
      <c r="AI78" s="220">
        <f t="shared" si="77"/>
        <v>0</v>
      </c>
      <c r="AJ78" s="269">
        <f t="shared" si="78"/>
        <v>0</v>
      </c>
      <c r="AK78" s="101"/>
      <c r="AL78" s="204">
        <v>0</v>
      </c>
      <c r="AM78" s="210">
        <v>0</v>
      </c>
    </row>
    <row r="79" spans="1:39" ht="24.75" customHeight="1">
      <c r="A79" s="202" t="str">
        <f>+IF(OCTUBRE!A79=0,"",OCTUBRE!A79)</f>
        <v>1.1.02.05.001.09.02.13-1</v>
      </c>
      <c r="B79" s="331" t="str">
        <f>+CONCATENATE("Vigencia ",INSTRUCCIONES!$F$3)</f>
        <v>Vigencia 2025</v>
      </c>
      <c r="C79" s="204">
        <f>+ENERO!C79</f>
        <v>531131551</v>
      </c>
      <c r="D79" s="205">
        <f>OCTUBRE!D79+NOVIEMBRE!P79</f>
        <v>0</v>
      </c>
      <c r="E79" s="205">
        <f>OCTUBRE!E79+NOVIEMBRE!Q79</f>
        <v>0</v>
      </c>
      <c r="F79" s="205">
        <f>SUM(C79:E79)</f>
        <v>531131551</v>
      </c>
      <c r="G79" s="205">
        <f>OCTUBRE!I79</f>
        <v>229950939</v>
      </c>
      <c r="H79" s="208">
        <v>0</v>
      </c>
      <c r="I79" s="205">
        <f>SUM(G79:H79)</f>
        <v>229950939</v>
      </c>
      <c r="J79" s="205">
        <f>OCTUBRE!L79</f>
        <v>77449484</v>
      </c>
      <c r="K79" s="208">
        <v>11036400</v>
      </c>
      <c r="L79" s="205">
        <f>SUM(J79:K79)</f>
        <v>88485884</v>
      </c>
      <c r="M79" s="205">
        <f>F79-I79</f>
        <v>301180612</v>
      </c>
      <c r="N79" s="206">
        <f>F79-L79</f>
        <v>442645667</v>
      </c>
      <c r="O79" s="67"/>
      <c r="P79" s="204">
        <v>0</v>
      </c>
      <c r="Q79" s="210">
        <v>0</v>
      </c>
      <c r="R79" s="101"/>
      <c r="S79" s="311" t="str">
        <f>+IF(OCTUBRE!S79=0,"",OCTUBRE!S79)</f>
        <v>2.1.1.01.03.001.03-1</v>
      </c>
      <c r="T79" s="312" t="str">
        <f>+IF(OCTUBRE!T79=0,"",OCTUBRE!T79)</f>
        <v>Bonificación Especial por Recreación</v>
      </c>
      <c r="U79" s="373">
        <f>+ENERO!U79</f>
        <v>0</v>
      </c>
      <c r="V79" s="220">
        <f>OCTUBRE!V79+NOVIEMBRE!AL79</f>
        <v>0</v>
      </c>
      <c r="W79" s="220">
        <f>OCTUBRE!W79+NOVIEMBRE!AM79</f>
        <v>0</v>
      </c>
      <c r="X79" s="271">
        <f t="shared" si="72"/>
        <v>0</v>
      </c>
      <c r="Y79" s="270">
        <f>OCTUBRE!AA79</f>
        <v>0</v>
      </c>
      <c r="Z79" s="208"/>
      <c r="AA79" s="271">
        <f t="shared" si="73"/>
        <v>0</v>
      </c>
      <c r="AB79" s="270">
        <f>OCTUBRE!AD79</f>
        <v>0</v>
      </c>
      <c r="AC79" s="208"/>
      <c r="AD79" s="271">
        <f t="shared" si="74"/>
        <v>0</v>
      </c>
      <c r="AE79" s="270">
        <f>OCTUBRE!AG79</f>
        <v>0</v>
      </c>
      <c r="AF79" s="208"/>
      <c r="AG79" s="271">
        <f t="shared" si="75"/>
        <v>0</v>
      </c>
      <c r="AH79" s="270">
        <f t="shared" si="76"/>
        <v>0</v>
      </c>
      <c r="AI79" s="220">
        <f t="shared" si="77"/>
        <v>0</v>
      </c>
      <c r="AJ79" s="269">
        <f t="shared" si="78"/>
        <v>0</v>
      </c>
      <c r="AK79" s="101"/>
      <c r="AL79" s="204">
        <v>0</v>
      </c>
      <c r="AM79" s="210">
        <v>0</v>
      </c>
    </row>
    <row r="80" spans="1:39" ht="24.75" customHeight="1">
      <c r="A80" s="202" t="str">
        <f>+IF(OCTUBRE!A80=0,"",OCTUBRE!A80)</f>
        <v>1.1.02.05.001.09.02.13.99-1</v>
      </c>
      <c r="B80" s="331" t="str">
        <f>+IF(OCTUBRE!B80=0,"",OCTUBRE!B80)</f>
        <v>Vigencia Anterior</v>
      </c>
      <c r="C80" s="204">
        <f>+ENERO!C80</f>
        <v>150000000</v>
      </c>
      <c r="D80" s="205">
        <f>OCTUBRE!D80+NOVIEMBRE!P80</f>
        <v>0</v>
      </c>
      <c r="E80" s="205">
        <f>OCTUBRE!E80+NOVIEMBRE!Q80</f>
        <v>0</v>
      </c>
      <c r="F80" s="205">
        <f>SUM(C80:E80)</f>
        <v>150000000</v>
      </c>
      <c r="G80" s="205">
        <f>OCTUBRE!I80</f>
        <v>30969800</v>
      </c>
      <c r="H80" s="208">
        <v>3486500</v>
      </c>
      <c r="I80" s="205">
        <f>SUM(G80:H80)</f>
        <v>34456300</v>
      </c>
      <c r="J80" s="205">
        <f>OCTUBRE!L80</f>
        <v>30969800</v>
      </c>
      <c r="K80" s="208">
        <v>3486500</v>
      </c>
      <c r="L80" s="205">
        <f>SUM(J80:K80)</f>
        <v>34456300</v>
      </c>
      <c r="M80" s="205">
        <f>F80-I80</f>
        <v>115543700</v>
      </c>
      <c r="N80" s="206">
        <f>F80-L80</f>
        <v>115543700</v>
      </c>
      <c r="O80" s="67"/>
      <c r="P80" s="204">
        <v>0</v>
      </c>
      <c r="Q80" s="210">
        <v>0</v>
      </c>
      <c r="R80" s="101"/>
      <c r="S80" s="311" t="str">
        <f>+IF(OCTUBRE!S80=0,"",OCTUBRE!S80)</f>
        <v>2.1.1.01.03.001.01-1</v>
      </c>
      <c r="T80" s="312" t="str">
        <f>+IF(OCTUBRE!T80=0,"",OCTUBRE!T80)</f>
        <v>Vacaciones</v>
      </c>
      <c r="U80" s="373">
        <f>+ENERO!U80</f>
        <v>0</v>
      </c>
      <c r="V80" s="220">
        <f>OCTUBRE!V80+NOVIEMBRE!AL80</f>
        <v>0</v>
      </c>
      <c r="W80" s="220">
        <f>OCTUBRE!W80+NOVIEMBRE!AM80</f>
        <v>0</v>
      </c>
      <c r="X80" s="271">
        <f t="shared" si="72"/>
        <v>0</v>
      </c>
      <c r="Y80" s="270">
        <f>OCTUBRE!AA80</f>
        <v>0</v>
      </c>
      <c r="Z80" s="208"/>
      <c r="AA80" s="271">
        <f t="shared" si="73"/>
        <v>0</v>
      </c>
      <c r="AB80" s="270">
        <f>OCTUBRE!AD80</f>
        <v>0</v>
      </c>
      <c r="AC80" s="208"/>
      <c r="AD80" s="271">
        <f t="shared" si="74"/>
        <v>0</v>
      </c>
      <c r="AE80" s="270">
        <f>OCTUBRE!AG80</f>
        <v>0</v>
      </c>
      <c r="AF80" s="208"/>
      <c r="AG80" s="271">
        <f t="shared" si="75"/>
        <v>0</v>
      </c>
      <c r="AH80" s="270">
        <f t="shared" si="76"/>
        <v>0</v>
      </c>
      <c r="AI80" s="220">
        <f t="shared" si="77"/>
        <v>0</v>
      </c>
      <c r="AJ80" s="269">
        <f t="shared" si="78"/>
        <v>0</v>
      </c>
      <c r="AK80" s="101"/>
      <c r="AL80" s="204">
        <v>0</v>
      </c>
      <c r="AM80" s="210">
        <v>0</v>
      </c>
    </row>
    <row r="81" spans="1:39" ht="24.75" customHeight="1">
      <c r="A81" s="286" t="str">
        <f>+IF(OCTUBRE!A81=0,"",OCTUBRE!A81)</f>
        <v>1.1.02.05.001.09.02.08</v>
      </c>
      <c r="B81" s="319" t="str">
        <f>+IF(OCTUBRE!B81=0,"",OCTUBRE!B81)</f>
        <v>POLICIA NACIONAL</v>
      </c>
      <c r="C81" s="288">
        <f>ENERO!C81</f>
        <v>386698320</v>
      </c>
      <c r="D81" s="320">
        <f t="shared" ref="D81:N81" si="81">SUM(D82:D83)</f>
        <v>0</v>
      </c>
      <c r="E81" s="320">
        <f t="shared" si="81"/>
        <v>0</v>
      </c>
      <c r="F81" s="320">
        <f t="shared" si="81"/>
        <v>386698320</v>
      </c>
      <c r="G81" s="320">
        <f t="shared" si="81"/>
        <v>336411164</v>
      </c>
      <c r="H81" s="320">
        <f t="shared" si="81"/>
        <v>25542468</v>
      </c>
      <c r="I81" s="320">
        <f t="shared" si="81"/>
        <v>361953632</v>
      </c>
      <c r="J81" s="320">
        <f t="shared" si="81"/>
        <v>263195241</v>
      </c>
      <c r="K81" s="320">
        <f t="shared" si="81"/>
        <v>19798337</v>
      </c>
      <c r="L81" s="320">
        <f t="shared" si="81"/>
        <v>282993578</v>
      </c>
      <c r="M81" s="320">
        <f t="shared" si="81"/>
        <v>24744688</v>
      </c>
      <c r="N81" s="289">
        <f t="shared" si="81"/>
        <v>103704742</v>
      </c>
      <c r="O81" s="67"/>
      <c r="P81" s="288">
        <f>SUM(P82:P83)</f>
        <v>0</v>
      </c>
      <c r="Q81" s="289">
        <f>SUM(Q82:Q83)</f>
        <v>0</v>
      </c>
      <c r="R81" s="101"/>
      <c r="S81" s="266" t="str">
        <f>+IF(OCTUBRE!S81=0,"",OCTUBRE!S81)</f>
        <v>2.1.2.02.02.009.902.99</v>
      </c>
      <c r="T81" s="267" t="str">
        <f>+IF(OCTUBRE!T81=0,"",OCTUBRE!T81)</f>
        <v>Vigencias Anteriores</v>
      </c>
      <c r="U81" s="373">
        <f>+ENERO!U81</f>
        <v>0</v>
      </c>
      <c r="V81" s="220">
        <f>OCTUBRE!V81+NOVIEMBRE!AL81</f>
        <v>0</v>
      </c>
      <c r="W81" s="220">
        <f>OCTUBRE!W81+NOVIEMBRE!AM81</f>
        <v>0</v>
      </c>
      <c r="X81" s="271">
        <f t="shared" si="72"/>
        <v>0</v>
      </c>
      <c r="Y81" s="270">
        <f>OCTUBRE!AA81</f>
        <v>0</v>
      </c>
      <c r="Z81" s="208"/>
      <c r="AA81" s="271">
        <f t="shared" si="73"/>
        <v>0</v>
      </c>
      <c r="AB81" s="270">
        <f>OCTUBRE!AD81</f>
        <v>0</v>
      </c>
      <c r="AC81" s="208"/>
      <c r="AD81" s="271">
        <f t="shared" si="74"/>
        <v>0</v>
      </c>
      <c r="AE81" s="270">
        <f>OCTUBRE!AG81</f>
        <v>0</v>
      </c>
      <c r="AF81" s="208"/>
      <c r="AG81" s="271">
        <f t="shared" si="75"/>
        <v>0</v>
      </c>
      <c r="AH81" s="270">
        <f t="shared" si="76"/>
        <v>0</v>
      </c>
      <c r="AI81" s="220">
        <f t="shared" si="77"/>
        <v>0</v>
      </c>
      <c r="AJ81" s="269">
        <f t="shared" si="78"/>
        <v>0</v>
      </c>
      <c r="AK81" s="101"/>
      <c r="AL81" s="204"/>
      <c r="AM81" s="210"/>
    </row>
    <row r="82" spans="1:39" ht="24.75" customHeight="1">
      <c r="A82" s="202" t="str">
        <f>+IF(OCTUBRE!A82=0,"",OCTUBRE!A82)</f>
        <v>1.1.02.05.001.09.02.08</v>
      </c>
      <c r="B82" s="331" t="str">
        <f>+CONCATENATE("Vigencia ",INSTRUCCIONES!$F$3)</f>
        <v>Vigencia 2025</v>
      </c>
      <c r="C82" s="204">
        <f>+ENERO!C82</f>
        <v>376911385</v>
      </c>
      <c r="D82" s="205">
        <f>OCTUBRE!D82+NOVIEMBRE!P82</f>
        <v>0</v>
      </c>
      <c r="E82" s="205">
        <f>OCTUBRE!E82+NOVIEMBRE!Q82</f>
        <v>0</v>
      </c>
      <c r="F82" s="205">
        <f>SUM(C82:E82)</f>
        <v>376911385</v>
      </c>
      <c r="G82" s="205">
        <f>OCTUBRE!I82</f>
        <v>194292021</v>
      </c>
      <c r="H82" s="208">
        <v>24314902</v>
      </c>
      <c r="I82" s="205">
        <f>SUM(G82:H82)</f>
        <v>218606923</v>
      </c>
      <c r="J82" s="205">
        <f>OCTUBRE!L82</f>
        <v>121076098</v>
      </c>
      <c r="K82" s="208">
        <v>18570771</v>
      </c>
      <c r="L82" s="205">
        <f>SUM(J82:K82)</f>
        <v>139646869</v>
      </c>
      <c r="M82" s="205">
        <f>F82-I82</f>
        <v>158304462</v>
      </c>
      <c r="N82" s="206">
        <f>F82-L82</f>
        <v>237264516</v>
      </c>
      <c r="O82" s="67"/>
      <c r="P82" s="204">
        <v>0</v>
      </c>
      <c r="Q82" s="210"/>
      <c r="R82" s="101"/>
      <c r="S82" s="189" t="str">
        <f>+IF(OCTUBRE!S82=0,"",OCTUBRE!S82)</f>
        <v/>
      </c>
      <c r="T82" s="488" t="str">
        <f>+IF(OCTUBRE!T82=0,"",OCTUBRE!T82)</f>
        <v/>
      </c>
      <c r="U82" s="191"/>
      <c r="V82" s="191"/>
      <c r="W82" s="191"/>
      <c r="X82" s="191"/>
      <c r="Y82" s="191"/>
      <c r="Z82" s="191"/>
      <c r="AA82" s="191"/>
      <c r="AB82" s="191"/>
      <c r="AC82" s="191"/>
      <c r="AD82" s="191"/>
      <c r="AE82" s="191"/>
      <c r="AF82" s="191"/>
      <c r="AG82" s="191"/>
      <c r="AH82" s="191"/>
      <c r="AI82" s="191"/>
      <c r="AJ82" s="192"/>
      <c r="AK82" s="101"/>
      <c r="AL82" s="370"/>
      <c r="AM82" s="371"/>
    </row>
    <row r="83" spans="1:39" ht="24.75" customHeight="1" thickBot="1">
      <c r="A83" s="202" t="str">
        <f>+IF(OCTUBRE!A83=0,"",OCTUBRE!A83)</f>
        <v>1.1.02.05.001.09.02.08,99</v>
      </c>
      <c r="B83" s="377" t="str">
        <f>+IF(OCTUBRE!B83=0,"",OCTUBRE!B83)</f>
        <v>Vigencia Anterior</v>
      </c>
      <c r="C83" s="242">
        <f>+ENERO!C83</f>
        <v>9786935</v>
      </c>
      <c r="D83" s="243">
        <f>OCTUBRE!D83+NOVIEMBRE!P83</f>
        <v>0</v>
      </c>
      <c r="E83" s="243">
        <f>OCTUBRE!E83+NOVIEMBRE!Q83</f>
        <v>0</v>
      </c>
      <c r="F83" s="243">
        <f>SUM(C83:E83)</f>
        <v>9786935</v>
      </c>
      <c r="G83" s="243">
        <f>OCTUBRE!I83</f>
        <v>142119143</v>
      </c>
      <c r="H83" s="246">
        <v>1227566</v>
      </c>
      <c r="I83" s="243">
        <f>SUM(G83:H83)</f>
        <v>143346709</v>
      </c>
      <c r="J83" s="243">
        <f>OCTUBRE!L83</f>
        <v>142119143</v>
      </c>
      <c r="K83" s="246">
        <v>1227566</v>
      </c>
      <c r="L83" s="243">
        <f>SUM(J83:K83)</f>
        <v>143346709</v>
      </c>
      <c r="M83" s="243">
        <f>F83-I83</f>
        <v>-133559774</v>
      </c>
      <c r="N83" s="244">
        <f>F83-L83</f>
        <v>-133559774</v>
      </c>
      <c r="O83" s="67"/>
      <c r="P83" s="204">
        <v>0</v>
      </c>
      <c r="Q83" s="210"/>
      <c r="R83" s="101"/>
      <c r="S83" s="257">
        <f>+IF(OCTUBRE!S83=0,"",OCTUBRE!S83)</f>
        <v>1020200</v>
      </c>
      <c r="T83" s="546" t="str">
        <f>+IF(OCTUBRE!T83=0,"",OCTUBRE!T83)</f>
        <v>Servicios Personales Indirectos</v>
      </c>
      <c r="U83" s="230">
        <f t="shared" ref="U83:AJ83" si="82">SUM(U84:U88)</f>
        <v>64518803470</v>
      </c>
      <c r="V83" s="231">
        <f t="shared" si="82"/>
        <v>-904000000</v>
      </c>
      <c r="W83" s="231">
        <f t="shared" si="82"/>
        <v>7470635160</v>
      </c>
      <c r="X83" s="234">
        <f t="shared" si="82"/>
        <v>71085438630</v>
      </c>
      <c r="Y83" s="233">
        <f t="shared" si="82"/>
        <v>66094309073</v>
      </c>
      <c r="Z83" s="231">
        <f t="shared" si="82"/>
        <v>4988250000</v>
      </c>
      <c r="AA83" s="234">
        <f t="shared" si="82"/>
        <v>71082559073</v>
      </c>
      <c r="AB83" s="233">
        <f t="shared" si="82"/>
        <v>60772283000</v>
      </c>
      <c r="AC83" s="231">
        <f>SUM(AC84:AC88)</f>
        <v>4814794874</v>
      </c>
      <c r="AD83" s="234">
        <f t="shared" si="82"/>
        <v>65587077874</v>
      </c>
      <c r="AE83" s="233">
        <f t="shared" si="82"/>
        <v>44529667485</v>
      </c>
      <c r="AF83" s="231">
        <f>SUM(AF84:AF88)</f>
        <v>5389604696</v>
      </c>
      <c r="AG83" s="234">
        <f t="shared" si="82"/>
        <v>49919272181</v>
      </c>
      <c r="AH83" s="233">
        <f t="shared" si="82"/>
        <v>2879557</v>
      </c>
      <c r="AI83" s="231">
        <f t="shared" si="82"/>
        <v>5498360756</v>
      </c>
      <c r="AJ83" s="232">
        <f t="shared" si="82"/>
        <v>21166166449</v>
      </c>
      <c r="AK83" s="101"/>
      <c r="AL83" s="233">
        <f>SUM(AL84:AL88)</f>
        <v>2809000000</v>
      </c>
      <c r="AM83" s="232">
        <f>SUM(AM84:AM88)</f>
        <v>0</v>
      </c>
    </row>
    <row r="84" spans="1:39" ht="24.75" customHeight="1" thickBot="1">
      <c r="A84" s="378" t="str">
        <f>+IF(OCTUBRE!A84=0,"",OCTUBRE!A84)</f>
        <v/>
      </c>
      <c r="B84" s="379" t="str">
        <f>+IF(OCTUBRE!B84=0,"",OCTUBRE!B84)</f>
        <v/>
      </c>
      <c r="C84" s="67"/>
      <c r="D84" s="67"/>
      <c r="E84" s="67"/>
      <c r="F84" s="67"/>
      <c r="G84" s="67"/>
      <c r="H84" s="67"/>
      <c r="I84" s="67"/>
      <c r="J84" s="67"/>
      <c r="K84" s="67"/>
      <c r="L84" s="67"/>
      <c r="M84" s="67"/>
      <c r="N84" s="283"/>
      <c r="O84" s="369"/>
      <c r="P84" s="380"/>
      <c r="Q84" s="254"/>
      <c r="R84" s="101"/>
      <c r="S84" s="266" t="str">
        <f>+IF(OCTUBRE!S84=0,"",OCTUBRE!S84)</f>
        <v>2.1.2.02.02.009.902</v>
      </c>
      <c r="T84" s="267" t="str">
        <f>+IF(OCTUBRE!T84=0,"",OCTUBRE!T84)</f>
        <v>Servicios Personales (Personal Asistencial)</v>
      </c>
      <c r="U84" s="373">
        <f>+ENERO!U84</f>
        <v>55683487770</v>
      </c>
      <c r="V84" s="220">
        <f>OCTUBRE!V84+NOVIEMBRE!AL84</f>
        <v>-2966698533</v>
      </c>
      <c r="W84" s="220">
        <f>OCTUBRE!W84+NOVIEMBRE!AM84</f>
        <v>4562452399</v>
      </c>
      <c r="X84" s="271">
        <f>SUM(U84:W84)</f>
        <v>57279241636</v>
      </c>
      <c r="Y84" s="270">
        <f>OCTUBRE!AA84</f>
        <v>52290793623</v>
      </c>
      <c r="Z84" s="208">
        <v>4988250000</v>
      </c>
      <c r="AA84" s="271">
        <f>SUM(Y84:Z84)</f>
        <v>57279043623</v>
      </c>
      <c r="AB84" s="270">
        <f>OCTUBRE!AD84</f>
        <v>46968767550</v>
      </c>
      <c r="AC84" s="208">
        <v>4814794874</v>
      </c>
      <c r="AD84" s="271">
        <f>SUM(AB84:AC84)</f>
        <v>51783562424</v>
      </c>
      <c r="AE84" s="270">
        <f>OCTUBRE!AG84</f>
        <v>30726152035</v>
      </c>
      <c r="AF84" s="208">
        <v>5389604696</v>
      </c>
      <c r="AG84" s="271">
        <f>SUM(AE84:AF84)</f>
        <v>36115756731</v>
      </c>
      <c r="AH84" s="270">
        <f>X84-AA84</f>
        <v>198013</v>
      </c>
      <c r="AI84" s="220">
        <f>X84-AD84</f>
        <v>5495679212</v>
      </c>
      <c r="AJ84" s="269">
        <f>X84-AG84</f>
        <v>21163484905</v>
      </c>
      <c r="AK84" s="101"/>
      <c r="AL84" s="204">
        <f>2190000000+619000000</f>
        <v>2809000000</v>
      </c>
      <c r="AM84" s="210">
        <v>0</v>
      </c>
    </row>
    <row r="85" spans="1:39" ht="24.75" customHeight="1">
      <c r="A85" s="381" t="str">
        <f>+IF(OCTUBRE!A85=0,"",OCTUBRE!A85)</f>
        <v>1.1.02.05.001.09.02.90</v>
      </c>
      <c r="B85" s="382" t="str">
        <f>+IF(OCTUBRE!B85=0,"",OCTUBRE!B85)</f>
        <v>Otras Ventas de Servicios de Salud</v>
      </c>
      <c r="C85" s="383">
        <f t="shared" ref="C85:N85" si="83">SUM(C86:C92)</f>
        <v>0</v>
      </c>
      <c r="D85" s="384">
        <f t="shared" si="83"/>
        <v>0</v>
      </c>
      <c r="E85" s="384">
        <f t="shared" si="83"/>
        <v>21829565121</v>
      </c>
      <c r="F85" s="384">
        <f t="shared" si="83"/>
        <v>21829565121</v>
      </c>
      <c r="G85" s="384">
        <f t="shared" si="83"/>
        <v>19862997557</v>
      </c>
      <c r="H85" s="384">
        <f t="shared" si="83"/>
        <v>2551452828</v>
      </c>
      <c r="I85" s="384">
        <f t="shared" si="83"/>
        <v>22414450385</v>
      </c>
      <c r="J85" s="384">
        <f t="shared" si="83"/>
        <v>14472855327</v>
      </c>
      <c r="K85" s="384">
        <f t="shared" si="83"/>
        <v>706626165</v>
      </c>
      <c r="L85" s="384">
        <f t="shared" si="83"/>
        <v>15179481492</v>
      </c>
      <c r="M85" s="384">
        <f t="shared" si="83"/>
        <v>-584885264</v>
      </c>
      <c r="N85" s="385">
        <f t="shared" si="83"/>
        <v>6650083629</v>
      </c>
      <c r="O85" s="67"/>
      <c r="P85" s="288">
        <f>SUM(P86:P92)</f>
        <v>0</v>
      </c>
      <c r="Q85" s="289">
        <f>SUM(Q86:Q92)</f>
        <v>108404926</v>
      </c>
      <c r="R85" s="101"/>
      <c r="S85" s="266" t="str">
        <f>+IF(OCTUBRE!S85=0,"",OCTUBRE!S85)</f>
        <v>1020200-2</v>
      </c>
      <c r="T85" s="267" t="str">
        <f>+IF(OCTUBRE!T85=0,"",OCTUBRE!T85)</f>
        <v>Personal Supernumerario</v>
      </c>
      <c r="U85" s="373">
        <f>+ENERO!U85</f>
        <v>0</v>
      </c>
      <c r="V85" s="220">
        <f>OCTUBRE!V85+NOVIEMBRE!AL85</f>
        <v>0</v>
      </c>
      <c r="W85" s="220">
        <f>OCTUBRE!W85+NOVIEMBRE!AM85</f>
        <v>0</v>
      </c>
      <c r="X85" s="271">
        <f>SUM(U85:W85)</f>
        <v>0</v>
      </c>
      <c r="Y85" s="270">
        <f>OCTUBRE!AA85</f>
        <v>0</v>
      </c>
      <c r="Z85" s="208"/>
      <c r="AA85" s="271">
        <f>SUM(Y85:Z85)</f>
        <v>0</v>
      </c>
      <c r="AB85" s="270">
        <f>OCTUBRE!AD85</f>
        <v>0</v>
      </c>
      <c r="AC85" s="208"/>
      <c r="AD85" s="271">
        <f>SUM(AB85:AC85)</f>
        <v>0</v>
      </c>
      <c r="AE85" s="270">
        <f>OCTUBRE!AG85</f>
        <v>0</v>
      </c>
      <c r="AF85" s="208"/>
      <c r="AG85" s="271">
        <f>SUM(AE85:AF85)</f>
        <v>0</v>
      </c>
      <c r="AH85" s="270">
        <f>X85-AA85</f>
        <v>0</v>
      </c>
      <c r="AI85" s="220">
        <f>X85-AD85</f>
        <v>0</v>
      </c>
      <c r="AJ85" s="269">
        <f>X85-AG85</f>
        <v>0</v>
      </c>
      <c r="AK85" s="101"/>
      <c r="AL85" s="204"/>
      <c r="AM85" s="210"/>
    </row>
    <row r="86" spans="1:39" ht="24.75" customHeight="1">
      <c r="A86" s="386" t="str">
        <f>+IF(OCTUBRE!A86=0,"",OCTUBRE!A86)</f>
        <v>1.1.02.05.001.09.02.90.05.99</v>
      </c>
      <c r="B86" s="387" t="str">
        <f>+IF(OCTUBRE!B86=0,"",OCTUBRE!B86)</f>
        <v>Agendamiento y aplicación de la vacuna COVID 19(Res.166/2021) INSTITUCIONAL</v>
      </c>
      <c r="C86" s="268">
        <f>+ENERO!C86</f>
        <v>0</v>
      </c>
      <c r="D86" s="205">
        <f>OCTUBRE!D86+NOVIEMBRE!P86</f>
        <v>0</v>
      </c>
      <c r="E86" s="205">
        <f>OCTUBRE!E86+NOVIEMBRE!Q86</f>
        <v>0</v>
      </c>
      <c r="F86" s="205">
        <f t="shared" ref="F86:F92" si="84">SUM(C86:E86)</f>
        <v>0</v>
      </c>
      <c r="G86" s="205">
        <f>OCTUBRE!I86</f>
        <v>0</v>
      </c>
      <c r="H86" s="208"/>
      <c r="I86" s="205">
        <f t="shared" ref="I86:I92" si="85">SUM(G86:H86)</f>
        <v>0</v>
      </c>
      <c r="J86" s="205">
        <f>OCTUBRE!L86</f>
        <v>0</v>
      </c>
      <c r="K86" s="208"/>
      <c r="L86" s="205">
        <f t="shared" ref="L86:L92" si="86">SUM(J86:K86)</f>
        <v>0</v>
      </c>
      <c r="M86" s="205">
        <f t="shared" ref="M86:M92" si="87">F86-I86</f>
        <v>0</v>
      </c>
      <c r="N86" s="206">
        <f t="shared" ref="N86:N92" si="88">F86-L86</f>
        <v>0</v>
      </c>
      <c r="O86" s="67"/>
      <c r="P86" s="204">
        <v>0</v>
      </c>
      <c r="Q86" s="210"/>
      <c r="R86" s="101"/>
      <c r="S86" s="266" t="str">
        <f>+IF(OCTUBRE!S86=0,"",OCTUBRE!S86)</f>
        <v>1020200-3</v>
      </c>
      <c r="T86" s="267" t="str">
        <f>+IF(OCTUBRE!T86=0,"",OCTUBRE!T86)</f>
        <v>Otros Honorarios</v>
      </c>
      <c r="U86" s="373">
        <f>+ENERO!U86</f>
        <v>0</v>
      </c>
      <c r="V86" s="220">
        <f>OCTUBRE!V86+NOVIEMBRE!AL86</f>
        <v>0</v>
      </c>
      <c r="W86" s="220">
        <f>OCTUBRE!W86+NOVIEMBRE!AM86</f>
        <v>0</v>
      </c>
      <c r="X86" s="271">
        <f>SUM(U86:W86)</f>
        <v>0</v>
      </c>
      <c r="Y86" s="270">
        <f>OCTUBRE!AA86</f>
        <v>0</v>
      </c>
      <c r="Z86" s="208"/>
      <c r="AA86" s="271">
        <f>SUM(Y86:Z86)</f>
        <v>0</v>
      </c>
      <c r="AB86" s="270">
        <f>OCTUBRE!AD86</f>
        <v>0</v>
      </c>
      <c r="AC86" s="208"/>
      <c r="AD86" s="271">
        <f>SUM(AB86:AC86)</f>
        <v>0</v>
      </c>
      <c r="AE86" s="270">
        <f>OCTUBRE!AG86</f>
        <v>0</v>
      </c>
      <c r="AF86" s="208"/>
      <c r="AG86" s="271">
        <f>SUM(AE86:AF86)</f>
        <v>0</v>
      </c>
      <c r="AH86" s="270">
        <f>X86-AA86</f>
        <v>0</v>
      </c>
      <c r="AI86" s="220">
        <f>X86-AD86</f>
        <v>0</v>
      </c>
      <c r="AJ86" s="269">
        <f>X86-AG86</f>
        <v>0</v>
      </c>
      <c r="AK86" s="101"/>
      <c r="AL86" s="204"/>
      <c r="AM86" s="210"/>
    </row>
    <row r="87" spans="1:39" ht="24.75" customHeight="1">
      <c r="A87" s="386">
        <f>+IF(OCTUBRE!A87=0,"",OCTUBRE!A87)</f>
        <v>1130202</v>
      </c>
      <c r="B87" s="387">
        <f>+IF(OCTUBRE!B87=0,"",OCTUBRE!B87)</f>
        <v>1130202</v>
      </c>
      <c r="C87" s="268">
        <f>+ENERO!C87</f>
        <v>0</v>
      </c>
      <c r="D87" s="205">
        <f>OCTUBRE!D87+NOVIEMBRE!P87</f>
        <v>0</v>
      </c>
      <c r="E87" s="205">
        <f>OCTUBRE!E87+NOVIEMBRE!Q87</f>
        <v>0</v>
      </c>
      <c r="F87" s="205">
        <f t="shared" si="84"/>
        <v>0</v>
      </c>
      <c r="G87" s="205">
        <f>OCTUBRE!I87</f>
        <v>0</v>
      </c>
      <c r="H87" s="208"/>
      <c r="I87" s="205">
        <f t="shared" si="85"/>
        <v>0</v>
      </c>
      <c r="J87" s="205">
        <f>OCTUBRE!L87</f>
        <v>0</v>
      </c>
      <c r="K87" s="208"/>
      <c r="L87" s="205">
        <f t="shared" si="86"/>
        <v>0</v>
      </c>
      <c r="M87" s="205">
        <f t="shared" si="87"/>
        <v>0</v>
      </c>
      <c r="N87" s="206">
        <f t="shared" si="88"/>
        <v>0</v>
      </c>
      <c r="O87" s="67"/>
      <c r="P87" s="204">
        <v>0</v>
      </c>
      <c r="Q87" s="210"/>
      <c r="R87" s="101"/>
      <c r="S87" s="266" t="str">
        <f>+IF(OCTUBRE!S87=0,"",OCTUBRE!S87)</f>
        <v>1020200-4</v>
      </c>
      <c r="T87" s="267" t="str">
        <f>+IF(OCTUBRE!T87=0,"",OCTUBRE!T87)</f>
        <v>Otros Honorarios</v>
      </c>
      <c r="U87" s="373">
        <f>+ENERO!U87</f>
        <v>0</v>
      </c>
      <c r="V87" s="220">
        <f>OCTUBRE!V87+NOVIEMBRE!AL87</f>
        <v>0</v>
      </c>
      <c r="W87" s="220">
        <f>OCTUBRE!W87+NOVIEMBRE!AM87</f>
        <v>0</v>
      </c>
      <c r="X87" s="271">
        <f>SUM(U87:W87)</f>
        <v>0</v>
      </c>
      <c r="Y87" s="270">
        <f>OCTUBRE!AA87</f>
        <v>0</v>
      </c>
      <c r="Z87" s="208"/>
      <c r="AA87" s="271">
        <f>SUM(Y87:Z87)</f>
        <v>0</v>
      </c>
      <c r="AB87" s="270">
        <f>OCTUBRE!AD87</f>
        <v>0</v>
      </c>
      <c r="AC87" s="208"/>
      <c r="AD87" s="271">
        <f>SUM(AB87:AC87)</f>
        <v>0</v>
      </c>
      <c r="AE87" s="270">
        <f>OCTUBRE!AG87</f>
        <v>0</v>
      </c>
      <c r="AF87" s="208"/>
      <c r="AG87" s="271">
        <f>SUM(AE87:AF87)</f>
        <v>0</v>
      </c>
      <c r="AH87" s="270">
        <f>X87-AA87</f>
        <v>0</v>
      </c>
      <c r="AI87" s="220">
        <f>X87-AD87</f>
        <v>0</v>
      </c>
      <c r="AJ87" s="269">
        <f>X87-AG87</f>
        <v>0</v>
      </c>
      <c r="AK87" s="101"/>
      <c r="AL87" s="204"/>
      <c r="AM87" s="210"/>
    </row>
    <row r="88" spans="1:39" ht="24.75" customHeight="1">
      <c r="A88" s="386" t="str">
        <f>+IF(OCTUBRE!A88=0,"",OCTUBRE!A88)</f>
        <v>1.1.02.05.001.08</v>
      </c>
      <c r="B88" s="388" t="str">
        <f>+IF(OCTUBRE!B88=0,"",OCTUBRE!B88)</f>
        <v>Servicios Prestados a las empresas y servicios de produccion</v>
      </c>
      <c r="C88" s="268">
        <f>+ENERO!C88</f>
        <v>0</v>
      </c>
      <c r="D88" s="205">
        <f>OCTUBRE!D88+NOVIEMBRE!P88</f>
        <v>0</v>
      </c>
      <c r="E88" s="205">
        <f>OCTUBRE!E88+NOVIEMBRE!Q88</f>
        <v>2337265046</v>
      </c>
      <c r="F88" s="205">
        <f t="shared" si="84"/>
        <v>2337265046</v>
      </c>
      <c r="G88" s="205">
        <f>OCTUBRE!I88</f>
        <v>2337265046</v>
      </c>
      <c r="H88" s="208">
        <v>575120000</v>
      </c>
      <c r="I88" s="205">
        <f t="shared" si="85"/>
        <v>2912385046</v>
      </c>
      <c r="J88" s="205">
        <f>OCTUBRE!L88</f>
        <v>2278833420</v>
      </c>
      <c r="K88" s="208">
        <v>0</v>
      </c>
      <c r="L88" s="205">
        <f t="shared" si="86"/>
        <v>2278833420</v>
      </c>
      <c r="M88" s="205">
        <f t="shared" si="87"/>
        <v>-575120000</v>
      </c>
      <c r="N88" s="206">
        <f t="shared" si="88"/>
        <v>58431626</v>
      </c>
      <c r="O88" s="67"/>
      <c r="P88" s="204">
        <v>0</v>
      </c>
      <c r="Q88" s="210"/>
      <c r="R88" s="101"/>
      <c r="S88" s="266" t="str">
        <f>+IF(OCTUBRE!S88=0,"",OCTUBRE!S88)</f>
        <v>2.1.2.02.02.009.99.01</v>
      </c>
      <c r="T88" s="267" t="str">
        <f>+IF(OCTUBRE!T88=0,"",OCTUBRE!T88)</f>
        <v>Vigencias Anteriores</v>
      </c>
      <c r="U88" s="373">
        <f>+ENERO!U88</f>
        <v>8835315700</v>
      </c>
      <c r="V88" s="220">
        <f>OCTUBRE!V88+NOVIEMBRE!AL88</f>
        <v>2062698533</v>
      </c>
      <c r="W88" s="220">
        <f>OCTUBRE!W88+NOVIEMBRE!AM88</f>
        <v>2908182761</v>
      </c>
      <c r="X88" s="271">
        <f>SUM(U88:W88)</f>
        <v>13806196994</v>
      </c>
      <c r="Y88" s="270">
        <f>OCTUBRE!AA88</f>
        <v>13803515450</v>
      </c>
      <c r="Z88" s="208"/>
      <c r="AA88" s="271">
        <f>SUM(Y88:Z88)</f>
        <v>13803515450</v>
      </c>
      <c r="AB88" s="270">
        <f>OCTUBRE!AD88</f>
        <v>13803515450</v>
      </c>
      <c r="AC88" s="208"/>
      <c r="AD88" s="271">
        <f>SUM(AB88:AC88)</f>
        <v>13803515450</v>
      </c>
      <c r="AE88" s="270">
        <f>OCTUBRE!AG88</f>
        <v>13803515450</v>
      </c>
      <c r="AF88" s="208"/>
      <c r="AG88" s="271">
        <f>SUM(AE88:AF88)</f>
        <v>13803515450</v>
      </c>
      <c r="AH88" s="270">
        <f>X88-AA88</f>
        <v>2681544</v>
      </c>
      <c r="AI88" s="220">
        <f>X88-AD88</f>
        <v>2681544</v>
      </c>
      <c r="AJ88" s="269">
        <f>X88-AG88</f>
        <v>2681544</v>
      </c>
      <c r="AK88" s="101"/>
      <c r="AL88" s="204">
        <v>0</v>
      </c>
      <c r="AM88" s="210"/>
    </row>
    <row r="89" spans="1:39" ht="24.75" customHeight="1">
      <c r="A89" s="386" t="str">
        <f>+IF(OCTUBRE!A89=0,"",OCTUBRE!A89)</f>
        <v>1.1.02.05.001.09.02.90.04</v>
      </c>
      <c r="B89" s="388" t="str">
        <f>+IF(OCTUBRE!B89=0,"",OCTUBRE!B89)</f>
        <v>CONVENIOS CON EL DEPARTAMENTO LIGADOS A LA VENTA SERVICIOS</v>
      </c>
      <c r="C89" s="268">
        <f>+ENERO!C89</f>
        <v>0</v>
      </c>
      <c r="D89" s="205">
        <f>OCTUBRE!D89+NOVIEMBRE!P89</f>
        <v>0</v>
      </c>
      <c r="E89" s="205">
        <f>OCTUBRE!E89+NOVIEMBRE!Q89</f>
        <v>9574697797</v>
      </c>
      <c r="F89" s="205">
        <f t="shared" si="84"/>
        <v>9574697797</v>
      </c>
      <c r="G89" s="205">
        <f>OCTUBRE!I89</f>
        <v>8627212532</v>
      </c>
      <c r="H89" s="208">
        <v>706626165</v>
      </c>
      <c r="I89" s="205">
        <f t="shared" si="85"/>
        <v>9333838697</v>
      </c>
      <c r="J89" s="205">
        <f>OCTUBRE!L89</f>
        <v>8602491028</v>
      </c>
      <c r="K89" s="208">
        <v>706626165</v>
      </c>
      <c r="L89" s="205">
        <f t="shared" si="86"/>
        <v>9309117193</v>
      </c>
      <c r="M89" s="205">
        <f t="shared" si="87"/>
        <v>240859100</v>
      </c>
      <c r="N89" s="206">
        <f t="shared" si="88"/>
        <v>265580604</v>
      </c>
      <c r="O89" s="67"/>
      <c r="P89" s="204">
        <v>0</v>
      </c>
      <c r="Q89" s="210"/>
      <c r="R89" s="101"/>
      <c r="S89" s="189" t="str">
        <f>+IF(OCTUBRE!S89=0,"",OCTUBRE!S89)</f>
        <v/>
      </c>
      <c r="T89" s="488" t="str">
        <f>+IF(OCTUBRE!T89=0,"",OCTUBRE!T89)</f>
        <v/>
      </c>
      <c r="U89" s="191"/>
      <c r="V89" s="191"/>
      <c r="W89" s="191"/>
      <c r="X89" s="191"/>
      <c r="Y89" s="191"/>
      <c r="Z89" s="191"/>
      <c r="AA89" s="191"/>
      <c r="AB89" s="191"/>
      <c r="AC89" s="191"/>
      <c r="AD89" s="191"/>
      <c r="AE89" s="191"/>
      <c r="AF89" s="191"/>
      <c r="AG89" s="191"/>
      <c r="AH89" s="191"/>
      <c r="AI89" s="191"/>
      <c r="AJ89" s="192"/>
      <c r="AK89" s="101"/>
      <c r="AL89" s="370"/>
      <c r="AM89" s="371"/>
    </row>
    <row r="90" spans="1:39" ht="24.75" customHeight="1">
      <c r="A90" s="386" t="str">
        <f>+IF(OCTUBRE!A90=0,"",OCTUBRE!A90)</f>
        <v>1.1.02.05.001.09.02.18.03</v>
      </c>
      <c r="B90" s="388" t="str">
        <f>+IF(OCTUBRE!B90=0,"",OCTUBRE!B90)</f>
        <v xml:space="preserve">CONVENIOS CON EL MUNICIPIO LIGADOS A LA VENTA DE SERVICIOS </v>
      </c>
      <c r="C90" s="268">
        <f>+ENERO!C90</f>
        <v>0</v>
      </c>
      <c r="D90" s="205">
        <f>OCTUBRE!D90+NOVIEMBRE!P90</f>
        <v>0</v>
      </c>
      <c r="E90" s="205">
        <f>OCTUBRE!E90+NOVIEMBRE!Q90</f>
        <v>9917602278</v>
      </c>
      <c r="F90" s="205">
        <f t="shared" si="84"/>
        <v>9917602278</v>
      </c>
      <c r="G90" s="205">
        <f>OCTUBRE!I90</f>
        <v>8898519979</v>
      </c>
      <c r="H90" s="208">
        <f>400000000+703040000+166666663</f>
        <v>1269706663</v>
      </c>
      <c r="I90" s="205">
        <f t="shared" si="85"/>
        <v>10168226642</v>
      </c>
      <c r="J90" s="205">
        <f>OCTUBRE!L90</f>
        <v>3591530879</v>
      </c>
      <c r="K90" s="208"/>
      <c r="L90" s="205">
        <f t="shared" si="86"/>
        <v>3591530879</v>
      </c>
      <c r="M90" s="205">
        <f t="shared" si="87"/>
        <v>-250624364</v>
      </c>
      <c r="N90" s="206">
        <f t="shared" si="88"/>
        <v>6326071399</v>
      </c>
      <c r="O90" s="67"/>
      <c r="P90" s="204">
        <v>0</v>
      </c>
      <c r="Q90" s="210">
        <v>108404926</v>
      </c>
      <c r="R90" s="389"/>
      <c r="S90" s="257">
        <f>+IF(OCTUBRE!S90=0,"",OCTUBRE!S90)</f>
        <v>1020300</v>
      </c>
      <c r="T90" s="546" t="str">
        <f>+IF(OCTUBRE!T90=0,"",OCTUBRE!T90)</f>
        <v>Contribuciones Inherentes nómina al Sector Privado</v>
      </c>
      <c r="U90" s="230">
        <f t="shared" ref="U90:AJ90" si="89">U91+U96+U102</f>
        <v>0</v>
      </c>
      <c r="V90" s="231">
        <f t="shared" si="89"/>
        <v>0</v>
      </c>
      <c r="W90" s="231">
        <f t="shared" si="89"/>
        <v>0</v>
      </c>
      <c r="X90" s="234">
        <f t="shared" si="89"/>
        <v>0</v>
      </c>
      <c r="Y90" s="233">
        <f t="shared" si="89"/>
        <v>0</v>
      </c>
      <c r="Z90" s="231">
        <f t="shared" si="89"/>
        <v>0</v>
      </c>
      <c r="AA90" s="234">
        <f t="shared" si="89"/>
        <v>0</v>
      </c>
      <c r="AB90" s="233">
        <f t="shared" si="89"/>
        <v>0</v>
      </c>
      <c r="AC90" s="231">
        <f>AC91+AC96+AC102</f>
        <v>0</v>
      </c>
      <c r="AD90" s="234">
        <f t="shared" si="89"/>
        <v>0</v>
      </c>
      <c r="AE90" s="233">
        <f t="shared" si="89"/>
        <v>0</v>
      </c>
      <c r="AF90" s="231">
        <f>AF91+AF96+AF102</f>
        <v>0</v>
      </c>
      <c r="AG90" s="234">
        <f t="shared" si="89"/>
        <v>0</v>
      </c>
      <c r="AH90" s="233">
        <f t="shared" si="89"/>
        <v>0</v>
      </c>
      <c r="AI90" s="231">
        <f t="shared" si="89"/>
        <v>0</v>
      </c>
      <c r="AJ90" s="232">
        <f t="shared" si="89"/>
        <v>0</v>
      </c>
      <c r="AK90" s="101"/>
      <c r="AL90" s="233">
        <f>AL91+AL96+AL102</f>
        <v>0</v>
      </c>
      <c r="AM90" s="232">
        <f>AM91+AM96+AM102</f>
        <v>0</v>
      </c>
    </row>
    <row r="91" spans="1:39" ht="24.75" customHeight="1">
      <c r="A91" s="386">
        <f>+IF(OCTUBRE!A91=0,"",OCTUBRE!A91)</f>
        <v>1130206</v>
      </c>
      <c r="B91" s="388" t="str">
        <f>+IF(OCTUBRE!B91=0,"",OCTUBRE!B91)</f>
        <v>OTROS CONVENIOS LIGADOS A LA VENTA DE SERVICIOS</v>
      </c>
      <c r="C91" s="268">
        <f>+ENERO!C91</f>
        <v>0</v>
      </c>
      <c r="D91" s="205">
        <f>OCTUBRE!D91+NOVIEMBRE!P91</f>
        <v>0</v>
      </c>
      <c r="E91" s="205">
        <f>OCTUBRE!E91+NOVIEMBRE!Q91</f>
        <v>0</v>
      </c>
      <c r="F91" s="205">
        <f t="shared" si="84"/>
        <v>0</v>
      </c>
      <c r="G91" s="205">
        <f>OCTUBRE!I91</f>
        <v>0</v>
      </c>
      <c r="H91" s="208"/>
      <c r="I91" s="205">
        <f t="shared" si="85"/>
        <v>0</v>
      </c>
      <c r="J91" s="205">
        <f>OCTUBRE!L91</f>
        <v>0</v>
      </c>
      <c r="K91" s="208"/>
      <c r="L91" s="205">
        <f t="shared" si="86"/>
        <v>0</v>
      </c>
      <c r="M91" s="205">
        <f t="shared" si="87"/>
        <v>0</v>
      </c>
      <c r="N91" s="206">
        <f t="shared" si="88"/>
        <v>0</v>
      </c>
      <c r="O91" s="67"/>
      <c r="P91" s="204">
        <v>0</v>
      </c>
      <c r="Q91" s="210"/>
      <c r="R91" s="389"/>
      <c r="S91" s="266">
        <f>+IF(OCTUBRE!S91=0,"",OCTUBRE!S91)</f>
        <v>1020301</v>
      </c>
      <c r="T91" s="267" t="str">
        <f>+IF(OCTUBRE!T91=0,"",OCTUBRE!T91)</f>
        <v>Contribuciones - SGP - Aportes Patronales - Cuenta Maestra</v>
      </c>
      <c r="U91" s="373">
        <f t="shared" ref="U91:AJ91" si="90">SUM(U92:U95)</f>
        <v>0</v>
      </c>
      <c r="V91" s="220">
        <f t="shared" si="90"/>
        <v>0</v>
      </c>
      <c r="W91" s="220">
        <f t="shared" si="90"/>
        <v>0</v>
      </c>
      <c r="X91" s="271">
        <f t="shared" si="90"/>
        <v>0</v>
      </c>
      <c r="Y91" s="270">
        <f t="shared" si="90"/>
        <v>0</v>
      </c>
      <c r="Z91" s="300">
        <f t="shared" si="90"/>
        <v>0</v>
      </c>
      <c r="AA91" s="271">
        <f t="shared" si="90"/>
        <v>0</v>
      </c>
      <c r="AB91" s="270">
        <f t="shared" si="90"/>
        <v>0</v>
      </c>
      <c r="AC91" s="300">
        <f>SUM(AC92:AC95)</f>
        <v>0</v>
      </c>
      <c r="AD91" s="271">
        <f t="shared" si="90"/>
        <v>0</v>
      </c>
      <c r="AE91" s="270">
        <f t="shared" si="90"/>
        <v>0</v>
      </c>
      <c r="AF91" s="300">
        <f>SUM(AF92:AF95)</f>
        <v>0</v>
      </c>
      <c r="AG91" s="271">
        <f t="shared" si="90"/>
        <v>0</v>
      </c>
      <c r="AH91" s="270">
        <f t="shared" si="90"/>
        <v>0</v>
      </c>
      <c r="AI91" s="220">
        <f t="shared" si="90"/>
        <v>0</v>
      </c>
      <c r="AJ91" s="269">
        <f t="shared" si="90"/>
        <v>0</v>
      </c>
      <c r="AK91" s="101"/>
      <c r="AL91" s="301">
        <f>SUM(AL92:AL95)</f>
        <v>0</v>
      </c>
      <c r="AM91" s="302">
        <f>SUM(AM92:AM95)</f>
        <v>0</v>
      </c>
    </row>
    <row r="92" spans="1:39" ht="24.75" customHeight="1" thickBot="1">
      <c r="A92" s="386" t="str">
        <f>+IF(OCTUBRE!A92=0,"",OCTUBRE!A92)</f>
        <v>1.1.02.05.001.09.02.90.05.99</v>
      </c>
      <c r="B92" s="390" t="str">
        <f>+IF(OCTUBRE!B92=0,"",OCTUBRE!B92)</f>
        <v>Vigencia Anterior de Otros Convenios de Salud Nacionales (vacunacion covid-19 agendamiento y aplicación)</v>
      </c>
      <c r="C92" s="391">
        <f>+ENERO!C92</f>
        <v>0</v>
      </c>
      <c r="D92" s="243">
        <f>OCTUBRE!D92+NOVIEMBRE!P92</f>
        <v>0</v>
      </c>
      <c r="E92" s="243">
        <f>OCTUBRE!E92+NOVIEMBRE!Q92</f>
        <v>0</v>
      </c>
      <c r="F92" s="243">
        <f t="shared" si="84"/>
        <v>0</v>
      </c>
      <c r="G92" s="243">
        <f>OCTUBRE!I92</f>
        <v>0</v>
      </c>
      <c r="H92" s="246"/>
      <c r="I92" s="243">
        <f t="shared" si="85"/>
        <v>0</v>
      </c>
      <c r="J92" s="243">
        <f>OCTUBRE!L92</f>
        <v>0</v>
      </c>
      <c r="K92" s="246"/>
      <c r="L92" s="243">
        <f t="shared" si="86"/>
        <v>0</v>
      </c>
      <c r="M92" s="243">
        <f t="shared" si="87"/>
        <v>0</v>
      </c>
      <c r="N92" s="244">
        <f t="shared" si="88"/>
        <v>0</v>
      </c>
      <c r="O92" s="67"/>
      <c r="P92" s="204">
        <v>0</v>
      </c>
      <c r="Q92" s="210"/>
      <c r="R92" s="389"/>
      <c r="S92" s="311" t="str">
        <f>+IF(OCTUBRE!S92=0,"",OCTUBRE!S92)</f>
        <v>1020301-1</v>
      </c>
      <c r="T92" s="312" t="str">
        <f>+IF(OCTUBRE!T92=0,"",OCTUBRE!T92)</f>
        <v>E.P.S. - Aportes cuenta maestra</v>
      </c>
      <c r="U92" s="373">
        <f>+ENERO!U92</f>
        <v>0</v>
      </c>
      <c r="V92" s="220">
        <f>OCTUBRE!V92+NOVIEMBRE!AL92</f>
        <v>0</v>
      </c>
      <c r="W92" s="220">
        <f>OCTUBRE!W92+NOVIEMBRE!AM92</f>
        <v>0</v>
      </c>
      <c r="X92" s="271">
        <f>SUM(U92:W92)</f>
        <v>0</v>
      </c>
      <c r="Y92" s="270">
        <f>OCTUBRE!AA92</f>
        <v>0</v>
      </c>
      <c r="Z92" s="208"/>
      <c r="AA92" s="271">
        <f>SUM(Y92:Z92)</f>
        <v>0</v>
      </c>
      <c r="AB92" s="270">
        <f>OCTUBRE!AD92</f>
        <v>0</v>
      </c>
      <c r="AC92" s="208"/>
      <c r="AD92" s="271">
        <f>SUM(AB92:AC92)</f>
        <v>0</v>
      </c>
      <c r="AE92" s="270">
        <f>OCTUBRE!AG92</f>
        <v>0</v>
      </c>
      <c r="AF92" s="208"/>
      <c r="AG92" s="271">
        <f>SUM(AE92:AF92)</f>
        <v>0</v>
      </c>
      <c r="AH92" s="270">
        <f>X92-AA92</f>
        <v>0</v>
      </c>
      <c r="AI92" s="220">
        <f>X92-AD92</f>
        <v>0</v>
      </c>
      <c r="AJ92" s="269">
        <f>X92-AG92</f>
        <v>0</v>
      </c>
      <c r="AK92" s="101"/>
      <c r="AL92" s="204"/>
      <c r="AM92" s="210"/>
    </row>
    <row r="93" spans="1:39" ht="24.75" customHeight="1" thickBot="1">
      <c r="A93" s="378" t="str">
        <f>+IF(OCTUBRE!A93=0,"",OCTUBRE!A93)</f>
        <v/>
      </c>
      <c r="B93" s="379" t="str">
        <f>+IF(OCTUBRE!B93=0,"",OCTUBRE!B93)</f>
        <v/>
      </c>
      <c r="C93" s="67"/>
      <c r="D93" s="67"/>
      <c r="E93" s="67"/>
      <c r="F93" s="67"/>
      <c r="G93" s="67"/>
      <c r="H93" s="67"/>
      <c r="I93" s="67"/>
      <c r="J93" s="67"/>
      <c r="K93" s="67"/>
      <c r="L93" s="67"/>
      <c r="M93" s="67"/>
      <c r="N93" s="283"/>
      <c r="O93" s="369"/>
      <c r="P93" s="380"/>
      <c r="Q93" s="254"/>
      <c r="R93" s="389"/>
      <c r="S93" s="311" t="str">
        <f>+IF(OCTUBRE!S93=0,"",OCTUBRE!S93)</f>
        <v>1020301-2</v>
      </c>
      <c r="T93" s="312" t="str">
        <f>+IF(OCTUBRE!T93=0,"",OCTUBRE!T93)</f>
        <v>Fondos pensionales - Aportes cuenta maestra</v>
      </c>
      <c r="U93" s="373">
        <f>+ENERO!U93</f>
        <v>0</v>
      </c>
      <c r="V93" s="220">
        <f>OCTUBRE!V93+NOVIEMBRE!AL93</f>
        <v>0</v>
      </c>
      <c r="W93" s="220">
        <f>OCTUBRE!W93+NOVIEMBRE!AM93</f>
        <v>0</v>
      </c>
      <c r="X93" s="271">
        <f>SUM(U93:W93)</f>
        <v>0</v>
      </c>
      <c r="Y93" s="270">
        <f>OCTUBRE!AA93</f>
        <v>0</v>
      </c>
      <c r="Z93" s="208"/>
      <c r="AA93" s="271">
        <f>SUM(Y93:Z93)</f>
        <v>0</v>
      </c>
      <c r="AB93" s="270">
        <f>OCTUBRE!AD93</f>
        <v>0</v>
      </c>
      <c r="AC93" s="208"/>
      <c r="AD93" s="271">
        <f>SUM(AB93:AC93)</f>
        <v>0</v>
      </c>
      <c r="AE93" s="270">
        <f>OCTUBRE!AG93</f>
        <v>0</v>
      </c>
      <c r="AF93" s="208"/>
      <c r="AG93" s="271">
        <f>SUM(AE93:AF93)</f>
        <v>0</v>
      </c>
      <c r="AH93" s="270">
        <f>X93-AA93</f>
        <v>0</v>
      </c>
      <c r="AI93" s="220">
        <f>X93-AD93</f>
        <v>0</v>
      </c>
      <c r="AJ93" s="269">
        <f>X93-AG93</f>
        <v>0</v>
      </c>
      <c r="AK93" s="101"/>
      <c r="AL93" s="204"/>
      <c r="AM93" s="210"/>
    </row>
    <row r="94" spans="1:39" ht="31.5" customHeight="1">
      <c r="A94" s="392" t="str">
        <f>+IF(OCTUBRE!A94=0,"",OCTUBRE!A94)</f>
        <v>1.1.02.06.006.06</v>
      </c>
      <c r="B94" s="393" t="str">
        <f>+IF(OCTUBRE!B94=0,"",OCTUBRE!B94)</f>
        <v>Aportes (No ligados a la venta de servicios de salud)</v>
      </c>
      <c r="C94" s="383">
        <f t="shared" ref="C94:N94" si="91">SUM(C95:C102)</f>
        <v>650000000</v>
      </c>
      <c r="D94" s="384">
        <f t="shared" si="91"/>
        <v>0</v>
      </c>
      <c r="E94" s="384">
        <f t="shared" si="91"/>
        <v>16915566432</v>
      </c>
      <c r="F94" s="384">
        <f t="shared" si="91"/>
        <v>17565566432</v>
      </c>
      <c r="G94" s="384">
        <f t="shared" si="91"/>
        <v>2820512445</v>
      </c>
      <c r="H94" s="384">
        <f t="shared" si="91"/>
        <v>1906821858</v>
      </c>
      <c r="I94" s="384">
        <f t="shared" si="91"/>
        <v>4727334303</v>
      </c>
      <c r="J94" s="384">
        <f t="shared" si="91"/>
        <v>2820512445</v>
      </c>
      <c r="K94" s="384">
        <f t="shared" si="91"/>
        <v>600189450</v>
      </c>
      <c r="L94" s="384">
        <f t="shared" si="91"/>
        <v>3420701895</v>
      </c>
      <c r="M94" s="384">
        <f t="shared" si="91"/>
        <v>12838232129</v>
      </c>
      <c r="N94" s="385">
        <f t="shared" si="91"/>
        <v>14144864537</v>
      </c>
      <c r="O94" s="67"/>
      <c r="P94" s="288">
        <f>SUM(P95:P102)</f>
        <v>0</v>
      </c>
      <c r="Q94" s="289">
        <f>SUM(Q95:Q102)</f>
        <v>11558721870</v>
      </c>
      <c r="R94" s="389"/>
      <c r="S94" s="311" t="str">
        <f>+IF(OCTUBRE!S94=0,"",OCTUBRE!S94)</f>
        <v>1020301-3</v>
      </c>
      <c r="T94" s="312" t="str">
        <f>+IF(OCTUBRE!T94=0,"",OCTUBRE!T94)</f>
        <v>Fondos de cesantías - Aportes cuenta maestra</v>
      </c>
      <c r="U94" s="373">
        <f>+ENERO!U94</f>
        <v>0</v>
      </c>
      <c r="V94" s="220">
        <f>OCTUBRE!V94+NOVIEMBRE!AL94</f>
        <v>0</v>
      </c>
      <c r="W94" s="220">
        <f>OCTUBRE!W94+NOVIEMBRE!AM94</f>
        <v>0</v>
      </c>
      <c r="X94" s="271">
        <f>SUM(U94:W94)</f>
        <v>0</v>
      </c>
      <c r="Y94" s="270">
        <f>OCTUBRE!AA94</f>
        <v>0</v>
      </c>
      <c r="Z94" s="208"/>
      <c r="AA94" s="271">
        <f>SUM(Y94:Z94)</f>
        <v>0</v>
      </c>
      <c r="AB94" s="270">
        <f>OCTUBRE!AD94</f>
        <v>0</v>
      </c>
      <c r="AC94" s="208"/>
      <c r="AD94" s="271">
        <f>SUM(AB94:AC94)</f>
        <v>0</v>
      </c>
      <c r="AE94" s="270">
        <f>OCTUBRE!AG94</f>
        <v>0</v>
      </c>
      <c r="AF94" s="208"/>
      <c r="AG94" s="271">
        <f>SUM(AE94:AF94)</f>
        <v>0</v>
      </c>
      <c r="AH94" s="270">
        <f>X94-AA94</f>
        <v>0</v>
      </c>
      <c r="AI94" s="220">
        <f>X94-AD94</f>
        <v>0</v>
      </c>
      <c r="AJ94" s="269">
        <f>X94-AG94</f>
        <v>0</v>
      </c>
      <c r="AK94" s="101"/>
      <c r="AL94" s="204"/>
      <c r="AM94" s="210"/>
    </row>
    <row r="95" spans="1:39" ht="24.75" customHeight="1">
      <c r="A95" s="394" t="str">
        <f>+IF(OCTUBRE!A95=0,"",OCTUBRE!A95)</f>
        <v>1.2.08.06.002</v>
      </c>
      <c r="B95" s="397" t="str">
        <f>+IF(OCTUBRE!B95=0,"",OCTUBRE!B95)</f>
        <v>Condicionadas a la adquisicion de un activo</v>
      </c>
      <c r="C95" s="268">
        <f>+ENERO!C95</f>
        <v>0</v>
      </c>
      <c r="D95" s="205">
        <f>OCTUBRE!D95+NOVIEMBRE!P95</f>
        <v>0</v>
      </c>
      <c r="E95" s="205">
        <f>OCTUBRE!E95+NOVIEMBRE!Q95</f>
        <v>0</v>
      </c>
      <c r="F95" s="205">
        <f t="shared" ref="F95:F102" si="92">SUM(C95:E95)</f>
        <v>0</v>
      </c>
      <c r="G95" s="205">
        <f>OCTUBRE!I95</f>
        <v>0</v>
      </c>
      <c r="H95" s="208"/>
      <c r="I95" s="205">
        <f t="shared" ref="I95:I102" si="93">SUM(G95:H95)</f>
        <v>0</v>
      </c>
      <c r="J95" s="205">
        <f>OCTUBRE!L95</f>
        <v>0</v>
      </c>
      <c r="K95" s="208"/>
      <c r="L95" s="205">
        <f t="shared" ref="L95:L102" si="94">SUM(J95:K95)</f>
        <v>0</v>
      </c>
      <c r="M95" s="205">
        <f t="shared" ref="M95:M102" si="95">F95-I95</f>
        <v>0</v>
      </c>
      <c r="N95" s="206">
        <f t="shared" ref="N95:N102" si="96">F95-L95</f>
        <v>0</v>
      </c>
      <c r="O95" s="67"/>
      <c r="P95" s="204">
        <v>0</v>
      </c>
      <c r="Q95" s="210"/>
      <c r="R95" s="389"/>
      <c r="S95" s="311" t="str">
        <f>+IF(OCTUBRE!S95=0,"",OCTUBRE!S95)</f>
        <v>1020301-4</v>
      </c>
      <c r="T95" s="312" t="str">
        <f>+IF(OCTUBRE!T95=0,"",OCTUBRE!T95)</f>
        <v>Riesgos laborales - Aportes cuenta maestra</v>
      </c>
      <c r="U95" s="373">
        <f>+ENERO!U95</f>
        <v>0</v>
      </c>
      <c r="V95" s="220">
        <f>OCTUBRE!V95+NOVIEMBRE!AL95</f>
        <v>0</v>
      </c>
      <c r="W95" s="220">
        <f>OCTUBRE!W95+NOVIEMBRE!AM95</f>
        <v>0</v>
      </c>
      <c r="X95" s="271">
        <f>SUM(U95:W95)</f>
        <v>0</v>
      </c>
      <c r="Y95" s="270">
        <f>OCTUBRE!AA95</f>
        <v>0</v>
      </c>
      <c r="Z95" s="208"/>
      <c r="AA95" s="271">
        <f>SUM(Y95:Z95)</f>
        <v>0</v>
      </c>
      <c r="AB95" s="270">
        <f>OCTUBRE!AD95</f>
        <v>0</v>
      </c>
      <c r="AC95" s="208"/>
      <c r="AD95" s="271">
        <f>SUM(AB95:AC95)</f>
        <v>0</v>
      </c>
      <c r="AE95" s="270">
        <f>OCTUBRE!AG95</f>
        <v>0</v>
      </c>
      <c r="AF95" s="208"/>
      <c r="AG95" s="271">
        <f>SUM(AE95:AF95)</f>
        <v>0</v>
      </c>
      <c r="AH95" s="270">
        <f>X95-AA95</f>
        <v>0</v>
      </c>
      <c r="AI95" s="220">
        <f>X95-AD95</f>
        <v>0</v>
      </c>
      <c r="AJ95" s="269">
        <f>X95-AG95</f>
        <v>0</v>
      </c>
      <c r="AK95" s="101"/>
      <c r="AL95" s="204"/>
      <c r="AM95" s="210"/>
    </row>
    <row r="96" spans="1:39" ht="24.75" customHeight="1">
      <c r="A96" s="394" t="str">
        <f>+IF(OCTUBRE!A96=0,"",OCTUBRE!A96)</f>
        <v>1.2.08.06.002</v>
      </c>
      <c r="B96" s="397" t="str">
        <f>+IF(OCTUBRE!B96=0,"",OCTUBRE!B96)</f>
        <v>Condicionados a la adquisición de un activo (DSSA)</v>
      </c>
      <c r="C96" s="268">
        <f>+ENERO!C96</f>
        <v>0</v>
      </c>
      <c r="D96" s="205">
        <f>OCTUBRE!D96+NOVIEMBRE!P96</f>
        <v>0</v>
      </c>
      <c r="E96" s="205">
        <f>OCTUBRE!E96+NOVIEMBRE!Q96</f>
        <v>0</v>
      </c>
      <c r="F96" s="205">
        <f t="shared" si="92"/>
        <v>0</v>
      </c>
      <c r="G96" s="205">
        <f>OCTUBRE!I96</f>
        <v>0</v>
      </c>
      <c r="H96" s="208"/>
      <c r="I96" s="205">
        <f t="shared" si="93"/>
        <v>0</v>
      </c>
      <c r="J96" s="205">
        <f>OCTUBRE!L96</f>
        <v>0</v>
      </c>
      <c r="K96" s="208"/>
      <c r="L96" s="205">
        <f t="shared" si="94"/>
        <v>0</v>
      </c>
      <c r="M96" s="205">
        <f t="shared" si="95"/>
        <v>0</v>
      </c>
      <c r="N96" s="206">
        <f t="shared" si="96"/>
        <v>0</v>
      </c>
      <c r="O96" s="67"/>
      <c r="P96" s="204">
        <v>0</v>
      </c>
      <c r="Q96" s="210"/>
      <c r="R96" s="389"/>
      <c r="S96" s="266">
        <f>+IF(OCTUBRE!S96=0,"",OCTUBRE!S96)</f>
        <v>1020302</v>
      </c>
      <c r="T96" s="267" t="str">
        <f>+IF(OCTUBRE!T96=0,"",OCTUBRE!T96)</f>
        <v>Contribuciones - Otros</v>
      </c>
      <c r="U96" s="373">
        <f t="shared" ref="U96:AJ96" si="97">SUM(U97:U101)</f>
        <v>0</v>
      </c>
      <c r="V96" s="220">
        <f t="shared" si="97"/>
        <v>0</v>
      </c>
      <c r="W96" s="220">
        <f t="shared" si="97"/>
        <v>0</v>
      </c>
      <c r="X96" s="271">
        <f t="shared" si="97"/>
        <v>0</v>
      </c>
      <c r="Y96" s="270">
        <f t="shared" si="97"/>
        <v>0</v>
      </c>
      <c r="Z96" s="300">
        <f t="shared" si="97"/>
        <v>0</v>
      </c>
      <c r="AA96" s="271">
        <f t="shared" si="97"/>
        <v>0</v>
      </c>
      <c r="AB96" s="270">
        <f t="shared" si="97"/>
        <v>0</v>
      </c>
      <c r="AC96" s="300">
        <f>SUM(AC97:AC101)</f>
        <v>0</v>
      </c>
      <c r="AD96" s="271">
        <f t="shared" si="97"/>
        <v>0</v>
      </c>
      <c r="AE96" s="270">
        <f t="shared" si="97"/>
        <v>0</v>
      </c>
      <c r="AF96" s="300">
        <f>SUM(AF97:AF101)</f>
        <v>0</v>
      </c>
      <c r="AG96" s="271">
        <f t="shared" si="97"/>
        <v>0</v>
      </c>
      <c r="AH96" s="270">
        <f t="shared" si="97"/>
        <v>0</v>
      </c>
      <c r="AI96" s="220">
        <f t="shared" si="97"/>
        <v>0</v>
      </c>
      <c r="AJ96" s="269">
        <f t="shared" si="97"/>
        <v>0</v>
      </c>
      <c r="AK96" s="389"/>
      <c r="AL96" s="395">
        <f>SUM(AL97:AL101)</f>
        <v>0</v>
      </c>
      <c r="AM96" s="396">
        <f>SUM(AM97:AM101)</f>
        <v>0</v>
      </c>
    </row>
    <row r="97" spans="1:39" ht="24.75" customHeight="1">
      <c r="A97" s="394" t="str">
        <f>+IF(OCTUBRE!A97=0,"",OCTUBRE!A97)</f>
        <v>1.2.08.02</v>
      </c>
      <c r="B97" s="397" t="str">
        <f>+IF(OCTUBRE!B97=0,"",OCTUBRE!B97)</f>
        <v>Indemnizaciones Relacionadas con seguros No de vida</v>
      </c>
      <c r="C97" s="268">
        <f>+ENERO!C97</f>
        <v>0</v>
      </c>
      <c r="D97" s="205">
        <f>OCTUBRE!D97+NOVIEMBRE!P97</f>
        <v>0</v>
      </c>
      <c r="E97" s="205">
        <f>OCTUBRE!E97+NOVIEMBRE!Q97</f>
        <v>0</v>
      </c>
      <c r="F97" s="205">
        <f t="shared" si="92"/>
        <v>0</v>
      </c>
      <c r="G97" s="205">
        <f>OCTUBRE!I97</f>
        <v>0</v>
      </c>
      <c r="H97" s="208"/>
      <c r="I97" s="205">
        <f t="shared" si="93"/>
        <v>0</v>
      </c>
      <c r="J97" s="205">
        <f>OCTUBRE!L97</f>
        <v>0</v>
      </c>
      <c r="K97" s="208"/>
      <c r="L97" s="205">
        <f t="shared" si="94"/>
        <v>0</v>
      </c>
      <c r="M97" s="205">
        <f t="shared" si="95"/>
        <v>0</v>
      </c>
      <c r="N97" s="206">
        <f t="shared" si="96"/>
        <v>0</v>
      </c>
      <c r="O97" s="67"/>
      <c r="P97" s="204">
        <v>0</v>
      </c>
      <c r="Q97" s="210"/>
      <c r="R97" s="389"/>
      <c r="S97" s="311" t="str">
        <f>+IF(OCTUBRE!S97=0,"",OCTUBRE!S97)</f>
        <v>2.1.1.01.02.002-1</v>
      </c>
      <c r="T97" s="312" t="str">
        <f>+IF(OCTUBRE!T97=0,"",OCTUBRE!T97)</f>
        <v>Aportes a E.P.S. - recursos propios</v>
      </c>
      <c r="U97" s="373">
        <f>+ENERO!U97</f>
        <v>0</v>
      </c>
      <c r="V97" s="220">
        <f>OCTUBRE!V97+NOVIEMBRE!AL97</f>
        <v>0</v>
      </c>
      <c r="W97" s="220">
        <f>OCTUBRE!W97+NOVIEMBRE!AM97</f>
        <v>0</v>
      </c>
      <c r="X97" s="271">
        <f t="shared" ref="X97:X102" si="98">SUM(U97:W97)</f>
        <v>0</v>
      </c>
      <c r="Y97" s="270">
        <f>OCTUBRE!AA97</f>
        <v>0</v>
      </c>
      <c r="Z97" s="208"/>
      <c r="AA97" s="271">
        <f t="shared" ref="AA97:AA102" si="99">SUM(Y97:Z97)</f>
        <v>0</v>
      </c>
      <c r="AB97" s="270">
        <f>OCTUBRE!AD97</f>
        <v>0</v>
      </c>
      <c r="AC97" s="208"/>
      <c r="AD97" s="271">
        <f t="shared" ref="AD97:AD102" si="100">SUM(AB97:AC97)</f>
        <v>0</v>
      </c>
      <c r="AE97" s="270">
        <f>OCTUBRE!AG97</f>
        <v>0</v>
      </c>
      <c r="AF97" s="208"/>
      <c r="AG97" s="271">
        <f t="shared" ref="AG97:AG102" si="101">SUM(AE97:AF97)</f>
        <v>0</v>
      </c>
      <c r="AH97" s="270">
        <f t="shared" ref="AH97:AH102" si="102">X97-AA97</f>
        <v>0</v>
      </c>
      <c r="AI97" s="220">
        <f t="shared" ref="AI97:AI102" si="103">X97-AD97</f>
        <v>0</v>
      </c>
      <c r="AJ97" s="269">
        <f t="shared" ref="AJ97:AJ102" si="104">X97-AG97</f>
        <v>0</v>
      </c>
      <c r="AK97" s="389"/>
      <c r="AL97" s="204"/>
      <c r="AM97" s="210"/>
    </row>
    <row r="98" spans="1:39" ht="24.75" customHeight="1">
      <c r="A98" s="394" t="str">
        <f>+IF(OCTUBRE!A98=0,"",OCTUBRE!A98)</f>
        <v>1.1.02.06.007.02.08</v>
      </c>
      <c r="B98" s="397" t="str">
        <f>+IF(OCTUBRE!B98=0,"",OCTUBRE!B98)</f>
        <v>Transferencias para las Empresas Sociales del Estado</v>
      </c>
      <c r="C98" s="268">
        <f>+ENERO!C98</f>
        <v>0</v>
      </c>
      <c r="D98" s="205">
        <f>OCTUBRE!D98+NOVIEMBRE!P98</f>
        <v>0</v>
      </c>
      <c r="E98" s="205">
        <f>OCTUBRE!E98+NOVIEMBRE!Q98</f>
        <v>16709239795</v>
      </c>
      <c r="F98" s="205">
        <f t="shared" si="92"/>
        <v>16709239795</v>
      </c>
      <c r="G98" s="205">
        <f>OCTUBRE!I98</f>
        <v>1964185808</v>
      </c>
      <c r="H98" s="208">
        <f>1306632408+600189450</f>
        <v>1906821858</v>
      </c>
      <c r="I98" s="205">
        <f t="shared" si="93"/>
        <v>3871007666</v>
      </c>
      <c r="J98" s="205">
        <f>OCTUBRE!L98</f>
        <v>1964185808</v>
      </c>
      <c r="K98" s="208">
        <v>600189450</v>
      </c>
      <c r="L98" s="205">
        <f t="shared" si="94"/>
        <v>2564375258</v>
      </c>
      <c r="M98" s="205">
        <f t="shared" si="95"/>
        <v>12838232129</v>
      </c>
      <c r="N98" s="206">
        <f t="shared" si="96"/>
        <v>14144864537</v>
      </c>
      <c r="O98" s="67"/>
      <c r="P98" s="204">
        <v>0</v>
      </c>
      <c r="Q98" s="210">
        <f>1996205405+8962327015+600189450</f>
        <v>11558721870</v>
      </c>
      <c r="R98" s="389"/>
      <c r="S98" s="311" t="str">
        <f>+IF(OCTUBRE!S98=0,"",OCTUBRE!S98)</f>
        <v>2.1.1.01.02.001-1</v>
      </c>
      <c r="T98" s="312" t="str">
        <f>+IF(OCTUBRE!T98=0,"",OCTUBRE!T98)</f>
        <v>Aportes Fondos Pensionales - recursos propios</v>
      </c>
      <c r="U98" s="373">
        <f>+ENERO!U98</f>
        <v>0</v>
      </c>
      <c r="V98" s="220">
        <f>OCTUBRE!V98+NOVIEMBRE!AL98</f>
        <v>0</v>
      </c>
      <c r="W98" s="220">
        <f>OCTUBRE!W98+NOVIEMBRE!AM98</f>
        <v>0</v>
      </c>
      <c r="X98" s="271">
        <f t="shared" si="98"/>
        <v>0</v>
      </c>
      <c r="Y98" s="270">
        <f>OCTUBRE!AA98</f>
        <v>0</v>
      </c>
      <c r="Z98" s="208"/>
      <c r="AA98" s="271">
        <f t="shared" si="99"/>
        <v>0</v>
      </c>
      <c r="AB98" s="270">
        <f>OCTUBRE!AD98</f>
        <v>0</v>
      </c>
      <c r="AC98" s="208"/>
      <c r="AD98" s="271">
        <f t="shared" si="100"/>
        <v>0</v>
      </c>
      <c r="AE98" s="270">
        <f>OCTUBRE!AG98</f>
        <v>0</v>
      </c>
      <c r="AF98" s="208"/>
      <c r="AG98" s="271">
        <f t="shared" si="101"/>
        <v>0</v>
      </c>
      <c r="AH98" s="270">
        <f t="shared" si="102"/>
        <v>0</v>
      </c>
      <c r="AI98" s="220">
        <f t="shared" si="103"/>
        <v>0</v>
      </c>
      <c r="AJ98" s="269">
        <f t="shared" si="104"/>
        <v>0</v>
      </c>
      <c r="AK98" s="389"/>
      <c r="AL98" s="204"/>
      <c r="AM98" s="210"/>
    </row>
    <row r="99" spans="1:39" ht="24.75" customHeight="1">
      <c r="A99" s="394" t="str">
        <f>+IF(OCTUBRE!A99=0,"",OCTUBRE!A99)</f>
        <v>11303-5</v>
      </c>
      <c r="B99" s="397" t="str">
        <f>+IF(OCTUBRE!B99=0,"",OCTUBRE!B99)</f>
        <v>RECURSOS PARA PROGRAMA DE SANEAMIENTO FINANCIERO</v>
      </c>
      <c r="C99" s="268">
        <f>+ENERO!C99</f>
        <v>0</v>
      </c>
      <c r="D99" s="205">
        <f>OCTUBRE!D99+NOVIEMBRE!P99</f>
        <v>0</v>
      </c>
      <c r="E99" s="205">
        <f>OCTUBRE!E99+NOVIEMBRE!Q99</f>
        <v>0</v>
      </c>
      <c r="F99" s="205">
        <f t="shared" si="92"/>
        <v>0</v>
      </c>
      <c r="G99" s="205">
        <f>OCTUBRE!I99</f>
        <v>0</v>
      </c>
      <c r="H99" s="208"/>
      <c r="I99" s="205">
        <f t="shared" si="93"/>
        <v>0</v>
      </c>
      <c r="J99" s="205">
        <f>OCTUBRE!L99</f>
        <v>0</v>
      </c>
      <c r="K99" s="208"/>
      <c r="L99" s="205">
        <f t="shared" si="94"/>
        <v>0</v>
      </c>
      <c r="M99" s="205">
        <f t="shared" si="95"/>
        <v>0</v>
      </c>
      <c r="N99" s="206">
        <f t="shared" si="96"/>
        <v>0</v>
      </c>
      <c r="O99" s="67"/>
      <c r="P99" s="204">
        <v>0</v>
      </c>
      <c r="Q99" s="210"/>
      <c r="R99" s="389"/>
      <c r="S99" s="311" t="str">
        <f>+IF(OCTUBRE!S99=0,"",OCTUBRE!S99)</f>
        <v>2.1.1.01.02.003-1</v>
      </c>
      <c r="T99" s="312" t="str">
        <f>+IF(OCTUBRE!T99=0,"",OCTUBRE!T99)</f>
        <v>Aportes a Fondos de Cesantia - recursos propios</v>
      </c>
      <c r="U99" s="373">
        <f>+ENERO!U99</f>
        <v>0</v>
      </c>
      <c r="V99" s="220">
        <f>OCTUBRE!V99+NOVIEMBRE!AL99</f>
        <v>0</v>
      </c>
      <c r="W99" s="220">
        <f>OCTUBRE!W99+NOVIEMBRE!AM99</f>
        <v>0</v>
      </c>
      <c r="X99" s="271">
        <f t="shared" si="98"/>
        <v>0</v>
      </c>
      <c r="Y99" s="270">
        <f>OCTUBRE!AA99</f>
        <v>0</v>
      </c>
      <c r="Z99" s="208"/>
      <c r="AA99" s="271">
        <f t="shared" si="99"/>
        <v>0</v>
      </c>
      <c r="AB99" s="270">
        <f>OCTUBRE!AD99</f>
        <v>0</v>
      </c>
      <c r="AC99" s="208"/>
      <c r="AD99" s="271">
        <f t="shared" si="100"/>
        <v>0</v>
      </c>
      <c r="AE99" s="270">
        <f>OCTUBRE!AG99</f>
        <v>0</v>
      </c>
      <c r="AF99" s="208"/>
      <c r="AG99" s="271">
        <f t="shared" si="101"/>
        <v>0</v>
      </c>
      <c r="AH99" s="270">
        <f t="shared" si="102"/>
        <v>0</v>
      </c>
      <c r="AI99" s="220">
        <f t="shared" si="103"/>
        <v>0</v>
      </c>
      <c r="AJ99" s="269">
        <f t="shared" si="104"/>
        <v>0</v>
      </c>
      <c r="AK99" s="389"/>
      <c r="AL99" s="204"/>
      <c r="AM99" s="210"/>
    </row>
    <row r="100" spans="1:39" ht="24.75" customHeight="1">
      <c r="A100" s="394" t="str">
        <f>+IF(OCTUBRE!A100=0,"",OCTUBRE!A100)</f>
        <v>1.1.02.06.006.07</v>
      </c>
      <c r="B100" s="397" t="str">
        <f>+IF(OCTUBRE!B100=0,"",OCTUBRE!B100)</f>
        <v>ESTAMPILLA PROHOSPITALES</v>
      </c>
      <c r="C100" s="268">
        <f>+ENERO!C100</f>
        <v>650000000</v>
      </c>
      <c r="D100" s="205">
        <f>OCTUBRE!D100+NOVIEMBRE!P100</f>
        <v>0</v>
      </c>
      <c r="E100" s="205">
        <f>OCTUBRE!E100+NOVIEMBRE!Q100</f>
        <v>206326637</v>
      </c>
      <c r="F100" s="205">
        <f t="shared" si="92"/>
        <v>856326637</v>
      </c>
      <c r="G100" s="205">
        <f>OCTUBRE!I100</f>
        <v>856326637</v>
      </c>
      <c r="H100" s="208"/>
      <c r="I100" s="205">
        <f t="shared" si="93"/>
        <v>856326637</v>
      </c>
      <c r="J100" s="205">
        <f>OCTUBRE!L100</f>
        <v>856326637</v>
      </c>
      <c r="K100" s="208"/>
      <c r="L100" s="205">
        <f t="shared" si="94"/>
        <v>856326637</v>
      </c>
      <c r="M100" s="205">
        <f t="shared" si="95"/>
        <v>0</v>
      </c>
      <c r="N100" s="206">
        <f t="shared" si="96"/>
        <v>0</v>
      </c>
      <c r="O100" s="67"/>
      <c r="P100" s="204">
        <v>0</v>
      </c>
      <c r="Q100" s="210"/>
      <c r="R100" s="101"/>
      <c r="S100" s="311" t="str">
        <f>+IF(OCTUBRE!S100=0,"",OCTUBRE!S100)</f>
        <v>2.1.1.01.02.005-1</v>
      </c>
      <c r="T100" s="312" t="str">
        <f>+IF(OCTUBRE!T100=0,"",OCTUBRE!T100)</f>
        <v>Aporte a ARL. - recursos propios</v>
      </c>
      <c r="U100" s="373">
        <f>+ENERO!U100</f>
        <v>0</v>
      </c>
      <c r="V100" s="220">
        <f>OCTUBRE!V100+NOVIEMBRE!AL100</f>
        <v>0</v>
      </c>
      <c r="W100" s="220">
        <f>OCTUBRE!W100+NOVIEMBRE!AM100</f>
        <v>0</v>
      </c>
      <c r="X100" s="271">
        <f t="shared" si="98"/>
        <v>0</v>
      </c>
      <c r="Y100" s="270">
        <f>OCTUBRE!AA100</f>
        <v>0</v>
      </c>
      <c r="Z100" s="208"/>
      <c r="AA100" s="271">
        <f t="shared" si="99"/>
        <v>0</v>
      </c>
      <c r="AB100" s="270">
        <f>OCTUBRE!AD100</f>
        <v>0</v>
      </c>
      <c r="AC100" s="208"/>
      <c r="AD100" s="271">
        <f t="shared" si="100"/>
        <v>0</v>
      </c>
      <c r="AE100" s="270">
        <f>OCTUBRE!AG100</f>
        <v>0</v>
      </c>
      <c r="AF100" s="208"/>
      <c r="AG100" s="271">
        <f t="shared" si="101"/>
        <v>0</v>
      </c>
      <c r="AH100" s="270">
        <f t="shared" si="102"/>
        <v>0</v>
      </c>
      <c r="AI100" s="220">
        <f t="shared" si="103"/>
        <v>0</v>
      </c>
      <c r="AJ100" s="269">
        <f t="shared" si="104"/>
        <v>0</v>
      </c>
      <c r="AK100" s="389"/>
      <c r="AL100" s="204"/>
      <c r="AM100" s="210"/>
    </row>
    <row r="101" spans="1:39" ht="24.75" customHeight="1">
      <c r="A101" s="394" t="str">
        <f>+IF(OCTUBRE!A101=0,"",OCTUBRE!A101)</f>
        <v>11303-7</v>
      </c>
      <c r="B101" s="397" t="str">
        <f>+IF(OCTUBRE!B101=0,"",OCTUBRE!B101)</f>
        <v>SUBSIDIO A LA OFERTA (ART. 2.4.2.6 DECRETO 268 DE 2020)</v>
      </c>
      <c r="C101" s="268">
        <f>+ENERO!C101</f>
        <v>0</v>
      </c>
      <c r="D101" s="205">
        <f>OCTUBRE!D101+NOVIEMBRE!P101</f>
        <v>0</v>
      </c>
      <c r="E101" s="205">
        <f>OCTUBRE!E101+NOVIEMBRE!Q101</f>
        <v>0</v>
      </c>
      <c r="F101" s="205">
        <f t="shared" si="92"/>
        <v>0</v>
      </c>
      <c r="G101" s="205">
        <f>OCTUBRE!I101</f>
        <v>0</v>
      </c>
      <c r="H101" s="208"/>
      <c r="I101" s="205">
        <f t="shared" si="93"/>
        <v>0</v>
      </c>
      <c r="J101" s="205">
        <f>OCTUBRE!L101</f>
        <v>0</v>
      </c>
      <c r="K101" s="208"/>
      <c r="L101" s="205">
        <f t="shared" si="94"/>
        <v>0</v>
      </c>
      <c r="M101" s="205">
        <f t="shared" si="95"/>
        <v>0</v>
      </c>
      <c r="N101" s="206">
        <f t="shared" si="96"/>
        <v>0</v>
      </c>
      <c r="O101" s="67"/>
      <c r="P101" s="204">
        <v>0</v>
      </c>
      <c r="Q101" s="210"/>
      <c r="R101" s="101"/>
      <c r="S101" s="311" t="str">
        <f>+IF(OCTUBRE!S101=0,"",OCTUBRE!S101)</f>
        <v>2.1.1.01.02.004-1</v>
      </c>
      <c r="T101" s="312" t="str">
        <f>+IF(OCTUBRE!T101=0,"",OCTUBRE!T101)</f>
        <v>Aporte a Caja Compensación Familiar</v>
      </c>
      <c r="U101" s="373">
        <f>+ENERO!U101</f>
        <v>0</v>
      </c>
      <c r="V101" s="220">
        <f>OCTUBRE!V101+NOVIEMBRE!AL101</f>
        <v>0</v>
      </c>
      <c r="W101" s="220">
        <f>OCTUBRE!W101+NOVIEMBRE!AM101</f>
        <v>0</v>
      </c>
      <c r="X101" s="271">
        <f t="shared" si="98"/>
        <v>0</v>
      </c>
      <c r="Y101" s="270">
        <f>OCTUBRE!AA101</f>
        <v>0</v>
      </c>
      <c r="Z101" s="208"/>
      <c r="AA101" s="271">
        <f t="shared" si="99"/>
        <v>0</v>
      </c>
      <c r="AB101" s="270">
        <f>OCTUBRE!AD101</f>
        <v>0</v>
      </c>
      <c r="AC101" s="208"/>
      <c r="AD101" s="271">
        <f t="shared" si="100"/>
        <v>0</v>
      </c>
      <c r="AE101" s="270">
        <f>OCTUBRE!AG101</f>
        <v>0</v>
      </c>
      <c r="AF101" s="208"/>
      <c r="AG101" s="271">
        <f t="shared" si="101"/>
        <v>0</v>
      </c>
      <c r="AH101" s="270">
        <f t="shared" si="102"/>
        <v>0</v>
      </c>
      <c r="AI101" s="220">
        <f t="shared" si="103"/>
        <v>0</v>
      </c>
      <c r="AJ101" s="269">
        <f t="shared" si="104"/>
        <v>0</v>
      </c>
      <c r="AK101" s="389"/>
      <c r="AL101" s="204"/>
      <c r="AM101" s="210"/>
    </row>
    <row r="102" spans="1:39" ht="24.75" customHeight="1" thickBot="1">
      <c r="A102" s="394" t="str">
        <f>+IF(OCTUBRE!A102=0,"",OCTUBRE!A102)</f>
        <v>1.1.02.06.006.07.99</v>
      </c>
      <c r="B102" s="390" t="str">
        <f>+IF(OCTUBRE!B102=0,"",OCTUBRE!B102)</f>
        <v>Vigencia Anterior estampilla</v>
      </c>
      <c r="C102" s="391">
        <f>+ENERO!C102</f>
        <v>0</v>
      </c>
      <c r="D102" s="243">
        <f>OCTUBRE!D102+NOVIEMBRE!P102</f>
        <v>0</v>
      </c>
      <c r="E102" s="243">
        <f>OCTUBRE!E102+NOVIEMBRE!Q102</f>
        <v>0</v>
      </c>
      <c r="F102" s="243">
        <f t="shared" si="92"/>
        <v>0</v>
      </c>
      <c r="G102" s="243">
        <f>OCTUBRE!I102</f>
        <v>0</v>
      </c>
      <c r="H102" s="246"/>
      <c r="I102" s="243">
        <f t="shared" si="93"/>
        <v>0</v>
      </c>
      <c r="J102" s="243">
        <f>OCTUBRE!L102</f>
        <v>0</v>
      </c>
      <c r="K102" s="246"/>
      <c r="L102" s="243">
        <f t="shared" si="94"/>
        <v>0</v>
      </c>
      <c r="M102" s="243">
        <f t="shared" si="95"/>
        <v>0</v>
      </c>
      <c r="N102" s="244">
        <f t="shared" si="96"/>
        <v>0</v>
      </c>
      <c r="O102" s="67"/>
      <c r="P102" s="204">
        <v>0</v>
      </c>
      <c r="Q102" s="210"/>
      <c r="R102" s="101"/>
      <c r="S102" s="266">
        <f>+IF(OCTUBRE!S102=0,"",OCTUBRE!S102)</f>
        <v>1020399</v>
      </c>
      <c r="T102" s="267" t="str">
        <f>+IF(OCTUBRE!T102=0,"",OCTUBRE!T102)</f>
        <v>Vigencias Anteriores</v>
      </c>
      <c r="U102" s="373">
        <f>+ENERO!U102</f>
        <v>0</v>
      </c>
      <c r="V102" s="220">
        <f>OCTUBRE!V102+NOVIEMBRE!AL102</f>
        <v>0</v>
      </c>
      <c r="W102" s="220">
        <f>OCTUBRE!W102+NOVIEMBRE!AM102</f>
        <v>0</v>
      </c>
      <c r="X102" s="271">
        <f t="shared" si="98"/>
        <v>0</v>
      </c>
      <c r="Y102" s="270">
        <f>OCTUBRE!AA102</f>
        <v>0</v>
      </c>
      <c r="Z102" s="208"/>
      <c r="AA102" s="271">
        <f t="shared" si="99"/>
        <v>0</v>
      </c>
      <c r="AB102" s="270">
        <f>OCTUBRE!AD102</f>
        <v>0</v>
      </c>
      <c r="AC102" s="208"/>
      <c r="AD102" s="271">
        <f t="shared" si="100"/>
        <v>0</v>
      </c>
      <c r="AE102" s="270">
        <f>OCTUBRE!AG102</f>
        <v>0</v>
      </c>
      <c r="AF102" s="208"/>
      <c r="AG102" s="271">
        <f t="shared" si="101"/>
        <v>0</v>
      </c>
      <c r="AH102" s="270">
        <f t="shared" si="102"/>
        <v>0</v>
      </c>
      <c r="AI102" s="220">
        <f t="shared" si="103"/>
        <v>0</v>
      </c>
      <c r="AJ102" s="269">
        <f t="shared" si="104"/>
        <v>0</v>
      </c>
      <c r="AK102" s="101"/>
      <c r="AL102" s="204"/>
      <c r="AM102" s="210"/>
    </row>
    <row r="103" spans="1:39" ht="24.75" customHeight="1" thickBot="1">
      <c r="A103" s="398" t="str">
        <f>+IF(OCTUBRE!A103=0,"",OCTUBRE!A103)</f>
        <v/>
      </c>
      <c r="B103" s="399" t="str">
        <f>+IF(OCTUBRE!B103=0,"",OCTUBRE!B103)</f>
        <v/>
      </c>
      <c r="C103" s="400"/>
      <c r="D103" s="400"/>
      <c r="E103" s="400"/>
      <c r="F103" s="400"/>
      <c r="G103" s="400"/>
      <c r="H103" s="400"/>
      <c r="I103" s="400"/>
      <c r="J103" s="400"/>
      <c r="K103" s="400"/>
      <c r="L103" s="400"/>
      <c r="M103" s="400"/>
      <c r="N103" s="401"/>
      <c r="O103" s="67"/>
      <c r="P103" s="402"/>
      <c r="Q103" s="401"/>
      <c r="R103" s="101"/>
      <c r="S103" s="189" t="str">
        <f>+IF(OCTUBRE!S103=0,"",OCTUBRE!S103)</f>
        <v/>
      </c>
      <c r="T103" s="488" t="str">
        <f>+IF(OCTUBRE!T103=0,"",OCTUBRE!T103)</f>
        <v/>
      </c>
      <c r="U103" s="191"/>
      <c r="V103" s="191"/>
      <c r="W103" s="191"/>
      <c r="X103" s="191"/>
      <c r="Y103" s="191"/>
      <c r="Z103" s="191"/>
      <c r="AA103" s="191"/>
      <c r="AB103" s="191"/>
      <c r="AC103" s="191"/>
      <c r="AD103" s="191"/>
      <c r="AE103" s="191"/>
      <c r="AF103" s="191"/>
      <c r="AG103" s="191"/>
      <c r="AH103" s="191"/>
      <c r="AI103" s="191"/>
      <c r="AJ103" s="192"/>
      <c r="AK103" s="101"/>
      <c r="AL103" s="370"/>
      <c r="AM103" s="371"/>
    </row>
    <row r="104" spans="1:39" ht="24.75" customHeight="1">
      <c r="A104" s="392">
        <f>+IF(OCTUBRE!A104=0,"",OCTUBRE!A104)</f>
        <v>11304</v>
      </c>
      <c r="B104" s="393" t="str">
        <f>+IF(OCTUBRE!B104=0,"",OCTUBRE!B104)</f>
        <v>Otros ingresos corrientes</v>
      </c>
      <c r="C104" s="383">
        <f t="shared" ref="C104:N104" si="105">SUM(C105:C111)</f>
        <v>235000000</v>
      </c>
      <c r="D104" s="384">
        <f t="shared" si="105"/>
        <v>0</v>
      </c>
      <c r="E104" s="384">
        <f t="shared" si="105"/>
        <v>46961679</v>
      </c>
      <c r="F104" s="384">
        <f t="shared" si="105"/>
        <v>281961679</v>
      </c>
      <c r="G104" s="384">
        <f t="shared" si="105"/>
        <v>381935109</v>
      </c>
      <c r="H104" s="384">
        <f t="shared" si="105"/>
        <v>31777235</v>
      </c>
      <c r="I104" s="384">
        <f t="shared" si="105"/>
        <v>413712344</v>
      </c>
      <c r="J104" s="384">
        <f t="shared" si="105"/>
        <v>334714457</v>
      </c>
      <c r="K104" s="384">
        <f t="shared" si="105"/>
        <v>29802429</v>
      </c>
      <c r="L104" s="384">
        <f t="shared" si="105"/>
        <v>364516886</v>
      </c>
      <c r="M104" s="384">
        <f t="shared" si="105"/>
        <v>-131750665</v>
      </c>
      <c r="N104" s="385">
        <f t="shared" si="105"/>
        <v>-82555207</v>
      </c>
      <c r="O104" s="67"/>
      <c r="P104" s="288">
        <f>SUM(P105:P111)</f>
        <v>0</v>
      </c>
      <c r="Q104" s="289">
        <f>SUM(Q105:Q111)</f>
        <v>0</v>
      </c>
      <c r="R104" s="101"/>
      <c r="S104" s="257">
        <f>+IF(OCTUBRE!S104=0,"",OCTUBRE!S104)</f>
        <v>1020400</v>
      </c>
      <c r="T104" s="546" t="str">
        <f>+IF(OCTUBRE!T104=0,"",OCTUBRE!T104)</f>
        <v>Contribuciones Inherentes nómina del Sector Publico</v>
      </c>
      <c r="U104" s="230">
        <f t="shared" ref="U104:AJ104" si="106">U105+U108</f>
        <v>0</v>
      </c>
      <c r="V104" s="231">
        <f t="shared" si="106"/>
        <v>0</v>
      </c>
      <c r="W104" s="231">
        <f t="shared" si="106"/>
        <v>20000000</v>
      </c>
      <c r="X104" s="234">
        <f t="shared" si="106"/>
        <v>20000000</v>
      </c>
      <c r="Y104" s="233">
        <f t="shared" si="106"/>
        <v>18261571</v>
      </c>
      <c r="Z104" s="231">
        <f t="shared" si="106"/>
        <v>0</v>
      </c>
      <c r="AA104" s="234">
        <f t="shared" si="106"/>
        <v>18261571</v>
      </c>
      <c r="AB104" s="233">
        <f t="shared" si="106"/>
        <v>18261571</v>
      </c>
      <c r="AC104" s="231">
        <f>AC105+AC108</f>
        <v>0</v>
      </c>
      <c r="AD104" s="234">
        <f t="shared" si="106"/>
        <v>18261571</v>
      </c>
      <c r="AE104" s="233">
        <f t="shared" si="106"/>
        <v>18261571</v>
      </c>
      <c r="AF104" s="231">
        <f>AF105+AF108</f>
        <v>0</v>
      </c>
      <c r="AG104" s="234">
        <f t="shared" si="106"/>
        <v>18261571</v>
      </c>
      <c r="AH104" s="233">
        <f t="shared" si="106"/>
        <v>1738429</v>
      </c>
      <c r="AI104" s="231">
        <f t="shared" si="106"/>
        <v>1738429</v>
      </c>
      <c r="AJ104" s="232">
        <f t="shared" si="106"/>
        <v>1738429</v>
      </c>
      <c r="AK104" s="101"/>
      <c r="AL104" s="233">
        <f>AL105+AL108</f>
        <v>0</v>
      </c>
      <c r="AM104" s="232">
        <f>AM105+AM108</f>
        <v>0</v>
      </c>
    </row>
    <row r="105" spans="1:39" ht="48" customHeight="1">
      <c r="A105" s="394" t="str">
        <f>+IF(OCTUBRE!A105=0,"",OCTUBRE!A105)</f>
        <v>1.1.02.05.002.07</v>
      </c>
      <c r="B105" s="397" t="str">
        <f>+IF(OCTUBRE!B105=0,"",OCTUBRE!B105)</f>
        <v>Servicios financieros y servicios conexos, servicios inmobiliarios y servicios de leasing (ARRENDAMIENTOS)</v>
      </c>
      <c r="C105" s="268">
        <f>+ENERO!C105</f>
        <v>235000000</v>
      </c>
      <c r="D105" s="205">
        <f>OCTUBRE!D105+NOVIEMBRE!P105</f>
        <v>0</v>
      </c>
      <c r="E105" s="205">
        <f>OCTUBRE!E105+NOVIEMBRE!Q105</f>
        <v>0</v>
      </c>
      <c r="F105" s="205">
        <f t="shared" ref="F105:F111" si="107">SUM(C105:E105)</f>
        <v>235000000</v>
      </c>
      <c r="G105" s="205">
        <f>OCTUBRE!I105</f>
        <v>276591530</v>
      </c>
      <c r="H105" s="208">
        <v>28447229</v>
      </c>
      <c r="I105" s="205">
        <f t="shared" ref="I105:I111" si="108">SUM(G105:H105)</f>
        <v>305038759</v>
      </c>
      <c r="J105" s="205">
        <f>OCTUBRE!L105</f>
        <v>236445548</v>
      </c>
      <c r="K105" s="208">
        <v>29344662</v>
      </c>
      <c r="L105" s="205">
        <f t="shared" ref="L105:L111" si="109">SUM(J105:K105)</f>
        <v>265790210</v>
      </c>
      <c r="M105" s="205">
        <f t="shared" ref="M105:M111" si="110">F105-I105</f>
        <v>-70038759</v>
      </c>
      <c r="N105" s="206">
        <f t="shared" ref="N105:N111" si="111">F105-L105</f>
        <v>-30790210</v>
      </c>
      <c r="O105" s="67"/>
      <c r="P105" s="204">
        <v>0</v>
      </c>
      <c r="Q105" s="210">
        <v>0</v>
      </c>
      <c r="R105" s="101"/>
      <c r="S105" s="266">
        <f>+IF(OCTUBRE!S105=0,"",OCTUBRE!S105)</f>
        <v>1020402</v>
      </c>
      <c r="T105" s="267" t="str">
        <f>+IF(OCTUBRE!T105=0,"",OCTUBRE!T105)</f>
        <v>Contribuciones - Otros</v>
      </c>
      <c r="U105" s="373">
        <f t="shared" ref="U105:AJ105" si="112">SUM(U106:U107)</f>
        <v>0</v>
      </c>
      <c r="V105" s="220">
        <f t="shared" si="112"/>
        <v>0</v>
      </c>
      <c r="W105" s="220">
        <f t="shared" si="112"/>
        <v>0</v>
      </c>
      <c r="X105" s="271">
        <f t="shared" si="112"/>
        <v>0</v>
      </c>
      <c r="Y105" s="270">
        <f t="shared" si="112"/>
        <v>0</v>
      </c>
      <c r="Z105" s="300">
        <f t="shared" si="112"/>
        <v>0</v>
      </c>
      <c r="AA105" s="271">
        <f t="shared" si="112"/>
        <v>0</v>
      </c>
      <c r="AB105" s="270">
        <f t="shared" si="112"/>
        <v>0</v>
      </c>
      <c r="AC105" s="300">
        <f>SUM(AC106:AC107)</f>
        <v>0</v>
      </c>
      <c r="AD105" s="271">
        <f t="shared" si="112"/>
        <v>0</v>
      </c>
      <c r="AE105" s="270">
        <f t="shared" si="112"/>
        <v>0</v>
      </c>
      <c r="AF105" s="300">
        <f>SUM(AF106:AF107)</f>
        <v>0</v>
      </c>
      <c r="AG105" s="271">
        <f t="shared" si="112"/>
        <v>0</v>
      </c>
      <c r="AH105" s="270">
        <f t="shared" si="112"/>
        <v>0</v>
      </c>
      <c r="AI105" s="220">
        <f t="shared" si="112"/>
        <v>0</v>
      </c>
      <c r="AJ105" s="269">
        <f t="shared" si="112"/>
        <v>0</v>
      </c>
      <c r="AK105" s="216"/>
      <c r="AL105" s="301">
        <f>SUM(AL106:AL107)</f>
        <v>0</v>
      </c>
      <c r="AM105" s="302">
        <f>SUM(AM106:AM107)</f>
        <v>0</v>
      </c>
    </row>
    <row r="106" spans="1:39" ht="24.75" customHeight="1">
      <c r="A106" s="394">
        <f>+IF(OCTUBRE!A106=0,"",OCTUBRE!A106)</f>
        <v>1020402</v>
      </c>
      <c r="B106" s="403" t="str">
        <f>+IF(OCTUBRE!B106=0,"",OCTUBRE!B106)</f>
        <v/>
      </c>
      <c r="C106" s="268">
        <f>+ENERO!C106</f>
        <v>0</v>
      </c>
      <c r="D106" s="205">
        <f>OCTUBRE!D106+NOVIEMBRE!P106</f>
        <v>0</v>
      </c>
      <c r="E106" s="205">
        <f>OCTUBRE!E106+NOVIEMBRE!Q106</f>
        <v>0</v>
      </c>
      <c r="F106" s="205">
        <f t="shared" si="107"/>
        <v>0</v>
      </c>
      <c r="G106" s="205">
        <f>OCTUBRE!I106</f>
        <v>0</v>
      </c>
      <c r="H106" s="208"/>
      <c r="I106" s="205">
        <f t="shared" si="108"/>
        <v>0</v>
      </c>
      <c r="J106" s="205">
        <f>OCTUBRE!L106</f>
        <v>0</v>
      </c>
      <c r="K106" s="208"/>
      <c r="L106" s="205">
        <f t="shared" si="109"/>
        <v>0</v>
      </c>
      <c r="M106" s="205">
        <f t="shared" si="110"/>
        <v>0</v>
      </c>
      <c r="N106" s="206">
        <f t="shared" si="111"/>
        <v>0</v>
      </c>
      <c r="O106" s="67"/>
      <c r="P106" s="204">
        <v>0</v>
      </c>
      <c r="Q106" s="210"/>
      <c r="R106" s="101"/>
      <c r="S106" s="311" t="str">
        <f>+IF(OCTUBRE!S106=0,"",OCTUBRE!S106)</f>
        <v>2.1.1.01.02.007-1</v>
      </c>
      <c r="T106" s="312" t="str">
        <f>+IF(OCTUBRE!T106=0,"",OCTUBRE!T106)</f>
        <v>S.E.N.A.</v>
      </c>
      <c r="U106" s="373">
        <f>+ENERO!U106</f>
        <v>0</v>
      </c>
      <c r="V106" s="220">
        <f>OCTUBRE!V106+NOVIEMBRE!AL106</f>
        <v>0</v>
      </c>
      <c r="W106" s="220">
        <f>OCTUBRE!W106+NOVIEMBRE!AM106</f>
        <v>0</v>
      </c>
      <c r="X106" s="271">
        <f>SUM(U106:W106)</f>
        <v>0</v>
      </c>
      <c r="Y106" s="270">
        <f>OCTUBRE!Z106</f>
        <v>0</v>
      </c>
      <c r="Z106" s="208"/>
      <c r="AA106" s="271">
        <f>SUM(Y106:Z106)</f>
        <v>0</v>
      </c>
      <c r="AB106" s="270">
        <f>OCTUBRE!AC106</f>
        <v>0</v>
      </c>
      <c r="AC106" s="208"/>
      <c r="AD106" s="271">
        <f>SUM(AB106:AC106)</f>
        <v>0</v>
      </c>
      <c r="AE106" s="270">
        <f>OCTUBRE!AF106</f>
        <v>0</v>
      </c>
      <c r="AF106" s="208"/>
      <c r="AG106" s="271">
        <f>SUM(AE106:AF106)</f>
        <v>0</v>
      </c>
      <c r="AH106" s="270">
        <f>X106-AA106</f>
        <v>0</v>
      </c>
      <c r="AI106" s="220">
        <f>X106-AD106</f>
        <v>0</v>
      </c>
      <c r="AJ106" s="269">
        <f>X106-AG106</f>
        <v>0</v>
      </c>
      <c r="AK106" s="101"/>
      <c r="AL106" s="204"/>
      <c r="AM106" s="210"/>
    </row>
    <row r="107" spans="1:39" ht="24.75" customHeight="1">
      <c r="A107" s="394" t="str">
        <f>+IF(OCTUBRE!A107=0,"",OCTUBRE!A107)</f>
        <v/>
      </c>
      <c r="B107" s="397" t="str">
        <f>+IF(OCTUBRE!B107=0,"",OCTUBRE!B107)</f>
        <v/>
      </c>
      <c r="C107" s="268">
        <f>+ENERO!C107</f>
        <v>0</v>
      </c>
      <c r="D107" s="205">
        <f>OCTUBRE!D107+NOVIEMBRE!P107</f>
        <v>0</v>
      </c>
      <c r="E107" s="205">
        <f>OCTUBRE!E107+NOVIEMBRE!Q107</f>
        <v>0</v>
      </c>
      <c r="F107" s="205">
        <f t="shared" si="107"/>
        <v>0</v>
      </c>
      <c r="G107" s="205">
        <f>OCTUBRE!I107</f>
        <v>0</v>
      </c>
      <c r="H107" s="208"/>
      <c r="I107" s="205">
        <f t="shared" si="108"/>
        <v>0</v>
      </c>
      <c r="J107" s="205">
        <f>OCTUBRE!L107</f>
        <v>0</v>
      </c>
      <c r="K107" s="208"/>
      <c r="L107" s="205">
        <f t="shared" si="109"/>
        <v>0</v>
      </c>
      <c r="M107" s="205">
        <f t="shared" si="110"/>
        <v>0</v>
      </c>
      <c r="N107" s="206">
        <f t="shared" si="111"/>
        <v>0</v>
      </c>
      <c r="O107" s="67"/>
      <c r="P107" s="204">
        <v>0</v>
      </c>
      <c r="Q107" s="210"/>
      <c r="R107" s="101"/>
      <c r="S107" s="311" t="str">
        <f>+IF(OCTUBRE!S107=0,"",OCTUBRE!S107)</f>
        <v>2.1.1.01.02.006-1</v>
      </c>
      <c r="T107" s="312" t="str">
        <f>+IF(OCTUBRE!T107=0,"",OCTUBRE!T107)</f>
        <v>I.C.B.F.</v>
      </c>
      <c r="U107" s="373">
        <f>+ENERO!U107</f>
        <v>0</v>
      </c>
      <c r="V107" s="220">
        <f>OCTUBRE!V107+NOVIEMBRE!AL107</f>
        <v>0</v>
      </c>
      <c r="W107" s="220">
        <f>OCTUBRE!W107+NOVIEMBRE!AM107</f>
        <v>0</v>
      </c>
      <c r="X107" s="271">
        <f>SUM(U107:W107)</f>
        <v>0</v>
      </c>
      <c r="Y107" s="270">
        <f>OCTUBRE!Z107</f>
        <v>0</v>
      </c>
      <c r="Z107" s="208"/>
      <c r="AA107" s="271">
        <f>SUM(Y107:Z107)</f>
        <v>0</v>
      </c>
      <c r="AB107" s="270">
        <f>OCTUBRE!AC107</f>
        <v>0</v>
      </c>
      <c r="AC107" s="208"/>
      <c r="AD107" s="271">
        <f>SUM(AB107:AC107)</f>
        <v>0</v>
      </c>
      <c r="AE107" s="270">
        <f>OCTUBRE!AF107</f>
        <v>0</v>
      </c>
      <c r="AF107" s="208"/>
      <c r="AG107" s="271">
        <f>SUM(AE107:AF107)</f>
        <v>0</v>
      </c>
      <c r="AH107" s="270">
        <f>X107-AA107</f>
        <v>0</v>
      </c>
      <c r="AI107" s="220">
        <f>X107-AD107</f>
        <v>0</v>
      </c>
      <c r="AJ107" s="269">
        <f>X107-AG107</f>
        <v>0</v>
      </c>
      <c r="AK107" s="101"/>
      <c r="AL107" s="204"/>
      <c r="AM107" s="210"/>
    </row>
    <row r="108" spans="1:39" ht="24.75" customHeight="1">
      <c r="A108" s="394" t="str">
        <f>+IF(OCTUBRE!A108=0,"",OCTUBRE!A108)</f>
        <v/>
      </c>
      <c r="B108" s="397" t="str">
        <f>+IF(OCTUBRE!B108=0,"",OCTUBRE!B108)</f>
        <v/>
      </c>
      <c r="C108" s="268">
        <f>+ENERO!C108</f>
        <v>0</v>
      </c>
      <c r="D108" s="205">
        <f>OCTUBRE!D108+NOVIEMBRE!P108</f>
        <v>0</v>
      </c>
      <c r="E108" s="205">
        <f>OCTUBRE!E108+NOVIEMBRE!Q108</f>
        <v>0</v>
      </c>
      <c r="F108" s="205">
        <f t="shared" si="107"/>
        <v>0</v>
      </c>
      <c r="G108" s="205">
        <f>OCTUBRE!I108</f>
        <v>0</v>
      </c>
      <c r="H108" s="208"/>
      <c r="I108" s="205">
        <f t="shared" si="108"/>
        <v>0</v>
      </c>
      <c r="J108" s="205">
        <f>OCTUBRE!L108</f>
        <v>0</v>
      </c>
      <c r="K108" s="208"/>
      <c r="L108" s="205">
        <f t="shared" si="109"/>
        <v>0</v>
      </c>
      <c r="M108" s="205">
        <f t="shared" si="110"/>
        <v>0</v>
      </c>
      <c r="N108" s="206">
        <f t="shared" si="111"/>
        <v>0</v>
      </c>
      <c r="O108" s="67"/>
      <c r="P108" s="204">
        <v>0</v>
      </c>
      <c r="Q108" s="210"/>
      <c r="R108" s="101"/>
      <c r="S108" s="266" t="str">
        <f>+IF(OCTUBRE!S108=0,"",OCTUBRE!S108)</f>
        <v>2.1.2.02.02.008.99.04</v>
      </c>
      <c r="T108" s="267" t="str">
        <f>+IF(OCTUBRE!T108=0,"",OCTUBRE!T108)</f>
        <v>Vigencias Anteriores Servicios personales administrativos</v>
      </c>
      <c r="U108" s="373">
        <f>+ENERO!U108</f>
        <v>0</v>
      </c>
      <c r="V108" s="220">
        <f>OCTUBRE!V108+NOVIEMBRE!AL108</f>
        <v>0</v>
      </c>
      <c r="W108" s="220">
        <f>OCTUBRE!W108+NOVIEMBRE!AM108</f>
        <v>20000000</v>
      </c>
      <c r="X108" s="271">
        <f>SUM(U108:W108)</f>
        <v>20000000</v>
      </c>
      <c r="Y108" s="270">
        <f>SUM(OCTUBRE!AA108)</f>
        <v>18261571</v>
      </c>
      <c r="Z108" s="208"/>
      <c r="AA108" s="271">
        <f>SUM(Y108:Z108)</f>
        <v>18261571</v>
      </c>
      <c r="AB108" s="270">
        <f>OCTUBRE!AD108</f>
        <v>18261571</v>
      </c>
      <c r="AC108" s="208"/>
      <c r="AD108" s="271">
        <f>SUM(AB108:AC108)</f>
        <v>18261571</v>
      </c>
      <c r="AE108" s="270">
        <f>OCTUBRE!AG108</f>
        <v>18261571</v>
      </c>
      <c r="AF108" s="208"/>
      <c r="AG108" s="271">
        <f>SUM(AE108:AF108)</f>
        <v>18261571</v>
      </c>
      <c r="AH108" s="270">
        <f>X108-AA108</f>
        <v>1738429</v>
      </c>
      <c r="AI108" s="220">
        <f>X108-AD108</f>
        <v>1738429</v>
      </c>
      <c r="AJ108" s="269">
        <f>X108-AG108</f>
        <v>1738429</v>
      </c>
      <c r="AK108" s="101"/>
      <c r="AL108" s="204"/>
      <c r="AM108" s="210"/>
    </row>
    <row r="109" spans="1:39" ht="24.75" customHeight="1">
      <c r="A109" s="394" t="str">
        <f>+IF(OCTUBRE!A109=0,"",OCTUBRE!A109)</f>
        <v>1.1.02.05.002.08</v>
      </c>
      <c r="B109" s="397" t="str">
        <f>+IF(OCTUBRE!B109=0,"",OCTUBRE!B109)</f>
        <v>Servicios prestados a las empresas y servicios de producción(APROVECHAMIENTOS)</v>
      </c>
      <c r="C109" s="268">
        <f>+ENERO!C109</f>
        <v>0</v>
      </c>
      <c r="D109" s="205">
        <f>OCTUBRE!D109+NOVIEMBRE!P109</f>
        <v>0</v>
      </c>
      <c r="E109" s="205">
        <f>OCTUBRE!E109+NOVIEMBRE!Q109</f>
        <v>27224890</v>
      </c>
      <c r="F109" s="205">
        <f t="shared" si="107"/>
        <v>27224890</v>
      </c>
      <c r="G109" s="205">
        <f>OCTUBRE!I109</f>
        <v>85606790</v>
      </c>
      <c r="H109" s="208">
        <v>3330006</v>
      </c>
      <c r="I109" s="205">
        <f t="shared" si="108"/>
        <v>88936796</v>
      </c>
      <c r="J109" s="205">
        <f>OCTUBRE!L109</f>
        <v>78532120</v>
      </c>
      <c r="K109" s="208">
        <v>457767</v>
      </c>
      <c r="L109" s="205">
        <f t="shared" si="109"/>
        <v>78989887</v>
      </c>
      <c r="M109" s="205">
        <f t="shared" si="110"/>
        <v>-61711906</v>
      </c>
      <c r="N109" s="206">
        <f t="shared" si="111"/>
        <v>-51764997</v>
      </c>
      <c r="O109" s="67"/>
      <c r="P109" s="204">
        <v>0</v>
      </c>
      <c r="Q109" s="210"/>
      <c r="R109" s="101"/>
      <c r="S109" s="189">
        <f>+IF(OCTUBRE!S109=0,"",OCTUBRE!S109)</f>
        <v>23625024</v>
      </c>
      <c r="T109" s="488" t="str">
        <f>+IF(OCTUBRE!T109=0,"",OCTUBRE!T109)</f>
        <v/>
      </c>
      <c r="U109" s="191"/>
      <c r="V109" s="191"/>
      <c r="W109" s="191"/>
      <c r="X109" s="191"/>
      <c r="Y109" s="191"/>
      <c r="Z109" s="191"/>
      <c r="AA109" s="191"/>
      <c r="AB109" s="191"/>
      <c r="AC109" s="191"/>
      <c r="AD109" s="191"/>
      <c r="AE109" s="191"/>
      <c r="AF109" s="191"/>
      <c r="AG109" s="191"/>
      <c r="AH109" s="191"/>
      <c r="AI109" s="191"/>
      <c r="AJ109" s="192"/>
      <c r="AK109" s="216"/>
      <c r="AL109" s="370"/>
      <c r="AM109" s="371"/>
    </row>
    <row r="110" spans="1:39" ht="24.75" customHeight="1">
      <c r="A110" s="394" t="str">
        <f>+IF(OCTUBRE!A110=0,"",OCTUBRE!A110)</f>
        <v>1.1.02.05.002.09</v>
      </c>
      <c r="B110" s="397" t="str">
        <f>+IF(OCTUBRE!B110=0,"",OCTUBRE!B110)</f>
        <v>Convenio Docencia Servicio</v>
      </c>
      <c r="C110" s="268">
        <f>+ENERO!C110</f>
        <v>0</v>
      </c>
      <c r="D110" s="205">
        <f>OCTUBRE!D110+NOVIEMBRE!P110</f>
        <v>0</v>
      </c>
      <c r="E110" s="205">
        <f>OCTUBRE!E110+NOVIEMBRE!Q110</f>
        <v>0</v>
      </c>
      <c r="F110" s="205">
        <f t="shared" si="107"/>
        <v>0</v>
      </c>
      <c r="G110" s="205">
        <f>OCTUBRE!I110</f>
        <v>0</v>
      </c>
      <c r="H110" s="208">
        <v>0</v>
      </c>
      <c r="I110" s="205">
        <f t="shared" si="108"/>
        <v>0</v>
      </c>
      <c r="J110" s="205">
        <f>OCTUBRE!L110</f>
        <v>0</v>
      </c>
      <c r="K110" s="208"/>
      <c r="L110" s="205">
        <f t="shared" si="109"/>
        <v>0</v>
      </c>
      <c r="M110" s="205">
        <f t="shared" si="110"/>
        <v>0</v>
      </c>
      <c r="N110" s="206">
        <f t="shared" si="111"/>
        <v>0</v>
      </c>
      <c r="O110" s="67"/>
      <c r="P110" s="204">
        <v>0</v>
      </c>
      <c r="Q110" s="210">
        <v>0</v>
      </c>
      <c r="R110" s="101"/>
      <c r="S110" s="228">
        <f>+IF(OCTUBRE!S110=0,"",OCTUBRE!S110)</f>
        <v>2000000</v>
      </c>
      <c r="T110" s="404" t="str">
        <f>+IF(OCTUBRE!T110=0,"",OCTUBRE!T110)</f>
        <v>GASTOS GENERALES</v>
      </c>
      <c r="U110" s="405">
        <f t="shared" ref="U110:AJ110" si="113">U112+U145</f>
        <v>21968169670.620834</v>
      </c>
      <c r="V110" s="406">
        <f t="shared" si="113"/>
        <v>-1849521885</v>
      </c>
      <c r="W110" s="406">
        <f t="shared" si="113"/>
        <v>1593508020</v>
      </c>
      <c r="X110" s="407">
        <f t="shared" si="113"/>
        <v>21712155805.620831</v>
      </c>
      <c r="Y110" s="217">
        <f t="shared" si="113"/>
        <v>15920025338</v>
      </c>
      <c r="Z110" s="406">
        <f t="shared" si="113"/>
        <v>395022388</v>
      </c>
      <c r="AA110" s="407">
        <f t="shared" si="113"/>
        <v>16315047726</v>
      </c>
      <c r="AB110" s="217">
        <f t="shared" si="113"/>
        <v>13825983954</v>
      </c>
      <c r="AC110" s="406">
        <f>AC112+AC145</f>
        <v>1040136473</v>
      </c>
      <c r="AD110" s="407">
        <f t="shared" si="113"/>
        <v>14866120427</v>
      </c>
      <c r="AE110" s="217">
        <f t="shared" si="113"/>
        <v>10261214938</v>
      </c>
      <c r="AF110" s="406">
        <f>AF112+AF145</f>
        <v>880496203</v>
      </c>
      <c r="AG110" s="407">
        <f t="shared" si="113"/>
        <v>11141711141</v>
      </c>
      <c r="AH110" s="217">
        <f t="shared" si="113"/>
        <v>5397108079.6208324</v>
      </c>
      <c r="AI110" s="406">
        <f t="shared" si="113"/>
        <v>6846035378.6208324</v>
      </c>
      <c r="AJ110" s="218">
        <f t="shared" si="113"/>
        <v>10570444664.620832</v>
      </c>
      <c r="AK110" s="216"/>
      <c r="AL110" s="233">
        <f>AL112+AL145</f>
        <v>-2388000000</v>
      </c>
      <c r="AM110" s="232">
        <f>AM112+AM145</f>
        <v>0</v>
      </c>
    </row>
    <row r="111" spans="1:39" ht="24.75" customHeight="1" thickBot="1">
      <c r="A111" s="394" t="str">
        <f>+IF(OCTUBRE!A111=0,"",OCTUBRE!A111)</f>
        <v>1.1.02.05.002.07.99</v>
      </c>
      <c r="B111" s="408" t="str">
        <f>+IF(OCTUBRE!B111=0,"",OCTUBRE!B111)</f>
        <v>Vigencia anterior Servicios financieros y servicios conexos, servicios inmobiliarios y servicios de leasing (ARRENDAMIENTOS)</v>
      </c>
      <c r="C111" s="391">
        <f>+ENERO!C111</f>
        <v>0</v>
      </c>
      <c r="D111" s="243">
        <f>OCTUBRE!D111+NOVIEMBRE!P111</f>
        <v>0</v>
      </c>
      <c r="E111" s="243">
        <f>OCTUBRE!E111+NOVIEMBRE!Q111</f>
        <v>19736789</v>
      </c>
      <c r="F111" s="243">
        <f t="shared" si="107"/>
        <v>19736789</v>
      </c>
      <c r="G111" s="243">
        <f>OCTUBRE!I111</f>
        <v>19736789</v>
      </c>
      <c r="H111" s="246"/>
      <c r="I111" s="243">
        <f t="shared" si="108"/>
        <v>19736789</v>
      </c>
      <c r="J111" s="243">
        <f>OCTUBRE!L111</f>
        <v>19736789</v>
      </c>
      <c r="K111" s="246"/>
      <c r="L111" s="243">
        <f t="shared" si="109"/>
        <v>19736789</v>
      </c>
      <c r="M111" s="243">
        <f t="shared" si="110"/>
        <v>0</v>
      </c>
      <c r="N111" s="244">
        <f t="shared" si="111"/>
        <v>0</v>
      </c>
      <c r="O111" s="67"/>
      <c r="P111" s="204">
        <v>0</v>
      </c>
      <c r="Q111" s="210"/>
      <c r="R111" s="101"/>
      <c r="S111" s="189">
        <f>+IF(OCTUBRE!S111=0,"",OCTUBRE!S111)</f>
        <v>18355520</v>
      </c>
      <c r="T111" s="488" t="str">
        <f>+IF(OCTUBRE!T111=0,"",OCTUBRE!T111)</f>
        <v/>
      </c>
      <c r="U111" s="191"/>
      <c r="V111" s="191"/>
      <c r="W111" s="191"/>
      <c r="X111" s="191"/>
      <c r="Y111" s="191"/>
      <c r="Z111" s="191"/>
      <c r="AA111" s="191"/>
      <c r="AB111" s="191"/>
      <c r="AC111" s="191"/>
      <c r="AD111" s="191"/>
      <c r="AE111" s="191"/>
      <c r="AF111" s="191"/>
      <c r="AG111" s="191"/>
      <c r="AH111" s="191"/>
      <c r="AI111" s="191"/>
      <c r="AJ111" s="192"/>
      <c r="AK111" s="101"/>
      <c r="AL111" s="194"/>
      <c r="AM111" s="195"/>
    </row>
    <row r="112" spans="1:39" ht="24.75" customHeight="1" thickBot="1">
      <c r="A112" s="398" t="str">
        <f>+IF(OCTUBRE!A112=0,"",OCTUBRE!A112)</f>
        <v/>
      </c>
      <c r="B112" s="399" t="str">
        <f>+IF(OCTUBRE!B112=0,"",OCTUBRE!B112)</f>
        <v/>
      </c>
      <c r="C112" s="400"/>
      <c r="D112" s="400"/>
      <c r="E112" s="400"/>
      <c r="F112" s="400"/>
      <c r="G112" s="400"/>
      <c r="H112" s="400"/>
      <c r="I112" s="400"/>
      <c r="J112" s="400"/>
      <c r="K112" s="400"/>
      <c r="L112" s="400"/>
      <c r="M112" s="400"/>
      <c r="N112" s="401"/>
      <c r="O112" s="67"/>
      <c r="P112" s="402"/>
      <c r="Q112" s="401"/>
      <c r="R112" s="101"/>
      <c r="S112" s="228">
        <f>+IF(OCTUBRE!S112=0,"",OCTUBRE!S112)</f>
        <v>2010000</v>
      </c>
      <c r="T112" s="229" t="str">
        <f>+IF(OCTUBRE!T112=0,"",OCTUBRE!T112)</f>
        <v>Gastos de Administración</v>
      </c>
      <c r="U112" s="230">
        <f t="shared" ref="U112:AJ112" si="114">U114+U123+U141</f>
        <v>10075238362.444445</v>
      </c>
      <c r="V112" s="231">
        <f t="shared" si="114"/>
        <v>-93521885</v>
      </c>
      <c r="W112" s="231">
        <f t="shared" si="114"/>
        <v>169879991</v>
      </c>
      <c r="X112" s="234">
        <f t="shared" si="114"/>
        <v>10151596468.444443</v>
      </c>
      <c r="Y112" s="233">
        <f t="shared" si="114"/>
        <v>8645653965</v>
      </c>
      <c r="Z112" s="231">
        <f t="shared" si="114"/>
        <v>181183884</v>
      </c>
      <c r="AA112" s="234">
        <f t="shared" si="114"/>
        <v>8826837849</v>
      </c>
      <c r="AB112" s="233">
        <f t="shared" si="114"/>
        <v>7798006192</v>
      </c>
      <c r="AC112" s="231">
        <f>AC114+AC123+AC141</f>
        <v>439431639</v>
      </c>
      <c r="AD112" s="234">
        <f t="shared" si="114"/>
        <v>8237437831</v>
      </c>
      <c r="AE112" s="233">
        <f t="shared" si="114"/>
        <v>6754109351</v>
      </c>
      <c r="AF112" s="231">
        <f>AF114+AF123+AF141</f>
        <v>502037076</v>
      </c>
      <c r="AG112" s="234">
        <f t="shared" si="114"/>
        <v>7256146427</v>
      </c>
      <c r="AH112" s="233">
        <f t="shared" si="114"/>
        <v>1324758619.4444442</v>
      </c>
      <c r="AI112" s="231">
        <f t="shared" si="114"/>
        <v>1914158637.4444442</v>
      </c>
      <c r="AJ112" s="232">
        <f t="shared" si="114"/>
        <v>2895450041.4444442</v>
      </c>
      <c r="AK112" s="101"/>
      <c r="AL112" s="233">
        <f>AL114+AL123+AL141</f>
        <v>-277000000</v>
      </c>
      <c r="AM112" s="232">
        <f>AM114+AM123+AM141</f>
        <v>0</v>
      </c>
    </row>
    <row r="113" spans="1:39" ht="24.75" customHeight="1" thickBot="1">
      <c r="A113" s="123">
        <f>+IF(OCTUBRE!A113=0,"",OCTUBRE!A113)</f>
        <v>2000</v>
      </c>
      <c r="B113" s="265" t="str">
        <f>+IF(OCTUBRE!B113=0,"",OCTUBRE!B113)</f>
        <v>INGRESOS DE CAPITAL</v>
      </c>
      <c r="C113" s="409">
        <f t="shared" ref="C113:N113" si="115">SUM(C115:C124)</f>
        <v>0</v>
      </c>
      <c r="D113" s="410">
        <f t="shared" si="115"/>
        <v>0</v>
      </c>
      <c r="E113" s="410">
        <f t="shared" si="115"/>
        <v>0</v>
      </c>
      <c r="F113" s="410">
        <f t="shared" si="115"/>
        <v>0</v>
      </c>
      <c r="G113" s="410">
        <f t="shared" si="115"/>
        <v>0</v>
      </c>
      <c r="H113" s="410">
        <f t="shared" si="115"/>
        <v>0</v>
      </c>
      <c r="I113" s="410">
        <f t="shared" si="115"/>
        <v>0</v>
      </c>
      <c r="J113" s="410">
        <f t="shared" si="115"/>
        <v>0</v>
      </c>
      <c r="K113" s="410">
        <f t="shared" si="115"/>
        <v>0</v>
      </c>
      <c r="L113" s="410">
        <f t="shared" si="115"/>
        <v>0</v>
      </c>
      <c r="M113" s="410">
        <f t="shared" si="115"/>
        <v>0</v>
      </c>
      <c r="N113" s="411">
        <f t="shared" si="115"/>
        <v>0</v>
      </c>
      <c r="O113" s="369"/>
      <c r="P113" s="171">
        <f>SUM(P115:P124)</f>
        <v>0</v>
      </c>
      <c r="Q113" s="173">
        <f>SUM(Q115:Q124)</f>
        <v>0</v>
      </c>
      <c r="R113" s="101"/>
      <c r="S113" s="189" t="str">
        <f>+IF(OCTUBRE!S113=0,"",OCTUBRE!S113)</f>
        <v/>
      </c>
      <c r="T113" s="488" t="str">
        <f>+IF(OCTUBRE!T113=0,"",OCTUBRE!T113)</f>
        <v/>
      </c>
      <c r="U113" s="191"/>
      <c r="V113" s="191"/>
      <c r="W113" s="191"/>
      <c r="X113" s="191"/>
      <c r="Y113" s="191"/>
      <c r="Z113" s="191"/>
      <c r="AA113" s="191"/>
      <c r="AB113" s="191"/>
      <c r="AC113" s="191"/>
      <c r="AD113" s="191"/>
      <c r="AE113" s="191"/>
      <c r="AF113" s="191"/>
      <c r="AG113" s="191"/>
      <c r="AH113" s="191"/>
      <c r="AI113" s="191"/>
      <c r="AJ113" s="192"/>
      <c r="AK113" s="101"/>
      <c r="AL113" s="194"/>
      <c r="AM113" s="195"/>
    </row>
    <row r="114" spans="1:39" ht="24.75" customHeight="1" thickBot="1">
      <c r="A114" s="398" t="str">
        <f>+IF(OCTUBRE!A114=0,"",OCTUBRE!A114)</f>
        <v/>
      </c>
      <c r="B114" s="399" t="str">
        <f>+IF(OCTUBRE!B114=0,"",OCTUBRE!B114)</f>
        <v/>
      </c>
      <c r="C114" s="400"/>
      <c r="D114" s="400"/>
      <c r="E114" s="400"/>
      <c r="F114" s="400"/>
      <c r="G114" s="400"/>
      <c r="H114" s="400"/>
      <c r="I114" s="400"/>
      <c r="J114" s="400"/>
      <c r="K114" s="400"/>
      <c r="L114" s="400"/>
      <c r="M114" s="400"/>
      <c r="N114" s="401"/>
      <c r="O114" s="67"/>
      <c r="P114" s="402"/>
      <c r="Q114" s="401"/>
      <c r="R114" s="101"/>
      <c r="S114" s="257">
        <f>+IF(OCTUBRE!S114=0,"",OCTUBRE!S114)</f>
        <v>2010100</v>
      </c>
      <c r="T114" s="546" t="str">
        <f>+IF(OCTUBRE!T114=0,"",OCTUBRE!T114)</f>
        <v>Adquisición de bienes</v>
      </c>
      <c r="U114" s="230">
        <f t="shared" ref="U114:AJ114" si="116">SUM(U115:U121)</f>
        <v>1246863273.1666665</v>
      </c>
      <c r="V114" s="231">
        <f t="shared" si="116"/>
        <v>-27000000</v>
      </c>
      <c r="W114" s="231">
        <f t="shared" si="116"/>
        <v>0</v>
      </c>
      <c r="X114" s="234">
        <f t="shared" si="116"/>
        <v>1219863273.1666665</v>
      </c>
      <c r="Y114" s="233">
        <f t="shared" si="116"/>
        <v>457477137</v>
      </c>
      <c r="Z114" s="231">
        <f t="shared" si="116"/>
        <v>23368362</v>
      </c>
      <c r="AA114" s="234">
        <f t="shared" si="116"/>
        <v>480845499</v>
      </c>
      <c r="AB114" s="233">
        <f t="shared" si="116"/>
        <v>422068830</v>
      </c>
      <c r="AC114" s="231">
        <f>SUM(AC115:AC121)</f>
        <v>7729053</v>
      </c>
      <c r="AD114" s="234">
        <f t="shared" si="116"/>
        <v>429797883</v>
      </c>
      <c r="AE114" s="233">
        <f t="shared" si="116"/>
        <v>324473191</v>
      </c>
      <c r="AF114" s="231">
        <f>SUM(AF115:AF121)</f>
        <v>11286983</v>
      </c>
      <c r="AG114" s="234">
        <f t="shared" si="116"/>
        <v>335760174</v>
      </c>
      <c r="AH114" s="233">
        <f t="shared" si="116"/>
        <v>739017774.16666663</v>
      </c>
      <c r="AI114" s="231">
        <f t="shared" si="116"/>
        <v>790065390.16666663</v>
      </c>
      <c r="AJ114" s="232">
        <f t="shared" si="116"/>
        <v>884103099.16666663</v>
      </c>
      <c r="AK114" s="101"/>
      <c r="AL114" s="233">
        <f>SUM(AL115:AL121)</f>
        <v>-27000000</v>
      </c>
      <c r="AM114" s="232">
        <f>SUM(AM115:AM121)</f>
        <v>0</v>
      </c>
    </row>
    <row r="115" spans="1:39" ht="24.75" customHeight="1">
      <c r="A115" s="412">
        <f>+IF(OCTUBRE!A115=0,"",OCTUBRE!A115)</f>
        <v>2100</v>
      </c>
      <c r="B115" s="387" t="str">
        <f>+IF(OCTUBRE!B115=0,"",OCTUBRE!B115)</f>
        <v>CREDITO INTERNO</v>
      </c>
      <c r="C115" s="204">
        <f>+ENERO!C115</f>
        <v>0</v>
      </c>
      <c r="D115" s="413">
        <f>OCTUBRE!D115+NOVIEMBRE!P115</f>
        <v>0</v>
      </c>
      <c r="E115" s="413">
        <f>OCTUBRE!E115+NOVIEMBRE!Q115</f>
        <v>0</v>
      </c>
      <c r="F115" s="414">
        <f t="shared" ref="F115:F124" si="117">SUM(C115:E115)</f>
        <v>0</v>
      </c>
      <c r="G115" s="415">
        <f>OCTUBRE!I115</f>
        <v>0</v>
      </c>
      <c r="H115" s="208"/>
      <c r="I115" s="414">
        <f t="shared" ref="I115:I124" si="118">SUM(G115:H115)</f>
        <v>0</v>
      </c>
      <c r="J115" s="415">
        <f>OCTUBRE!L115</f>
        <v>0</v>
      </c>
      <c r="K115" s="208"/>
      <c r="L115" s="416">
        <f t="shared" ref="L115:L124" si="119">SUM(J115:K115)</f>
        <v>0</v>
      </c>
      <c r="M115" s="417">
        <f t="shared" ref="M115:M124" si="120">F115-I115</f>
        <v>0</v>
      </c>
      <c r="N115" s="416">
        <f t="shared" ref="N115:N124" si="121">F115-L115</f>
        <v>0</v>
      </c>
      <c r="O115" s="369"/>
      <c r="P115" s="204">
        <v>0</v>
      </c>
      <c r="Q115" s="210"/>
      <c r="R115" s="101"/>
      <c r="S115" s="266" t="str">
        <f>+IF(OCTUBRE!S115=0,"",OCTUBRE!S115)</f>
        <v>2.1.2.02.01.003.302</v>
      </c>
      <c r="T115" s="267" t="str">
        <f>+IF(OCTUBRE!T115=0,"",OCTUBRE!T115)</f>
        <v>Papeleria</v>
      </c>
      <c r="U115" s="373">
        <f>+ENERO!U115</f>
        <v>252782338.5</v>
      </c>
      <c r="V115" s="220">
        <f>OCTUBRE!V115+NOVIEMBRE!AL115</f>
        <v>0</v>
      </c>
      <c r="W115" s="220">
        <f>OCTUBRE!W115+NOVIEMBRE!AM115</f>
        <v>0</v>
      </c>
      <c r="X115" s="271">
        <f t="shared" ref="X115:X121" si="122">SUM(U115:W115)</f>
        <v>252782338.5</v>
      </c>
      <c r="Y115" s="270">
        <f>OCTUBRE!AA115</f>
        <v>211846206</v>
      </c>
      <c r="Z115" s="208">
        <v>23368362</v>
      </c>
      <c r="AA115" s="271">
        <f t="shared" ref="AA115:AA121" si="123">SUM(Y115:Z115)</f>
        <v>235214568</v>
      </c>
      <c r="AB115" s="270">
        <f>OCTUBRE!AD115</f>
        <v>204081856</v>
      </c>
      <c r="AC115" s="208">
        <v>4481331</v>
      </c>
      <c r="AD115" s="271">
        <f t="shared" ref="AD115:AD121" si="124">SUM(AB115:AC115)</f>
        <v>208563187</v>
      </c>
      <c r="AE115" s="270">
        <f>OCTUBRE!AG115</f>
        <v>122055498</v>
      </c>
      <c r="AF115" s="208">
        <v>11286983</v>
      </c>
      <c r="AG115" s="271">
        <f t="shared" ref="AG115:AG121" si="125">SUM(AE115:AF115)</f>
        <v>133342481</v>
      </c>
      <c r="AH115" s="270">
        <f t="shared" ref="AH115:AH121" si="126">X115-AA115</f>
        <v>17567770.5</v>
      </c>
      <c r="AI115" s="220">
        <f t="shared" ref="AI115:AI121" si="127">X115-AD115</f>
        <v>44219151.5</v>
      </c>
      <c r="AJ115" s="269">
        <f t="shared" ref="AJ115:AJ121" si="128">X115-AG115</f>
        <v>119439857.5</v>
      </c>
      <c r="AK115" s="101"/>
      <c r="AL115" s="204"/>
      <c r="AM115" s="210"/>
    </row>
    <row r="116" spans="1:39" ht="24.75" customHeight="1">
      <c r="A116" s="412" t="str">
        <f>+IF(OCTUBRE!A116=0,"",OCTUBRE!A116)</f>
        <v>2100-1</v>
      </c>
      <c r="B116" s="388" t="str">
        <f>+IF(OCTUBRE!B116=0,"",OCTUBRE!B116)</f>
        <v>Vigencia Anterior</v>
      </c>
      <c r="C116" s="204">
        <f>+ENERO!C116</f>
        <v>0</v>
      </c>
      <c r="D116" s="413">
        <f>OCTUBRE!D116+NOVIEMBRE!P116</f>
        <v>0</v>
      </c>
      <c r="E116" s="413">
        <f>OCTUBRE!E116+NOVIEMBRE!Q116</f>
        <v>0</v>
      </c>
      <c r="F116" s="414">
        <f t="shared" si="117"/>
        <v>0</v>
      </c>
      <c r="G116" s="415">
        <f>OCTUBRE!I116</f>
        <v>0</v>
      </c>
      <c r="H116" s="208"/>
      <c r="I116" s="414">
        <f t="shared" si="118"/>
        <v>0</v>
      </c>
      <c r="J116" s="415">
        <f>OCTUBRE!L116</f>
        <v>0</v>
      </c>
      <c r="K116" s="208"/>
      <c r="L116" s="416">
        <f t="shared" si="119"/>
        <v>0</v>
      </c>
      <c r="M116" s="417">
        <f t="shared" si="120"/>
        <v>0</v>
      </c>
      <c r="N116" s="416">
        <f t="shared" si="121"/>
        <v>0</v>
      </c>
      <c r="O116" s="369"/>
      <c r="P116" s="204">
        <v>0</v>
      </c>
      <c r="Q116" s="210"/>
      <c r="R116" s="101"/>
      <c r="S116" s="266" t="str">
        <f>+IF(OCTUBRE!S116=0,"",OCTUBRE!S116)</f>
        <v>2.1.2.02.01.003.301</v>
      </c>
      <c r="T116" s="267" t="str">
        <f>+IF(OCTUBRE!T116=0,"",OCTUBRE!T116)</f>
        <v>Combustible</v>
      </c>
      <c r="U116" s="373">
        <f>+ENERO!U116</f>
        <v>77916666.666666657</v>
      </c>
      <c r="V116" s="220">
        <f>OCTUBRE!V116+NOVIEMBRE!AL116</f>
        <v>-17000000</v>
      </c>
      <c r="W116" s="220">
        <f>OCTUBRE!W116+NOVIEMBRE!AM116</f>
        <v>0</v>
      </c>
      <c r="X116" s="271">
        <f t="shared" si="122"/>
        <v>60916666.666666657</v>
      </c>
      <c r="Y116" s="270">
        <f>OCTUBRE!AA116</f>
        <v>60000000</v>
      </c>
      <c r="Z116" s="208">
        <v>0</v>
      </c>
      <c r="AA116" s="271">
        <f t="shared" si="123"/>
        <v>60000000</v>
      </c>
      <c r="AB116" s="270">
        <f>OCTUBRE!AD116</f>
        <v>32356043</v>
      </c>
      <c r="AC116" s="208">
        <v>3247722</v>
      </c>
      <c r="AD116" s="271">
        <f t="shared" si="124"/>
        <v>35603765</v>
      </c>
      <c r="AE116" s="270">
        <f>OCTUBRE!AG116</f>
        <v>27864267</v>
      </c>
      <c r="AF116" s="208">
        <v>0</v>
      </c>
      <c r="AG116" s="271">
        <f t="shared" si="125"/>
        <v>27864267</v>
      </c>
      <c r="AH116" s="270">
        <f t="shared" si="126"/>
        <v>916666.66666665673</v>
      </c>
      <c r="AI116" s="220">
        <f t="shared" si="127"/>
        <v>25312901.666666657</v>
      </c>
      <c r="AJ116" s="269">
        <f t="shared" si="128"/>
        <v>33052399.666666657</v>
      </c>
      <c r="AK116" s="101"/>
      <c r="AL116" s="204">
        <v>-17000000</v>
      </c>
      <c r="AM116" s="210"/>
    </row>
    <row r="117" spans="1:39" ht="24.75" customHeight="1">
      <c r="A117" s="412">
        <f>+IF(OCTUBRE!A117=0,"",OCTUBRE!A117)</f>
        <v>2200</v>
      </c>
      <c r="B117" s="387" t="str">
        <f>+IF(OCTUBRE!B117=0,"",OCTUBRE!B117)</f>
        <v>CREDITO EXTERNO</v>
      </c>
      <c r="C117" s="204">
        <f>+ENERO!C117</f>
        <v>0</v>
      </c>
      <c r="D117" s="413">
        <f>OCTUBRE!D117+NOVIEMBRE!P117</f>
        <v>0</v>
      </c>
      <c r="E117" s="413">
        <f>OCTUBRE!E117+NOVIEMBRE!Q117</f>
        <v>0</v>
      </c>
      <c r="F117" s="414">
        <f t="shared" si="117"/>
        <v>0</v>
      </c>
      <c r="G117" s="415">
        <f>OCTUBRE!I117</f>
        <v>0</v>
      </c>
      <c r="H117" s="208"/>
      <c r="I117" s="414">
        <f t="shared" si="118"/>
        <v>0</v>
      </c>
      <c r="J117" s="415">
        <f>OCTUBRE!L117</f>
        <v>0</v>
      </c>
      <c r="K117" s="208"/>
      <c r="L117" s="416">
        <f t="shared" si="119"/>
        <v>0</v>
      </c>
      <c r="M117" s="417">
        <f t="shared" si="120"/>
        <v>0</v>
      </c>
      <c r="N117" s="416">
        <f t="shared" si="121"/>
        <v>0</v>
      </c>
      <c r="O117" s="369"/>
      <c r="P117" s="204">
        <v>0</v>
      </c>
      <c r="Q117" s="210"/>
      <c r="R117" s="101"/>
      <c r="S117" s="266" t="str">
        <f>+IF(OCTUBRE!S117=0,"",OCTUBRE!S117)</f>
        <v>2.1.3.07.02.031</v>
      </c>
      <c r="T117" s="267" t="str">
        <f>+IF(OCTUBRE!T117=0,"",OCTUBRE!T117)</f>
        <v>Programa de Salud Ocupacional</v>
      </c>
      <c r="U117" s="373">
        <f>+ENERO!U117</f>
        <v>20000000</v>
      </c>
      <c r="V117" s="220">
        <f>OCTUBRE!V117+NOVIEMBRE!AL117</f>
        <v>-10000000</v>
      </c>
      <c r="W117" s="220">
        <f>OCTUBRE!W117+NOVIEMBRE!AM117</f>
        <v>0</v>
      </c>
      <c r="X117" s="271">
        <f t="shared" si="122"/>
        <v>10000000</v>
      </c>
      <c r="Y117" s="270">
        <f>OCTUBRE!AA117</f>
        <v>4278050</v>
      </c>
      <c r="Z117" s="208">
        <v>0</v>
      </c>
      <c r="AA117" s="271">
        <f t="shared" si="123"/>
        <v>4278050</v>
      </c>
      <c r="AB117" s="270">
        <f>OCTUBRE!AD117</f>
        <v>4278050</v>
      </c>
      <c r="AC117" s="208">
        <v>0</v>
      </c>
      <c r="AD117" s="271">
        <f t="shared" si="124"/>
        <v>4278050</v>
      </c>
      <c r="AE117" s="270">
        <f>OCTUBRE!AG117</f>
        <v>842520</v>
      </c>
      <c r="AF117" s="208">
        <v>0</v>
      </c>
      <c r="AG117" s="271">
        <f t="shared" si="125"/>
        <v>842520</v>
      </c>
      <c r="AH117" s="270">
        <f t="shared" si="126"/>
        <v>5721950</v>
      </c>
      <c r="AI117" s="220">
        <f t="shared" si="127"/>
        <v>5721950</v>
      </c>
      <c r="AJ117" s="269">
        <f t="shared" si="128"/>
        <v>9157480</v>
      </c>
      <c r="AK117" s="101"/>
      <c r="AL117" s="204">
        <v>-10000000</v>
      </c>
      <c r="AM117" s="210"/>
    </row>
    <row r="118" spans="1:39" ht="24.75" customHeight="1">
      <c r="A118" s="412" t="str">
        <f>+IF(OCTUBRE!A118=0,"",OCTUBRE!A118)</f>
        <v>2200-1</v>
      </c>
      <c r="B118" s="388" t="str">
        <f>+IF(OCTUBRE!B118=0,"",OCTUBRE!B118)</f>
        <v>Vigencia Anterior</v>
      </c>
      <c r="C118" s="204">
        <f>+ENERO!C118</f>
        <v>0</v>
      </c>
      <c r="D118" s="413">
        <f>OCTUBRE!D118+NOVIEMBRE!P118</f>
        <v>0</v>
      </c>
      <c r="E118" s="413">
        <f>OCTUBRE!E118+NOVIEMBRE!Q118</f>
        <v>0</v>
      </c>
      <c r="F118" s="414">
        <f t="shared" si="117"/>
        <v>0</v>
      </c>
      <c r="G118" s="415">
        <f>OCTUBRE!I118</f>
        <v>0</v>
      </c>
      <c r="H118" s="208"/>
      <c r="I118" s="414">
        <f t="shared" si="118"/>
        <v>0</v>
      </c>
      <c r="J118" s="415">
        <f>OCTUBRE!L118</f>
        <v>0</v>
      </c>
      <c r="K118" s="208"/>
      <c r="L118" s="416">
        <f t="shared" si="119"/>
        <v>0</v>
      </c>
      <c r="M118" s="417">
        <f t="shared" si="120"/>
        <v>0</v>
      </c>
      <c r="N118" s="416">
        <f t="shared" si="121"/>
        <v>0</v>
      </c>
      <c r="O118" s="369"/>
      <c r="P118" s="204">
        <v>0</v>
      </c>
      <c r="Q118" s="210"/>
      <c r="R118" s="101"/>
      <c r="S118" s="266" t="str">
        <f>+IF(OCTUBRE!S118=0,"",OCTUBRE!S118)</f>
        <v>2.1.2.02.01.003.307</v>
      </c>
      <c r="T118" s="267" t="str">
        <f>+IF(OCTUBRE!T118=0,"",OCTUBRE!T118)</f>
        <v>Mantenimiento - Bienes Ambiental y Sanitaria</v>
      </c>
      <c r="U118" s="373">
        <f>+ENERO!U118</f>
        <v>15180000</v>
      </c>
      <c r="V118" s="220">
        <f>OCTUBRE!V118+NOVIEMBRE!AL118</f>
        <v>0</v>
      </c>
      <c r="W118" s="220">
        <f>OCTUBRE!W118+NOVIEMBRE!AM118</f>
        <v>0</v>
      </c>
      <c r="X118" s="271">
        <f t="shared" si="122"/>
        <v>15180000</v>
      </c>
      <c r="Y118" s="270">
        <f>OCTUBRE!AA118</f>
        <v>7641975</v>
      </c>
      <c r="Z118" s="208">
        <v>0</v>
      </c>
      <c r="AA118" s="271">
        <f t="shared" si="123"/>
        <v>7641975</v>
      </c>
      <c r="AB118" s="270">
        <f>OCTUBRE!AD118</f>
        <v>7641975</v>
      </c>
      <c r="AC118" s="208">
        <v>0</v>
      </c>
      <c r="AD118" s="271">
        <f t="shared" si="124"/>
        <v>7641975</v>
      </c>
      <c r="AE118" s="270">
        <f>OCTUBRE!AG118</f>
        <v>0</v>
      </c>
      <c r="AF118" s="208">
        <v>0</v>
      </c>
      <c r="AG118" s="271">
        <f t="shared" si="125"/>
        <v>0</v>
      </c>
      <c r="AH118" s="270">
        <f t="shared" si="126"/>
        <v>7538025</v>
      </c>
      <c r="AI118" s="220">
        <f t="shared" si="127"/>
        <v>7538025</v>
      </c>
      <c r="AJ118" s="269">
        <f t="shared" si="128"/>
        <v>15180000</v>
      </c>
      <c r="AK118" s="101"/>
      <c r="AL118" s="204"/>
      <c r="AM118" s="210"/>
    </row>
    <row r="119" spans="1:39" ht="24.75" customHeight="1">
      <c r="A119" s="412" t="str">
        <f>+IF(OCTUBRE!A119=0,"",OCTUBRE!A119)</f>
        <v>1.2.05.02</v>
      </c>
      <c r="B119" s="387" t="str">
        <f>+IF(OCTUBRE!B119=0,"",OCTUBRE!B119)</f>
        <v>Depositos (RENDIMIENTOS FINANCIEROS)</v>
      </c>
      <c r="C119" s="204">
        <f>+ENERO!C119</f>
        <v>0</v>
      </c>
      <c r="D119" s="413">
        <f>OCTUBRE!D119+NOVIEMBRE!P119</f>
        <v>0</v>
      </c>
      <c r="E119" s="413">
        <f>OCTUBRE!E119+NOVIEMBRE!Q119</f>
        <v>0</v>
      </c>
      <c r="F119" s="414">
        <f t="shared" si="117"/>
        <v>0</v>
      </c>
      <c r="G119" s="207">
        <f>OCTUBRE!I119</f>
        <v>0</v>
      </c>
      <c r="H119" s="208"/>
      <c r="I119" s="419">
        <f t="shared" si="118"/>
        <v>0</v>
      </c>
      <c r="J119" s="207">
        <f>OCTUBRE!L119</f>
        <v>0</v>
      </c>
      <c r="K119" s="208"/>
      <c r="L119" s="206">
        <f t="shared" si="119"/>
        <v>0</v>
      </c>
      <c r="M119" s="420">
        <f t="shared" si="120"/>
        <v>0</v>
      </c>
      <c r="N119" s="206">
        <f t="shared" si="121"/>
        <v>0</v>
      </c>
      <c r="O119" s="369"/>
      <c r="P119" s="204">
        <v>0</v>
      </c>
      <c r="Q119" s="210"/>
      <c r="R119" s="101"/>
      <c r="S119" s="266" t="str">
        <f>+IF(OCTUBRE!S119=0,"",OCTUBRE!S119)</f>
        <v>2.1.2.02.01.003.305</v>
      </c>
      <c r="T119" s="267" t="str">
        <f>+IF(OCTUBRE!T119=0,"",OCTUBRE!T119)</f>
        <v>Mantenimiento -  Partes, accesorios, herramientas</v>
      </c>
      <c r="U119" s="373">
        <f>+ENERO!U119</f>
        <v>0</v>
      </c>
      <c r="V119" s="220">
        <f>OCTUBRE!V119+NOVIEMBRE!AL119</f>
        <v>0</v>
      </c>
      <c r="W119" s="220">
        <f>OCTUBRE!W119+NOVIEMBRE!AM119</f>
        <v>0</v>
      </c>
      <c r="X119" s="271">
        <f t="shared" si="122"/>
        <v>0</v>
      </c>
      <c r="Y119" s="270">
        <f>OCTUBRE!AA119</f>
        <v>0</v>
      </c>
      <c r="Z119" s="208">
        <v>0</v>
      </c>
      <c r="AA119" s="271">
        <f t="shared" si="123"/>
        <v>0</v>
      </c>
      <c r="AB119" s="270">
        <f>OCTUBRE!AD119</f>
        <v>0</v>
      </c>
      <c r="AC119" s="208">
        <v>0</v>
      </c>
      <c r="AD119" s="271">
        <f t="shared" si="124"/>
        <v>0</v>
      </c>
      <c r="AE119" s="270">
        <f>OCTUBRE!AG119</f>
        <v>0</v>
      </c>
      <c r="AF119" s="208">
        <v>0</v>
      </c>
      <c r="AG119" s="271">
        <f t="shared" si="125"/>
        <v>0</v>
      </c>
      <c r="AH119" s="270">
        <f t="shared" si="126"/>
        <v>0</v>
      </c>
      <c r="AI119" s="220">
        <f t="shared" si="127"/>
        <v>0</v>
      </c>
      <c r="AJ119" s="269">
        <f t="shared" si="128"/>
        <v>0</v>
      </c>
      <c r="AK119" s="101"/>
      <c r="AL119" s="204"/>
      <c r="AM119" s="210"/>
    </row>
    <row r="120" spans="1:39" ht="24.75" customHeight="1">
      <c r="A120" s="421">
        <f>+IF(OCTUBRE!A120=0,"",OCTUBRE!A120)</f>
        <v>2400</v>
      </c>
      <c r="B120" s="388" t="str">
        <f>+IF(OCTUBRE!B120=0,"",OCTUBRE!B120)</f>
        <v>VENTA DE ACTIVOS</v>
      </c>
      <c r="C120" s="204">
        <f>+ENERO!C120</f>
        <v>0</v>
      </c>
      <c r="D120" s="413">
        <f>OCTUBRE!D120+NOVIEMBRE!P120</f>
        <v>0</v>
      </c>
      <c r="E120" s="413">
        <f>OCTUBRE!E120+NOVIEMBRE!Q120</f>
        <v>0</v>
      </c>
      <c r="F120" s="414">
        <f t="shared" si="117"/>
        <v>0</v>
      </c>
      <c r="G120" s="207">
        <f>OCTUBRE!I120</f>
        <v>0</v>
      </c>
      <c r="H120" s="208"/>
      <c r="I120" s="419">
        <f t="shared" si="118"/>
        <v>0</v>
      </c>
      <c r="J120" s="207">
        <f>OCTUBRE!L120</f>
        <v>0</v>
      </c>
      <c r="K120" s="208"/>
      <c r="L120" s="206">
        <f t="shared" si="119"/>
        <v>0</v>
      </c>
      <c r="M120" s="420">
        <f t="shared" si="120"/>
        <v>0</v>
      </c>
      <c r="N120" s="206">
        <f t="shared" si="121"/>
        <v>0</v>
      </c>
      <c r="O120" s="67"/>
      <c r="P120" s="204">
        <v>0</v>
      </c>
      <c r="Q120" s="210"/>
      <c r="R120" s="101"/>
      <c r="S120" s="266" t="str">
        <f>+IF(OCTUBRE!S120=0,"",OCTUBRE!S120)</f>
        <v>2.1.2.02.01.003.308</v>
      </c>
      <c r="T120" s="267" t="str">
        <f>+IF(OCTUBRE!T120=0,"",OCTUBRE!T120)</f>
        <v>Mantenimiento - Bienes Adecuaciones locativas</v>
      </c>
      <c r="U120" s="373">
        <f>+ENERO!U120</f>
        <v>704984268</v>
      </c>
      <c r="V120" s="220">
        <f>OCTUBRE!V120+NOVIEMBRE!AL120</f>
        <v>0</v>
      </c>
      <c r="W120" s="220">
        <f>OCTUBRE!W120+NOVIEMBRE!AM120</f>
        <v>0</v>
      </c>
      <c r="X120" s="271">
        <f t="shared" si="122"/>
        <v>704984268</v>
      </c>
      <c r="Y120" s="270">
        <f>OCTUBRE!AA120</f>
        <v>0</v>
      </c>
      <c r="Z120" s="208">
        <v>0</v>
      </c>
      <c r="AA120" s="271">
        <f t="shared" si="123"/>
        <v>0</v>
      </c>
      <c r="AB120" s="270">
        <f>OCTUBRE!AD120</f>
        <v>0</v>
      </c>
      <c r="AC120" s="208">
        <v>0</v>
      </c>
      <c r="AD120" s="271">
        <f t="shared" si="124"/>
        <v>0</v>
      </c>
      <c r="AE120" s="270">
        <f>OCTUBRE!AG120</f>
        <v>0</v>
      </c>
      <c r="AF120" s="208">
        <v>0</v>
      </c>
      <c r="AG120" s="271">
        <f t="shared" si="125"/>
        <v>0</v>
      </c>
      <c r="AH120" s="270">
        <f t="shared" si="126"/>
        <v>704984268</v>
      </c>
      <c r="AI120" s="220">
        <f t="shared" si="127"/>
        <v>704984268</v>
      </c>
      <c r="AJ120" s="269">
        <f t="shared" si="128"/>
        <v>704984268</v>
      </c>
      <c r="AK120" s="101"/>
      <c r="AL120" s="204"/>
      <c r="AM120" s="210"/>
    </row>
    <row r="121" spans="1:39" ht="24.75" customHeight="1">
      <c r="A121" s="421">
        <f>+IF(OCTUBRE!A121=0,"",OCTUBRE!A121)</f>
        <v>2500</v>
      </c>
      <c r="B121" s="388" t="str">
        <f>+IF(OCTUBRE!B121=0,"",OCTUBRE!B121)</f>
        <v>DONACIONES</v>
      </c>
      <c r="C121" s="204">
        <f>+ENERO!C121</f>
        <v>0</v>
      </c>
      <c r="D121" s="413">
        <f>OCTUBRE!D121+NOVIEMBRE!P121</f>
        <v>0</v>
      </c>
      <c r="E121" s="413">
        <f>OCTUBRE!E121+NOVIEMBRE!Q121</f>
        <v>0</v>
      </c>
      <c r="F121" s="414">
        <f t="shared" si="117"/>
        <v>0</v>
      </c>
      <c r="G121" s="207">
        <f>OCTUBRE!I121</f>
        <v>0</v>
      </c>
      <c r="H121" s="208"/>
      <c r="I121" s="419">
        <f t="shared" si="118"/>
        <v>0</v>
      </c>
      <c r="J121" s="207">
        <f>OCTUBRE!L121</f>
        <v>0</v>
      </c>
      <c r="K121" s="208"/>
      <c r="L121" s="206">
        <f t="shared" si="119"/>
        <v>0</v>
      </c>
      <c r="M121" s="420">
        <f t="shared" si="120"/>
        <v>0</v>
      </c>
      <c r="N121" s="206">
        <f t="shared" si="121"/>
        <v>0</v>
      </c>
      <c r="O121" s="67"/>
      <c r="P121" s="204">
        <v>0</v>
      </c>
      <c r="Q121" s="210"/>
      <c r="R121" s="101"/>
      <c r="S121" s="266" t="str">
        <f>+IF(OCTUBRE!S121=0,"",OCTUBRE!S121)</f>
        <v>2.1.2.02.02.008.99.02</v>
      </c>
      <c r="T121" s="267" t="str">
        <f>+IF(OCTUBRE!T121=0,"",OCTUBRE!T121)</f>
        <v>Vigencias Anteriores</v>
      </c>
      <c r="U121" s="373">
        <f>+ENERO!U121</f>
        <v>176000000</v>
      </c>
      <c r="V121" s="220">
        <f>OCTUBRE!V121+NOVIEMBRE!AL121</f>
        <v>0</v>
      </c>
      <c r="W121" s="220">
        <f>OCTUBRE!W121+NOVIEMBRE!AM121</f>
        <v>0</v>
      </c>
      <c r="X121" s="271">
        <f t="shared" si="122"/>
        <v>176000000</v>
      </c>
      <c r="Y121" s="270">
        <f>OCTUBRE!AA121</f>
        <v>173710906</v>
      </c>
      <c r="Z121" s="208">
        <v>0</v>
      </c>
      <c r="AA121" s="271">
        <f t="shared" si="123"/>
        <v>173710906</v>
      </c>
      <c r="AB121" s="270">
        <f>OCTUBRE!AD121</f>
        <v>173710906</v>
      </c>
      <c r="AC121" s="208">
        <v>0</v>
      </c>
      <c r="AD121" s="271">
        <f t="shared" si="124"/>
        <v>173710906</v>
      </c>
      <c r="AE121" s="270">
        <f>OCTUBRE!AG121</f>
        <v>173710906</v>
      </c>
      <c r="AF121" s="208">
        <v>0</v>
      </c>
      <c r="AG121" s="271">
        <f t="shared" si="125"/>
        <v>173710906</v>
      </c>
      <c r="AH121" s="270">
        <f t="shared" si="126"/>
        <v>2289094</v>
      </c>
      <c r="AI121" s="220">
        <f t="shared" si="127"/>
        <v>2289094</v>
      </c>
      <c r="AJ121" s="269">
        <f t="shared" si="128"/>
        <v>2289094</v>
      </c>
      <c r="AK121" s="101"/>
      <c r="AL121" s="204"/>
      <c r="AM121" s="210"/>
    </row>
    <row r="122" spans="1:39" ht="24.75" customHeight="1">
      <c r="A122" s="421">
        <f>+IF(OCTUBRE!A122=0,"",OCTUBRE!A122)</f>
        <v>2600</v>
      </c>
      <c r="B122" s="388" t="str">
        <f>+IF(OCTUBRE!B122=0,"",OCTUBRE!B122)</f>
        <v>RECUPERACIÓN DE CARTERA (AÑO 2023 Y ANTERIORES)</v>
      </c>
      <c r="C122" s="204">
        <f>+ENERO!C122</f>
        <v>0</v>
      </c>
      <c r="D122" s="413">
        <f>OCTUBRE!D122+NOVIEMBRE!P122</f>
        <v>0</v>
      </c>
      <c r="E122" s="413">
        <f>OCTUBRE!E122+NOVIEMBRE!Q122</f>
        <v>0</v>
      </c>
      <c r="F122" s="414">
        <f t="shared" si="117"/>
        <v>0</v>
      </c>
      <c r="G122" s="207">
        <f>OCTUBRE!I122</f>
        <v>0</v>
      </c>
      <c r="H122" s="208"/>
      <c r="I122" s="419">
        <f t="shared" si="118"/>
        <v>0</v>
      </c>
      <c r="J122" s="207">
        <f>OCTUBRE!L122</f>
        <v>0</v>
      </c>
      <c r="K122" s="208"/>
      <c r="L122" s="206">
        <f t="shared" si="119"/>
        <v>0</v>
      </c>
      <c r="M122" s="420">
        <f t="shared" si="120"/>
        <v>0</v>
      </c>
      <c r="N122" s="206">
        <f t="shared" si="121"/>
        <v>0</v>
      </c>
      <c r="O122" s="67"/>
      <c r="P122" s="204">
        <v>0</v>
      </c>
      <c r="Q122" s="210"/>
      <c r="R122" s="101"/>
      <c r="S122" s="189" t="str">
        <f>+IF(OCTUBRE!S122=0,"",OCTUBRE!S122)</f>
        <v/>
      </c>
      <c r="T122" s="488" t="str">
        <f>+IF(OCTUBRE!T122=0,"",OCTUBRE!T122)</f>
        <v/>
      </c>
      <c r="U122" s="191"/>
      <c r="V122" s="191"/>
      <c r="W122" s="191"/>
      <c r="X122" s="191"/>
      <c r="Y122" s="191"/>
      <c r="Z122" s="191"/>
      <c r="AA122" s="191"/>
      <c r="AB122" s="191"/>
      <c r="AC122" s="191"/>
      <c r="AD122" s="191"/>
      <c r="AE122" s="191"/>
      <c r="AF122" s="191"/>
      <c r="AG122" s="191"/>
      <c r="AH122" s="191"/>
      <c r="AI122" s="191"/>
      <c r="AJ122" s="192"/>
      <c r="AK122" s="101"/>
      <c r="AL122" s="370"/>
      <c r="AM122" s="371"/>
    </row>
    <row r="123" spans="1:39" ht="24.75" customHeight="1">
      <c r="A123" s="421">
        <f>+IF(OCTUBRE!A123=0,"",OCTUBRE!A123)</f>
        <v>2700</v>
      </c>
      <c r="B123" s="388" t="str">
        <f>+IF(OCTUBRE!B123=0,"",OCTUBRE!B123)</f>
        <v>OTROS INGRESOS DE CAPITAL</v>
      </c>
      <c r="C123" s="204">
        <f>+ENERO!C123</f>
        <v>0</v>
      </c>
      <c r="D123" s="413">
        <f>OCTUBRE!D123+NOVIEMBRE!P123</f>
        <v>0</v>
      </c>
      <c r="E123" s="413">
        <f>OCTUBRE!E123+NOVIEMBRE!Q123</f>
        <v>0</v>
      </c>
      <c r="F123" s="414">
        <f t="shared" si="117"/>
        <v>0</v>
      </c>
      <c r="G123" s="207">
        <f>OCTUBRE!I123</f>
        <v>0</v>
      </c>
      <c r="H123" s="208">
        <v>0</v>
      </c>
      <c r="I123" s="419">
        <f t="shared" si="118"/>
        <v>0</v>
      </c>
      <c r="J123" s="207">
        <f>OCTUBRE!L123</f>
        <v>0</v>
      </c>
      <c r="K123" s="208">
        <v>0</v>
      </c>
      <c r="L123" s="206">
        <f t="shared" si="119"/>
        <v>0</v>
      </c>
      <c r="M123" s="420">
        <f t="shared" si="120"/>
        <v>0</v>
      </c>
      <c r="N123" s="206">
        <f t="shared" si="121"/>
        <v>0</v>
      </c>
      <c r="O123" s="67"/>
      <c r="P123" s="204">
        <v>0</v>
      </c>
      <c r="Q123" s="210"/>
      <c r="R123" s="101"/>
      <c r="S123" s="257">
        <f>+IF(OCTUBRE!S123=0,"",OCTUBRE!S123)</f>
        <v>2010200</v>
      </c>
      <c r="T123" s="546" t="str">
        <f>+IF(OCTUBRE!T123=0,"",OCTUBRE!T123)</f>
        <v>Adquisición de Servicios</v>
      </c>
      <c r="U123" s="230">
        <f t="shared" ref="U123:AJ123" si="129">SUM(U124:U139)</f>
        <v>8280375089.2777777</v>
      </c>
      <c r="V123" s="231">
        <f t="shared" si="129"/>
        <v>-156521885</v>
      </c>
      <c r="W123" s="231">
        <f t="shared" si="129"/>
        <v>169879991</v>
      </c>
      <c r="X123" s="234">
        <f t="shared" si="129"/>
        <v>8293733195.2777767</v>
      </c>
      <c r="Y123" s="233">
        <f t="shared" si="129"/>
        <v>7814984528</v>
      </c>
      <c r="Z123" s="231">
        <f t="shared" si="129"/>
        <v>97444522</v>
      </c>
      <c r="AA123" s="234">
        <f t="shared" si="129"/>
        <v>7912429050</v>
      </c>
      <c r="AB123" s="233">
        <f t="shared" si="129"/>
        <v>7002745062</v>
      </c>
      <c r="AC123" s="231">
        <f>SUM(AC124:AC139)</f>
        <v>371331586</v>
      </c>
      <c r="AD123" s="234">
        <f t="shared" si="129"/>
        <v>7374076648</v>
      </c>
      <c r="AE123" s="233">
        <f t="shared" si="129"/>
        <v>6056443860</v>
      </c>
      <c r="AF123" s="231">
        <f>SUM(AF124:AF139)</f>
        <v>430379093</v>
      </c>
      <c r="AG123" s="234">
        <f t="shared" si="129"/>
        <v>6486822953</v>
      </c>
      <c r="AH123" s="233">
        <f t="shared" si="129"/>
        <v>381304145.27777749</v>
      </c>
      <c r="AI123" s="231">
        <f t="shared" si="129"/>
        <v>919656547.27777743</v>
      </c>
      <c r="AJ123" s="232">
        <f t="shared" si="129"/>
        <v>1806910242.2777774</v>
      </c>
      <c r="AK123" s="101"/>
      <c r="AL123" s="233">
        <f>SUM(AL124:AL139)</f>
        <v>-250000000</v>
      </c>
      <c r="AM123" s="232">
        <f>SUM(AM124:AM139)</f>
        <v>0</v>
      </c>
    </row>
    <row r="124" spans="1:39" ht="24.75" customHeight="1" thickBot="1">
      <c r="A124" s="428">
        <f>+IF(OCTUBRE!A124=0,"",OCTUBRE!A124)</f>
        <v>2800</v>
      </c>
      <c r="B124" s="390" t="str">
        <f>+IF(OCTUBRE!B124=0,"",OCTUBRE!B124)</f>
        <v/>
      </c>
      <c r="C124" s="242">
        <f>+ENERO!C124</f>
        <v>0</v>
      </c>
      <c r="D124" s="429">
        <f>OCTUBRE!D124+NOVIEMBRE!P124</f>
        <v>0</v>
      </c>
      <c r="E124" s="429">
        <f>OCTUBRE!E124+NOVIEMBRE!Q124</f>
        <v>0</v>
      </c>
      <c r="F124" s="430">
        <f t="shared" si="117"/>
        <v>0</v>
      </c>
      <c r="G124" s="245">
        <f>OCTUBRE!I124</f>
        <v>0</v>
      </c>
      <c r="H124" s="246"/>
      <c r="I124" s="431">
        <f t="shared" si="118"/>
        <v>0</v>
      </c>
      <c r="J124" s="245">
        <f>OCTUBRE!L124</f>
        <v>0</v>
      </c>
      <c r="K124" s="246"/>
      <c r="L124" s="244">
        <f t="shared" si="119"/>
        <v>0</v>
      </c>
      <c r="M124" s="432">
        <f t="shared" si="120"/>
        <v>0</v>
      </c>
      <c r="N124" s="244">
        <f t="shared" si="121"/>
        <v>0</v>
      </c>
      <c r="O124" s="67"/>
      <c r="P124" s="242">
        <v>0</v>
      </c>
      <c r="Q124" s="248"/>
      <c r="R124" s="101"/>
      <c r="S124" s="266" t="str">
        <f>+IF(OCTUBRE!S124=0,"",OCTUBRE!S124)</f>
        <v>2.1.2.02.02.007.702</v>
      </c>
      <c r="T124" s="267" t="str">
        <f>+IF(OCTUBRE!T124=0,"",OCTUBRE!T124)</f>
        <v>Seguros</v>
      </c>
      <c r="U124" s="373">
        <f>+ENERO!U124</f>
        <v>1040000000</v>
      </c>
      <c r="V124" s="220">
        <f>OCTUBRE!V124+NOVIEMBRE!AL124</f>
        <v>-125000000</v>
      </c>
      <c r="W124" s="220">
        <f>OCTUBRE!W124+NOVIEMBRE!AM124</f>
        <v>0</v>
      </c>
      <c r="X124" s="271">
        <f t="shared" ref="X124:X139" si="130">SUM(U124:W124)</f>
        <v>915000000</v>
      </c>
      <c r="Y124" s="270">
        <f>OCTUBRE!AA124</f>
        <v>887058570</v>
      </c>
      <c r="Z124" s="208">
        <v>16708379</v>
      </c>
      <c r="AA124" s="271">
        <f t="shared" ref="AA124:AA139" si="131">SUM(Y124:Z124)</f>
        <v>903766949</v>
      </c>
      <c r="AB124" s="270">
        <f>OCTUBRE!AD124</f>
        <v>886924566</v>
      </c>
      <c r="AC124" s="208">
        <v>16708378</v>
      </c>
      <c r="AD124" s="271">
        <f t="shared" ref="AD124:AD139" si="132">SUM(AB124:AC124)</f>
        <v>903632944</v>
      </c>
      <c r="AE124" s="270">
        <f>OCTUBRE!AG124</f>
        <v>880536924</v>
      </c>
      <c r="AF124" s="208">
        <v>21365642</v>
      </c>
      <c r="AG124" s="271">
        <f t="shared" ref="AG124:AG139" si="133">SUM(AE124:AF124)</f>
        <v>901902566</v>
      </c>
      <c r="AH124" s="270">
        <f t="shared" ref="AH124:AH139" si="134">X124-AA124</f>
        <v>11233051</v>
      </c>
      <c r="AI124" s="220">
        <f t="shared" ref="AI124:AI139" si="135">X124-AD124</f>
        <v>11367056</v>
      </c>
      <c r="AJ124" s="269">
        <f t="shared" ref="AJ124:AJ139" si="136">X124-AG124</f>
        <v>13097434</v>
      </c>
      <c r="AK124" s="101"/>
      <c r="AL124" s="204">
        <v>-50000000</v>
      </c>
      <c r="AM124" s="210"/>
    </row>
    <row r="125" spans="1:39" ht="24.75" customHeight="1" thickBot="1">
      <c r="A125" s="398"/>
      <c r="B125" s="399"/>
      <c r="C125" s="400"/>
      <c r="D125" s="400"/>
      <c r="E125" s="400"/>
      <c r="F125" s="400"/>
      <c r="G125" s="400"/>
      <c r="H125" s="400"/>
      <c r="I125" s="400"/>
      <c r="J125" s="400"/>
      <c r="K125" s="400"/>
      <c r="L125" s="400"/>
      <c r="M125" s="400"/>
      <c r="N125" s="401"/>
      <c r="O125" s="67"/>
      <c r="P125" s="402"/>
      <c r="Q125" s="401"/>
      <c r="R125" s="101"/>
      <c r="S125" s="266" t="str">
        <f>+IF(OCTUBRE!S125=0,"",OCTUBRE!S125)</f>
        <v>2.1.2.02.02.007.703</v>
      </c>
      <c r="T125" s="267" t="str">
        <f>+IF(OCTUBRE!T125=0,"",OCTUBRE!T125)</f>
        <v>Arrendamientos</v>
      </c>
      <c r="U125" s="373">
        <f>+ENERO!U125</f>
        <v>75000000</v>
      </c>
      <c r="V125" s="220">
        <f>OCTUBRE!V125+NOVIEMBRE!AL125</f>
        <v>10000000</v>
      </c>
      <c r="W125" s="220">
        <f>OCTUBRE!W125+NOVIEMBRE!AM125</f>
        <v>0</v>
      </c>
      <c r="X125" s="271">
        <f t="shared" si="130"/>
        <v>85000000</v>
      </c>
      <c r="Y125" s="270">
        <f>OCTUBRE!AA125</f>
        <v>80000000</v>
      </c>
      <c r="Z125" s="208">
        <v>0</v>
      </c>
      <c r="AA125" s="271">
        <f t="shared" si="131"/>
        <v>80000000</v>
      </c>
      <c r="AB125" s="270">
        <f>OCTUBRE!AD125</f>
        <v>60109900</v>
      </c>
      <c r="AC125" s="208">
        <v>0</v>
      </c>
      <c r="AD125" s="271">
        <f t="shared" si="132"/>
        <v>60109900</v>
      </c>
      <c r="AE125" s="270">
        <f>OCTUBRE!AG125</f>
        <v>40000000</v>
      </c>
      <c r="AF125" s="208">
        <v>5000000</v>
      </c>
      <c r="AG125" s="271">
        <f t="shared" si="133"/>
        <v>45000000</v>
      </c>
      <c r="AH125" s="270">
        <f t="shared" si="134"/>
        <v>5000000</v>
      </c>
      <c r="AI125" s="220">
        <f t="shared" si="135"/>
        <v>24890100</v>
      </c>
      <c r="AJ125" s="269">
        <f t="shared" si="136"/>
        <v>40000000</v>
      </c>
      <c r="AK125" s="101"/>
      <c r="AL125" s="204"/>
      <c r="AM125" s="210"/>
    </row>
    <row r="126" spans="1:39" ht="24.75" customHeight="1" thickBot="1">
      <c r="A126" s="433" t="s">
        <v>278</v>
      </c>
      <c r="B126" s="434"/>
      <c r="C126" s="435">
        <f t="shared" ref="C126:N126" si="137">C8-C128</f>
        <v>138960268668.37653</v>
      </c>
      <c r="D126" s="435">
        <f t="shared" si="137"/>
        <v>0</v>
      </c>
      <c r="E126" s="435">
        <f t="shared" si="137"/>
        <v>39951833708</v>
      </c>
      <c r="F126" s="435">
        <f t="shared" si="137"/>
        <v>178912102376.37653</v>
      </c>
      <c r="G126" s="435">
        <f t="shared" si="137"/>
        <v>154088032544</v>
      </c>
      <c r="H126" s="435">
        <f t="shared" si="137"/>
        <v>17508017425</v>
      </c>
      <c r="I126" s="435">
        <f t="shared" si="137"/>
        <v>171576313180</v>
      </c>
      <c r="J126" s="435">
        <f t="shared" si="137"/>
        <v>73761261161</v>
      </c>
      <c r="K126" s="435">
        <f t="shared" si="137"/>
        <v>12924376185</v>
      </c>
      <c r="L126" s="435">
        <f t="shared" si="137"/>
        <v>86665900557</v>
      </c>
      <c r="M126" s="435">
        <f t="shared" si="137"/>
        <v>7335789196.3765125</v>
      </c>
      <c r="N126" s="436">
        <f t="shared" si="137"/>
        <v>92246201819.376495</v>
      </c>
      <c r="O126" s="67"/>
      <c r="P126" s="437">
        <f>P8-P128</f>
        <v>0</v>
      </c>
      <c r="Q126" s="438">
        <f>Q8-Q128</f>
        <v>11667126796</v>
      </c>
      <c r="R126" s="101"/>
      <c r="S126" s="266" t="str">
        <f>+IF(OCTUBRE!S126=0,"",OCTUBRE!S126)</f>
        <v>2.1.2.02.02.008.801</v>
      </c>
      <c r="T126" s="267" t="str">
        <f>+IF(OCTUBRE!T126=0,"",OCTUBRE!T126)</f>
        <v>Servicios Publicos (energia, Gas, Agua, Internet, Telefonia Fija y Movil)</v>
      </c>
      <c r="U126" s="373">
        <f>+ENERO!U126</f>
        <v>2804022659</v>
      </c>
      <c r="V126" s="220">
        <f>OCTUBRE!V126+NOVIEMBRE!AL126</f>
        <v>653000000</v>
      </c>
      <c r="W126" s="220">
        <f>OCTUBRE!W126+NOVIEMBRE!AM126</f>
        <v>0</v>
      </c>
      <c r="X126" s="271">
        <f t="shared" si="130"/>
        <v>3457022659</v>
      </c>
      <c r="Y126" s="270">
        <f>OCTUBRE!AA126</f>
        <v>3150195731</v>
      </c>
      <c r="Z126" s="208">
        <v>78055373</v>
      </c>
      <c r="AA126" s="271">
        <f t="shared" si="131"/>
        <v>3228251104</v>
      </c>
      <c r="AB126" s="270">
        <f>OCTUBRE!AD126</f>
        <v>2921754799</v>
      </c>
      <c r="AC126" s="208">
        <v>78903873</v>
      </c>
      <c r="AD126" s="271">
        <f t="shared" si="132"/>
        <v>3000658672</v>
      </c>
      <c r="AE126" s="270">
        <f>OCTUBRE!AG126</f>
        <v>2698192234</v>
      </c>
      <c r="AF126" s="208">
        <v>236790705</v>
      </c>
      <c r="AG126" s="271">
        <f t="shared" si="133"/>
        <v>2934982939</v>
      </c>
      <c r="AH126" s="270">
        <f t="shared" si="134"/>
        <v>228771555</v>
      </c>
      <c r="AI126" s="220">
        <f t="shared" si="135"/>
        <v>456363987</v>
      </c>
      <c r="AJ126" s="269">
        <f t="shared" si="136"/>
        <v>522039720</v>
      </c>
      <c r="AK126" s="101"/>
      <c r="AL126" s="204">
        <v>133000000</v>
      </c>
      <c r="AM126" s="210"/>
    </row>
    <row r="127" spans="1:39" ht="24.75" customHeight="1" thickBot="1">
      <c r="A127" s="556"/>
      <c r="B127" s="399"/>
      <c r="C127" s="400"/>
      <c r="D127" s="400"/>
      <c r="E127" s="400"/>
      <c r="F127" s="400"/>
      <c r="G127" s="400"/>
      <c r="H127" s="400"/>
      <c r="I127" s="400"/>
      <c r="J127" s="400"/>
      <c r="K127" s="400"/>
      <c r="L127" s="400"/>
      <c r="M127" s="400"/>
      <c r="N127" s="401"/>
      <c r="O127" s="67"/>
      <c r="P127" s="402"/>
      <c r="Q127" s="401"/>
      <c r="R127" s="101"/>
      <c r="S127" s="266" t="str">
        <f>+IF(OCTUBRE!S127=0,"",OCTUBRE!S127)</f>
        <v>2.1.2.02.02.006.603</v>
      </c>
      <c r="T127" s="267" t="str">
        <f>+IF(OCTUBRE!T127=0,"",OCTUBRE!T127)</f>
        <v>Comunicaciones y Transportes</v>
      </c>
      <c r="U127" s="373">
        <f>+ENERO!U127</f>
        <v>341244561.11111116</v>
      </c>
      <c r="V127" s="220">
        <f>OCTUBRE!V127+NOVIEMBRE!AL127</f>
        <v>-140000000</v>
      </c>
      <c r="W127" s="220">
        <f>OCTUBRE!W127+NOVIEMBRE!AM127</f>
        <v>0</v>
      </c>
      <c r="X127" s="271">
        <f t="shared" si="130"/>
        <v>201244561.11111116</v>
      </c>
      <c r="Y127" s="270">
        <f>OCTUBRE!AA127</f>
        <v>196176554</v>
      </c>
      <c r="Z127" s="208">
        <v>614200</v>
      </c>
      <c r="AA127" s="271">
        <f t="shared" si="131"/>
        <v>196790754</v>
      </c>
      <c r="AB127" s="270">
        <f>OCTUBRE!AD127</f>
        <v>150880889</v>
      </c>
      <c r="AC127" s="208">
        <v>13405854</v>
      </c>
      <c r="AD127" s="271">
        <f t="shared" si="132"/>
        <v>164286743</v>
      </c>
      <c r="AE127" s="270">
        <f>OCTUBRE!AG127</f>
        <v>120929290</v>
      </c>
      <c r="AF127" s="208">
        <v>13028239</v>
      </c>
      <c r="AG127" s="271">
        <f t="shared" si="133"/>
        <v>133957529</v>
      </c>
      <c r="AH127" s="270">
        <f t="shared" si="134"/>
        <v>4453807.1111111641</v>
      </c>
      <c r="AI127" s="220">
        <f t="shared" si="135"/>
        <v>36957818.111111164</v>
      </c>
      <c r="AJ127" s="269">
        <f t="shared" si="136"/>
        <v>67287032.111111164</v>
      </c>
      <c r="AK127" s="101"/>
      <c r="AL127" s="204">
        <v>-140000000</v>
      </c>
      <c r="AM127" s="210"/>
    </row>
    <row r="128" spans="1:39" ht="24.75" customHeight="1" thickBot="1">
      <c r="A128" s="439" t="s">
        <v>280</v>
      </c>
      <c r="B128" s="440"/>
      <c r="C128" s="876">
        <f>SUM(C124+C111+C102+C92+C83+C80+C77+C74+C71+C68+C65+C62+C59+C56+C53+C50+C47+C44+C37+C34+C31+C27+C24)</f>
        <v>19182884469.099998</v>
      </c>
      <c r="D128" s="876">
        <f>SUMIF($B8:$B$122,$B$24,D8:D122)+D122</f>
        <v>0</v>
      </c>
      <c r="E128" s="876">
        <f>SUM(E124+E111+E102+E92+E83+E80+E77+E74+E71+E68+E65+E62+E59+E56+E53+E50+E47+E44+E37+E34+E31+E27+E24)</f>
        <v>26177223554</v>
      </c>
      <c r="F128" s="876">
        <f>SUM(F124+F111+F102+F92+F83+F80+F77+F74+F71+F68+F65+F62+F59+F56+F53+F50+F47+F44+F37+F34+F31+F27+F24)</f>
        <v>45360108023.099998</v>
      </c>
      <c r="G128" s="876">
        <f>SUMIF($B8:$B$122,$B$24,G8:G122)+G122</f>
        <v>49963217569</v>
      </c>
      <c r="H128" s="876">
        <f>SUM(H124+H111+H102+H92+H83+H80+H77+H74+H71+H68+H65+H62+H59+H56+H53+H50+H47+H44+H37+H34+H31+H27+H24)</f>
        <v>1539988311</v>
      </c>
      <c r="I128" s="876">
        <f>SUM(I124+I111+I102+I92+I83+I80+I77+I74+I71+I68+I65+I62+I59+I56+I53+I50+I47+I44+I37+I34+I31+I27+I24)</f>
        <v>51522942669</v>
      </c>
      <c r="J128" s="876">
        <f>SUMIF($B8:$B$122,$B$24,J8:J122)+J1211</f>
        <v>49963217569</v>
      </c>
      <c r="K128" s="876">
        <f>SUM(K124+K111+K102+K92+K83+K80+K77+K74+K71+K68+K65+K62+K59+K56+K53+K50+K47+K44+K37+K34+K31+K27+K24)</f>
        <v>1539988311</v>
      </c>
      <c r="L128" s="876">
        <f>SUM(L124+L111+L102+L92+L83+L80+L77+L74+L71+L68+L65+L62+L59+L56+L53+L50+L47+L44+L37+L34+L31+L27+L24)</f>
        <v>51522942669</v>
      </c>
      <c r="M128" s="876">
        <f>SUMIF($B8:$B$122,$B$24,M8:M122)+M12</f>
        <v>-6162834645.8999996</v>
      </c>
      <c r="N128" s="442">
        <f>SUMIF($B8:$B$122,$B$24,N8:N122)+N122</f>
        <v>-6162834645.8999996</v>
      </c>
      <c r="O128" s="369"/>
      <c r="P128" s="441">
        <f>SUMIF($B8:$B$122,$B$24,P8:P122)+P122</f>
        <v>0</v>
      </c>
      <c r="Q128" s="443">
        <f>SUMIF($B8:$B$122,$B$24,Q8:Q122)+Q122</f>
        <v>0</v>
      </c>
      <c r="R128" s="101"/>
      <c r="S128" s="266" t="str">
        <f>+IF(OCTUBRE!S128=0,"",OCTUBRE!S128)</f>
        <v>2.1.2.02.02.006.604</v>
      </c>
      <c r="T128" s="267" t="str">
        <f>+IF(OCTUBRE!T128=0,"",OCTUBRE!T128)</f>
        <v>Impresos y Publicaciones</v>
      </c>
      <c r="U128" s="373">
        <f>+ENERO!U128</f>
        <v>327220927.08333331</v>
      </c>
      <c r="V128" s="220">
        <f>OCTUBRE!V128+NOVIEMBRE!AL128</f>
        <v>105000000</v>
      </c>
      <c r="W128" s="220">
        <f>OCTUBRE!W128+NOVIEMBRE!AM128</f>
        <v>0</v>
      </c>
      <c r="X128" s="271">
        <f t="shared" si="130"/>
        <v>432220927.08333331</v>
      </c>
      <c r="Y128" s="270">
        <f>OCTUBRE!AA128</f>
        <v>430783205</v>
      </c>
      <c r="Z128" s="208">
        <v>0</v>
      </c>
      <c r="AA128" s="271">
        <f t="shared" si="131"/>
        <v>430783205</v>
      </c>
      <c r="AB128" s="270">
        <f>OCTUBRE!AD128</f>
        <v>314919417</v>
      </c>
      <c r="AC128" s="208">
        <v>59492204</v>
      </c>
      <c r="AD128" s="271">
        <f t="shared" si="132"/>
        <v>374411621</v>
      </c>
      <c r="AE128" s="270">
        <f>OCTUBRE!AG128</f>
        <v>158352649</v>
      </c>
      <c r="AF128" s="208">
        <v>36495796</v>
      </c>
      <c r="AG128" s="271">
        <f t="shared" si="133"/>
        <v>194848445</v>
      </c>
      <c r="AH128" s="270">
        <f t="shared" si="134"/>
        <v>1437722.0833333135</v>
      </c>
      <c r="AI128" s="220">
        <f t="shared" si="135"/>
        <v>57809306.083333313</v>
      </c>
      <c r="AJ128" s="269">
        <f t="shared" si="136"/>
        <v>237372482.08333331</v>
      </c>
      <c r="AK128" s="101"/>
      <c r="AL128" s="204"/>
      <c r="AM128" s="210"/>
    </row>
    <row r="129" spans="1:39" ht="24.75" customHeight="1" thickBot="1">
      <c r="A129" s="556"/>
      <c r="B129" s="399"/>
      <c r="C129" s="400"/>
      <c r="D129" s="400"/>
      <c r="E129" s="400"/>
      <c r="F129" s="400"/>
      <c r="G129" s="400"/>
      <c r="H129" s="400"/>
      <c r="I129" s="400"/>
      <c r="J129" s="400"/>
      <c r="K129" s="400"/>
      <c r="L129" s="400"/>
      <c r="M129" s="400"/>
      <c r="N129" s="401"/>
      <c r="O129" s="67"/>
      <c r="P129" s="402"/>
      <c r="Q129" s="401"/>
      <c r="R129" s="101"/>
      <c r="S129" s="266" t="str">
        <f>+IF(OCTUBRE!S129=0,"",OCTUBRE!S129)</f>
        <v>2.1.2.02.02.009.905</v>
      </c>
      <c r="T129" s="267" t="str">
        <f>+IF(OCTUBRE!T129=0,"",OCTUBRE!T129)</f>
        <v>Servicios de Capacitacion</v>
      </c>
      <c r="U129" s="373">
        <f>+ENERO!U129</f>
        <v>41029431.25</v>
      </c>
      <c r="V129" s="220">
        <f>OCTUBRE!V129+NOVIEMBRE!AL129</f>
        <v>-20000000</v>
      </c>
      <c r="W129" s="220">
        <f>OCTUBRE!W129+NOVIEMBRE!AM129</f>
        <v>0</v>
      </c>
      <c r="X129" s="271">
        <f t="shared" si="130"/>
        <v>21029431.25</v>
      </c>
      <c r="Y129" s="270">
        <f>OCTUBRE!AA129</f>
        <v>8356972</v>
      </c>
      <c r="Z129" s="208">
        <v>0</v>
      </c>
      <c r="AA129" s="271">
        <f t="shared" si="131"/>
        <v>8356972</v>
      </c>
      <c r="AB129" s="270">
        <f>OCTUBRE!AD129</f>
        <v>8356972</v>
      </c>
      <c r="AC129" s="208">
        <v>0</v>
      </c>
      <c r="AD129" s="271">
        <f t="shared" si="132"/>
        <v>8356972</v>
      </c>
      <c r="AE129" s="270">
        <f>OCTUBRE!AG129</f>
        <v>0</v>
      </c>
      <c r="AF129" s="208">
        <v>0</v>
      </c>
      <c r="AG129" s="271">
        <f t="shared" si="133"/>
        <v>0</v>
      </c>
      <c r="AH129" s="270">
        <f t="shared" si="134"/>
        <v>12672459.25</v>
      </c>
      <c r="AI129" s="220">
        <f t="shared" si="135"/>
        <v>12672459.25</v>
      </c>
      <c r="AJ129" s="269">
        <f t="shared" si="136"/>
        <v>21029431.25</v>
      </c>
      <c r="AK129" s="101"/>
      <c r="AL129" s="204">
        <v>-20000000</v>
      </c>
      <c r="AM129" s="210"/>
    </row>
    <row r="130" spans="1:39" ht="24.75" customHeight="1" thickBot="1">
      <c r="A130" s="444" t="s">
        <v>282</v>
      </c>
      <c r="B130" s="445"/>
      <c r="C130" s="446">
        <f t="shared" ref="C130:N130" si="138">C128+C126</f>
        <v>158143153137.47653</v>
      </c>
      <c r="D130" s="447">
        <f t="shared" si="138"/>
        <v>0</v>
      </c>
      <c r="E130" s="447">
        <f t="shared" si="138"/>
        <v>66129057262</v>
      </c>
      <c r="F130" s="448">
        <f t="shared" si="138"/>
        <v>224272210399.47653</v>
      </c>
      <c r="G130" s="446">
        <f t="shared" si="138"/>
        <v>204051250113</v>
      </c>
      <c r="H130" s="447">
        <f t="shared" si="138"/>
        <v>19048005736</v>
      </c>
      <c r="I130" s="448">
        <f t="shared" si="138"/>
        <v>223099255849</v>
      </c>
      <c r="J130" s="446">
        <f t="shared" si="138"/>
        <v>123724478730</v>
      </c>
      <c r="K130" s="447">
        <f t="shared" si="138"/>
        <v>14464364496</v>
      </c>
      <c r="L130" s="448">
        <f t="shared" si="138"/>
        <v>138188843226</v>
      </c>
      <c r="M130" s="446">
        <f t="shared" si="138"/>
        <v>1172954550.4765129</v>
      </c>
      <c r="N130" s="448">
        <f t="shared" si="138"/>
        <v>86083367173.476501</v>
      </c>
      <c r="O130" s="67"/>
      <c r="P130" s="437">
        <f>P128+P126</f>
        <v>0</v>
      </c>
      <c r="Q130" s="438">
        <f>Q128+Q126</f>
        <v>11667126796</v>
      </c>
      <c r="R130" s="101"/>
      <c r="S130" s="266" t="str">
        <f>+IF(OCTUBRE!S130=0,"",OCTUBRE!S130)</f>
        <v>2.1.2.02.02.008.804</v>
      </c>
      <c r="T130" s="267" t="str">
        <f>+IF(OCTUBRE!T130=0,"",OCTUBRE!T130)</f>
        <v xml:space="preserve">Vigilancia </v>
      </c>
      <c r="U130" s="373">
        <f>+ENERO!U130</f>
        <v>2929064955.833333</v>
      </c>
      <c r="V130" s="220">
        <f>OCTUBRE!V130+NOVIEMBRE!AL130</f>
        <v>-581000000</v>
      </c>
      <c r="W130" s="220">
        <f>OCTUBRE!W130+NOVIEMBRE!AM130</f>
        <v>0</v>
      </c>
      <c r="X130" s="271">
        <f t="shared" si="130"/>
        <v>2348064955.833333</v>
      </c>
      <c r="Y130" s="270">
        <f>OCTUBRE!AA130</f>
        <v>2342807002</v>
      </c>
      <c r="Z130" s="208">
        <v>0</v>
      </c>
      <c r="AA130" s="271">
        <f t="shared" si="131"/>
        <v>2342807002</v>
      </c>
      <c r="AB130" s="270">
        <f>OCTUBRE!AD130</f>
        <v>1942686553</v>
      </c>
      <c r="AC130" s="208">
        <v>199445997</v>
      </c>
      <c r="AD130" s="271">
        <f t="shared" si="132"/>
        <v>2142132550</v>
      </c>
      <c r="AE130" s="270">
        <f>OCTUBRE!AG130</f>
        <v>1734565513</v>
      </c>
      <c r="AF130" s="208">
        <v>0</v>
      </c>
      <c r="AG130" s="271">
        <f t="shared" si="133"/>
        <v>1734565513</v>
      </c>
      <c r="AH130" s="270">
        <f t="shared" si="134"/>
        <v>5257953.8333330154</v>
      </c>
      <c r="AI130" s="220">
        <f t="shared" si="135"/>
        <v>205932405.83333302</v>
      </c>
      <c r="AJ130" s="269">
        <f t="shared" si="136"/>
        <v>613499442.83333302</v>
      </c>
      <c r="AK130" s="101"/>
      <c r="AL130" s="204">
        <v>-15000000</v>
      </c>
      <c r="AM130" s="210"/>
    </row>
    <row r="131" spans="1:39" ht="24.75" customHeight="1">
      <c r="A131" s="542"/>
      <c r="B131" s="453"/>
      <c r="C131" s="67"/>
      <c r="D131" s="67"/>
      <c r="E131" s="67"/>
      <c r="F131" s="67"/>
      <c r="G131" s="67"/>
      <c r="H131" s="67"/>
      <c r="I131" s="67"/>
      <c r="J131" s="67"/>
      <c r="K131" s="67"/>
      <c r="L131" s="67"/>
      <c r="M131" s="67"/>
      <c r="N131" s="101"/>
      <c r="O131" s="67"/>
      <c r="P131" s="67"/>
      <c r="Q131" s="67"/>
      <c r="R131" s="101"/>
      <c r="S131" s="266" t="str">
        <f>+IF(OCTUBRE!S131=0,"",OCTUBRE!S131)</f>
        <v>2.1.2.02.02.009.908</v>
      </c>
      <c r="T131" s="267" t="str">
        <f>+IF(OCTUBRE!T131=0,"",OCTUBRE!T131)</f>
        <v>Bienestar Social</v>
      </c>
      <c r="U131" s="373">
        <f>+ENERO!U131</f>
        <v>326592555</v>
      </c>
      <c r="V131" s="220">
        <f>OCTUBRE!V131+NOVIEMBRE!AL131</f>
        <v>79478115</v>
      </c>
      <c r="W131" s="220">
        <f>OCTUBRE!W131+NOVIEMBRE!AM131</f>
        <v>169879991</v>
      </c>
      <c r="X131" s="271">
        <f t="shared" si="130"/>
        <v>575950661</v>
      </c>
      <c r="Y131" s="270">
        <f>OCTUBRE!AA131</f>
        <v>477866808</v>
      </c>
      <c r="Z131" s="208">
        <v>1423500</v>
      </c>
      <c r="AA131" s="271">
        <f t="shared" si="131"/>
        <v>479290308</v>
      </c>
      <c r="AB131" s="270">
        <f>OCTUBRE!AD131</f>
        <v>476058070</v>
      </c>
      <c r="AC131" s="208">
        <v>2732210</v>
      </c>
      <c r="AD131" s="271">
        <f t="shared" si="132"/>
        <v>478790280</v>
      </c>
      <c r="AE131" s="270">
        <f>OCTUBRE!AG131</f>
        <v>182813354</v>
      </c>
      <c r="AF131" s="208">
        <v>117055641</v>
      </c>
      <c r="AG131" s="271">
        <f t="shared" si="133"/>
        <v>299868995</v>
      </c>
      <c r="AH131" s="270">
        <f t="shared" si="134"/>
        <v>96660353</v>
      </c>
      <c r="AI131" s="220">
        <f t="shared" si="135"/>
        <v>97160381</v>
      </c>
      <c r="AJ131" s="269">
        <f t="shared" si="136"/>
        <v>276081666</v>
      </c>
      <c r="AK131" s="101"/>
      <c r="AL131" s="204"/>
      <c r="AM131" s="210"/>
    </row>
    <row r="132" spans="1:39" ht="24.75" customHeight="1">
      <c r="A132" s="542"/>
      <c r="B132" s="453"/>
      <c r="C132" s="67"/>
      <c r="D132" s="67"/>
      <c r="E132" s="67"/>
      <c r="F132" s="67"/>
      <c r="G132" s="67"/>
      <c r="H132" s="67"/>
      <c r="I132" s="67"/>
      <c r="J132" s="67"/>
      <c r="K132" s="67"/>
      <c r="L132" s="67"/>
      <c r="M132" s="67"/>
      <c r="N132" s="101"/>
      <c r="O132" s="67"/>
      <c r="P132" s="67"/>
      <c r="Q132" s="67"/>
      <c r="R132" s="101"/>
      <c r="S132" s="266" t="str">
        <f>+IF(OCTUBRE!S132=0,"",OCTUBRE!S132)</f>
        <v>2.1.2.02.02.010</v>
      </c>
      <c r="T132" s="267" t="str">
        <f>+IF(OCTUBRE!T132=0,"",OCTUBRE!T132)</f>
        <v>Viáticos de los funcionarios en comisión</v>
      </c>
      <c r="U132" s="373">
        <f>+ENERO!U132</f>
        <v>3000000</v>
      </c>
      <c r="V132" s="220">
        <f>OCTUBRE!V132+NOVIEMBRE!AL132</f>
        <v>10000000</v>
      </c>
      <c r="W132" s="220">
        <f>OCTUBRE!W132+NOVIEMBRE!AM132</f>
        <v>0</v>
      </c>
      <c r="X132" s="271">
        <f t="shared" si="130"/>
        <v>13000000</v>
      </c>
      <c r="Y132" s="270">
        <f>OCTUBRE!AA132</f>
        <v>7295251</v>
      </c>
      <c r="Z132" s="208">
        <v>643070</v>
      </c>
      <c r="AA132" s="271">
        <f t="shared" si="131"/>
        <v>7938321</v>
      </c>
      <c r="AB132" s="270">
        <f>OCTUBRE!AD132</f>
        <v>6609461</v>
      </c>
      <c r="AC132" s="208">
        <v>643070</v>
      </c>
      <c r="AD132" s="271">
        <f t="shared" si="132"/>
        <v>7252531</v>
      </c>
      <c r="AE132" s="270">
        <f>OCTUBRE!AG132</f>
        <v>6609461</v>
      </c>
      <c r="AF132" s="208">
        <v>643070</v>
      </c>
      <c r="AG132" s="271">
        <f t="shared" si="133"/>
        <v>7252531</v>
      </c>
      <c r="AH132" s="270">
        <f t="shared" si="134"/>
        <v>5061679</v>
      </c>
      <c r="AI132" s="220">
        <f t="shared" si="135"/>
        <v>5747469</v>
      </c>
      <c r="AJ132" s="269">
        <f t="shared" si="136"/>
        <v>5747469</v>
      </c>
      <c r="AK132" s="101"/>
      <c r="AL132" s="204">
        <v>-10000000</v>
      </c>
      <c r="AM132" s="210"/>
    </row>
    <row r="133" spans="1:39" ht="24.75" customHeight="1">
      <c r="A133" s="542"/>
      <c r="B133" s="453"/>
      <c r="C133" s="67"/>
      <c r="D133" s="67"/>
      <c r="E133" s="67"/>
      <c r="F133" s="67"/>
      <c r="G133" s="67"/>
      <c r="H133" s="67"/>
      <c r="I133" s="67"/>
      <c r="J133" s="67"/>
      <c r="K133" s="67"/>
      <c r="L133" s="67"/>
      <c r="M133" s="67"/>
      <c r="N133" s="101"/>
      <c r="O133" s="67"/>
      <c r="P133" s="67"/>
      <c r="Q133" s="67"/>
      <c r="R133" s="101"/>
      <c r="S133" s="266" t="str">
        <f>+IF(OCTUBRE!S133=0,"",OCTUBRE!S133)</f>
        <v>2.1.2.02.02.009.903</v>
      </c>
      <c r="T133" s="267" t="str">
        <f>+IF(OCTUBRE!T133=0,"",OCTUBRE!T133)</f>
        <v>Servicios prestados por IPS</v>
      </c>
      <c r="U133" s="373">
        <f>+ENERO!U133</f>
        <v>5000000</v>
      </c>
      <c r="V133" s="220">
        <f>OCTUBRE!V133+NOVIEMBRE!AL133</f>
        <v>0</v>
      </c>
      <c r="W133" s="220">
        <f>OCTUBRE!W133+NOVIEMBRE!AM133</f>
        <v>0</v>
      </c>
      <c r="X133" s="271">
        <f t="shared" si="130"/>
        <v>5000000</v>
      </c>
      <c r="Y133" s="270">
        <f>OCTUBRE!AA133</f>
        <v>0</v>
      </c>
      <c r="Z133" s="208">
        <v>0</v>
      </c>
      <c r="AA133" s="271">
        <f t="shared" si="131"/>
        <v>0</v>
      </c>
      <c r="AB133" s="270">
        <f>OCTUBRE!AD133</f>
        <v>0</v>
      </c>
      <c r="AC133" s="208">
        <v>0</v>
      </c>
      <c r="AD133" s="271">
        <f t="shared" si="132"/>
        <v>0</v>
      </c>
      <c r="AE133" s="270">
        <f>OCTUBRE!AG133</f>
        <v>0</v>
      </c>
      <c r="AF133" s="208">
        <v>0</v>
      </c>
      <c r="AG133" s="271">
        <f t="shared" si="133"/>
        <v>0</v>
      </c>
      <c r="AH133" s="270">
        <f t="shared" si="134"/>
        <v>5000000</v>
      </c>
      <c r="AI133" s="220">
        <f t="shared" si="135"/>
        <v>5000000</v>
      </c>
      <c r="AJ133" s="269">
        <f t="shared" si="136"/>
        <v>5000000</v>
      </c>
      <c r="AK133" s="101"/>
      <c r="AL133" s="204"/>
      <c r="AM133" s="210"/>
    </row>
    <row r="134" spans="1:39" ht="24.75" customHeight="1">
      <c r="A134" s="542"/>
      <c r="B134" s="453"/>
      <c r="C134" s="67"/>
      <c r="D134" s="67"/>
      <c r="E134" s="67"/>
      <c r="F134" s="67"/>
      <c r="G134" s="67"/>
      <c r="H134" s="67"/>
      <c r="I134" s="67"/>
      <c r="J134" s="67"/>
      <c r="K134" s="67"/>
      <c r="L134" s="67"/>
      <c r="M134" s="67"/>
      <c r="N134" s="101"/>
      <c r="O134" s="67"/>
      <c r="P134" s="67"/>
      <c r="Q134" s="67"/>
      <c r="R134" s="101"/>
      <c r="S134" s="266" t="str">
        <f>+IF(OCTUBRE!S134=0,"",OCTUBRE!S134)</f>
        <v>2010200-11</v>
      </c>
      <c r="T134" s="267" t="str">
        <f>+IF(OCTUBRE!T134=0,"",OCTUBRE!T134)</f>
        <v>Gastos Bancarios</v>
      </c>
      <c r="U134" s="373">
        <f>+ENERO!U134</f>
        <v>0</v>
      </c>
      <c r="V134" s="220">
        <f>OCTUBRE!V134+NOVIEMBRE!AL134</f>
        <v>0</v>
      </c>
      <c r="W134" s="220">
        <f>OCTUBRE!W134+NOVIEMBRE!AM134</f>
        <v>0</v>
      </c>
      <c r="X134" s="271">
        <f t="shared" si="130"/>
        <v>0</v>
      </c>
      <c r="Y134" s="270">
        <f>OCTUBRE!AA134</f>
        <v>0</v>
      </c>
      <c r="Z134" s="208">
        <v>0</v>
      </c>
      <c r="AA134" s="271">
        <f t="shared" si="131"/>
        <v>0</v>
      </c>
      <c r="AB134" s="270">
        <f>OCTUBRE!AD134</f>
        <v>0</v>
      </c>
      <c r="AC134" s="208">
        <v>0</v>
      </c>
      <c r="AD134" s="271">
        <f t="shared" si="132"/>
        <v>0</v>
      </c>
      <c r="AE134" s="270">
        <f>OCTUBRE!AG134</f>
        <v>0</v>
      </c>
      <c r="AF134" s="208">
        <v>0</v>
      </c>
      <c r="AG134" s="271">
        <f t="shared" si="133"/>
        <v>0</v>
      </c>
      <c r="AH134" s="270">
        <f t="shared" si="134"/>
        <v>0</v>
      </c>
      <c r="AI134" s="220">
        <f t="shared" si="135"/>
        <v>0</v>
      </c>
      <c r="AJ134" s="269">
        <f t="shared" si="136"/>
        <v>0</v>
      </c>
      <c r="AK134" s="101"/>
      <c r="AL134" s="204"/>
      <c r="AM134" s="210"/>
    </row>
    <row r="135" spans="1:39" ht="24.75" customHeight="1">
      <c r="A135" s="542"/>
      <c r="B135" s="453"/>
      <c r="C135" s="67"/>
      <c r="D135" s="67"/>
      <c r="E135" s="67"/>
      <c r="F135" s="67"/>
      <c r="G135" s="67"/>
      <c r="H135" s="67"/>
      <c r="I135" s="67"/>
      <c r="J135" s="67"/>
      <c r="K135" s="67"/>
      <c r="L135" s="67"/>
      <c r="M135" s="67"/>
      <c r="N135" s="101"/>
      <c r="O135" s="67"/>
      <c r="P135" s="67"/>
      <c r="Q135" s="67"/>
      <c r="R135" s="101"/>
      <c r="S135" s="266" t="str">
        <f>+IF(OCTUBRE!S135=0,"",OCTUBRE!S135)</f>
        <v>2.1.2.02.02.009.909</v>
      </c>
      <c r="T135" s="267" t="str">
        <f>+IF(OCTUBRE!T135=0,"",OCTUBRE!T135)</f>
        <v>Convenio Docencia Servicios</v>
      </c>
      <c r="U135" s="373">
        <f>+ENERO!U135</f>
        <v>20000000</v>
      </c>
      <c r="V135" s="220">
        <f>OCTUBRE!V135+NOVIEMBRE!AL135</f>
        <v>-15000000</v>
      </c>
      <c r="W135" s="220">
        <f>OCTUBRE!W135+NOVIEMBRE!AM135</f>
        <v>0</v>
      </c>
      <c r="X135" s="271">
        <f t="shared" si="130"/>
        <v>5000000</v>
      </c>
      <c r="Y135" s="270">
        <f>OCTUBRE!AA135</f>
        <v>0</v>
      </c>
      <c r="Z135" s="208">
        <v>0</v>
      </c>
      <c r="AA135" s="271">
        <f t="shared" si="131"/>
        <v>0</v>
      </c>
      <c r="AB135" s="270">
        <f>OCTUBRE!AD135</f>
        <v>0</v>
      </c>
      <c r="AC135" s="208">
        <v>0</v>
      </c>
      <c r="AD135" s="271">
        <f t="shared" si="132"/>
        <v>0</v>
      </c>
      <c r="AE135" s="270">
        <f>OCTUBRE!AG135</f>
        <v>0</v>
      </c>
      <c r="AF135" s="208">
        <v>0</v>
      </c>
      <c r="AG135" s="271">
        <f t="shared" si="133"/>
        <v>0</v>
      </c>
      <c r="AH135" s="270">
        <f t="shared" si="134"/>
        <v>5000000</v>
      </c>
      <c r="AI135" s="220">
        <f t="shared" si="135"/>
        <v>5000000</v>
      </c>
      <c r="AJ135" s="269">
        <f t="shared" si="136"/>
        <v>5000000</v>
      </c>
      <c r="AK135" s="101"/>
      <c r="AL135" s="204">
        <v>-15000000</v>
      </c>
      <c r="AM135" s="210"/>
    </row>
    <row r="136" spans="1:39" ht="24.75" customHeight="1">
      <c r="A136" s="542"/>
      <c r="B136" s="453"/>
      <c r="C136" s="67"/>
      <c r="D136" s="67"/>
      <c r="E136" s="67"/>
      <c r="F136" s="67"/>
      <c r="G136" s="67"/>
      <c r="H136" s="67"/>
      <c r="I136" s="67"/>
      <c r="J136" s="67"/>
      <c r="K136" s="67"/>
      <c r="L136" s="67"/>
      <c r="M136" s="67"/>
      <c r="N136" s="101"/>
      <c r="O136" s="67"/>
      <c r="P136" s="67"/>
      <c r="Q136" s="67"/>
      <c r="R136" s="101"/>
      <c r="S136" s="266" t="str">
        <f>+IF(OCTUBRE!S136=0,"",OCTUBRE!S136)</f>
        <v>2.1.2.02.02.008.809</v>
      </c>
      <c r="T136" s="267" t="str">
        <f>+IF(OCTUBRE!T136=0,"",OCTUBRE!T136)</f>
        <v>Publicidad</v>
      </c>
      <c r="U136" s="373">
        <f>+ENERO!U136</f>
        <v>0</v>
      </c>
      <c r="V136" s="220">
        <f>OCTUBRE!V136+NOVIEMBRE!AL136</f>
        <v>0</v>
      </c>
      <c r="W136" s="220">
        <f>OCTUBRE!W136+NOVIEMBRE!AM136</f>
        <v>0</v>
      </c>
      <c r="X136" s="271">
        <f t="shared" si="130"/>
        <v>0</v>
      </c>
      <c r="Y136" s="270">
        <f>OCTUBRE!AA136</f>
        <v>0</v>
      </c>
      <c r="Z136" s="208">
        <v>0</v>
      </c>
      <c r="AA136" s="271">
        <f t="shared" si="131"/>
        <v>0</v>
      </c>
      <c r="AB136" s="270">
        <f>OCTUBRE!AD136</f>
        <v>0</v>
      </c>
      <c r="AC136" s="208">
        <v>0</v>
      </c>
      <c r="AD136" s="271">
        <f t="shared" si="132"/>
        <v>0</v>
      </c>
      <c r="AE136" s="270">
        <f>OCTUBRE!AG136</f>
        <v>0</v>
      </c>
      <c r="AF136" s="208">
        <v>0</v>
      </c>
      <c r="AG136" s="271">
        <f t="shared" si="133"/>
        <v>0</v>
      </c>
      <c r="AH136" s="270">
        <f t="shared" si="134"/>
        <v>0</v>
      </c>
      <c r="AI136" s="220">
        <f t="shared" si="135"/>
        <v>0</v>
      </c>
      <c r="AJ136" s="269">
        <f t="shared" si="136"/>
        <v>0</v>
      </c>
      <c r="AK136" s="101"/>
      <c r="AL136" s="204">
        <v>0</v>
      </c>
      <c r="AM136" s="210"/>
    </row>
    <row r="137" spans="1:39" ht="24.75" customHeight="1">
      <c r="A137" s="542"/>
      <c r="B137" s="453"/>
      <c r="C137" s="67"/>
      <c r="D137" s="67"/>
      <c r="E137" s="67"/>
      <c r="F137" s="67"/>
      <c r="G137" s="67"/>
      <c r="H137" s="67"/>
      <c r="I137" s="67"/>
      <c r="J137" s="67"/>
      <c r="K137" s="67"/>
      <c r="L137" s="67"/>
      <c r="M137" s="67"/>
      <c r="N137" s="101"/>
      <c r="O137" s="67"/>
      <c r="P137" s="67"/>
      <c r="Q137" s="67"/>
      <c r="R137" s="101"/>
      <c r="S137" s="266" t="str">
        <f>+IF(OCTUBRE!S137=0,"",OCTUBRE!S137)</f>
        <v/>
      </c>
      <c r="T137" s="267" t="str">
        <f>+IF(OCTUBRE!T137=0,"",OCTUBRE!T137)</f>
        <v/>
      </c>
      <c r="U137" s="373">
        <f>+ENERO!U137</f>
        <v>0</v>
      </c>
      <c r="V137" s="220">
        <f>OCTUBRE!V137+NOVIEMBRE!AL137</f>
        <v>0</v>
      </c>
      <c r="W137" s="220">
        <f>OCTUBRE!W137+NOVIEMBRE!AM137</f>
        <v>0</v>
      </c>
      <c r="X137" s="271">
        <f t="shared" si="130"/>
        <v>0</v>
      </c>
      <c r="Y137" s="270">
        <f>OCTUBRE!AA137</f>
        <v>0</v>
      </c>
      <c r="Z137" s="208">
        <v>0</v>
      </c>
      <c r="AA137" s="271">
        <f t="shared" si="131"/>
        <v>0</v>
      </c>
      <c r="AB137" s="270">
        <f>OCTUBRE!AD137</f>
        <v>0</v>
      </c>
      <c r="AC137" s="208">
        <v>0</v>
      </c>
      <c r="AD137" s="271">
        <f t="shared" si="132"/>
        <v>0</v>
      </c>
      <c r="AE137" s="270">
        <f>OCTUBRE!AG137</f>
        <v>0</v>
      </c>
      <c r="AF137" s="208">
        <v>0</v>
      </c>
      <c r="AG137" s="271">
        <f t="shared" si="133"/>
        <v>0</v>
      </c>
      <c r="AH137" s="270">
        <f t="shared" si="134"/>
        <v>0</v>
      </c>
      <c r="AI137" s="220">
        <f t="shared" si="135"/>
        <v>0</v>
      </c>
      <c r="AJ137" s="269">
        <f t="shared" si="136"/>
        <v>0</v>
      </c>
      <c r="AK137" s="101"/>
      <c r="AL137" s="204"/>
      <c r="AM137" s="210"/>
    </row>
    <row r="138" spans="1:39" ht="24.75" customHeight="1">
      <c r="A138" s="542"/>
      <c r="B138" s="453"/>
      <c r="C138" s="67"/>
      <c r="D138" s="67"/>
      <c r="E138" s="67"/>
      <c r="F138" s="67"/>
      <c r="G138" s="67"/>
      <c r="H138" s="67"/>
      <c r="I138" s="67"/>
      <c r="J138" s="67"/>
      <c r="K138" s="67"/>
      <c r="L138" s="67"/>
      <c r="M138" s="67"/>
      <c r="N138" s="101"/>
      <c r="O138" s="67"/>
      <c r="P138" s="67"/>
      <c r="Q138" s="67"/>
      <c r="R138" s="101"/>
      <c r="S138" s="266" t="str">
        <f>+IF(OCTUBRE!S138=0,"",OCTUBRE!S138)</f>
        <v/>
      </c>
      <c r="T138" s="267" t="str">
        <f>+IF(OCTUBRE!T138=0,"",OCTUBRE!T138)</f>
        <v/>
      </c>
      <c r="U138" s="373">
        <f>+ENERO!U138</f>
        <v>0</v>
      </c>
      <c r="V138" s="220">
        <f>OCTUBRE!V138+NOVIEMBRE!AL138</f>
        <v>0</v>
      </c>
      <c r="W138" s="220">
        <f>OCTUBRE!W138+NOVIEMBRE!AM138</f>
        <v>0</v>
      </c>
      <c r="X138" s="271">
        <f t="shared" si="130"/>
        <v>0</v>
      </c>
      <c r="Y138" s="270">
        <f>OCTUBRE!AA138</f>
        <v>0</v>
      </c>
      <c r="Z138" s="208">
        <v>0</v>
      </c>
      <c r="AA138" s="271">
        <f t="shared" si="131"/>
        <v>0</v>
      </c>
      <c r="AB138" s="270">
        <f>OCTUBRE!AD138</f>
        <v>0</v>
      </c>
      <c r="AC138" s="208">
        <v>0</v>
      </c>
      <c r="AD138" s="271">
        <f t="shared" si="132"/>
        <v>0</v>
      </c>
      <c r="AE138" s="270">
        <f>OCTUBRE!AG138</f>
        <v>0</v>
      </c>
      <c r="AF138" s="208">
        <v>0</v>
      </c>
      <c r="AG138" s="271">
        <f t="shared" si="133"/>
        <v>0</v>
      </c>
      <c r="AH138" s="270">
        <f t="shared" si="134"/>
        <v>0</v>
      </c>
      <c r="AI138" s="220">
        <f t="shared" si="135"/>
        <v>0</v>
      </c>
      <c r="AJ138" s="269">
        <f t="shared" si="136"/>
        <v>0</v>
      </c>
      <c r="AK138" s="101"/>
      <c r="AL138" s="204"/>
      <c r="AM138" s="210"/>
    </row>
    <row r="139" spans="1:39" ht="24.75" customHeight="1">
      <c r="A139" s="542"/>
      <c r="B139" s="453"/>
      <c r="C139" s="67"/>
      <c r="D139" s="67"/>
      <c r="E139" s="67"/>
      <c r="F139" s="67"/>
      <c r="G139" s="67"/>
      <c r="H139" s="67"/>
      <c r="I139" s="67"/>
      <c r="J139" s="67"/>
      <c r="K139" s="67"/>
      <c r="L139" s="67"/>
      <c r="M139" s="67"/>
      <c r="N139" s="101"/>
      <c r="O139" s="67"/>
      <c r="P139" s="67"/>
      <c r="Q139" s="67"/>
      <c r="R139" s="101"/>
      <c r="S139" s="266" t="str">
        <f>+IF(OCTUBRE!S139=0,"",OCTUBRE!S139)</f>
        <v>2.1.2.02.02.008.99.01</v>
      </c>
      <c r="T139" s="267" t="str">
        <f>+IF(OCTUBRE!T139=0,"",OCTUBRE!T139)</f>
        <v>Vigencias Anteriores</v>
      </c>
      <c r="U139" s="373">
        <f>+ENERO!U139</f>
        <v>368200000</v>
      </c>
      <c r="V139" s="220">
        <f>OCTUBRE!V139+NOVIEMBRE!AL139</f>
        <v>-133000000</v>
      </c>
      <c r="W139" s="220">
        <f>OCTUBRE!W139+NOVIEMBRE!AM139</f>
        <v>0</v>
      </c>
      <c r="X139" s="271">
        <f t="shared" si="130"/>
        <v>235200000</v>
      </c>
      <c r="Y139" s="270">
        <f>OCTUBRE!AA139</f>
        <v>234444435</v>
      </c>
      <c r="Z139" s="208">
        <v>0</v>
      </c>
      <c r="AA139" s="271">
        <f t="shared" si="131"/>
        <v>234444435</v>
      </c>
      <c r="AB139" s="270">
        <f>OCTUBRE!AD139</f>
        <v>234444435</v>
      </c>
      <c r="AC139" s="208">
        <v>0</v>
      </c>
      <c r="AD139" s="271">
        <f t="shared" si="132"/>
        <v>234444435</v>
      </c>
      <c r="AE139" s="270">
        <f>OCTUBRE!AG139</f>
        <v>234444435</v>
      </c>
      <c r="AF139" s="208">
        <v>0</v>
      </c>
      <c r="AG139" s="271">
        <f t="shared" si="133"/>
        <v>234444435</v>
      </c>
      <c r="AH139" s="270">
        <f t="shared" si="134"/>
        <v>755565</v>
      </c>
      <c r="AI139" s="220">
        <f t="shared" si="135"/>
        <v>755565</v>
      </c>
      <c r="AJ139" s="269">
        <f t="shared" si="136"/>
        <v>755565</v>
      </c>
      <c r="AK139" s="101"/>
      <c r="AL139" s="204">
        <v>-133000000</v>
      </c>
      <c r="AM139" s="210"/>
    </row>
    <row r="140" spans="1:39" ht="24.75" customHeight="1">
      <c r="A140" s="542"/>
      <c r="B140" s="453"/>
      <c r="C140" s="67"/>
      <c r="D140" s="67"/>
      <c r="E140" s="67"/>
      <c r="F140" s="67"/>
      <c r="G140" s="67"/>
      <c r="H140" s="67"/>
      <c r="I140" s="67"/>
      <c r="J140" s="67"/>
      <c r="K140" s="67"/>
      <c r="L140" s="67"/>
      <c r="M140" s="67"/>
      <c r="N140" s="101"/>
      <c r="O140" s="67"/>
      <c r="P140" s="67"/>
      <c r="Q140" s="67"/>
      <c r="R140" s="101"/>
      <c r="S140" s="189">
        <f>+IF(OCTUBRE!S140=0,"",OCTUBRE!S140)</f>
        <v>233459072</v>
      </c>
      <c r="T140" s="488" t="str">
        <f>+IF(OCTUBRE!T140=0,"",OCTUBRE!T140)</f>
        <v/>
      </c>
      <c r="U140" s="191"/>
      <c r="V140" s="191"/>
      <c r="W140" s="191"/>
      <c r="X140" s="191"/>
      <c r="Y140" s="191"/>
      <c r="Z140" s="191"/>
      <c r="AA140" s="191"/>
      <c r="AB140" s="191"/>
      <c r="AC140" s="191"/>
      <c r="AD140" s="191"/>
      <c r="AE140" s="191"/>
      <c r="AF140" s="191"/>
      <c r="AG140" s="191"/>
      <c r="AH140" s="191"/>
      <c r="AI140" s="191"/>
      <c r="AJ140" s="192"/>
      <c r="AK140" s="216"/>
      <c r="AL140" s="370"/>
      <c r="AM140" s="371"/>
    </row>
    <row r="141" spans="1:39" ht="24.75" customHeight="1">
      <c r="A141" s="542"/>
      <c r="B141" s="453"/>
      <c r="C141" s="67"/>
      <c r="D141" s="67"/>
      <c r="E141" s="67"/>
      <c r="F141" s="67"/>
      <c r="G141" s="67"/>
      <c r="H141" s="67"/>
      <c r="I141" s="67"/>
      <c r="J141" s="67"/>
      <c r="K141" s="67"/>
      <c r="L141" s="67"/>
      <c r="M141" s="67"/>
      <c r="N141" s="101"/>
      <c r="O141" s="67"/>
      <c r="P141" s="67"/>
      <c r="Q141" s="67"/>
      <c r="R141" s="101"/>
      <c r="S141" s="257" t="str">
        <f>+IF(OCTUBRE!S141=0,"",OCTUBRE!S141)</f>
        <v>2.1.8.01</v>
      </c>
      <c r="T141" s="546" t="str">
        <f>+IF(OCTUBRE!T141=0,"",OCTUBRE!T141)</f>
        <v>Impuestos y Multas</v>
      </c>
      <c r="U141" s="230">
        <f t="shared" ref="U141:AJ141" si="139">U142+U143</f>
        <v>548000000</v>
      </c>
      <c r="V141" s="231">
        <f t="shared" si="139"/>
        <v>90000000</v>
      </c>
      <c r="W141" s="231">
        <f t="shared" si="139"/>
        <v>0</v>
      </c>
      <c r="X141" s="234">
        <f t="shared" si="139"/>
        <v>638000000</v>
      </c>
      <c r="Y141" s="233">
        <f t="shared" si="139"/>
        <v>373192300</v>
      </c>
      <c r="Z141" s="231">
        <f t="shared" si="139"/>
        <v>60371000</v>
      </c>
      <c r="AA141" s="234">
        <f t="shared" si="139"/>
        <v>433563300</v>
      </c>
      <c r="AB141" s="233">
        <f t="shared" si="139"/>
        <v>373192300</v>
      </c>
      <c r="AC141" s="231">
        <f>AC142+AC143</f>
        <v>60371000</v>
      </c>
      <c r="AD141" s="234">
        <f t="shared" si="139"/>
        <v>433563300</v>
      </c>
      <c r="AE141" s="233">
        <f t="shared" si="139"/>
        <v>373192300</v>
      </c>
      <c r="AF141" s="231">
        <f>AF142+AF143</f>
        <v>60371000</v>
      </c>
      <c r="AG141" s="234">
        <f t="shared" si="139"/>
        <v>433563300</v>
      </c>
      <c r="AH141" s="233">
        <f t="shared" si="139"/>
        <v>204436700</v>
      </c>
      <c r="AI141" s="231">
        <f t="shared" si="139"/>
        <v>204436700</v>
      </c>
      <c r="AJ141" s="232">
        <f t="shared" si="139"/>
        <v>204436700</v>
      </c>
      <c r="AK141" s="216"/>
      <c r="AL141" s="233">
        <f>AL142+AL143</f>
        <v>0</v>
      </c>
      <c r="AM141" s="232">
        <f>AM142+AM143</f>
        <v>0</v>
      </c>
    </row>
    <row r="142" spans="1:39" ht="24.75" customHeight="1">
      <c r="A142" s="542"/>
      <c r="B142" s="453"/>
      <c r="C142" s="67"/>
      <c r="D142" s="67"/>
      <c r="E142" s="67"/>
      <c r="F142" s="67"/>
      <c r="G142" s="67"/>
      <c r="H142" s="67"/>
      <c r="I142" s="67"/>
      <c r="J142" s="67"/>
      <c r="K142" s="67"/>
      <c r="L142" s="67"/>
      <c r="M142" s="67"/>
      <c r="N142" s="101"/>
      <c r="O142" s="67"/>
      <c r="P142" s="67"/>
      <c r="Q142" s="67"/>
      <c r="R142" s="101"/>
      <c r="S142" s="266" t="str">
        <f>+IF(OCTUBRE!S142=0,"",OCTUBRE!S142)</f>
        <v>2.1.8.01.52</v>
      </c>
      <c r="T142" s="267" t="str">
        <f>+IF(OCTUBRE!T142=0,"",OCTUBRE!T142)</f>
        <v>IMPUESTO PREDIAL UNIFICADO</v>
      </c>
      <c r="U142" s="373">
        <f>+ENERO!U142</f>
        <v>148000000</v>
      </c>
      <c r="V142" s="220">
        <f>OCTUBRE!V142+NOVIEMBRE!AL142</f>
        <v>90000000</v>
      </c>
      <c r="W142" s="220">
        <f>OCTUBRE!W142+NOVIEMBRE!AM142</f>
        <v>0</v>
      </c>
      <c r="X142" s="271">
        <f>SUM(U142:W142)</f>
        <v>238000000</v>
      </c>
      <c r="Y142" s="270">
        <f>OCTUBRE!AA142</f>
        <v>155275050</v>
      </c>
      <c r="Z142" s="208">
        <v>0</v>
      </c>
      <c r="AA142" s="271">
        <f>SUM(Y142:Z142)</f>
        <v>155275050</v>
      </c>
      <c r="AB142" s="270">
        <f>OCTUBRE!AD142</f>
        <v>155275050</v>
      </c>
      <c r="AC142" s="208">
        <v>0</v>
      </c>
      <c r="AD142" s="271">
        <f>SUM(AB142:AC142)</f>
        <v>155275050</v>
      </c>
      <c r="AE142" s="270">
        <f>OCTUBRE!AG142</f>
        <v>155275050</v>
      </c>
      <c r="AF142" s="208">
        <v>0</v>
      </c>
      <c r="AG142" s="271">
        <f>SUM(AE142:AF142)</f>
        <v>155275050</v>
      </c>
      <c r="AH142" s="270">
        <f>X142-AA142</f>
        <v>82724950</v>
      </c>
      <c r="AI142" s="220">
        <f>X142-AD142</f>
        <v>82724950</v>
      </c>
      <c r="AJ142" s="269">
        <f>X142-AG142</f>
        <v>82724950</v>
      </c>
      <c r="AK142" s="101"/>
      <c r="AL142" s="204">
        <v>0</v>
      </c>
      <c r="AM142" s="210">
        <v>0</v>
      </c>
    </row>
    <row r="143" spans="1:39" ht="24.75" customHeight="1">
      <c r="A143" s="542"/>
      <c r="B143" s="453"/>
      <c r="C143" s="67"/>
      <c r="D143" s="67"/>
      <c r="E143" s="67"/>
      <c r="F143" s="67"/>
      <c r="G143" s="67"/>
      <c r="H143" s="67"/>
      <c r="I143" s="67"/>
      <c r="J143" s="67"/>
      <c r="K143" s="67"/>
      <c r="L143" s="67"/>
      <c r="M143" s="67"/>
      <c r="N143" s="101"/>
      <c r="O143" s="67"/>
      <c r="P143" s="67"/>
      <c r="Q143" s="67"/>
      <c r="R143" s="101"/>
      <c r="S143" s="266" t="str">
        <f>+IF(OCTUBRE!S143=0,"",OCTUBRE!S143)</f>
        <v>2.1.8.01.54</v>
      </c>
      <c r="T143" s="267" t="str">
        <f>+IF(OCTUBRE!T143=0,"",OCTUBRE!T143)</f>
        <v>Impuesto de Industria y comercio</v>
      </c>
      <c r="U143" s="373">
        <f>+ENERO!U143</f>
        <v>400000000</v>
      </c>
      <c r="V143" s="220">
        <f>OCTUBRE!V143+NOVIEMBRE!AL143</f>
        <v>0</v>
      </c>
      <c r="W143" s="220">
        <f>OCTUBRE!W143+NOVIEMBRE!AM143</f>
        <v>0</v>
      </c>
      <c r="X143" s="271">
        <f>SUM(U143:W143)</f>
        <v>400000000</v>
      </c>
      <c r="Y143" s="270">
        <f>OCTUBRE!AA143</f>
        <v>217917250</v>
      </c>
      <c r="Z143" s="208">
        <v>60371000</v>
      </c>
      <c r="AA143" s="271">
        <f>SUM(Y143:Z143)</f>
        <v>278288250</v>
      </c>
      <c r="AB143" s="270">
        <f>OCTUBRE!AD143</f>
        <v>217917250</v>
      </c>
      <c r="AC143" s="208">
        <v>60371000</v>
      </c>
      <c r="AD143" s="271">
        <f>SUM(AB143:AC143)</f>
        <v>278288250</v>
      </c>
      <c r="AE143" s="270">
        <f>OCTUBRE!AG143</f>
        <v>217917250</v>
      </c>
      <c r="AF143" s="208">
        <v>60371000</v>
      </c>
      <c r="AG143" s="271">
        <f>SUM(AE143:AF143)</f>
        <v>278288250</v>
      </c>
      <c r="AH143" s="270">
        <f>X143-AA143</f>
        <v>121711750</v>
      </c>
      <c r="AI143" s="220">
        <f>X143-AD143</f>
        <v>121711750</v>
      </c>
      <c r="AJ143" s="269">
        <f>X143-AG143</f>
        <v>121711750</v>
      </c>
      <c r="AK143" s="101"/>
      <c r="AL143" s="204">
        <v>0</v>
      </c>
      <c r="AM143" s="210">
        <v>0</v>
      </c>
    </row>
    <row r="144" spans="1:39" ht="24.75" customHeight="1">
      <c r="A144" s="542"/>
      <c r="B144" s="453"/>
      <c r="C144" s="67"/>
      <c r="D144" s="67"/>
      <c r="E144" s="67"/>
      <c r="F144" s="67"/>
      <c r="G144" s="67"/>
      <c r="H144" s="67"/>
      <c r="I144" s="67"/>
      <c r="J144" s="67"/>
      <c r="K144" s="67"/>
      <c r="L144" s="67"/>
      <c r="M144" s="67"/>
      <c r="N144" s="101"/>
      <c r="O144" s="67"/>
      <c r="P144" s="67"/>
      <c r="Q144" s="67"/>
      <c r="R144" s="101"/>
      <c r="S144" s="189">
        <f>+IF(OCTUBRE!S144=0,"",OCTUBRE!S144)</f>
        <v>8880056</v>
      </c>
      <c r="T144" s="488" t="str">
        <f>+IF(OCTUBRE!T144=0,"",OCTUBRE!T144)</f>
        <v/>
      </c>
      <c r="U144" s="191"/>
      <c r="V144" s="191"/>
      <c r="W144" s="191"/>
      <c r="X144" s="191"/>
      <c r="Y144" s="191"/>
      <c r="Z144" s="191"/>
      <c r="AA144" s="191"/>
      <c r="AB144" s="191"/>
      <c r="AC144" s="191"/>
      <c r="AD144" s="191"/>
      <c r="AE144" s="191"/>
      <c r="AF144" s="191"/>
      <c r="AG144" s="191"/>
      <c r="AH144" s="191"/>
      <c r="AI144" s="191"/>
      <c r="AJ144" s="192"/>
      <c r="AK144" s="101"/>
      <c r="AL144" s="370"/>
      <c r="AM144" s="371"/>
    </row>
    <row r="145" spans="19:39" ht="24.75" customHeight="1">
      <c r="S145" s="228">
        <f>+IF(OCTUBRE!S145=0,"",OCTUBRE!S145)</f>
        <v>2020010</v>
      </c>
      <c r="T145" s="229" t="str">
        <f>+IF(OCTUBRE!T145=0,"",OCTUBRE!T145)</f>
        <v>Gastos de Operación</v>
      </c>
      <c r="U145" s="230">
        <f t="shared" ref="U145:AJ145" si="140">U147+U155</f>
        <v>11892931308.176388</v>
      </c>
      <c r="V145" s="231">
        <f t="shared" si="140"/>
        <v>-1756000000</v>
      </c>
      <c r="W145" s="231">
        <f t="shared" si="140"/>
        <v>1423628029</v>
      </c>
      <c r="X145" s="234">
        <f t="shared" si="140"/>
        <v>11560559337.176388</v>
      </c>
      <c r="Y145" s="233">
        <f t="shared" si="140"/>
        <v>7274371373</v>
      </c>
      <c r="Z145" s="231">
        <f t="shared" si="140"/>
        <v>213838504</v>
      </c>
      <c r="AA145" s="234">
        <f t="shared" si="140"/>
        <v>7488209877</v>
      </c>
      <c r="AB145" s="233">
        <f t="shared" si="140"/>
        <v>6027977762</v>
      </c>
      <c r="AC145" s="231">
        <f>AC147+AC155</f>
        <v>600704834</v>
      </c>
      <c r="AD145" s="234">
        <f t="shared" si="140"/>
        <v>6628682596</v>
      </c>
      <c r="AE145" s="233">
        <f t="shared" si="140"/>
        <v>3507105587</v>
      </c>
      <c r="AF145" s="231">
        <f>AF147+AF155</f>
        <v>378459127</v>
      </c>
      <c r="AG145" s="234">
        <f t="shared" si="140"/>
        <v>3885564714</v>
      </c>
      <c r="AH145" s="233">
        <f t="shared" si="140"/>
        <v>4072349460.1763887</v>
      </c>
      <c r="AI145" s="231">
        <f t="shared" si="140"/>
        <v>4931876741.1763887</v>
      </c>
      <c r="AJ145" s="232">
        <f t="shared" si="140"/>
        <v>7674994623.1763887</v>
      </c>
      <c r="AK145" s="216"/>
      <c r="AL145" s="233">
        <f>AL147+AL155</f>
        <v>-2111000000</v>
      </c>
      <c r="AM145" s="232">
        <f>AM147+AM155</f>
        <v>0</v>
      </c>
    </row>
    <row r="146" spans="19:39" ht="24.75" customHeight="1">
      <c r="S146" s="311">
        <f>+IF(OCTUBRE!S146=0,"",OCTUBRE!S146)</f>
        <v>2020010</v>
      </c>
      <c r="T146" s="312" t="str">
        <f>+IF(OCTUBRE!T146=0,"",OCTUBRE!T146)</f>
        <v/>
      </c>
      <c r="U146" s="299"/>
      <c r="V146" s="220"/>
      <c r="W146" s="220"/>
      <c r="X146" s="271"/>
      <c r="Y146" s="270"/>
      <c r="Z146" s="220"/>
      <c r="AA146" s="271"/>
      <c r="AB146" s="270"/>
      <c r="AC146" s="220"/>
      <c r="AD146" s="271"/>
      <c r="AE146" s="270"/>
      <c r="AF146" s="220"/>
      <c r="AG146" s="271"/>
      <c r="AH146" s="270"/>
      <c r="AI146" s="220"/>
      <c r="AJ146" s="269"/>
      <c r="AK146" s="101"/>
      <c r="AL146" s="370"/>
      <c r="AM146" s="371"/>
    </row>
    <row r="147" spans="19:39" ht="24.75" customHeight="1">
      <c r="S147" s="257" t="str">
        <f>+IF(OCTUBRE!S147=0,"",OCTUBRE!S147)</f>
        <v>2.1.2</v>
      </c>
      <c r="T147" s="546" t="str">
        <f>+IF(OCTUBRE!T147=0,"",OCTUBRE!T147)</f>
        <v>Adquisición de bienes</v>
      </c>
      <c r="U147" s="230">
        <f t="shared" ref="U147:AJ147" si="141">SUM(U148:U149)+U153</f>
        <v>3776193053.9541664</v>
      </c>
      <c r="V147" s="231">
        <f t="shared" si="141"/>
        <v>-61832120</v>
      </c>
      <c r="W147" s="231">
        <f t="shared" si="141"/>
        <v>1264813284</v>
      </c>
      <c r="X147" s="234">
        <f t="shared" si="141"/>
        <v>4979174217.9541664</v>
      </c>
      <c r="Y147" s="233">
        <f t="shared" si="141"/>
        <v>3120935150</v>
      </c>
      <c r="Z147" s="231">
        <f t="shared" si="141"/>
        <v>190773912</v>
      </c>
      <c r="AA147" s="234">
        <f t="shared" si="141"/>
        <v>3311709062</v>
      </c>
      <c r="AB147" s="233">
        <f t="shared" si="141"/>
        <v>2700080758</v>
      </c>
      <c r="AC147" s="231">
        <f>SUM(AC148:AC149)+AC153</f>
        <v>241790783</v>
      </c>
      <c r="AD147" s="234">
        <f t="shared" si="141"/>
        <v>2941871541</v>
      </c>
      <c r="AE147" s="233">
        <f t="shared" si="141"/>
        <v>1395723850</v>
      </c>
      <c r="AF147" s="231">
        <f>SUM(AF148:AF149)+AF153</f>
        <v>147083179</v>
      </c>
      <c r="AG147" s="234">
        <f t="shared" si="141"/>
        <v>1542807029</v>
      </c>
      <c r="AH147" s="233">
        <f t="shared" si="141"/>
        <v>1667465155.9541667</v>
      </c>
      <c r="AI147" s="231">
        <f t="shared" si="141"/>
        <v>2037302676.9541667</v>
      </c>
      <c r="AJ147" s="232">
        <f t="shared" si="141"/>
        <v>3436367188.9541664</v>
      </c>
      <c r="AK147" s="101"/>
      <c r="AL147" s="233">
        <f>SUM(AL148:AL149)+AL153</f>
        <v>-416832120</v>
      </c>
      <c r="AM147" s="232">
        <f>SUM(AM148:AM149)+AM153</f>
        <v>0</v>
      </c>
    </row>
    <row r="148" spans="19:39" ht="24.75" customHeight="1">
      <c r="S148" s="266" t="str">
        <f>+IF(OCTUBRE!S148=0,"",OCTUBRE!S148)</f>
        <v>2.1.2.02.01.003.305</v>
      </c>
      <c r="T148" s="267" t="str">
        <f>+IF(OCTUBRE!T148=0,"",OCTUBRE!T148)</f>
        <v>Mantenimiento -  Partes, accesorios, herramientas</v>
      </c>
      <c r="U148" s="373">
        <f>+ENERO!U148</f>
        <v>2090969100</v>
      </c>
      <c r="V148" s="220">
        <f>OCTUBRE!V148+NOVIEMBRE!AL148</f>
        <v>0</v>
      </c>
      <c r="W148" s="220">
        <f>OCTUBRE!W148+NOVIEMBRE!AM148</f>
        <v>964813284</v>
      </c>
      <c r="X148" s="271">
        <f t="shared" ref="X148:X153" si="142">SUM(U148:W148)</f>
        <v>3055782384</v>
      </c>
      <c r="Y148" s="270">
        <f>OCTUBRE!AA148</f>
        <v>1374420596</v>
      </c>
      <c r="Z148" s="208">
        <v>40875151</v>
      </c>
      <c r="AA148" s="271">
        <f>SUM(Y148:Z148)</f>
        <v>1415295747</v>
      </c>
      <c r="AB148" s="270">
        <f>OCTUBRE!AD148</f>
        <v>1071535591</v>
      </c>
      <c r="AC148" s="208">
        <v>139515887</v>
      </c>
      <c r="AD148" s="271">
        <f>SUM(AB148:AC148)</f>
        <v>1211051478</v>
      </c>
      <c r="AE148" s="270">
        <f>OCTUBRE!AG148</f>
        <v>474399876</v>
      </c>
      <c r="AF148" s="208">
        <v>62407082</v>
      </c>
      <c r="AG148" s="271">
        <f>SUM(AE148:AF148)</f>
        <v>536806958</v>
      </c>
      <c r="AH148" s="270">
        <f t="shared" ref="AH148:AH153" si="143">X148-AA148</f>
        <v>1640486637</v>
      </c>
      <c r="AI148" s="220">
        <f>X148-AD148</f>
        <v>1844730906</v>
      </c>
      <c r="AJ148" s="269">
        <f>X148-AG148</f>
        <v>2518975426</v>
      </c>
      <c r="AK148" s="101"/>
      <c r="AL148" s="204">
        <v>0</v>
      </c>
      <c r="AM148" s="210">
        <v>0</v>
      </c>
    </row>
    <row r="149" spans="19:39" ht="24.75" customHeight="1">
      <c r="S149" s="266">
        <f>+IF(OCTUBRE!S149=0,"",OCTUBRE!S149)</f>
        <v>2020102</v>
      </c>
      <c r="T149" s="267" t="str">
        <f>+IF(OCTUBRE!T149=0,"",OCTUBRE!T149)</f>
        <v>Otros</v>
      </c>
      <c r="U149" s="373">
        <f t="shared" ref="U149:AJ149" si="144">SUM(U150:U152)</f>
        <v>1232308696.9541667</v>
      </c>
      <c r="V149" s="220">
        <f t="shared" si="144"/>
        <v>237000000</v>
      </c>
      <c r="W149" s="220">
        <f>OCTUBRE!W149+NOVIEMBRE!AM149</f>
        <v>0</v>
      </c>
      <c r="X149" s="271">
        <f t="shared" si="144"/>
        <v>1469308696.9541667</v>
      </c>
      <c r="Y149" s="270">
        <f t="shared" si="144"/>
        <v>1304768473</v>
      </c>
      <c r="Z149" s="300">
        <f t="shared" si="144"/>
        <v>149898761</v>
      </c>
      <c r="AA149" s="271">
        <f t="shared" si="144"/>
        <v>1454667234</v>
      </c>
      <c r="AB149" s="270">
        <f t="shared" si="144"/>
        <v>1186799086</v>
      </c>
      <c r="AC149" s="300">
        <f>SUM(AC150:AC152)</f>
        <v>102274896</v>
      </c>
      <c r="AD149" s="271">
        <f t="shared" si="144"/>
        <v>1289073982</v>
      </c>
      <c r="AE149" s="270">
        <f t="shared" si="144"/>
        <v>483127894</v>
      </c>
      <c r="AF149" s="300">
        <f>SUM(AF150:AF152)</f>
        <v>81126096</v>
      </c>
      <c r="AG149" s="271">
        <f t="shared" si="144"/>
        <v>564253990</v>
      </c>
      <c r="AH149" s="270">
        <f t="shared" si="144"/>
        <v>14641462.954166651</v>
      </c>
      <c r="AI149" s="220">
        <f t="shared" si="144"/>
        <v>180234714.95416665</v>
      </c>
      <c r="AJ149" s="269">
        <f t="shared" si="144"/>
        <v>905054706.95416665</v>
      </c>
      <c r="AK149" s="101"/>
      <c r="AL149" s="301">
        <f>SUM(AL150:AL152)</f>
        <v>-118000000</v>
      </c>
      <c r="AM149" s="302">
        <f>SUM(AM150:AM152)</f>
        <v>0</v>
      </c>
    </row>
    <row r="150" spans="19:39" ht="24.75" customHeight="1">
      <c r="S150" s="311" t="str">
        <f>+IF(OCTUBRE!S150=0,"",OCTUBRE!S150)</f>
        <v>2.1.2.02.01.002,001</v>
      </c>
      <c r="T150" s="267" t="str">
        <f>+IF(OCTUBRE!T150=0,"",OCTUBRE!T150)</f>
        <v>Roperia</v>
      </c>
      <c r="U150" s="373">
        <f>+ENERO!U150</f>
        <v>300724825</v>
      </c>
      <c r="V150" s="220">
        <f>OCTUBRE!V150+NOVIEMBRE!AL150</f>
        <v>-116000000</v>
      </c>
      <c r="W150" s="220">
        <f>OCTUBRE!W150+NOVIEMBRE!AM150</f>
        <v>0</v>
      </c>
      <c r="X150" s="271">
        <f t="shared" si="142"/>
        <v>184724825</v>
      </c>
      <c r="Y150" s="270">
        <f>OCTUBRE!AA150</f>
        <v>184178680</v>
      </c>
      <c r="Z150" s="208">
        <v>0</v>
      </c>
      <c r="AA150" s="271">
        <f>SUM(Y150:Z150)</f>
        <v>184178680</v>
      </c>
      <c r="AB150" s="270">
        <f>OCTUBRE!AD150</f>
        <v>184178680</v>
      </c>
      <c r="AC150" s="208">
        <v>0</v>
      </c>
      <c r="AD150" s="271">
        <f>SUM(AB150:AC150)</f>
        <v>184178680</v>
      </c>
      <c r="AE150" s="270">
        <f>OCTUBRE!AG150</f>
        <v>0</v>
      </c>
      <c r="AF150" s="208">
        <v>0</v>
      </c>
      <c r="AG150" s="271">
        <f>SUM(AE150:AF150)</f>
        <v>0</v>
      </c>
      <c r="AH150" s="270">
        <f t="shared" si="143"/>
        <v>546145</v>
      </c>
      <c r="AI150" s="220">
        <f>X150-AD150</f>
        <v>546145</v>
      </c>
      <c r="AJ150" s="269">
        <f>X150-AG150</f>
        <v>184724825</v>
      </c>
      <c r="AK150" s="101"/>
      <c r="AL150" s="204">
        <v>-116000000</v>
      </c>
      <c r="AM150" s="210">
        <v>0</v>
      </c>
    </row>
    <row r="151" spans="19:39" ht="24.75" customHeight="1">
      <c r="S151" s="311" t="str">
        <f>+IF(OCTUBRE!S151=0,"",OCTUBRE!S151)</f>
        <v>2.1.2.02.01.003.303</v>
      </c>
      <c r="T151" s="267" t="str">
        <f>+IF(OCTUBRE!T151=0,"",OCTUBRE!T151)</f>
        <v>Elementos de Aseo</v>
      </c>
      <c r="U151" s="373">
        <f>+ENERO!U151</f>
        <v>684513688.9375</v>
      </c>
      <c r="V151" s="220">
        <f>OCTUBRE!V151+NOVIEMBRE!AL151</f>
        <v>235000000</v>
      </c>
      <c r="W151" s="220">
        <f>OCTUBRE!W151+NOVIEMBRE!AM151</f>
        <v>0</v>
      </c>
      <c r="X151" s="271">
        <f t="shared" si="142"/>
        <v>919513688.9375</v>
      </c>
      <c r="Y151" s="270">
        <f>OCTUBRE!AA151</f>
        <v>774050250</v>
      </c>
      <c r="Z151" s="208">
        <v>138253088</v>
      </c>
      <c r="AA151" s="271">
        <f>SUM(Y151:Z151)</f>
        <v>912303338</v>
      </c>
      <c r="AB151" s="270">
        <f>OCTUBRE!AD151</f>
        <v>687632695</v>
      </c>
      <c r="AC151" s="208">
        <v>81403874</v>
      </c>
      <c r="AD151" s="271">
        <f>SUM(AB151:AC151)</f>
        <v>769036569</v>
      </c>
      <c r="AE151" s="270">
        <f>OCTUBRE!AG151</f>
        <v>270194123</v>
      </c>
      <c r="AF151" s="208">
        <v>76920279</v>
      </c>
      <c r="AG151" s="271">
        <f>SUM(AE151:AF151)</f>
        <v>347114402</v>
      </c>
      <c r="AH151" s="270">
        <f t="shared" si="143"/>
        <v>7210350.9375</v>
      </c>
      <c r="AI151" s="220">
        <f>X151-AD151</f>
        <v>150477119.9375</v>
      </c>
      <c r="AJ151" s="269">
        <f>X151-AG151</f>
        <v>572399286.9375</v>
      </c>
      <c r="AK151" s="101"/>
      <c r="AL151" s="204">
        <f>95000000+30000000</f>
        <v>125000000</v>
      </c>
      <c r="AM151" s="210">
        <v>0</v>
      </c>
    </row>
    <row r="152" spans="19:39" ht="24.75" customHeight="1">
      <c r="S152" s="311" t="str">
        <f>+IF(OCTUBRE!S152=0,"",OCTUBRE!S152)</f>
        <v>2.1.2.02.01.003.304</v>
      </c>
      <c r="T152" s="267" t="str">
        <f>+IF(OCTUBRE!T152=0,"",OCTUBRE!T152)</f>
        <v xml:space="preserve">Insumos hospitalarios </v>
      </c>
      <c r="U152" s="373">
        <f>+ENERO!U152</f>
        <v>247070183.01666665</v>
      </c>
      <c r="V152" s="220">
        <f>OCTUBRE!V152+NOVIEMBRE!AL152</f>
        <v>118000000</v>
      </c>
      <c r="W152" s="220">
        <f>OCTUBRE!W152+NOVIEMBRE!AM152</f>
        <v>0</v>
      </c>
      <c r="X152" s="271">
        <f t="shared" si="142"/>
        <v>365070183.01666665</v>
      </c>
      <c r="Y152" s="270">
        <f>OCTUBRE!AA152</f>
        <v>346539543</v>
      </c>
      <c r="Z152" s="208">
        <v>11645673</v>
      </c>
      <c r="AA152" s="271">
        <f>SUM(Y152:Z152)</f>
        <v>358185216</v>
      </c>
      <c r="AB152" s="270">
        <f>OCTUBRE!AD152</f>
        <v>314987711</v>
      </c>
      <c r="AC152" s="208">
        <v>20871022</v>
      </c>
      <c r="AD152" s="271">
        <f>SUM(AB152:AC152)</f>
        <v>335858733</v>
      </c>
      <c r="AE152" s="270">
        <f>OCTUBRE!AG152</f>
        <v>212933771</v>
      </c>
      <c r="AF152" s="208">
        <v>4205817</v>
      </c>
      <c r="AG152" s="271">
        <f>SUM(AE152:AF152)</f>
        <v>217139588</v>
      </c>
      <c r="AH152" s="270">
        <f t="shared" si="143"/>
        <v>6884967.0166666508</v>
      </c>
      <c r="AI152" s="220">
        <f>X152-AD152</f>
        <v>29211450.016666651</v>
      </c>
      <c r="AJ152" s="269">
        <f>X152-AG152</f>
        <v>147930595.01666665</v>
      </c>
      <c r="AK152" s="101"/>
      <c r="AL152" s="204">
        <v>-127000000</v>
      </c>
      <c r="AM152" s="210">
        <v>0</v>
      </c>
    </row>
    <row r="153" spans="19:39" ht="24.75" customHeight="1">
      <c r="S153" s="266" t="str">
        <f>+IF(OCTUBRE!S153=0,"",OCTUBRE!S153)</f>
        <v>2.1.2.02.01.003.99</v>
      </c>
      <c r="T153" s="267" t="str">
        <f>+IF(OCTUBRE!T153=0,"",OCTUBRE!T153)</f>
        <v>Vigencias Anteriores</v>
      </c>
      <c r="U153" s="373">
        <f>+ENERO!U153</f>
        <v>452915257</v>
      </c>
      <c r="V153" s="220">
        <f>OCTUBRE!V153+NOVIEMBRE!AL153</f>
        <v>-298832120</v>
      </c>
      <c r="W153" s="220">
        <f>OCTUBRE!W153+NOVIEMBRE!AM153</f>
        <v>300000000</v>
      </c>
      <c r="X153" s="271">
        <f t="shared" si="142"/>
        <v>454083137</v>
      </c>
      <c r="Y153" s="270">
        <f>OCTUBRE!AA153</f>
        <v>441746081</v>
      </c>
      <c r="Z153" s="208">
        <v>0</v>
      </c>
      <c r="AA153" s="271">
        <f>SUM(Y153:Z153)</f>
        <v>441746081</v>
      </c>
      <c r="AB153" s="270">
        <f>OCTUBRE!AD153</f>
        <v>441746081</v>
      </c>
      <c r="AC153" s="208">
        <v>0</v>
      </c>
      <c r="AD153" s="271">
        <f>SUM(AB153:AC153)</f>
        <v>441746081</v>
      </c>
      <c r="AE153" s="270">
        <f>OCTUBRE!AG153</f>
        <v>438196080</v>
      </c>
      <c r="AF153" s="208">
        <v>3550001</v>
      </c>
      <c r="AG153" s="271">
        <f>SUM(AE153:AF153)</f>
        <v>441746081</v>
      </c>
      <c r="AH153" s="270">
        <f t="shared" si="143"/>
        <v>12337056</v>
      </c>
      <c r="AI153" s="220">
        <f>X153-AD153</f>
        <v>12337056</v>
      </c>
      <c r="AJ153" s="269">
        <f>X153-AG153</f>
        <v>12337056</v>
      </c>
      <c r="AK153" s="101"/>
      <c r="AL153" s="204">
        <f>-295000000-3832120</f>
        <v>-298832120</v>
      </c>
      <c r="AM153" s="210">
        <v>0</v>
      </c>
    </row>
    <row r="154" spans="19:39" ht="24.75" customHeight="1">
      <c r="S154" s="189">
        <f>+IF(OCTUBRE!S154=0,"",OCTUBRE!S154)</f>
        <v>203715328</v>
      </c>
      <c r="T154" s="488" t="str">
        <f>+IF(OCTUBRE!T154=0,"",OCTUBRE!T154)</f>
        <v/>
      </c>
      <c r="U154" s="191"/>
      <c r="V154" s="191"/>
      <c r="W154" s="191"/>
      <c r="X154" s="191"/>
      <c r="Y154" s="191"/>
      <c r="Z154" s="191"/>
      <c r="AA154" s="191"/>
      <c r="AB154" s="191"/>
      <c r="AC154" s="191"/>
      <c r="AD154" s="191"/>
      <c r="AE154" s="191"/>
      <c r="AF154" s="191"/>
      <c r="AG154" s="191"/>
      <c r="AH154" s="191"/>
      <c r="AI154" s="191"/>
      <c r="AJ154" s="192"/>
      <c r="AK154" s="101"/>
      <c r="AL154" s="370"/>
      <c r="AM154" s="371"/>
    </row>
    <row r="155" spans="19:39" ht="24.75" customHeight="1">
      <c r="S155" s="257" t="str">
        <f>+IF(OCTUBRE!S155=0,"",OCTUBRE!S155)</f>
        <v>2.1.2.02.02</v>
      </c>
      <c r="T155" s="546" t="str">
        <f>+IF(OCTUBRE!T155=0,"",OCTUBRE!T155)</f>
        <v>Adquisición de Servicios</v>
      </c>
      <c r="U155" s="230">
        <f>SUM(U156:U157)</f>
        <v>8116738254.2222223</v>
      </c>
      <c r="V155" s="230">
        <f t="shared" ref="V155:AM155" si="145">SUM(V156:V157)</f>
        <v>-1694167880</v>
      </c>
      <c r="W155" s="230">
        <f t="shared" si="145"/>
        <v>158814745</v>
      </c>
      <c r="X155" s="230">
        <f t="shared" si="145"/>
        <v>6581385119.2222223</v>
      </c>
      <c r="Y155" s="230">
        <f t="shared" si="145"/>
        <v>4153436223</v>
      </c>
      <c r="Z155" s="230">
        <f t="shared" si="145"/>
        <v>23064592</v>
      </c>
      <c r="AA155" s="230">
        <f t="shared" si="145"/>
        <v>4176500815</v>
      </c>
      <c r="AB155" s="230">
        <f t="shared" si="145"/>
        <v>3327897004</v>
      </c>
      <c r="AC155" s="230">
        <f t="shared" si="145"/>
        <v>358914051</v>
      </c>
      <c r="AD155" s="230">
        <f t="shared" si="145"/>
        <v>3686811055</v>
      </c>
      <c r="AE155" s="230">
        <f t="shared" si="145"/>
        <v>2111381737</v>
      </c>
      <c r="AF155" s="230">
        <f t="shared" si="145"/>
        <v>231375948</v>
      </c>
      <c r="AG155" s="230">
        <f t="shared" si="145"/>
        <v>2342757685</v>
      </c>
      <c r="AH155" s="230">
        <f t="shared" si="145"/>
        <v>2404884304.2222223</v>
      </c>
      <c r="AI155" s="230">
        <f t="shared" si="145"/>
        <v>2894574064.2222223</v>
      </c>
      <c r="AJ155" s="230">
        <f t="shared" si="145"/>
        <v>4238627434.2222223</v>
      </c>
      <c r="AK155" s="230">
        <f t="shared" si="145"/>
        <v>0</v>
      </c>
      <c r="AL155" s="883">
        <f t="shared" si="145"/>
        <v>-1694167880</v>
      </c>
      <c r="AM155" s="883">
        <f t="shared" si="145"/>
        <v>0</v>
      </c>
    </row>
    <row r="156" spans="19:39" ht="24.75" customHeight="1">
      <c r="S156" s="266" t="str">
        <f>+IF(OCTUBRE!S156=0,"",OCTUBRE!S156)</f>
        <v>2.1.2.02.01.003.306</v>
      </c>
      <c r="T156" s="267" t="str">
        <f>+IF(OCTUBRE!T156=0,"",OCTUBRE!T156)</f>
        <v>Mantenimiento - Bienes sistemas</v>
      </c>
      <c r="U156" s="373">
        <f>+ENERO!U156</f>
        <v>17133955</v>
      </c>
      <c r="V156" s="220">
        <f>OCTUBRE!V156+NOVIEMBRE!AL156</f>
        <v>0</v>
      </c>
      <c r="W156" s="220">
        <f>OCTUBRE!W156+NOVIEMBRE!AM156</f>
        <v>0</v>
      </c>
      <c r="X156" s="271">
        <f>SUM(U156:W156)</f>
        <v>17133955</v>
      </c>
      <c r="Y156" s="270">
        <f>OCTUBRE!AA156</f>
        <v>15819256</v>
      </c>
      <c r="Z156" s="208">
        <v>0</v>
      </c>
      <c r="AA156" s="271">
        <f>SUM(Y156:Z156)</f>
        <v>15819256</v>
      </c>
      <c r="AB156" s="270">
        <f>OCTUBRE!AD156</f>
        <v>10574474</v>
      </c>
      <c r="AC156" s="208">
        <v>0</v>
      </c>
      <c r="AD156" s="271">
        <f>SUM(AB156:AC156)</f>
        <v>10574474</v>
      </c>
      <c r="AE156" s="270">
        <f>OCTUBRE!AG156</f>
        <v>10574474</v>
      </c>
      <c r="AF156" s="208">
        <v>0</v>
      </c>
      <c r="AG156" s="271">
        <f>SUM(AE156:AF156)</f>
        <v>10574474</v>
      </c>
      <c r="AH156" s="270">
        <f>X156-AA156</f>
        <v>1314699</v>
      </c>
      <c r="AI156" s="220">
        <f>X156-AD156</f>
        <v>6559481</v>
      </c>
      <c r="AJ156" s="269">
        <f>X156-AG156</f>
        <v>6559481</v>
      </c>
      <c r="AK156" s="101"/>
      <c r="AL156" s="204"/>
      <c r="AM156" s="210">
        <v>0</v>
      </c>
    </row>
    <row r="157" spans="19:39" ht="24.75" customHeight="1">
      <c r="S157" s="266">
        <f>+IF(OCTUBRE!S157=0,"",OCTUBRE!S157)</f>
        <v>2020202</v>
      </c>
      <c r="T157" s="267" t="str">
        <f>+IF(OCTUBRE!T157=0,"",OCTUBRE!T157)</f>
        <v>Otros</v>
      </c>
      <c r="U157" s="373">
        <f t="shared" ref="U157:AJ157" si="146">SUM(U158:U166)</f>
        <v>8099604299.2222223</v>
      </c>
      <c r="V157" s="220">
        <f t="shared" si="146"/>
        <v>-1694167880</v>
      </c>
      <c r="W157" s="220">
        <f t="shared" si="146"/>
        <v>158814745</v>
      </c>
      <c r="X157" s="271">
        <f t="shared" si="146"/>
        <v>6564251164.2222223</v>
      </c>
      <c r="Y157" s="270">
        <f t="shared" si="146"/>
        <v>4137616967</v>
      </c>
      <c r="Z157" s="300">
        <f t="shared" si="146"/>
        <v>23064592</v>
      </c>
      <c r="AA157" s="271">
        <f t="shared" si="146"/>
        <v>4160681559</v>
      </c>
      <c r="AB157" s="270">
        <f t="shared" si="146"/>
        <v>3317322530</v>
      </c>
      <c r="AC157" s="300">
        <f t="shared" si="146"/>
        <v>358914051</v>
      </c>
      <c r="AD157" s="271">
        <f t="shared" si="146"/>
        <v>3676236581</v>
      </c>
      <c r="AE157" s="270">
        <f t="shared" si="146"/>
        <v>2100807263</v>
      </c>
      <c r="AF157" s="300">
        <f t="shared" si="146"/>
        <v>231375948</v>
      </c>
      <c r="AG157" s="271">
        <f t="shared" si="146"/>
        <v>2332183211</v>
      </c>
      <c r="AH157" s="270">
        <f t="shared" si="146"/>
        <v>2403569605.2222223</v>
      </c>
      <c r="AI157" s="220">
        <f t="shared" si="146"/>
        <v>2888014583.2222223</v>
      </c>
      <c r="AJ157" s="269">
        <f t="shared" si="146"/>
        <v>4232067953.2222223</v>
      </c>
      <c r="AK157" s="216"/>
      <c r="AL157" s="301">
        <f>SUM(AL158:AL166)</f>
        <v>-1694167880</v>
      </c>
      <c r="AM157" s="302">
        <f>SUM(AM158:AM166)</f>
        <v>0</v>
      </c>
    </row>
    <row r="158" spans="19:39" ht="24.75" customHeight="1">
      <c r="S158" s="311" t="str">
        <f>+IF(OCTUBRE!S158=0,"",OCTUBRE!S158)</f>
        <v>2.1.2.02.02.005.502</v>
      </c>
      <c r="T158" s="267" t="str">
        <f>+IF(OCTUBRE!T158=0,"",OCTUBRE!T158)</f>
        <v>Mantenimiento - Arrendamiento Software</v>
      </c>
      <c r="U158" s="373">
        <f>+ENERO!U158</f>
        <v>0</v>
      </c>
      <c r="V158" s="220">
        <f>OCTUBRE!V158+NOVIEMBRE!AL158</f>
        <v>0</v>
      </c>
      <c r="W158" s="220">
        <f>OCTUBRE!W158+NOVIEMBRE!AM158</f>
        <v>0</v>
      </c>
      <c r="X158" s="271">
        <f t="shared" ref="X158:X166" si="147">SUM(U158:W158)</f>
        <v>0</v>
      </c>
      <c r="Y158" s="270">
        <f>OCTUBRE!AA158</f>
        <v>0</v>
      </c>
      <c r="Z158" s="208">
        <v>0</v>
      </c>
      <c r="AA158" s="271">
        <f t="shared" ref="AA158:AA166" si="148">SUM(Y158:Z158)</f>
        <v>0</v>
      </c>
      <c r="AB158" s="270">
        <f>OCTUBRE!AD158</f>
        <v>0</v>
      </c>
      <c r="AC158" s="208">
        <v>0</v>
      </c>
      <c r="AD158" s="271">
        <f t="shared" ref="AD158:AD166" si="149">SUM(AB158:AC158)</f>
        <v>0</v>
      </c>
      <c r="AE158" s="270">
        <f>OCTUBRE!AG158</f>
        <v>0</v>
      </c>
      <c r="AF158" s="208">
        <v>0</v>
      </c>
      <c r="AG158" s="271">
        <f t="shared" ref="AG158:AG166" si="150">SUM(AE158:AF158)</f>
        <v>0</v>
      </c>
      <c r="AH158" s="270">
        <f t="shared" ref="AH158:AH166" si="151">X158-AA158</f>
        <v>0</v>
      </c>
      <c r="AI158" s="220">
        <f t="shared" ref="AI158:AI166" si="152">X158-AD158</f>
        <v>0</v>
      </c>
      <c r="AJ158" s="269">
        <f t="shared" ref="AJ158:AJ166" si="153">X158-AG158</f>
        <v>0</v>
      </c>
      <c r="AK158" s="101"/>
      <c r="AL158" s="204"/>
      <c r="AM158" s="210">
        <v>0</v>
      </c>
    </row>
    <row r="159" spans="19:39" ht="24.75" customHeight="1">
      <c r="S159" s="311" t="str">
        <f>+IF(OCTUBRE!S159=0,"",OCTUBRE!S159)</f>
        <v>2.1.2.02.02.005.501</v>
      </c>
      <c r="T159" s="267" t="str">
        <f>+IF(OCTUBRE!T159=0,"",OCTUBRE!T159)</f>
        <v>Mantenimiento  - Servicios Planta Fisica</v>
      </c>
      <c r="U159" s="373">
        <f>+ENERO!U159</f>
        <v>476117296</v>
      </c>
      <c r="V159" s="220">
        <f>OCTUBRE!V159+NOVIEMBRE!AL159</f>
        <v>0</v>
      </c>
      <c r="W159" s="220">
        <f>OCTUBRE!W159+NOVIEMBRE!AM159</f>
        <v>0</v>
      </c>
      <c r="X159" s="271">
        <f t="shared" si="147"/>
        <v>476117296</v>
      </c>
      <c r="Y159" s="270">
        <f>OCTUBRE!AA159</f>
        <v>34461031</v>
      </c>
      <c r="Z159" s="208">
        <v>0</v>
      </c>
      <c r="AA159" s="271">
        <f t="shared" si="148"/>
        <v>34461031</v>
      </c>
      <c r="AB159" s="270">
        <f>OCTUBRE!AD159</f>
        <v>28049268</v>
      </c>
      <c r="AC159" s="208">
        <v>-402248</v>
      </c>
      <c r="AD159" s="271">
        <f t="shared" si="149"/>
        <v>27647020</v>
      </c>
      <c r="AE159" s="270">
        <f>OCTUBRE!AG159</f>
        <v>15280216</v>
      </c>
      <c r="AF159" s="208">
        <v>859100</v>
      </c>
      <c r="AG159" s="271">
        <f t="shared" si="150"/>
        <v>16139316</v>
      </c>
      <c r="AH159" s="270">
        <f t="shared" si="151"/>
        <v>441656265</v>
      </c>
      <c r="AI159" s="220">
        <f t="shared" si="152"/>
        <v>448470276</v>
      </c>
      <c r="AJ159" s="269">
        <f t="shared" si="153"/>
        <v>459977980</v>
      </c>
      <c r="AK159" s="101"/>
      <c r="AL159" s="204">
        <v>0</v>
      </c>
      <c r="AM159" s="210">
        <v>0</v>
      </c>
    </row>
    <row r="160" spans="19:39" ht="24.75" customHeight="1">
      <c r="S160" s="311" t="str">
        <f>+IF(OCTUBRE!S160=0,"",OCTUBRE!S160)</f>
        <v>2.1.2.02.02.008.808</v>
      </c>
      <c r="T160" s="267" t="str">
        <f>+IF(OCTUBRE!T160=0,"",OCTUBRE!T160)</f>
        <v>Mantenimiento Servicios - Ambiental y sanitaria</v>
      </c>
      <c r="U160" s="373">
        <f>+ENERO!U160</f>
        <v>415609981</v>
      </c>
      <c r="V160" s="220">
        <f>OCTUBRE!V160+NOVIEMBRE!AL160</f>
        <v>0</v>
      </c>
      <c r="W160" s="220">
        <f>OCTUBRE!W160+NOVIEMBRE!AM160</f>
        <v>0</v>
      </c>
      <c r="X160" s="271">
        <f t="shared" si="147"/>
        <v>415609981</v>
      </c>
      <c r="Y160" s="270">
        <f>OCTUBRE!AA160</f>
        <v>318238886</v>
      </c>
      <c r="Z160" s="208">
        <v>0</v>
      </c>
      <c r="AA160" s="271">
        <f t="shared" si="148"/>
        <v>318238886</v>
      </c>
      <c r="AB160" s="270">
        <f>OCTUBRE!AD160</f>
        <v>266670039</v>
      </c>
      <c r="AC160" s="208">
        <v>23937964</v>
      </c>
      <c r="AD160" s="271">
        <f t="shared" si="149"/>
        <v>290608003</v>
      </c>
      <c r="AE160" s="270">
        <f>OCTUBRE!AG160</f>
        <v>123422727</v>
      </c>
      <c r="AF160" s="208">
        <v>7183792</v>
      </c>
      <c r="AG160" s="271">
        <f t="shared" si="150"/>
        <v>130606519</v>
      </c>
      <c r="AH160" s="270">
        <f t="shared" si="151"/>
        <v>97371095</v>
      </c>
      <c r="AI160" s="220">
        <f t="shared" si="152"/>
        <v>125001978</v>
      </c>
      <c r="AJ160" s="269">
        <f t="shared" si="153"/>
        <v>285003462</v>
      </c>
      <c r="AK160" s="101"/>
      <c r="AL160" s="204">
        <v>0</v>
      </c>
      <c r="AM160" s="210">
        <v>0</v>
      </c>
    </row>
    <row r="161" spans="19:39" ht="24.75" customHeight="1">
      <c r="S161" s="311" t="str">
        <f>+IF(OCTUBRE!S161=0,"",OCTUBRE!S161)</f>
        <v>2.1.2.02.02.008.800</v>
      </c>
      <c r="T161" s="267" t="str">
        <f>+IF(OCTUBRE!T161=0,"",OCTUBRE!T161)</f>
        <v>Mantenimiento  - Servicios Dotación y vehiculos</v>
      </c>
      <c r="U161" s="373">
        <f>+ENERO!U161</f>
        <v>220500000</v>
      </c>
      <c r="V161" s="220">
        <f>OCTUBRE!V161+NOVIEMBRE!AL161</f>
        <v>0</v>
      </c>
      <c r="W161" s="220">
        <f>OCTUBRE!W161+NOVIEMBRE!AM161</f>
        <v>0</v>
      </c>
      <c r="X161" s="271">
        <f t="shared" si="147"/>
        <v>220500000</v>
      </c>
      <c r="Y161" s="270">
        <f>OCTUBRE!AA161</f>
        <v>31535631</v>
      </c>
      <c r="Z161" s="208">
        <v>0</v>
      </c>
      <c r="AA161" s="271">
        <f t="shared" si="148"/>
        <v>31535631</v>
      </c>
      <c r="AB161" s="270">
        <f>OCTUBRE!AD161</f>
        <v>31535631</v>
      </c>
      <c r="AC161" s="208">
        <v>0</v>
      </c>
      <c r="AD161" s="271">
        <f t="shared" si="149"/>
        <v>31535631</v>
      </c>
      <c r="AE161" s="270">
        <f>OCTUBRE!AG161</f>
        <v>31535631</v>
      </c>
      <c r="AF161" s="208">
        <v>0</v>
      </c>
      <c r="AG161" s="271">
        <f t="shared" si="150"/>
        <v>31535631</v>
      </c>
      <c r="AH161" s="270">
        <f t="shared" si="151"/>
        <v>188964369</v>
      </c>
      <c r="AI161" s="220">
        <f t="shared" si="152"/>
        <v>188964369</v>
      </c>
      <c r="AJ161" s="269">
        <f t="shared" si="153"/>
        <v>188964369</v>
      </c>
      <c r="AK161" s="101"/>
      <c r="AL161" s="204">
        <v>0</v>
      </c>
      <c r="AM161" s="210">
        <v>0</v>
      </c>
    </row>
    <row r="162" spans="19:39" ht="24.75" customHeight="1">
      <c r="S162" s="311" t="str">
        <f>+IF(OCTUBRE!S162=0,"",OCTUBRE!S162)</f>
        <v>2.1.2.02.02.008.805</v>
      </c>
      <c r="T162" s="267" t="str">
        <f>+IF(OCTUBRE!T162=0,"",OCTUBRE!T162)</f>
        <v>Mantenimiento - Servicio de Metrología y Calibracion</v>
      </c>
      <c r="U162" s="373">
        <f>+ENERO!U162</f>
        <v>144394707</v>
      </c>
      <c r="V162" s="220">
        <f>OCTUBRE!V162+NOVIEMBRE!AL162</f>
        <v>0</v>
      </c>
      <c r="W162" s="220">
        <f>OCTUBRE!W162+NOVIEMBRE!AM162</f>
        <v>0</v>
      </c>
      <c r="X162" s="271">
        <f t="shared" si="147"/>
        <v>144394707</v>
      </c>
      <c r="Y162" s="270">
        <f>OCTUBRE!AA162</f>
        <v>104424880</v>
      </c>
      <c r="Z162" s="208">
        <v>5531120</v>
      </c>
      <c r="AA162" s="271">
        <f t="shared" si="148"/>
        <v>109956000</v>
      </c>
      <c r="AB162" s="270">
        <f>OCTUBRE!AD162</f>
        <v>0</v>
      </c>
      <c r="AC162" s="208">
        <v>104361810</v>
      </c>
      <c r="AD162" s="271">
        <f t="shared" si="149"/>
        <v>104361810</v>
      </c>
      <c r="AE162" s="270">
        <f>OCTUBRE!AG162</f>
        <v>0</v>
      </c>
      <c r="AF162" s="208">
        <v>0</v>
      </c>
      <c r="AG162" s="271">
        <f t="shared" si="150"/>
        <v>0</v>
      </c>
      <c r="AH162" s="270">
        <f t="shared" si="151"/>
        <v>34438707</v>
      </c>
      <c r="AI162" s="220">
        <f t="shared" si="152"/>
        <v>40032897</v>
      </c>
      <c r="AJ162" s="269">
        <f t="shared" si="153"/>
        <v>144394707</v>
      </c>
      <c r="AK162" s="101"/>
      <c r="AL162" s="204">
        <v>0</v>
      </c>
      <c r="AM162" s="210">
        <v>0</v>
      </c>
    </row>
    <row r="163" spans="19:39" ht="24.75" customHeight="1">
      <c r="S163" s="311" t="str">
        <f>+IF(OCTUBRE!S163=0,"",OCTUBRE!S163)</f>
        <v>2.1.2.02.02.008.806</v>
      </c>
      <c r="T163" s="267" t="str">
        <f>+IF(OCTUBRE!T163=0,"",OCTUBRE!T163)</f>
        <v xml:space="preserve">Mantenimiento- Servicios </v>
      </c>
      <c r="U163" s="373">
        <f>+ENERO!U163</f>
        <v>4141233251</v>
      </c>
      <c r="V163" s="220">
        <f>OCTUBRE!V163+NOVIEMBRE!AL163</f>
        <v>0</v>
      </c>
      <c r="W163" s="220">
        <f>OCTUBRE!W163+NOVIEMBRE!AM163</f>
        <v>0</v>
      </c>
      <c r="X163" s="271">
        <f t="shared" si="147"/>
        <v>4141233251</v>
      </c>
      <c r="Y163" s="270">
        <f>OCTUBRE!AA163</f>
        <v>2577055087</v>
      </c>
      <c r="Z163" s="208">
        <v>17533472</v>
      </c>
      <c r="AA163" s="271">
        <f t="shared" si="148"/>
        <v>2594588559</v>
      </c>
      <c r="AB163" s="270">
        <f>OCTUBRE!AD163</f>
        <v>1999481752</v>
      </c>
      <c r="AC163" s="208">
        <v>223044860</v>
      </c>
      <c r="AD163" s="271">
        <f t="shared" si="149"/>
        <v>2222526612</v>
      </c>
      <c r="AE163" s="270">
        <f>OCTUBRE!AG163</f>
        <v>1005361807</v>
      </c>
      <c r="AF163" s="208">
        <v>218528331</v>
      </c>
      <c r="AG163" s="271">
        <f t="shared" si="150"/>
        <v>1223890138</v>
      </c>
      <c r="AH163" s="270">
        <f t="shared" si="151"/>
        <v>1546644692</v>
      </c>
      <c r="AI163" s="220">
        <f t="shared" si="152"/>
        <v>1918706639</v>
      </c>
      <c r="AJ163" s="269">
        <f t="shared" si="153"/>
        <v>2917343113</v>
      </c>
      <c r="AK163" s="101"/>
      <c r="AL163" s="204">
        <v>0</v>
      </c>
      <c r="AM163" s="210">
        <v>0</v>
      </c>
    </row>
    <row r="164" spans="19:39" ht="24.75" customHeight="1">
      <c r="S164" s="311" t="str">
        <f>+IF(OCTUBRE!S164=0,"",OCTUBRE!S164)</f>
        <v>2.1.2.02.02.008.807</v>
      </c>
      <c r="T164" s="267" t="str">
        <f>+IF(OCTUBRE!T164=0,"",OCTUBRE!T164)</f>
        <v>Mantenimiento Servicios-fotocopias y otros</v>
      </c>
      <c r="U164" s="373">
        <f>+ENERO!U164</f>
        <v>267744477</v>
      </c>
      <c r="V164" s="220">
        <f>OCTUBRE!V164+NOVIEMBRE!AL164</f>
        <v>0</v>
      </c>
      <c r="W164" s="220">
        <f>OCTUBRE!W164+NOVIEMBRE!AM164</f>
        <v>0</v>
      </c>
      <c r="X164" s="271">
        <f t="shared" si="147"/>
        <v>267744477</v>
      </c>
      <c r="Y164" s="270">
        <f>OCTUBRE!AA164</f>
        <v>173250000</v>
      </c>
      <c r="Z164" s="208">
        <v>0</v>
      </c>
      <c r="AA164" s="271">
        <f t="shared" si="148"/>
        <v>173250000</v>
      </c>
      <c r="AB164" s="270">
        <f>OCTUBRE!AD164</f>
        <v>92934388</v>
      </c>
      <c r="AC164" s="208">
        <v>7971665</v>
      </c>
      <c r="AD164" s="271">
        <f t="shared" si="149"/>
        <v>100906053</v>
      </c>
      <c r="AE164" s="270">
        <f>OCTUBRE!AG164</f>
        <v>41060952</v>
      </c>
      <c r="AF164" s="208">
        <v>4804725</v>
      </c>
      <c r="AG164" s="271">
        <f t="shared" si="150"/>
        <v>45865677</v>
      </c>
      <c r="AH164" s="270">
        <f t="shared" si="151"/>
        <v>94494477</v>
      </c>
      <c r="AI164" s="220">
        <f t="shared" si="152"/>
        <v>166838424</v>
      </c>
      <c r="AJ164" s="269">
        <f t="shared" si="153"/>
        <v>221878800</v>
      </c>
      <c r="AK164" s="101"/>
      <c r="AL164" s="204">
        <v>0</v>
      </c>
      <c r="AM164" s="210">
        <v>0</v>
      </c>
    </row>
    <row r="165" spans="19:39" ht="24.75" customHeight="1">
      <c r="S165" s="311" t="str">
        <f>+IF(OCTUBRE!S165=0,"",OCTUBRE!S165)</f>
        <v>2.1.2.02.02.008.811</v>
      </c>
      <c r="T165" s="267" t="str">
        <f>+IF(OCTUBRE!T165=0,"",OCTUBRE!T165)</f>
        <v>Mantenimiento servicios - planta física y sistemas</v>
      </c>
      <c r="U165" s="373">
        <f>+ENERO!U165</f>
        <v>0</v>
      </c>
      <c r="V165" s="220">
        <f>OCTUBRE!V165+NOVIEMBRE!AL165</f>
        <v>0</v>
      </c>
      <c r="W165" s="220">
        <f>OCTUBRE!W165+NOVIEMBRE!AM165</f>
        <v>0</v>
      </c>
      <c r="X165" s="271">
        <f t="shared" si="147"/>
        <v>0</v>
      </c>
      <c r="Y165" s="270">
        <f>OCTUBRE!AA165</f>
        <v>0</v>
      </c>
      <c r="Z165" s="208">
        <v>0</v>
      </c>
      <c r="AA165" s="271">
        <f t="shared" si="148"/>
        <v>0</v>
      </c>
      <c r="AB165" s="270">
        <f>OCTUBRE!AD165</f>
        <v>0</v>
      </c>
      <c r="AC165" s="208">
        <v>0</v>
      </c>
      <c r="AD165" s="271">
        <f t="shared" si="149"/>
        <v>0</v>
      </c>
      <c r="AE165" s="270">
        <f>OCTUBRE!AG165</f>
        <v>0</v>
      </c>
      <c r="AF165" s="208">
        <v>0</v>
      </c>
      <c r="AG165" s="271">
        <f t="shared" si="150"/>
        <v>0</v>
      </c>
      <c r="AH165" s="270">
        <f t="shared" si="151"/>
        <v>0</v>
      </c>
      <c r="AI165" s="220">
        <f t="shared" si="152"/>
        <v>0</v>
      </c>
      <c r="AJ165" s="269">
        <f t="shared" si="153"/>
        <v>0</v>
      </c>
      <c r="AK165" s="101"/>
      <c r="AL165" s="204">
        <v>0</v>
      </c>
      <c r="AM165" s="210">
        <v>0</v>
      </c>
    </row>
    <row r="166" spans="19:39" ht="24.75" customHeight="1">
      <c r="S166" s="311" t="str">
        <f>+IF(OCTUBRE!S166=0,"",OCTUBRE!S166)</f>
        <v>2.1.2.02.02.008.99.03</v>
      </c>
      <c r="T166" s="267" t="str">
        <f>+IF(OCTUBRE!T166=0,"",OCTUBRE!T166)</f>
        <v xml:space="preserve">Vigencias Anteriores Mantenimiento Servicios </v>
      </c>
      <c r="U166" s="373">
        <f>SUM(ENERO!U167)</f>
        <v>2434004587.2222223</v>
      </c>
      <c r="V166" s="220">
        <f>OCTUBRE!V166+NOVIEMBRE!AL166</f>
        <v>-1694167880</v>
      </c>
      <c r="W166" s="220">
        <f>OCTUBRE!W166+NOVIEMBRE!AM166</f>
        <v>158814745</v>
      </c>
      <c r="X166" s="271">
        <f t="shared" si="147"/>
        <v>898651452.22222233</v>
      </c>
      <c r="Y166" s="270">
        <f>OCTUBRE!AA166</f>
        <v>898651452</v>
      </c>
      <c r="Z166" s="208">
        <v>0</v>
      </c>
      <c r="AA166" s="271">
        <f t="shared" si="148"/>
        <v>898651452</v>
      </c>
      <c r="AB166" s="270">
        <f>OCTUBRE!AD166</f>
        <v>898651452</v>
      </c>
      <c r="AC166" s="208">
        <v>0</v>
      </c>
      <c r="AD166" s="271">
        <f t="shared" si="149"/>
        <v>898651452</v>
      </c>
      <c r="AE166" s="270">
        <f>OCTUBRE!AG166</f>
        <v>884145930</v>
      </c>
      <c r="AF166" s="208">
        <v>0</v>
      </c>
      <c r="AG166" s="271">
        <f t="shared" si="150"/>
        <v>884145930</v>
      </c>
      <c r="AH166" s="270">
        <f t="shared" si="151"/>
        <v>0.22222232818603516</v>
      </c>
      <c r="AI166" s="220">
        <f t="shared" si="152"/>
        <v>0.22222232818603516</v>
      </c>
      <c r="AJ166" s="269">
        <f t="shared" si="153"/>
        <v>14505522.222222328</v>
      </c>
      <c r="AK166" s="101"/>
      <c r="AL166" s="204">
        <v>-1694167880</v>
      </c>
      <c r="AM166" s="210">
        <v>0</v>
      </c>
    </row>
    <row r="167" spans="19:39" ht="24.75" customHeight="1">
      <c r="S167" s="189" t="str">
        <f>+IF(OCTUBRE!S167=0,"",OCTUBRE!S167)</f>
        <v/>
      </c>
      <c r="T167" s="488" t="str">
        <f>+IF(OCTUBRE!T167=0,"",OCTUBRE!T167)</f>
        <v/>
      </c>
      <c r="U167" s="191"/>
      <c r="V167" s="191"/>
      <c r="W167" s="191"/>
      <c r="X167" s="191"/>
      <c r="Y167" s="191"/>
      <c r="Z167" s="191"/>
      <c r="AA167" s="191"/>
      <c r="AB167" s="191"/>
      <c r="AC167" s="191"/>
      <c r="AD167" s="191"/>
      <c r="AE167" s="191"/>
      <c r="AF167" s="191"/>
      <c r="AG167" s="191"/>
      <c r="AH167" s="191"/>
      <c r="AI167" s="191"/>
      <c r="AJ167" s="192"/>
      <c r="AK167" s="101"/>
      <c r="AL167" s="370"/>
      <c r="AM167" s="371"/>
    </row>
    <row r="168" spans="19:39" ht="24.75" customHeight="1">
      <c r="S168" s="228">
        <f>+IF(OCTUBRE!S168=0,"",OCTUBRE!S168)</f>
        <v>3000000</v>
      </c>
      <c r="T168" s="404" t="str">
        <f>+IF(OCTUBRE!T168=0,"",OCTUBRE!T168)</f>
        <v>TRANSFERENCIAS CORRIENTES</v>
      </c>
      <c r="U168" s="405">
        <f t="shared" ref="U168:AJ168" si="154">U170+U174+U183</f>
        <v>2193060585</v>
      </c>
      <c r="V168" s="406">
        <f t="shared" si="154"/>
        <v>-1541000000</v>
      </c>
      <c r="W168" s="406">
        <f t="shared" si="154"/>
        <v>1400000000</v>
      </c>
      <c r="X168" s="407">
        <f t="shared" si="154"/>
        <v>2052060585</v>
      </c>
      <c r="Y168" s="217">
        <f t="shared" si="154"/>
        <v>1371875299</v>
      </c>
      <c r="Z168" s="406">
        <f t="shared" si="154"/>
        <v>384062030</v>
      </c>
      <c r="AA168" s="407">
        <f t="shared" si="154"/>
        <v>1755937329</v>
      </c>
      <c r="AB168" s="217">
        <f t="shared" si="154"/>
        <v>1357333969</v>
      </c>
      <c r="AC168" s="406">
        <f>AC170+AC174+AC183</f>
        <v>379937030</v>
      </c>
      <c r="AD168" s="407">
        <f t="shared" si="154"/>
        <v>1737270999</v>
      </c>
      <c r="AE168" s="217">
        <f t="shared" si="154"/>
        <v>1356288563.5</v>
      </c>
      <c r="AF168" s="406">
        <f>AF170+AF174+AF183</f>
        <v>203659923</v>
      </c>
      <c r="AG168" s="407">
        <f t="shared" si="154"/>
        <v>1559948486.5</v>
      </c>
      <c r="AH168" s="217">
        <f t="shared" si="154"/>
        <v>296123256</v>
      </c>
      <c r="AI168" s="406">
        <f t="shared" si="154"/>
        <v>314789586</v>
      </c>
      <c r="AJ168" s="218">
        <f t="shared" si="154"/>
        <v>492112098.5</v>
      </c>
      <c r="AK168" s="101"/>
      <c r="AL168" s="233">
        <f>AL170+AL174+AL183</f>
        <v>-1022000000</v>
      </c>
      <c r="AM168" s="232">
        <f>AM170+AM174+AM183</f>
        <v>0</v>
      </c>
    </row>
    <row r="169" spans="19:39" ht="24.75" customHeight="1">
      <c r="S169" s="189" t="str">
        <f>+IF(OCTUBRE!S169=0,"",OCTUBRE!S169)</f>
        <v/>
      </c>
      <c r="T169" s="488" t="str">
        <f>+IF(OCTUBRE!T169=0,"",OCTUBRE!T169)</f>
        <v/>
      </c>
      <c r="U169" s="191"/>
      <c r="V169" s="191"/>
      <c r="W169" s="191"/>
      <c r="X169" s="191"/>
      <c r="Y169" s="191"/>
      <c r="Z169" s="191"/>
      <c r="AA169" s="191"/>
      <c r="AB169" s="191"/>
      <c r="AC169" s="191"/>
      <c r="AD169" s="191"/>
      <c r="AE169" s="191"/>
      <c r="AF169" s="191"/>
      <c r="AG169" s="191"/>
      <c r="AH169" s="191"/>
      <c r="AI169" s="191"/>
      <c r="AJ169" s="192"/>
      <c r="AK169" s="101"/>
      <c r="AL169" s="370"/>
      <c r="AM169" s="371"/>
    </row>
    <row r="170" spans="19:39" ht="24.75" customHeight="1">
      <c r="S170" s="257">
        <f>+IF(OCTUBRE!S170=0,"",OCTUBRE!S170)</f>
        <v>3100000</v>
      </c>
      <c r="T170" s="546" t="str">
        <f>+IF(OCTUBRE!T170=0,"",OCTUBRE!T170)</f>
        <v>Transferencias al Sector Público</v>
      </c>
      <c r="U170" s="230">
        <f t="shared" ref="U170:AJ170" si="155">SUM(U171:U172)</f>
        <v>570000000</v>
      </c>
      <c r="V170" s="231">
        <f t="shared" si="155"/>
        <v>-1005000000</v>
      </c>
      <c r="W170" s="231">
        <f t="shared" si="155"/>
        <v>900000000</v>
      </c>
      <c r="X170" s="234">
        <f t="shared" si="155"/>
        <v>465000000</v>
      </c>
      <c r="Y170" s="233">
        <f t="shared" si="155"/>
        <v>360878139</v>
      </c>
      <c r="Z170" s="231">
        <f t="shared" si="155"/>
        <v>24466680</v>
      </c>
      <c r="AA170" s="234">
        <f t="shared" si="155"/>
        <v>385344819</v>
      </c>
      <c r="AB170" s="233">
        <f t="shared" si="155"/>
        <v>347669152</v>
      </c>
      <c r="AC170" s="231">
        <f>SUM(AC171:AC172)</f>
        <v>24466680</v>
      </c>
      <c r="AD170" s="234">
        <f t="shared" si="155"/>
        <v>372135832</v>
      </c>
      <c r="AE170" s="233">
        <f t="shared" si="155"/>
        <v>347669152</v>
      </c>
      <c r="AF170" s="231">
        <f>SUM(AF171:AF172)</f>
        <v>24466680</v>
      </c>
      <c r="AG170" s="234">
        <f t="shared" si="155"/>
        <v>372135832</v>
      </c>
      <c r="AH170" s="233">
        <f t="shared" si="155"/>
        <v>79655181</v>
      </c>
      <c r="AI170" s="231">
        <f t="shared" si="155"/>
        <v>92864168</v>
      </c>
      <c r="AJ170" s="232">
        <f t="shared" si="155"/>
        <v>92864168</v>
      </c>
      <c r="AK170" s="101"/>
      <c r="AL170" s="233">
        <f>SUM(AL171:AL172)</f>
        <v>-465000000</v>
      </c>
      <c r="AM170" s="232">
        <f>SUM(AM171:AM172)</f>
        <v>0</v>
      </c>
    </row>
    <row r="171" spans="19:39" ht="24.75" customHeight="1">
      <c r="S171" s="266" t="str">
        <f>+IF(OCTUBRE!S171=0,"",OCTUBRE!S171)</f>
        <v>2.1.8.04.01</v>
      </c>
      <c r="T171" s="267" t="str">
        <f>+IF(OCTUBRE!T171=0,"",OCTUBRE!T171)</f>
        <v>Cuotas de fiscalizacion y auditaje</v>
      </c>
      <c r="U171" s="373">
        <f>+ENERO!U172</f>
        <v>170000000</v>
      </c>
      <c r="V171" s="220">
        <f>OCTUBRE!V171+NOVIEMBRE!AL171</f>
        <v>-30000000</v>
      </c>
      <c r="W171" s="220">
        <f>OCTUBRE!W171+NOVIEMBRE!AM171</f>
        <v>0</v>
      </c>
      <c r="X171" s="271">
        <f>SUM(U171:W171)</f>
        <v>140000000</v>
      </c>
      <c r="Y171" s="270">
        <f>OCTUBRE!AA171</f>
        <v>122145496</v>
      </c>
      <c r="Z171" s="208">
        <v>0</v>
      </c>
      <c r="AA171" s="271">
        <f>SUM(Y171:Z171)</f>
        <v>122145496</v>
      </c>
      <c r="AB171" s="270">
        <f>OCTUBRE!AD171</f>
        <v>108936509</v>
      </c>
      <c r="AC171" s="208">
        <v>0</v>
      </c>
      <c r="AD171" s="271">
        <f>SUM(AB171:AC171)</f>
        <v>108936509</v>
      </c>
      <c r="AE171" s="270">
        <f>OCTUBRE!AG171</f>
        <v>108936509</v>
      </c>
      <c r="AF171" s="208">
        <v>0</v>
      </c>
      <c r="AG171" s="271">
        <f>SUM(AE171:AF171)</f>
        <v>108936509</v>
      </c>
      <c r="AH171" s="270">
        <f>X171-AA171</f>
        <v>17854504</v>
      </c>
      <c r="AI171" s="220">
        <f>X171-AD171</f>
        <v>31063491</v>
      </c>
      <c r="AJ171" s="269">
        <f>X171-AG171</f>
        <v>31063491</v>
      </c>
      <c r="AK171" s="101"/>
      <c r="AL171" s="204">
        <v>-30000000</v>
      </c>
      <c r="AM171" s="210">
        <v>0</v>
      </c>
    </row>
    <row r="172" spans="19:39" ht="24.75" customHeight="1">
      <c r="S172" s="266" t="str">
        <f>+IF(OCTUBRE!S172=0,"",OCTUBRE!S172)</f>
        <v>2.1.8.02</v>
      </c>
      <c r="T172" s="267" t="str">
        <f>+IF(OCTUBRE!T172=0,"",OCTUBRE!T172)</f>
        <v>Acuerdo de estampillas</v>
      </c>
      <c r="U172" s="373">
        <f>+ENERO!U173</f>
        <v>400000000</v>
      </c>
      <c r="V172" s="220">
        <f>OCTUBRE!V172+NOVIEMBRE!AL172</f>
        <v>-975000000</v>
      </c>
      <c r="W172" s="220">
        <f>OCTUBRE!W172+NOVIEMBRE!AM172</f>
        <v>900000000</v>
      </c>
      <c r="X172" s="271">
        <f>SUM(U172:W172)</f>
        <v>325000000</v>
      </c>
      <c r="Y172" s="270">
        <f>OCTUBRE!AA172</f>
        <v>238732643</v>
      </c>
      <c r="Z172" s="208">
        <v>24466680</v>
      </c>
      <c r="AA172" s="271">
        <f>SUM(Y172:Z172)</f>
        <v>263199323</v>
      </c>
      <c r="AB172" s="270">
        <f>OCTUBRE!AD172</f>
        <v>238732643</v>
      </c>
      <c r="AC172" s="208">
        <v>24466680</v>
      </c>
      <c r="AD172" s="271">
        <f>SUM(AB172:AC172)</f>
        <v>263199323</v>
      </c>
      <c r="AE172" s="270">
        <f>OCTUBRE!AG172</f>
        <v>238732643</v>
      </c>
      <c r="AF172" s="208">
        <v>24466680</v>
      </c>
      <c r="AG172" s="271">
        <f>SUM(AE172:AF172)</f>
        <v>263199323</v>
      </c>
      <c r="AH172" s="270">
        <f>X172-AA172</f>
        <v>61800677</v>
      </c>
      <c r="AI172" s="220">
        <f>X172-AD172</f>
        <v>61800677</v>
      </c>
      <c r="AJ172" s="269">
        <f>X172-AG172</f>
        <v>61800677</v>
      </c>
      <c r="AK172" s="101"/>
      <c r="AL172" s="204">
        <f>-400000000-35000000</f>
        <v>-435000000</v>
      </c>
      <c r="AM172" s="210">
        <v>0</v>
      </c>
    </row>
    <row r="173" spans="19:39" ht="24.75" customHeight="1">
      <c r="S173" s="189">
        <f>+IF(OCTUBRE!S173=0,"",OCTUBRE!S173)</f>
        <v>23007296</v>
      </c>
      <c r="T173" s="488" t="str">
        <f>+IF(OCTUBRE!T173=0,"",OCTUBRE!T173)</f>
        <v/>
      </c>
      <c r="U173" s="191"/>
      <c r="V173" s="191"/>
      <c r="W173" s="191"/>
      <c r="X173" s="191"/>
      <c r="Y173" s="191"/>
      <c r="Z173" s="191"/>
      <c r="AA173" s="191"/>
      <c r="AB173" s="191"/>
      <c r="AC173" s="191"/>
      <c r="AD173" s="191"/>
      <c r="AE173" s="191"/>
      <c r="AF173" s="191"/>
      <c r="AG173" s="191"/>
      <c r="AH173" s="191"/>
      <c r="AI173" s="191"/>
      <c r="AJ173" s="192"/>
      <c r="AK173" s="216"/>
      <c r="AL173" s="370"/>
      <c r="AM173" s="371"/>
    </row>
    <row r="174" spans="19:39" ht="24.75" customHeight="1">
      <c r="S174" s="257">
        <f>+IF(OCTUBRE!S174=0,"",OCTUBRE!S174)</f>
        <v>320000</v>
      </c>
      <c r="T174" s="546" t="str">
        <f>+IF(OCTUBRE!T174=0,"",OCTUBRE!T174)</f>
        <v>Transf. Previsión y Seguridad Social</v>
      </c>
      <c r="U174" s="230">
        <f t="shared" ref="U174:AJ174" si="156">SUM(U175:U181)</f>
        <v>310000000</v>
      </c>
      <c r="V174" s="231">
        <f t="shared" si="156"/>
        <v>-60000000</v>
      </c>
      <c r="W174" s="231">
        <f t="shared" si="156"/>
        <v>0</v>
      </c>
      <c r="X174" s="234">
        <f t="shared" si="156"/>
        <v>250000000</v>
      </c>
      <c r="Y174" s="233">
        <f t="shared" si="156"/>
        <v>174048313</v>
      </c>
      <c r="Z174" s="231">
        <f t="shared" si="156"/>
        <v>5473028</v>
      </c>
      <c r="AA174" s="234">
        <f t="shared" si="156"/>
        <v>179521341</v>
      </c>
      <c r="AB174" s="233">
        <f t="shared" si="156"/>
        <v>174048313</v>
      </c>
      <c r="AC174" s="231">
        <f>SUM(AC175:AC181)</f>
        <v>1348028</v>
      </c>
      <c r="AD174" s="234">
        <f t="shared" si="156"/>
        <v>175396341</v>
      </c>
      <c r="AE174" s="233">
        <f t="shared" si="156"/>
        <v>174048313</v>
      </c>
      <c r="AF174" s="231">
        <f>SUM(AF175:AF181)</f>
        <v>1348028</v>
      </c>
      <c r="AG174" s="234">
        <f t="shared" si="156"/>
        <v>175396341</v>
      </c>
      <c r="AH174" s="233">
        <f t="shared" si="156"/>
        <v>70478659</v>
      </c>
      <c r="AI174" s="231">
        <f t="shared" si="156"/>
        <v>74603659</v>
      </c>
      <c r="AJ174" s="232">
        <f t="shared" si="156"/>
        <v>74603659</v>
      </c>
      <c r="AK174" s="101"/>
      <c r="AL174" s="233">
        <f>SUM(AL175:AL181)</f>
        <v>-60000000</v>
      </c>
      <c r="AM174" s="232">
        <f>SUM(AM175:AM181)</f>
        <v>0</v>
      </c>
    </row>
    <row r="175" spans="19:39" ht="24.75" customHeight="1">
      <c r="S175" s="266">
        <f>+IF(OCTUBRE!S175=0,"",OCTUBRE!S175)</f>
        <v>3200100</v>
      </c>
      <c r="T175" s="267" t="str">
        <f>+IF(OCTUBRE!T175=0,"",OCTUBRE!T175)</f>
        <v>Pensiones y Jubilaciones (Pago Directo)</v>
      </c>
      <c r="U175" s="373">
        <f>+ENERO!U176</f>
        <v>0</v>
      </c>
      <c r="V175" s="220">
        <f>OCTUBRE!V175+NOVIEMBRE!AL175</f>
        <v>0</v>
      </c>
      <c r="W175" s="220">
        <f>OCTUBRE!W175+NOVIEMBRE!AM175</f>
        <v>0</v>
      </c>
      <c r="X175" s="271">
        <f t="shared" ref="X175:X181" si="157">SUM(U175:W175)</f>
        <v>0</v>
      </c>
      <c r="Y175" s="270">
        <f>OCTUBRE!AA175</f>
        <v>0</v>
      </c>
      <c r="Z175" s="208"/>
      <c r="AA175" s="271">
        <f t="shared" ref="AA175:AA181" si="158">SUM(Y175:Z175)</f>
        <v>0</v>
      </c>
      <c r="AB175" s="270">
        <f>OCTUBRE!AD175</f>
        <v>0</v>
      </c>
      <c r="AC175" s="208"/>
      <c r="AD175" s="271">
        <f t="shared" ref="AD175:AD181" si="159">SUM(AB175:AC175)</f>
        <v>0</v>
      </c>
      <c r="AE175" s="270">
        <f>OCTUBRE!AG175</f>
        <v>0</v>
      </c>
      <c r="AF175" s="208"/>
      <c r="AG175" s="271">
        <f t="shared" ref="AG175:AG181" si="160">SUM(AE175:AF175)</f>
        <v>0</v>
      </c>
      <c r="AH175" s="270">
        <f t="shared" ref="AH175:AH181" si="161">X175-AA175</f>
        <v>0</v>
      </c>
      <c r="AI175" s="220">
        <f t="shared" ref="AI175:AI181" si="162">X175-AD175</f>
        <v>0</v>
      </c>
      <c r="AJ175" s="269">
        <f t="shared" ref="AJ175:AJ181" si="163">X175-AG175</f>
        <v>0</v>
      </c>
      <c r="AK175" s="101"/>
      <c r="AL175" s="204">
        <v>0</v>
      </c>
      <c r="AM175" s="210">
        <v>0</v>
      </c>
    </row>
    <row r="176" spans="19:39" ht="24.75" customHeight="1">
      <c r="S176" s="266">
        <f>+IF(OCTUBRE!S176=0,"",OCTUBRE!S176)</f>
        <v>3200200</v>
      </c>
      <c r="T176" s="267" t="str">
        <f>+IF(OCTUBRE!T176=0,"",OCTUBRE!T176)</f>
        <v>Cesantías Pago Directo (Pago Directo)</v>
      </c>
      <c r="U176" s="373">
        <f>+ENERO!U177</f>
        <v>0</v>
      </c>
      <c r="V176" s="220">
        <f>OCTUBRE!V176+NOVIEMBRE!AL176</f>
        <v>0</v>
      </c>
      <c r="W176" s="220">
        <f>OCTUBRE!W176+NOVIEMBRE!AM176</f>
        <v>0</v>
      </c>
      <c r="X176" s="271">
        <f t="shared" si="157"/>
        <v>0</v>
      </c>
      <c r="Y176" s="270">
        <f>OCTUBRE!AA176</f>
        <v>0</v>
      </c>
      <c r="Z176" s="208"/>
      <c r="AA176" s="271">
        <f t="shared" si="158"/>
        <v>0</v>
      </c>
      <c r="AB176" s="270">
        <f>OCTUBRE!AD176</f>
        <v>0</v>
      </c>
      <c r="AC176" s="208"/>
      <c r="AD176" s="271">
        <f t="shared" si="159"/>
        <v>0</v>
      </c>
      <c r="AE176" s="270">
        <f>OCTUBRE!AG176</f>
        <v>0</v>
      </c>
      <c r="AF176" s="208"/>
      <c r="AG176" s="271">
        <f t="shared" si="160"/>
        <v>0</v>
      </c>
      <c r="AH176" s="270">
        <f t="shared" si="161"/>
        <v>0</v>
      </c>
      <c r="AI176" s="220">
        <f t="shared" si="162"/>
        <v>0</v>
      </c>
      <c r="AJ176" s="269">
        <f t="shared" si="163"/>
        <v>0</v>
      </c>
      <c r="AK176" s="101"/>
      <c r="AL176" s="204">
        <v>0</v>
      </c>
      <c r="AM176" s="210">
        <v>0</v>
      </c>
    </row>
    <row r="177" spans="19:39" ht="24.75" customHeight="1">
      <c r="S177" s="266" t="str">
        <f>+IF(OCTUBRE!S177=0,"",OCTUBRE!S177)</f>
        <v>2.1.3.07.02.002.02</v>
      </c>
      <c r="T177" s="267" t="str">
        <f>+IF(OCTUBRE!T177=0,"",OCTUBRE!T177)</f>
        <v>Cuotas partes pensionales a cargo de la entidad ( de pensiones)</v>
      </c>
      <c r="U177" s="373">
        <f>+ENERO!U178</f>
        <v>10000000</v>
      </c>
      <c r="V177" s="220">
        <f>OCTUBRE!V177+NOVIEMBRE!AL177</f>
        <v>10000000</v>
      </c>
      <c r="W177" s="220">
        <f>OCTUBRE!W177+NOVIEMBRE!AM177</f>
        <v>0</v>
      </c>
      <c r="X177" s="271">
        <f t="shared" si="157"/>
        <v>20000000</v>
      </c>
      <c r="Y177" s="270">
        <f>OCTUBRE!AA177</f>
        <v>8588313</v>
      </c>
      <c r="Z177" s="208">
        <v>1348028</v>
      </c>
      <c r="AA177" s="271">
        <f t="shared" si="158"/>
        <v>9936341</v>
      </c>
      <c r="AB177" s="270">
        <f>OCTUBRE!AD177</f>
        <v>8588313</v>
      </c>
      <c r="AC177" s="208">
        <v>1348028</v>
      </c>
      <c r="AD177" s="271">
        <f t="shared" si="159"/>
        <v>9936341</v>
      </c>
      <c r="AE177" s="270">
        <f>OCTUBRE!AG177</f>
        <v>8588313</v>
      </c>
      <c r="AF177" s="208">
        <v>1348028</v>
      </c>
      <c r="AG177" s="271">
        <f t="shared" si="160"/>
        <v>9936341</v>
      </c>
      <c r="AH177" s="270">
        <f t="shared" si="161"/>
        <v>10063659</v>
      </c>
      <c r="AI177" s="220">
        <f t="shared" si="162"/>
        <v>10063659</v>
      </c>
      <c r="AJ177" s="269">
        <f t="shared" si="163"/>
        <v>10063659</v>
      </c>
      <c r="AK177" s="101"/>
      <c r="AL177" s="204">
        <v>0</v>
      </c>
      <c r="AM177" s="210">
        <v>0</v>
      </c>
    </row>
    <row r="178" spans="19:39" ht="24.75" customHeight="1">
      <c r="S178" s="266" t="str">
        <f>+IF(OCTUBRE!S178=0,"",OCTUBRE!S178)</f>
        <v>2.1.3.07.02.003.02</v>
      </c>
      <c r="T178" s="267" t="str">
        <f>+IF(OCTUBRE!T178=0,"",OCTUBRE!T178)</f>
        <v>Bonos pensionales a cargo de la entidad ( de pensiones)</v>
      </c>
      <c r="U178" s="373">
        <f>+ENERO!U179</f>
        <v>300000000</v>
      </c>
      <c r="V178" s="220">
        <f>OCTUBRE!V178+NOVIEMBRE!AL178</f>
        <v>-70000000</v>
      </c>
      <c r="W178" s="220">
        <f>OCTUBRE!W178+NOVIEMBRE!AM178</f>
        <v>0</v>
      </c>
      <c r="X178" s="271">
        <f t="shared" si="157"/>
        <v>230000000</v>
      </c>
      <c r="Y178" s="270">
        <f>OCTUBRE!AA178</f>
        <v>165460000</v>
      </c>
      <c r="Z178" s="208">
        <v>4125000</v>
      </c>
      <c r="AA178" s="271">
        <f t="shared" si="158"/>
        <v>169585000</v>
      </c>
      <c r="AB178" s="270">
        <f>OCTUBRE!AD178</f>
        <v>165460000</v>
      </c>
      <c r="AC178" s="208">
        <v>0</v>
      </c>
      <c r="AD178" s="271">
        <f t="shared" si="159"/>
        <v>165460000</v>
      </c>
      <c r="AE178" s="270">
        <f>OCTUBRE!AG178</f>
        <v>165460000</v>
      </c>
      <c r="AF178" s="208">
        <v>0</v>
      </c>
      <c r="AG178" s="271">
        <f t="shared" si="160"/>
        <v>165460000</v>
      </c>
      <c r="AH178" s="270">
        <f t="shared" si="161"/>
        <v>60415000</v>
      </c>
      <c r="AI178" s="220">
        <f t="shared" si="162"/>
        <v>64540000</v>
      </c>
      <c r="AJ178" s="269">
        <f t="shared" si="163"/>
        <v>64540000</v>
      </c>
      <c r="AK178" s="101"/>
      <c r="AL178" s="204">
        <v>-60000000</v>
      </c>
      <c r="AM178" s="210">
        <v>0</v>
      </c>
    </row>
    <row r="179" spans="19:39" ht="24.75" customHeight="1">
      <c r="S179" s="266" t="str">
        <f>+IF(OCTUBRE!S179=0,"",OCTUBRE!S179)</f>
        <v>2.1.8.04.07</v>
      </c>
      <c r="T179" s="267" t="str">
        <f>+IF(OCTUBRE!T179=0,"",OCTUBRE!T179)</f>
        <v>Contribucion de Vigilancia Superintendencia Nacional de Salud</v>
      </c>
      <c r="U179" s="373">
        <f>+ENERO!U180</f>
        <v>0</v>
      </c>
      <c r="V179" s="220">
        <f>OCTUBRE!V179+NOVIEMBRE!AL179</f>
        <v>0</v>
      </c>
      <c r="W179" s="220">
        <f>OCTUBRE!W179+NOVIEMBRE!AM179</f>
        <v>0</v>
      </c>
      <c r="X179" s="271">
        <f t="shared" si="157"/>
        <v>0</v>
      </c>
      <c r="Y179" s="270">
        <f>OCTUBRE!AA179</f>
        <v>0</v>
      </c>
      <c r="Z179" s="208">
        <v>0</v>
      </c>
      <c r="AA179" s="271">
        <f t="shared" si="158"/>
        <v>0</v>
      </c>
      <c r="AB179" s="270">
        <f>OCTUBRE!AD179</f>
        <v>0</v>
      </c>
      <c r="AC179" s="208">
        <v>0</v>
      </c>
      <c r="AD179" s="271">
        <f t="shared" si="159"/>
        <v>0</v>
      </c>
      <c r="AE179" s="270">
        <f>OCTUBRE!AG179</f>
        <v>0</v>
      </c>
      <c r="AF179" s="208">
        <v>0</v>
      </c>
      <c r="AG179" s="271">
        <f t="shared" si="160"/>
        <v>0</v>
      </c>
      <c r="AH179" s="270">
        <f t="shared" si="161"/>
        <v>0</v>
      </c>
      <c r="AI179" s="220">
        <f t="shared" si="162"/>
        <v>0</v>
      </c>
      <c r="AJ179" s="269">
        <f t="shared" si="163"/>
        <v>0</v>
      </c>
      <c r="AK179" s="101"/>
      <c r="AL179" s="204">
        <v>0</v>
      </c>
      <c r="AM179" s="210">
        <v>0</v>
      </c>
    </row>
    <row r="180" spans="19:39" ht="24.75" customHeight="1">
      <c r="S180" s="266">
        <f>+IF(OCTUBRE!S180=0,"",OCTUBRE!S180)</f>
        <v>3200600</v>
      </c>
      <c r="T180" s="267" t="str">
        <f>+IF(OCTUBRE!T180=0,"",OCTUBRE!T180)</f>
        <v/>
      </c>
      <c r="U180" s="373">
        <f>+ENERO!U181</f>
        <v>0</v>
      </c>
      <c r="V180" s="220">
        <f>OCTUBRE!V180+NOVIEMBRE!AL180</f>
        <v>0</v>
      </c>
      <c r="W180" s="220">
        <f>OCTUBRE!W180+NOVIEMBRE!AM180</f>
        <v>0</v>
      </c>
      <c r="X180" s="271">
        <f t="shared" si="157"/>
        <v>0</v>
      </c>
      <c r="Y180" s="270">
        <f>OCTUBRE!AA180</f>
        <v>0</v>
      </c>
      <c r="Z180" s="208">
        <v>0</v>
      </c>
      <c r="AA180" s="271">
        <f t="shared" si="158"/>
        <v>0</v>
      </c>
      <c r="AB180" s="270">
        <f>OCTUBRE!AD180</f>
        <v>0</v>
      </c>
      <c r="AC180" s="208">
        <v>0</v>
      </c>
      <c r="AD180" s="271">
        <f t="shared" si="159"/>
        <v>0</v>
      </c>
      <c r="AE180" s="270">
        <f>OCTUBRE!AG180</f>
        <v>0</v>
      </c>
      <c r="AF180" s="208">
        <v>0</v>
      </c>
      <c r="AG180" s="271">
        <f t="shared" si="160"/>
        <v>0</v>
      </c>
      <c r="AH180" s="270">
        <f t="shared" si="161"/>
        <v>0</v>
      </c>
      <c r="AI180" s="220">
        <f t="shared" si="162"/>
        <v>0</v>
      </c>
      <c r="AJ180" s="269">
        <f t="shared" si="163"/>
        <v>0</v>
      </c>
      <c r="AK180" s="101"/>
      <c r="AL180" s="204">
        <v>0</v>
      </c>
      <c r="AM180" s="210">
        <v>0</v>
      </c>
    </row>
    <row r="181" spans="19:39" ht="24.75" customHeight="1">
      <c r="S181" s="266" t="str">
        <f>+IF(OCTUBRE!S181=0,"",OCTUBRE!S181)</f>
        <v>2.1.7.01.01</v>
      </c>
      <c r="T181" s="267" t="str">
        <f>+IF(OCTUBRE!T181=0,"",OCTUBRE!T181)</f>
        <v>Vigencias Anteriores Cesantias</v>
      </c>
      <c r="U181" s="373">
        <f>+ENERO!U182</f>
        <v>0</v>
      </c>
      <c r="V181" s="220">
        <f>OCTUBRE!V181+NOVIEMBRE!AL181</f>
        <v>0</v>
      </c>
      <c r="W181" s="220">
        <f>OCTUBRE!W181+NOVIEMBRE!AM181</f>
        <v>0</v>
      </c>
      <c r="X181" s="271">
        <f t="shared" si="157"/>
        <v>0</v>
      </c>
      <c r="Y181" s="270">
        <f>OCTUBRE!AA181</f>
        <v>0</v>
      </c>
      <c r="Z181" s="208">
        <v>0</v>
      </c>
      <c r="AA181" s="271">
        <f t="shared" si="158"/>
        <v>0</v>
      </c>
      <c r="AB181" s="270">
        <f>OCTUBRE!AD181</f>
        <v>0</v>
      </c>
      <c r="AC181" s="208">
        <v>0</v>
      </c>
      <c r="AD181" s="271">
        <f t="shared" si="159"/>
        <v>0</v>
      </c>
      <c r="AE181" s="270">
        <f>OCTUBRE!AG181</f>
        <v>0</v>
      </c>
      <c r="AF181" s="208">
        <v>0</v>
      </c>
      <c r="AG181" s="271">
        <f t="shared" si="160"/>
        <v>0</v>
      </c>
      <c r="AH181" s="270">
        <f t="shared" si="161"/>
        <v>0</v>
      </c>
      <c r="AI181" s="220">
        <f t="shared" si="162"/>
        <v>0</v>
      </c>
      <c r="AJ181" s="269">
        <f t="shared" si="163"/>
        <v>0</v>
      </c>
      <c r="AK181" s="101"/>
      <c r="AL181" s="204">
        <v>0</v>
      </c>
      <c r="AM181" s="210">
        <v>0</v>
      </c>
    </row>
    <row r="182" spans="19:39" ht="24.75" customHeight="1">
      <c r="S182" s="189" t="str">
        <f>+IF(OCTUBRE!S182=0,"",OCTUBRE!S182)</f>
        <v/>
      </c>
      <c r="T182" s="488" t="str">
        <f>+IF(OCTUBRE!T182=0,"",OCTUBRE!T182)</f>
        <v/>
      </c>
      <c r="U182" s="191"/>
      <c r="V182" s="191"/>
      <c r="W182" s="191"/>
      <c r="X182" s="191"/>
      <c r="Y182" s="191"/>
      <c r="Z182" s="191"/>
      <c r="AA182" s="191"/>
      <c r="AB182" s="191"/>
      <c r="AC182" s="191"/>
      <c r="AD182" s="191"/>
      <c r="AE182" s="191"/>
      <c r="AF182" s="191"/>
      <c r="AG182" s="191"/>
      <c r="AH182" s="191"/>
      <c r="AI182" s="191"/>
      <c r="AJ182" s="192"/>
      <c r="AK182" s="101"/>
      <c r="AL182" s="370"/>
      <c r="AM182" s="371"/>
    </row>
    <row r="183" spans="19:39" ht="24.75" customHeight="1">
      <c r="S183" s="257">
        <f>+IF(OCTUBRE!S183=0,"",OCTUBRE!S183)</f>
        <v>3300000</v>
      </c>
      <c r="T183" s="546" t="str">
        <f>+IF(OCTUBRE!T183=0,"",OCTUBRE!T183)</f>
        <v>Otras Transferencias</v>
      </c>
      <c r="U183" s="230">
        <f t="shared" ref="U183:AJ183" si="164">U184+U185+U190</f>
        <v>1313060585</v>
      </c>
      <c r="V183" s="231">
        <f t="shared" si="164"/>
        <v>-476000000</v>
      </c>
      <c r="W183" s="231">
        <f t="shared" si="164"/>
        <v>500000000</v>
      </c>
      <c r="X183" s="234">
        <f t="shared" si="164"/>
        <v>1337060585</v>
      </c>
      <c r="Y183" s="233">
        <f t="shared" si="164"/>
        <v>836948847</v>
      </c>
      <c r="Z183" s="231">
        <f t="shared" si="164"/>
        <v>354122322</v>
      </c>
      <c r="AA183" s="234">
        <f t="shared" si="164"/>
        <v>1191071169</v>
      </c>
      <c r="AB183" s="233">
        <f t="shared" si="164"/>
        <v>835616504</v>
      </c>
      <c r="AC183" s="231">
        <f>AC184+AC185+AC190</f>
        <v>354122322</v>
      </c>
      <c r="AD183" s="234">
        <f t="shared" si="164"/>
        <v>1189738826</v>
      </c>
      <c r="AE183" s="233">
        <f t="shared" si="164"/>
        <v>834571098.5</v>
      </c>
      <c r="AF183" s="231">
        <f>AF184+AF185+AF190</f>
        <v>177845215</v>
      </c>
      <c r="AG183" s="234">
        <f t="shared" si="164"/>
        <v>1012416313.5</v>
      </c>
      <c r="AH183" s="233">
        <f t="shared" si="164"/>
        <v>145989416</v>
      </c>
      <c r="AI183" s="231">
        <f t="shared" si="164"/>
        <v>147321759</v>
      </c>
      <c r="AJ183" s="232">
        <f t="shared" si="164"/>
        <v>324644271.5</v>
      </c>
      <c r="AK183" s="101"/>
      <c r="AL183" s="233">
        <f>AL184+AL185+AL190</f>
        <v>-497000000</v>
      </c>
      <c r="AM183" s="232">
        <f>AM184+AM185+AM190</f>
        <v>0</v>
      </c>
    </row>
    <row r="184" spans="19:39" ht="24.75" customHeight="1">
      <c r="S184" s="266" t="str">
        <f>+IF(OCTUBRE!S184=0,"",OCTUBRE!S184)</f>
        <v>2.1.3.13.01.001</v>
      </c>
      <c r="T184" s="267" t="str">
        <f>+IF(OCTUBRE!T184=0,"",OCTUBRE!T184)</f>
        <v>Sentencias</v>
      </c>
      <c r="U184" s="373">
        <f>+ENERO!U185</f>
        <v>800000000</v>
      </c>
      <c r="V184" s="220">
        <f>OCTUBRE!V184+NOVIEMBRE!AL184</f>
        <v>-250000000</v>
      </c>
      <c r="W184" s="220">
        <f>OCTUBRE!W184+NOVIEMBRE!AM184</f>
        <v>0</v>
      </c>
      <c r="X184" s="271">
        <f>SUM(U184:W184)</f>
        <v>550000000</v>
      </c>
      <c r="Y184" s="270">
        <f>OCTUBRE!AA184</f>
        <v>156912292</v>
      </c>
      <c r="Z184" s="208">
        <v>353599619</v>
      </c>
      <c r="AA184" s="271">
        <f>SUM(Y184:Z184)</f>
        <v>510511911</v>
      </c>
      <c r="AB184" s="270">
        <f>OCTUBRE!AD184</f>
        <v>156912292</v>
      </c>
      <c r="AC184" s="208">
        <v>353599619</v>
      </c>
      <c r="AD184" s="271">
        <f>SUM(AB184:AC184)</f>
        <v>510511911</v>
      </c>
      <c r="AE184" s="270">
        <f>OCTUBRE!AG184</f>
        <v>156912292.5</v>
      </c>
      <c r="AF184" s="208">
        <v>176799809</v>
      </c>
      <c r="AG184" s="271">
        <f>SUM(AE184:AF184)</f>
        <v>333712101.5</v>
      </c>
      <c r="AH184" s="270">
        <f>X184-AA184</f>
        <v>39488089</v>
      </c>
      <c r="AI184" s="220">
        <f>X184-AD184</f>
        <v>39488089</v>
      </c>
      <c r="AJ184" s="269">
        <f>X184-AG184</f>
        <v>216287898.5</v>
      </c>
      <c r="AK184" s="101"/>
      <c r="AL184" s="204">
        <v>100000000</v>
      </c>
      <c r="AM184" s="210">
        <v>0</v>
      </c>
    </row>
    <row r="185" spans="19:39" ht="24.75" customHeight="1">
      <c r="S185" s="266">
        <f>+IF(OCTUBRE!S185=0,"",OCTUBRE!S185)</f>
        <v>3300200</v>
      </c>
      <c r="T185" s="267" t="str">
        <f>+IF(OCTUBRE!T185=0,"",OCTUBRE!T185)</f>
        <v>Destinatarios de otras transferencias</v>
      </c>
      <c r="U185" s="373">
        <f t="shared" ref="U185:AJ185" si="165">SUM(U186:U189)</f>
        <v>463060585</v>
      </c>
      <c r="V185" s="220">
        <f t="shared" si="165"/>
        <v>-379000000</v>
      </c>
      <c r="W185" s="220">
        <f t="shared" si="165"/>
        <v>500000000</v>
      </c>
      <c r="X185" s="271">
        <f t="shared" si="165"/>
        <v>584060585</v>
      </c>
      <c r="Y185" s="270">
        <f t="shared" si="165"/>
        <v>477262346</v>
      </c>
      <c r="Z185" s="300">
        <f t="shared" si="165"/>
        <v>522703</v>
      </c>
      <c r="AA185" s="271">
        <f t="shared" si="165"/>
        <v>477785049</v>
      </c>
      <c r="AB185" s="270">
        <f t="shared" si="165"/>
        <v>475930003</v>
      </c>
      <c r="AC185" s="300">
        <f>SUM(AC186:AC189)</f>
        <v>522703</v>
      </c>
      <c r="AD185" s="271">
        <f t="shared" si="165"/>
        <v>476452706</v>
      </c>
      <c r="AE185" s="270">
        <f t="shared" si="165"/>
        <v>474884597</v>
      </c>
      <c r="AF185" s="300">
        <f>SUM(AF186:AF189)</f>
        <v>1045406</v>
      </c>
      <c r="AG185" s="271">
        <f t="shared" si="165"/>
        <v>475930003</v>
      </c>
      <c r="AH185" s="270">
        <f t="shared" si="165"/>
        <v>106275536</v>
      </c>
      <c r="AI185" s="220">
        <f t="shared" si="165"/>
        <v>107607879</v>
      </c>
      <c r="AJ185" s="269">
        <f t="shared" si="165"/>
        <v>108130582</v>
      </c>
      <c r="AK185" s="101"/>
      <c r="AL185" s="301">
        <f>SUM(AL186:AL189)</f>
        <v>-400000000</v>
      </c>
      <c r="AM185" s="302">
        <f>SUM(AM186:AM189)</f>
        <v>0</v>
      </c>
    </row>
    <row r="186" spans="19:39" ht="24.75" customHeight="1">
      <c r="S186" s="311" t="str">
        <f>+IF(OCTUBRE!S186=0,"",OCTUBRE!S186)</f>
        <v>2.1.2.02.02.009.907</v>
      </c>
      <c r="T186" s="267" t="str">
        <f>+IF(OCTUBRE!T186=0,"",OCTUBRE!T186)</f>
        <v>Cuota de Afiliación o sostenimiento (COHAN, AESA, OTROS)</v>
      </c>
      <c r="U186" s="373">
        <f>+ENERO!U187</f>
        <v>13060585</v>
      </c>
      <c r="V186" s="220">
        <f>OCTUBRE!V186+NOVIEMBRE!AL186</f>
        <v>0</v>
      </c>
      <c r="W186" s="220">
        <f>OCTUBRE!W186+NOVIEMBRE!AM186</f>
        <v>0</v>
      </c>
      <c r="X186" s="271">
        <f>SUM(U186:W186)</f>
        <v>13060585</v>
      </c>
      <c r="Y186" s="270">
        <f>OCTUBRE!AA186</f>
        <v>10428227</v>
      </c>
      <c r="Z186" s="208">
        <v>522703</v>
      </c>
      <c r="AA186" s="271">
        <f>SUM(Y186:Z186)</f>
        <v>10950930</v>
      </c>
      <c r="AB186" s="270">
        <f>OCTUBRE!AD186</f>
        <v>10398327</v>
      </c>
      <c r="AC186" s="208">
        <v>522703</v>
      </c>
      <c r="AD186" s="271">
        <f>SUM(AB186:AC186)</f>
        <v>10921030</v>
      </c>
      <c r="AE186" s="270">
        <f>OCTUBRE!AG186</f>
        <v>9352921</v>
      </c>
      <c r="AF186" s="208">
        <v>1045406</v>
      </c>
      <c r="AG186" s="271">
        <f>SUM(AE186:AF186)</f>
        <v>10398327</v>
      </c>
      <c r="AH186" s="270">
        <f>X186-AA186</f>
        <v>2109655</v>
      </c>
      <c r="AI186" s="220">
        <f>X186-AD186</f>
        <v>2139555</v>
      </c>
      <c r="AJ186" s="269">
        <f>X186-AG186</f>
        <v>2662258</v>
      </c>
      <c r="AK186" s="101"/>
      <c r="AL186" s="204">
        <v>0</v>
      </c>
      <c r="AM186" s="210">
        <v>0</v>
      </c>
    </row>
    <row r="187" spans="19:39" ht="24.75" customHeight="1">
      <c r="S187" s="311" t="str">
        <f>+IF(OCTUBRE!S187=0,"",OCTUBRE!S187)</f>
        <v>2.1.8.04.07</v>
      </c>
      <c r="T187" s="267" t="str">
        <f>+IF(OCTUBRE!T187=0,"",OCTUBRE!T187)</f>
        <v>Conciliaciones</v>
      </c>
      <c r="U187" s="373">
        <f>+ENERO!U188</f>
        <v>300000000</v>
      </c>
      <c r="V187" s="220">
        <f>OCTUBRE!V187+NOVIEMBRE!AL187</f>
        <v>-400000000</v>
      </c>
      <c r="W187" s="220">
        <f>OCTUBRE!W187+NOVIEMBRE!AM187</f>
        <v>500000000</v>
      </c>
      <c r="X187" s="271">
        <f>SUM(U187:W187)</f>
        <v>400000000</v>
      </c>
      <c r="Y187" s="270">
        <f>OCTUBRE!AA187</f>
        <v>355396680</v>
      </c>
      <c r="Z187" s="208">
        <v>0</v>
      </c>
      <c r="AA187" s="271">
        <f>SUM(Y187:Z187)</f>
        <v>355396680</v>
      </c>
      <c r="AB187" s="270">
        <f>OCTUBRE!AD187</f>
        <v>355396680</v>
      </c>
      <c r="AC187" s="208">
        <v>0</v>
      </c>
      <c r="AD187" s="271">
        <f>SUM(AB187:AC187)</f>
        <v>355396680</v>
      </c>
      <c r="AE187" s="270">
        <f>OCTUBRE!AG187</f>
        <v>355396680</v>
      </c>
      <c r="AF187" s="208">
        <v>0</v>
      </c>
      <c r="AG187" s="271">
        <f>SUM(AE187:AF187)</f>
        <v>355396680</v>
      </c>
      <c r="AH187" s="270">
        <f>X187-AA187</f>
        <v>44603320</v>
      </c>
      <c r="AI187" s="220">
        <f>X187-AD187</f>
        <v>44603320</v>
      </c>
      <c r="AJ187" s="269">
        <f>X187-AG187</f>
        <v>44603320</v>
      </c>
      <c r="AK187" s="101"/>
      <c r="AL187" s="204">
        <f>-100000000-300000000</f>
        <v>-400000000</v>
      </c>
      <c r="AM187" s="210">
        <v>0</v>
      </c>
    </row>
    <row r="188" spans="19:39" ht="24.75" customHeight="1">
      <c r="S188" s="311" t="str">
        <f>+IF(OCTUBRE!S188=0,"",OCTUBRE!S188)</f>
        <v>2.1.8.05.01</v>
      </c>
      <c r="T188" s="267" t="str">
        <f>+IF(OCTUBRE!T188=0,"",OCTUBRE!T188)</f>
        <v>Multas y sanciones</v>
      </c>
      <c r="U188" s="884">
        <v>0</v>
      </c>
      <c r="V188" s="220">
        <f>OCTUBRE!V188+NOVIEMBRE!AL188</f>
        <v>21000000</v>
      </c>
      <c r="W188" s="220">
        <f>OCTUBRE!W188+NOVIEMBRE!AM188</f>
        <v>0</v>
      </c>
      <c r="X188" s="271">
        <f>SUM(U188:W188)</f>
        <v>21000000</v>
      </c>
      <c r="Y188" s="270">
        <f>OCTUBRE!AA188</f>
        <v>16312307</v>
      </c>
      <c r="Z188" s="208">
        <v>0</v>
      </c>
      <c r="AA188" s="271">
        <f>SUM(Y188:Z188)</f>
        <v>16312307</v>
      </c>
      <c r="AB188" s="270">
        <f>OCTUBRE!AD188</f>
        <v>15009864</v>
      </c>
      <c r="AC188" s="208">
        <v>0</v>
      </c>
      <c r="AD188" s="271">
        <f>SUM(AB188:AC188)</f>
        <v>15009864</v>
      </c>
      <c r="AE188" s="270">
        <f>OCTUBRE!AG188</f>
        <v>15009864</v>
      </c>
      <c r="AF188" s="208">
        <v>0</v>
      </c>
      <c r="AG188" s="271">
        <f>SUM(AE188:AF188)</f>
        <v>15009864</v>
      </c>
      <c r="AH188" s="270">
        <f>X188-AA188</f>
        <v>4687693</v>
      </c>
      <c r="AI188" s="220">
        <f>X188-AD188</f>
        <v>5990136</v>
      </c>
      <c r="AJ188" s="269">
        <f>X188-AG188</f>
        <v>5990136</v>
      </c>
      <c r="AK188" s="101"/>
      <c r="AL188" s="204"/>
      <c r="AM188" s="210">
        <v>0</v>
      </c>
    </row>
    <row r="189" spans="19:39" ht="24.75" customHeight="1">
      <c r="S189" s="311" t="str">
        <f>+IF(OCTUBRE!S189=0,"",OCTUBRE!S189)</f>
        <v>2.1.8.04.07</v>
      </c>
      <c r="T189" s="267" t="str">
        <f>+IF(OCTUBRE!T189=0,"",OCTUBRE!T189)</f>
        <v>Cuotas de auditaje supersalud</v>
      </c>
      <c r="U189" s="373">
        <f>+ENERO!U190</f>
        <v>150000000</v>
      </c>
      <c r="V189" s="220">
        <f>OCTUBRE!V189+NOVIEMBRE!AL189</f>
        <v>0</v>
      </c>
      <c r="W189" s="220">
        <f>OCTUBRE!W189+NOVIEMBRE!AM189</f>
        <v>0</v>
      </c>
      <c r="X189" s="271">
        <f>SUM(U189:W189)</f>
        <v>150000000</v>
      </c>
      <c r="Y189" s="270">
        <f>OCTUBRE!AA189</f>
        <v>95125132</v>
      </c>
      <c r="Z189" s="208">
        <v>0</v>
      </c>
      <c r="AA189" s="271">
        <f>SUM(Y189:Z189)</f>
        <v>95125132</v>
      </c>
      <c r="AB189" s="270">
        <f>OCTUBRE!AD189</f>
        <v>95125132</v>
      </c>
      <c r="AC189" s="208">
        <v>0</v>
      </c>
      <c r="AD189" s="271">
        <f>SUM(AB189:AC189)</f>
        <v>95125132</v>
      </c>
      <c r="AE189" s="270">
        <f>OCTUBRE!AG189</f>
        <v>95125132</v>
      </c>
      <c r="AF189" s="208">
        <v>0</v>
      </c>
      <c r="AG189" s="271">
        <f>SUM(AE189:AF189)</f>
        <v>95125132</v>
      </c>
      <c r="AH189" s="270">
        <f>X189-AA189</f>
        <v>54874868</v>
      </c>
      <c r="AI189" s="220">
        <f>X189-AD189</f>
        <v>54874868</v>
      </c>
      <c r="AJ189" s="269">
        <f>X189-AG189</f>
        <v>54874868</v>
      </c>
      <c r="AK189" s="101"/>
      <c r="AL189" s="204">
        <v>0</v>
      </c>
      <c r="AM189" s="210">
        <v>0</v>
      </c>
    </row>
    <row r="190" spans="19:39" ht="24.75" customHeight="1">
      <c r="S190" s="266" t="str">
        <f>+IF(OCTUBRE!S190=0,"",OCTUBRE!S190)</f>
        <v>2.1.3.13.01.002.99</v>
      </c>
      <c r="T190" s="267" t="str">
        <f>+IF(OCTUBRE!T190=0,"",OCTUBRE!T190)</f>
        <v>Vigencias Anteriores Conciliaciones</v>
      </c>
      <c r="U190" s="373">
        <f>+ENERO!U191</f>
        <v>50000000</v>
      </c>
      <c r="V190" s="220">
        <f>OCTUBRE!V190+NOVIEMBRE!AL190</f>
        <v>153000000</v>
      </c>
      <c r="W190" s="220">
        <f>OCTUBRE!W190+NOVIEMBRE!AM190</f>
        <v>0</v>
      </c>
      <c r="X190" s="271">
        <f>SUM(U190:W190)</f>
        <v>203000000</v>
      </c>
      <c r="Y190" s="270">
        <f>OCTUBRE!AA190</f>
        <v>202774209</v>
      </c>
      <c r="Z190" s="208">
        <v>0</v>
      </c>
      <c r="AA190" s="271">
        <f>SUM(Y190:Z190)</f>
        <v>202774209</v>
      </c>
      <c r="AB190" s="270">
        <f>OCTUBRE!AD190</f>
        <v>202774209</v>
      </c>
      <c r="AC190" s="208">
        <v>0</v>
      </c>
      <c r="AD190" s="271">
        <f>SUM(AB190:AC190)</f>
        <v>202774209</v>
      </c>
      <c r="AE190" s="270">
        <f>OCTUBRE!AG190</f>
        <v>202774209</v>
      </c>
      <c r="AF190" s="208">
        <v>0</v>
      </c>
      <c r="AG190" s="271">
        <f>SUM(AE190:AF190)</f>
        <v>202774209</v>
      </c>
      <c r="AH190" s="270">
        <f>X190-AA190</f>
        <v>225791</v>
      </c>
      <c r="AI190" s="220">
        <f>X190-AD190</f>
        <v>225791</v>
      </c>
      <c r="AJ190" s="269">
        <f>X190-AG190</f>
        <v>225791</v>
      </c>
      <c r="AK190" s="101"/>
      <c r="AL190" s="204">
        <v>-197000000</v>
      </c>
      <c r="AM190" s="210">
        <v>0</v>
      </c>
    </row>
    <row r="191" spans="19:39" ht="24.75" customHeight="1">
      <c r="S191" s="189" t="str">
        <f>+IF(OCTUBRE!S193=0,"",OCTUBRE!S193)</f>
        <v/>
      </c>
      <c r="T191" s="488" t="str">
        <f>+IF(OCTUBRE!T193=0,"",OCTUBRE!T193)</f>
        <v/>
      </c>
      <c r="U191" s="191"/>
      <c r="V191" s="191"/>
      <c r="W191" s="191"/>
      <c r="X191" s="191"/>
      <c r="Y191" s="191"/>
      <c r="Z191" s="191"/>
      <c r="AA191" s="191"/>
      <c r="AB191" s="191"/>
      <c r="AC191" s="191"/>
      <c r="AD191" s="191"/>
      <c r="AE191" s="191"/>
      <c r="AF191" s="191"/>
      <c r="AG191" s="191"/>
      <c r="AH191" s="191"/>
      <c r="AI191" s="191"/>
      <c r="AJ191" s="192"/>
      <c r="AK191" s="101"/>
      <c r="AL191" s="370"/>
      <c r="AM191" s="371"/>
    </row>
    <row r="192" spans="19:39" ht="47.25" customHeight="1">
      <c r="S192" s="462" t="s">
        <v>294</v>
      </c>
      <c r="T192" s="463" t="s">
        <v>295</v>
      </c>
      <c r="U192" s="882">
        <f t="shared" ref="U192:AJ192" si="166">U194+U208</f>
        <v>42375190113.666664</v>
      </c>
      <c r="V192" s="406">
        <f t="shared" si="166"/>
        <v>1550000000</v>
      </c>
      <c r="W192" s="406">
        <f t="shared" si="166"/>
        <v>15790326637</v>
      </c>
      <c r="X192" s="218">
        <f t="shared" si="166"/>
        <v>59715516750.666664</v>
      </c>
      <c r="Y192" s="217">
        <f t="shared" si="166"/>
        <v>52884835707</v>
      </c>
      <c r="Z192" s="406">
        <f t="shared" si="166"/>
        <v>3928229384</v>
      </c>
      <c r="AA192" s="218">
        <f t="shared" si="166"/>
        <v>56813065091</v>
      </c>
      <c r="AB192" s="882">
        <f t="shared" si="166"/>
        <v>46869416770</v>
      </c>
      <c r="AC192" s="406">
        <f>AC194+AC208</f>
        <v>3846185813</v>
      </c>
      <c r="AD192" s="407">
        <f t="shared" si="166"/>
        <v>50715602583</v>
      </c>
      <c r="AE192" s="217">
        <f t="shared" si="166"/>
        <v>29167348933</v>
      </c>
      <c r="AF192" s="406">
        <f>AF194+AF208</f>
        <v>3455447690</v>
      </c>
      <c r="AG192" s="218">
        <f t="shared" si="166"/>
        <v>32622796623</v>
      </c>
      <c r="AH192" s="217">
        <f t="shared" si="166"/>
        <v>2902451659.6666656</v>
      </c>
      <c r="AI192" s="406">
        <f t="shared" si="166"/>
        <v>8999914167.666666</v>
      </c>
      <c r="AJ192" s="1028">
        <f t="shared" si="166"/>
        <v>27092720127.666664</v>
      </c>
      <c r="AK192" s="101"/>
      <c r="AL192" s="217">
        <f>AL194+AL208</f>
        <v>1550000000</v>
      </c>
      <c r="AM192" s="218">
        <f>AM194+AM208</f>
        <v>0</v>
      </c>
    </row>
    <row r="193" spans="19:39" ht="15" customHeight="1">
      <c r="AL193" s="370"/>
      <c r="AM193" s="371"/>
    </row>
    <row r="194" spans="19:39" ht="24.75" customHeight="1">
      <c r="S194" s="228" t="str">
        <f>+IF(OCTUBRE!S194=0,"",OCTUBRE!S194)</f>
        <v>2.4</v>
      </c>
      <c r="T194" s="404" t="str">
        <f>+IF(OCTUBRE!T194=0,"",OCTUBRE!T194)</f>
        <v>GASTOS  DEOPERACIÓN COMERCIAL</v>
      </c>
      <c r="U194" s="882">
        <f t="shared" ref="U194:AJ194" si="167">U195</f>
        <v>40172190113.666664</v>
      </c>
      <c r="V194" s="406">
        <f t="shared" si="167"/>
        <v>-562559635</v>
      </c>
      <c r="W194" s="406">
        <f t="shared" si="167"/>
        <v>15440326637</v>
      </c>
      <c r="X194" s="407">
        <f t="shared" si="167"/>
        <v>55049957115.666664</v>
      </c>
      <c r="Y194" s="217">
        <f t="shared" si="167"/>
        <v>48288423047</v>
      </c>
      <c r="Z194" s="406">
        <f t="shared" si="167"/>
        <v>3928229384</v>
      </c>
      <c r="AA194" s="407">
        <f t="shared" si="167"/>
        <v>52216652431</v>
      </c>
      <c r="AB194" s="217">
        <f t="shared" si="167"/>
        <v>42273004110</v>
      </c>
      <c r="AC194" s="406">
        <f t="shared" si="167"/>
        <v>3846185813</v>
      </c>
      <c r="AD194" s="407">
        <f t="shared" si="167"/>
        <v>46119189923</v>
      </c>
      <c r="AE194" s="217">
        <f t="shared" si="167"/>
        <v>24570936273</v>
      </c>
      <c r="AF194" s="406">
        <f t="shared" si="167"/>
        <v>3455447690</v>
      </c>
      <c r="AG194" s="407">
        <f t="shared" si="167"/>
        <v>28026383963</v>
      </c>
      <c r="AH194" s="217">
        <f t="shared" si="167"/>
        <v>2833304684.6666656</v>
      </c>
      <c r="AI194" s="406">
        <f t="shared" si="167"/>
        <v>8930767192.666666</v>
      </c>
      <c r="AJ194" s="1028">
        <f t="shared" si="167"/>
        <v>27023573152.666664</v>
      </c>
      <c r="AK194" s="101"/>
      <c r="AL194" s="233">
        <f>AL195</f>
        <v>1550000000</v>
      </c>
      <c r="AM194" s="232">
        <f>AM195</f>
        <v>0</v>
      </c>
    </row>
    <row r="195" spans="19:39" ht="24.75" customHeight="1">
      <c r="S195" s="257" t="str">
        <f>+IF(OCTUBRE!S195=0,"",OCTUBRE!S195)</f>
        <v>2.4.5</v>
      </c>
      <c r="T195" s="546" t="str">
        <f>+IF(OCTUBRE!T195=0,"",OCTUBRE!T195)</f>
        <v>GASTOS DE COMERCIALIZACIÓN Y PRODUCCIÓN</v>
      </c>
      <c r="U195" s="230">
        <f t="shared" ref="U195:AJ195" si="168">U196+U204+U206</f>
        <v>40172190113.666664</v>
      </c>
      <c r="V195" s="231">
        <f t="shared" si="168"/>
        <v>-562559635</v>
      </c>
      <c r="W195" s="231">
        <f t="shared" si="168"/>
        <v>15440326637</v>
      </c>
      <c r="X195" s="234">
        <f t="shared" si="168"/>
        <v>55049957115.666664</v>
      </c>
      <c r="Y195" s="233">
        <f t="shared" si="168"/>
        <v>48288423047</v>
      </c>
      <c r="Z195" s="231">
        <f t="shared" si="168"/>
        <v>3928229384</v>
      </c>
      <c r="AA195" s="234">
        <f t="shared" si="168"/>
        <v>52216652431</v>
      </c>
      <c r="AB195" s="233">
        <f t="shared" si="168"/>
        <v>42273004110</v>
      </c>
      <c r="AC195" s="231">
        <f>AC196+AC204+AC206</f>
        <v>3846185813</v>
      </c>
      <c r="AD195" s="234">
        <f t="shared" si="168"/>
        <v>46119189923</v>
      </c>
      <c r="AE195" s="233">
        <f t="shared" si="168"/>
        <v>24570936273</v>
      </c>
      <c r="AF195" s="231">
        <f>AF196+AF204+AF206</f>
        <v>3455447690</v>
      </c>
      <c r="AG195" s="234">
        <f t="shared" si="168"/>
        <v>28026383963</v>
      </c>
      <c r="AH195" s="233">
        <f t="shared" si="168"/>
        <v>2833304684.6666656</v>
      </c>
      <c r="AI195" s="231">
        <f t="shared" si="168"/>
        <v>8930767192.666666</v>
      </c>
      <c r="AJ195" s="232">
        <f t="shared" si="168"/>
        <v>27023573152.666664</v>
      </c>
      <c r="AK195" s="216"/>
      <c r="AL195" s="233">
        <f>AL196+AL204+AL206</f>
        <v>1550000000</v>
      </c>
      <c r="AM195" s="232">
        <f>AM196+AM204+AM206</f>
        <v>0</v>
      </c>
    </row>
    <row r="196" spans="19:39" ht="24.75" customHeight="1">
      <c r="S196" s="266" t="str">
        <f>+IF(OCTUBRE!S196=0,"",OCTUBRE!S196)</f>
        <v>2.4.5.01</v>
      </c>
      <c r="T196" s="267" t="str">
        <f>+IF(OCTUBRE!T196=0,"",OCTUBRE!T196)</f>
        <v>Materiales y suministros</v>
      </c>
      <c r="U196" s="373">
        <f t="shared" ref="U196:AJ196" si="169">SUM(U197:U203)</f>
        <v>28648709150.333332</v>
      </c>
      <c r="V196" s="220">
        <f t="shared" si="169"/>
        <v>1351440365</v>
      </c>
      <c r="W196" s="220">
        <f t="shared" si="169"/>
        <v>13490326637</v>
      </c>
      <c r="X196" s="271">
        <f t="shared" si="169"/>
        <v>43490476152.333328</v>
      </c>
      <c r="Y196" s="270">
        <f t="shared" si="169"/>
        <v>36981560492</v>
      </c>
      <c r="Z196" s="300">
        <f t="shared" si="169"/>
        <v>3748229384</v>
      </c>
      <c r="AA196" s="271">
        <f t="shared" si="169"/>
        <v>40729789876</v>
      </c>
      <c r="AB196" s="270">
        <f t="shared" si="169"/>
        <v>32280750067</v>
      </c>
      <c r="AC196" s="300">
        <f>SUM(AC197:AC203)</f>
        <v>3135156687</v>
      </c>
      <c r="AD196" s="271">
        <f t="shared" si="169"/>
        <v>35415906754</v>
      </c>
      <c r="AE196" s="270">
        <f t="shared" si="169"/>
        <v>15912626201</v>
      </c>
      <c r="AF196" s="300">
        <f>SUM(AF197:AF203)</f>
        <v>2750635254</v>
      </c>
      <c r="AG196" s="271">
        <f t="shared" si="169"/>
        <v>18663261455</v>
      </c>
      <c r="AH196" s="270">
        <f t="shared" si="169"/>
        <v>2760686276.3333316</v>
      </c>
      <c r="AI196" s="220">
        <f t="shared" si="169"/>
        <v>8074569398.3333321</v>
      </c>
      <c r="AJ196" s="269">
        <f t="shared" si="169"/>
        <v>24827214697.333332</v>
      </c>
      <c r="AK196" s="101"/>
      <c r="AL196" s="301">
        <f>SUM(AL197:AL203)</f>
        <v>1417000000</v>
      </c>
      <c r="AM196" s="302">
        <f>SUM(AM197:AM203)</f>
        <v>0</v>
      </c>
    </row>
    <row r="197" spans="19:39" ht="24.75" customHeight="1">
      <c r="S197" s="311" t="str">
        <f>+IF(OCTUBRE!S197=0,"",OCTUBRE!S197)</f>
        <v>2.4.5.01.03.301</v>
      </c>
      <c r="T197" s="312" t="str">
        <f>+IF(OCTUBRE!T197=0,"",OCTUBRE!T197)</f>
        <v>Medicamentos</v>
      </c>
      <c r="U197" s="373">
        <f>+ENERO!U198</f>
        <v>7396066391.666666</v>
      </c>
      <c r="V197" s="220">
        <f>OCTUBRE!V197+NOVIEMBRE!AL197</f>
        <v>-185000000</v>
      </c>
      <c r="W197" s="220">
        <f>OCTUBRE!W197+NOVIEMBRE!AM197</f>
        <v>2706326637</v>
      </c>
      <c r="X197" s="271">
        <f t="shared" ref="X197:X203" si="170">SUM(U197:W197)</f>
        <v>9917393028.666666</v>
      </c>
      <c r="Y197" s="270">
        <f>OCTUBRE!AA197</f>
        <v>8146487571</v>
      </c>
      <c r="Z197" s="208">
        <v>822742307</v>
      </c>
      <c r="AA197" s="271">
        <f t="shared" ref="AA197:AA203" si="171">SUM(Y197:Z197)</f>
        <v>8969229878</v>
      </c>
      <c r="AB197" s="270">
        <f>OCTUBRE!AD197</f>
        <v>7296373744</v>
      </c>
      <c r="AC197" s="208">
        <v>555923718</v>
      </c>
      <c r="AD197" s="271">
        <f t="shared" ref="AD197:AD203" si="172">SUM(AB197:AC197)</f>
        <v>7852297462</v>
      </c>
      <c r="AE197" s="270">
        <f>OCTUBRE!AG197</f>
        <v>3679885766</v>
      </c>
      <c r="AF197" s="208">
        <v>357581804</v>
      </c>
      <c r="AG197" s="271">
        <f t="shared" ref="AG197:AG203" si="173">SUM(AE197:AF197)</f>
        <v>4037467570</v>
      </c>
      <c r="AH197" s="270">
        <f t="shared" ref="AH197:AH203" si="174">X197-AA197</f>
        <v>948163150.66666603</v>
      </c>
      <c r="AI197" s="220">
        <f t="shared" ref="AI197:AI203" si="175">X197-AD197</f>
        <v>2065095566.666666</v>
      </c>
      <c r="AJ197" s="269">
        <f t="shared" ref="AJ197:AJ203" si="176">X197-AG197</f>
        <v>5879925458.666666</v>
      </c>
      <c r="AK197" s="101"/>
      <c r="AL197" s="204">
        <v>447000000</v>
      </c>
      <c r="AM197" s="210">
        <v>0</v>
      </c>
    </row>
    <row r="198" spans="19:39" ht="24.75" customHeight="1">
      <c r="S198" s="311" t="str">
        <f>+IF(OCTUBRE!S198=0,"",OCTUBRE!S198)</f>
        <v>2.4.5.01.03.302</v>
      </c>
      <c r="T198" s="312" t="str">
        <f>+IF(OCTUBRE!T198=0,"",OCTUBRE!T198)</f>
        <v>Material Médico Quirúrgico</v>
      </c>
      <c r="U198" s="373">
        <f>+ENERO!U199</f>
        <v>6198007399.166666</v>
      </c>
      <c r="V198" s="220">
        <f>OCTUBRE!V198+NOVIEMBRE!AL198</f>
        <v>1365000000</v>
      </c>
      <c r="W198" s="220">
        <f>OCTUBRE!W198+NOVIEMBRE!AM198</f>
        <v>4700000000</v>
      </c>
      <c r="X198" s="271">
        <f t="shared" si="170"/>
        <v>12263007399.166666</v>
      </c>
      <c r="Y198" s="270">
        <f>OCTUBRE!AA198</f>
        <v>10302818029</v>
      </c>
      <c r="Z198" s="208">
        <v>1347283253</v>
      </c>
      <c r="AA198" s="271">
        <f t="shared" si="171"/>
        <v>11650101282</v>
      </c>
      <c r="AB198" s="270">
        <f>OCTUBRE!AD198</f>
        <v>9588377818</v>
      </c>
      <c r="AC198" s="208">
        <v>974753481</v>
      </c>
      <c r="AD198" s="271">
        <f t="shared" si="172"/>
        <v>10563131299</v>
      </c>
      <c r="AE198" s="270">
        <f>OCTUBRE!AG198</f>
        <v>4572034852</v>
      </c>
      <c r="AF198" s="208">
        <v>563212801</v>
      </c>
      <c r="AG198" s="271">
        <f t="shared" si="173"/>
        <v>5135247653</v>
      </c>
      <c r="AH198" s="270">
        <f t="shared" si="174"/>
        <v>612906117.16666603</v>
      </c>
      <c r="AI198" s="220">
        <f t="shared" si="175"/>
        <v>1699876100.166666</v>
      </c>
      <c r="AJ198" s="269">
        <f t="shared" si="176"/>
        <v>7127759746.166666</v>
      </c>
      <c r="AK198" s="101"/>
      <c r="AL198" s="204">
        <v>0</v>
      </c>
      <c r="AM198" s="210">
        <v>0</v>
      </c>
    </row>
    <row r="199" spans="19:39" ht="24.75" customHeight="1">
      <c r="S199" s="311" t="str">
        <f>+IF(OCTUBRE!S199=0,"",OCTUBRE!S199)</f>
        <v>2.4.5.01.03.303</v>
      </c>
      <c r="T199" s="312" t="str">
        <f>+IF(OCTUBRE!T199=0,"",OCTUBRE!T199)</f>
        <v>Material de Laboratorio</v>
      </c>
      <c r="U199" s="373">
        <f>+ENERO!U200</f>
        <v>2001528195</v>
      </c>
      <c r="V199" s="220">
        <f>OCTUBRE!V199+NOVIEMBRE!AL199</f>
        <v>-320000000</v>
      </c>
      <c r="W199" s="220">
        <f>OCTUBRE!W199+NOVIEMBRE!AM199</f>
        <v>2800000000</v>
      </c>
      <c r="X199" s="271">
        <f t="shared" si="170"/>
        <v>4481528195</v>
      </c>
      <c r="Y199" s="270">
        <f>OCTUBRE!AA199</f>
        <v>3185709894</v>
      </c>
      <c r="Z199" s="208">
        <v>252428038</v>
      </c>
      <c r="AA199" s="271">
        <f t="shared" si="171"/>
        <v>3438137932</v>
      </c>
      <c r="AB199" s="270">
        <f>OCTUBRE!AD199</f>
        <v>2671604529</v>
      </c>
      <c r="AC199" s="208">
        <v>293926610</v>
      </c>
      <c r="AD199" s="271">
        <f t="shared" si="172"/>
        <v>2965531139</v>
      </c>
      <c r="AE199" s="270">
        <f>OCTUBRE!AG199</f>
        <v>988532892</v>
      </c>
      <c r="AF199" s="208">
        <v>494915534</v>
      </c>
      <c r="AG199" s="271">
        <f t="shared" si="173"/>
        <v>1483448426</v>
      </c>
      <c r="AH199" s="270">
        <f t="shared" si="174"/>
        <v>1043390263</v>
      </c>
      <c r="AI199" s="220">
        <f t="shared" si="175"/>
        <v>1515997056</v>
      </c>
      <c r="AJ199" s="269">
        <f t="shared" si="176"/>
        <v>2998079769</v>
      </c>
      <c r="AK199" s="101"/>
      <c r="AL199" s="204">
        <v>0</v>
      </c>
      <c r="AM199" s="210">
        <v>0</v>
      </c>
    </row>
    <row r="200" spans="19:39" ht="24.75" customHeight="1">
      <c r="S200" s="311" t="str">
        <f>+IF(OCTUBRE!S200=0,"",OCTUBRE!S200)</f>
        <v>2.4.5.02.09.901</v>
      </c>
      <c r="T200" s="312" t="str">
        <f>+IF(OCTUBRE!T200=0,"",OCTUBRE!T200)</f>
        <v xml:space="preserve">Servicio de Lavandería </v>
      </c>
      <c r="U200" s="373">
        <f>+ENERO!U201</f>
        <v>758333333.33333325</v>
      </c>
      <c r="V200" s="220">
        <f>OCTUBRE!V200+NOVIEMBRE!AL200</f>
        <v>252000000</v>
      </c>
      <c r="W200" s="220">
        <f>OCTUBRE!W200+NOVIEMBRE!AM200</f>
        <v>345000000</v>
      </c>
      <c r="X200" s="271">
        <f t="shared" si="170"/>
        <v>1355333333.3333333</v>
      </c>
      <c r="Y200" s="270">
        <f>OCTUBRE!AA200</f>
        <v>1354891160</v>
      </c>
      <c r="Z200" s="208">
        <v>-22525153</v>
      </c>
      <c r="AA200" s="271">
        <f t="shared" si="171"/>
        <v>1332366007</v>
      </c>
      <c r="AB200" s="270">
        <f>OCTUBRE!AD200</f>
        <v>1060285988</v>
      </c>
      <c r="AC200" s="208">
        <v>101020659</v>
      </c>
      <c r="AD200" s="271">
        <f t="shared" si="172"/>
        <v>1161306647</v>
      </c>
      <c r="AE200" s="270">
        <f>OCTUBRE!AG200</f>
        <v>743127693</v>
      </c>
      <c r="AF200" s="208">
        <v>213814607</v>
      </c>
      <c r="AG200" s="271">
        <f t="shared" si="173"/>
        <v>956942300</v>
      </c>
      <c r="AH200" s="270">
        <f t="shared" si="174"/>
        <v>22967326.333333254</v>
      </c>
      <c r="AI200" s="220">
        <f t="shared" si="175"/>
        <v>194026686.33333325</v>
      </c>
      <c r="AJ200" s="269">
        <f t="shared" si="176"/>
        <v>398391033.33333325</v>
      </c>
      <c r="AK200" s="101"/>
      <c r="AL200" s="204">
        <v>-130000000</v>
      </c>
      <c r="AM200" s="210">
        <v>0</v>
      </c>
    </row>
    <row r="201" spans="19:39" ht="24.75" customHeight="1">
      <c r="S201" s="311" t="str">
        <f>+IF(OCTUBRE!S201=0,"",OCTUBRE!S201)</f>
        <v>2.4.5.02.09.902</v>
      </c>
      <c r="T201" s="312" t="str">
        <f>+IF(OCTUBRE!T201=0,"",OCTUBRE!T201)</f>
        <v>Servicios de esterilización</v>
      </c>
      <c r="U201" s="373">
        <f>+ENERO!U202</f>
        <v>166666666.66666666</v>
      </c>
      <c r="V201" s="220">
        <f>OCTUBRE!V201+NOVIEMBRE!AL201</f>
        <v>55000000</v>
      </c>
      <c r="W201" s="220">
        <f>OCTUBRE!W201+NOVIEMBRE!AM201</f>
        <v>0</v>
      </c>
      <c r="X201" s="271">
        <f t="shared" si="170"/>
        <v>221666666.66666666</v>
      </c>
      <c r="Y201" s="270">
        <f>OCTUBRE!AA201</f>
        <v>161200000</v>
      </c>
      <c r="Z201" s="208">
        <v>0</v>
      </c>
      <c r="AA201" s="271">
        <f t="shared" si="171"/>
        <v>161200000</v>
      </c>
      <c r="AB201" s="270">
        <f>OCTUBRE!AD201</f>
        <v>68538463</v>
      </c>
      <c r="AC201" s="208">
        <v>79441673</v>
      </c>
      <c r="AD201" s="271">
        <f t="shared" si="172"/>
        <v>147980136</v>
      </c>
      <c r="AE201" s="270">
        <f>OCTUBRE!AG201</f>
        <v>14482318</v>
      </c>
      <c r="AF201" s="208">
        <v>0</v>
      </c>
      <c r="AG201" s="271">
        <f t="shared" si="173"/>
        <v>14482318</v>
      </c>
      <c r="AH201" s="270">
        <f t="shared" si="174"/>
        <v>60466666.666666657</v>
      </c>
      <c r="AI201" s="220">
        <f t="shared" si="175"/>
        <v>73686530.666666657</v>
      </c>
      <c r="AJ201" s="269">
        <f t="shared" si="176"/>
        <v>207184348.66666666</v>
      </c>
      <c r="AK201" s="101"/>
      <c r="AL201" s="204">
        <v>0</v>
      </c>
      <c r="AM201" s="210">
        <v>0</v>
      </c>
    </row>
    <row r="202" spans="19:39" ht="24.75" customHeight="1">
      <c r="S202" s="311" t="str">
        <f>+IF(OCTUBRE!S202=0,"",OCTUBRE!S202)</f>
        <v>2.4.5.01.03.305</v>
      </c>
      <c r="T202" s="312" t="str">
        <f>+IF(OCTUBRE!T202=0,"",OCTUBRE!T202)</f>
        <v>Sangre</v>
      </c>
      <c r="U202" s="373">
        <f>+ENERO!U203</f>
        <v>1257440000</v>
      </c>
      <c r="V202" s="220">
        <f>OCTUBRE!V202+NOVIEMBRE!AL202</f>
        <v>100000000</v>
      </c>
      <c r="W202" s="220">
        <f>OCTUBRE!W202+NOVIEMBRE!AM202</f>
        <v>409000000</v>
      </c>
      <c r="X202" s="271">
        <f t="shared" si="170"/>
        <v>1766440000</v>
      </c>
      <c r="Y202" s="270">
        <f>OCTUBRE!AA202</f>
        <v>1696200000</v>
      </c>
      <c r="Z202" s="208">
        <v>0</v>
      </c>
      <c r="AA202" s="271">
        <f t="shared" si="171"/>
        <v>1696200000</v>
      </c>
      <c r="AB202" s="270">
        <f>OCTUBRE!AD202</f>
        <v>1301702116</v>
      </c>
      <c r="AC202" s="208">
        <v>107934096</v>
      </c>
      <c r="AD202" s="271">
        <f t="shared" si="172"/>
        <v>1409636212</v>
      </c>
      <c r="AE202" s="270">
        <f>OCTUBRE!AG202</f>
        <v>518779645</v>
      </c>
      <c r="AF202" s="208">
        <v>256891916</v>
      </c>
      <c r="AG202" s="271">
        <f t="shared" si="173"/>
        <v>775671561</v>
      </c>
      <c r="AH202" s="270">
        <f t="shared" si="174"/>
        <v>70240000</v>
      </c>
      <c r="AI202" s="220">
        <f t="shared" si="175"/>
        <v>356803788</v>
      </c>
      <c r="AJ202" s="269">
        <f t="shared" si="176"/>
        <v>990768439</v>
      </c>
      <c r="AK202" s="101"/>
      <c r="AL202" s="204">
        <v>0</v>
      </c>
      <c r="AM202" s="210">
        <v>0</v>
      </c>
    </row>
    <row r="203" spans="19:39" ht="24.75" customHeight="1">
      <c r="S203" s="311" t="str">
        <f>+IF(OCTUBRE!S203=0,"",OCTUBRE!S203)</f>
        <v>2.4.5.02.08</v>
      </c>
      <c r="T203" s="312" t="str">
        <f>+IF(OCTUBRE!T203=0,"",OCTUBRE!T203)</f>
        <v>Servicios de ayudas diagnòsticas</v>
      </c>
      <c r="U203" s="373">
        <f>+ENERO!U204</f>
        <v>10870667164.5</v>
      </c>
      <c r="V203" s="220">
        <f>OCTUBRE!V203+NOVIEMBRE!AL203</f>
        <v>84440365</v>
      </c>
      <c r="W203" s="220">
        <f>OCTUBRE!W203+NOVIEMBRE!AM203</f>
        <v>2530000000</v>
      </c>
      <c r="X203" s="271">
        <f t="shared" si="170"/>
        <v>13485107529.5</v>
      </c>
      <c r="Y203" s="270">
        <f>OCTUBRE!AA203</f>
        <v>12134253838</v>
      </c>
      <c r="Z203" s="208">
        <v>1348300939</v>
      </c>
      <c r="AA203" s="271">
        <f t="shared" si="171"/>
        <v>13482554777</v>
      </c>
      <c r="AB203" s="270">
        <f>OCTUBRE!AD203</f>
        <v>10293867409</v>
      </c>
      <c r="AC203" s="208">
        <v>1022156450</v>
      </c>
      <c r="AD203" s="271">
        <f t="shared" si="172"/>
        <v>11316023859</v>
      </c>
      <c r="AE203" s="270">
        <f>OCTUBRE!AG203</f>
        <v>5395783035</v>
      </c>
      <c r="AF203" s="208">
        <v>864218592</v>
      </c>
      <c r="AG203" s="271">
        <f t="shared" si="173"/>
        <v>6260001627</v>
      </c>
      <c r="AH203" s="270">
        <f t="shared" si="174"/>
        <v>2552752.5</v>
      </c>
      <c r="AI203" s="220">
        <f t="shared" si="175"/>
        <v>2169083670.5</v>
      </c>
      <c r="AJ203" s="269">
        <f t="shared" si="176"/>
        <v>7225105902.5</v>
      </c>
      <c r="AK203" s="101"/>
      <c r="AL203" s="204">
        <f>850000000+130000000+120000000</f>
        <v>1100000000</v>
      </c>
      <c r="AM203" s="210">
        <v>0</v>
      </c>
    </row>
    <row r="204" spans="19:39" ht="24.75" customHeight="1">
      <c r="S204" s="266">
        <f>+IF(OCTUBRE!S204=0,"",OCTUBRE!S204)</f>
        <v>4100200</v>
      </c>
      <c r="T204" s="267" t="str">
        <f>+IF(OCTUBRE!T204=0,"",OCTUBRE!T204)</f>
        <v>Gastos Complementarios e Intermedios</v>
      </c>
      <c r="U204" s="373">
        <f t="shared" ref="U204:AJ204" si="177">U205</f>
        <v>5609700000</v>
      </c>
      <c r="V204" s="220">
        <f t="shared" si="177"/>
        <v>283000000</v>
      </c>
      <c r="W204" s="220">
        <f t="shared" si="177"/>
        <v>1950000000</v>
      </c>
      <c r="X204" s="271">
        <f t="shared" si="177"/>
        <v>7842700000</v>
      </c>
      <c r="Y204" s="270">
        <f t="shared" si="177"/>
        <v>7652600000</v>
      </c>
      <c r="Z204" s="300">
        <f t="shared" si="177"/>
        <v>180000000</v>
      </c>
      <c r="AA204" s="271">
        <f t="shared" si="177"/>
        <v>7832600000</v>
      </c>
      <c r="AB204" s="270">
        <f t="shared" si="177"/>
        <v>6344191488</v>
      </c>
      <c r="AC204" s="300">
        <f t="shared" si="177"/>
        <v>711029126</v>
      </c>
      <c r="AD204" s="271">
        <f t="shared" si="177"/>
        <v>7055220614</v>
      </c>
      <c r="AE204" s="270">
        <f t="shared" si="177"/>
        <v>5010247519</v>
      </c>
      <c r="AF204" s="300">
        <f t="shared" si="177"/>
        <v>704812436</v>
      </c>
      <c r="AG204" s="271">
        <f t="shared" si="177"/>
        <v>5715059955</v>
      </c>
      <c r="AH204" s="270">
        <f t="shared" si="177"/>
        <v>10100000</v>
      </c>
      <c r="AI204" s="220">
        <f t="shared" si="177"/>
        <v>787479386</v>
      </c>
      <c r="AJ204" s="269">
        <f t="shared" si="177"/>
        <v>2127640045</v>
      </c>
      <c r="AK204" s="101"/>
      <c r="AL204" s="301">
        <f>AL205</f>
        <v>133000000</v>
      </c>
      <c r="AM204" s="302">
        <f>AM205</f>
        <v>0</v>
      </c>
    </row>
    <row r="205" spans="19:39" ht="24.75" customHeight="1">
      <c r="S205" s="311" t="str">
        <f>+IF(OCTUBRE!S205=0,"",OCTUBRE!S205)</f>
        <v>2.4.5.02.06.601</v>
      </c>
      <c r="T205" s="312" t="str">
        <f>+IF(OCTUBRE!T205=0,"",OCTUBRE!T205)</f>
        <v>Servicio de alimentación</v>
      </c>
      <c r="U205" s="373">
        <f>+ENERO!U206</f>
        <v>5609700000</v>
      </c>
      <c r="V205" s="220">
        <f>OCTUBRE!V205+NOVIEMBRE!AL205</f>
        <v>283000000</v>
      </c>
      <c r="W205" s="220">
        <f>OCTUBRE!W205+NOVIEMBRE!AM205</f>
        <v>1950000000</v>
      </c>
      <c r="X205" s="271">
        <f>SUM(U205:W205)</f>
        <v>7842700000</v>
      </c>
      <c r="Y205" s="270">
        <f>OCTUBRE!AA205</f>
        <v>7652600000</v>
      </c>
      <c r="Z205" s="208">
        <v>180000000</v>
      </c>
      <c r="AA205" s="271">
        <f>SUM(Y205:Z205)</f>
        <v>7832600000</v>
      </c>
      <c r="AB205" s="270">
        <f>OCTUBRE!AD205</f>
        <v>6344191488</v>
      </c>
      <c r="AC205" s="208">
        <v>711029126</v>
      </c>
      <c r="AD205" s="271">
        <f>SUM(AB205:AC205)</f>
        <v>7055220614</v>
      </c>
      <c r="AE205" s="270">
        <f>OCTUBRE!AG205</f>
        <v>5010247519</v>
      </c>
      <c r="AF205" s="208">
        <v>704812436</v>
      </c>
      <c r="AG205" s="271">
        <f>SUM(AE205:AF205)</f>
        <v>5715059955</v>
      </c>
      <c r="AH205" s="270">
        <f>X205-AA205</f>
        <v>10100000</v>
      </c>
      <c r="AI205" s="220">
        <f>X205-AD205</f>
        <v>787479386</v>
      </c>
      <c r="AJ205" s="269">
        <f>X205-AG205</f>
        <v>2127640045</v>
      </c>
      <c r="AK205" s="101"/>
      <c r="AL205" s="204">
        <f>700000000-567000000</f>
        <v>133000000</v>
      </c>
      <c r="AM205" s="210"/>
    </row>
    <row r="206" spans="19:39" ht="24.75" customHeight="1" thickBot="1">
      <c r="S206" s="466" t="str">
        <f>+IF(OCTUBRE!S206=0,"",OCTUBRE!S206)</f>
        <v>2.4.5.01.03.99.01</v>
      </c>
      <c r="T206" s="467" t="str">
        <f>+IF(OCTUBRE!T206=0,"",OCTUBRE!T206)</f>
        <v>Vigencias Anteriores</v>
      </c>
      <c r="U206" s="547">
        <f>+ENERO!U207</f>
        <v>5913780963.333334</v>
      </c>
      <c r="V206" s="468">
        <f>OCTUBRE!V206+NOVIEMBRE!AL206</f>
        <v>-2197000000</v>
      </c>
      <c r="W206" s="468">
        <f>OCTUBRE!W206+NOVIEMBRE!AM206</f>
        <v>0</v>
      </c>
      <c r="X206" s="471">
        <f>SUM(U206:W206)</f>
        <v>3716780963.333334</v>
      </c>
      <c r="Y206" s="470">
        <f>OCTUBRE!AA206</f>
        <v>3654262555</v>
      </c>
      <c r="Z206" s="246"/>
      <c r="AA206" s="471">
        <f>SUM(Y206:Z206)</f>
        <v>3654262555</v>
      </c>
      <c r="AB206" s="470">
        <f>OCTUBRE!AD206</f>
        <v>3648062555</v>
      </c>
      <c r="AC206" s="246"/>
      <c r="AD206" s="471">
        <f>SUM(AB206:AC206)</f>
        <v>3648062555</v>
      </c>
      <c r="AE206" s="470">
        <f>OCTUBRE!AG206</f>
        <v>3648062553</v>
      </c>
      <c r="AF206" s="246"/>
      <c r="AG206" s="471">
        <f>SUM(AE206:AF206)</f>
        <v>3648062553</v>
      </c>
      <c r="AH206" s="470">
        <f>X206-AA206</f>
        <v>62518408.333333969</v>
      </c>
      <c r="AI206" s="468">
        <f>X206-AD206</f>
        <v>68718408.333333969</v>
      </c>
      <c r="AJ206" s="469">
        <f>X206-AG206</f>
        <v>68718410.333333969</v>
      </c>
      <c r="AK206" s="101"/>
      <c r="AL206" s="242">
        <v>0</v>
      </c>
      <c r="AM206" s="248"/>
    </row>
    <row r="207" spans="19:39" ht="24.75" customHeight="1">
      <c r="S207" s="455">
        <f>+IF(OCTUBRE!S207=0,"",OCTUBRE!S207)</f>
        <v>1050551296</v>
      </c>
      <c r="T207" s="456" t="str">
        <f>+IF(OCTUBRE!T207=0,"",OCTUBRE!T207)</f>
        <v/>
      </c>
      <c r="U207" s="457"/>
      <c r="V207" s="457"/>
      <c r="W207" s="457"/>
      <c r="X207" s="457"/>
      <c r="Y207" s="457"/>
      <c r="Z207" s="457"/>
      <c r="AA207" s="457"/>
      <c r="AB207" s="457"/>
      <c r="AC207" s="457"/>
      <c r="AD207" s="457"/>
      <c r="AE207" s="457"/>
      <c r="AF207" s="457"/>
      <c r="AG207" s="457"/>
      <c r="AH207" s="457"/>
      <c r="AI207" s="457"/>
      <c r="AJ207" s="458"/>
      <c r="AK207" s="101"/>
      <c r="AL207" s="460"/>
      <c r="AM207" s="461"/>
    </row>
    <row r="208" spans="19:39" ht="24.75" customHeight="1">
      <c r="S208" s="228">
        <f>+IF(OCTUBRE!S208=0,"",OCTUBRE!S208)</f>
        <v>5000000</v>
      </c>
      <c r="T208" s="404" t="s">
        <v>300</v>
      </c>
      <c r="U208" s="405">
        <f t="shared" ref="U208:AJ208" si="178">U209</f>
        <v>2203000000</v>
      </c>
      <c r="V208" s="406">
        <f t="shared" si="178"/>
        <v>2112559635</v>
      </c>
      <c r="W208" s="406">
        <f t="shared" si="178"/>
        <v>350000000</v>
      </c>
      <c r="X208" s="407">
        <f t="shared" si="178"/>
        <v>4665559635</v>
      </c>
      <c r="Y208" s="217">
        <f t="shared" si="178"/>
        <v>4596412660</v>
      </c>
      <c r="Z208" s="406">
        <f t="shared" si="178"/>
        <v>0</v>
      </c>
      <c r="AA208" s="407">
        <f t="shared" si="178"/>
        <v>4596412660</v>
      </c>
      <c r="AB208" s="217">
        <f t="shared" si="178"/>
        <v>4596412660</v>
      </c>
      <c r="AC208" s="406">
        <f t="shared" si="178"/>
        <v>0</v>
      </c>
      <c r="AD208" s="407">
        <f t="shared" si="178"/>
        <v>4596412660</v>
      </c>
      <c r="AE208" s="217">
        <f t="shared" si="178"/>
        <v>4596412660</v>
      </c>
      <c r="AF208" s="406">
        <f t="shared" si="178"/>
        <v>0</v>
      </c>
      <c r="AG208" s="407">
        <f t="shared" si="178"/>
        <v>4596412660</v>
      </c>
      <c r="AH208" s="217">
        <f t="shared" si="178"/>
        <v>69146975</v>
      </c>
      <c r="AI208" s="406">
        <f t="shared" si="178"/>
        <v>69146975</v>
      </c>
      <c r="AJ208" s="218">
        <f t="shared" si="178"/>
        <v>69146975</v>
      </c>
      <c r="AK208" s="101"/>
      <c r="AL208" s="233">
        <f>AL209</f>
        <v>0</v>
      </c>
      <c r="AM208" s="232">
        <f>AM209</f>
        <v>0</v>
      </c>
    </row>
    <row r="209" spans="19:39" ht="24.75" customHeight="1">
      <c r="S209" s="257">
        <f>+IF(OCTUBRE!S209=0,"",OCTUBRE!S209)</f>
        <v>5100000</v>
      </c>
      <c r="T209" s="546" t="str">
        <f>+IF(OCTUBRE!T209=0,"",OCTUBRE!T209)</f>
        <v>Insumos y Suministros para Venta al Público</v>
      </c>
      <c r="U209" s="230">
        <f t="shared" ref="U209:AJ209" si="179">U210+U217</f>
        <v>2203000000</v>
      </c>
      <c r="V209" s="231">
        <f t="shared" si="179"/>
        <v>2112559635</v>
      </c>
      <c r="W209" s="231">
        <f t="shared" si="179"/>
        <v>350000000</v>
      </c>
      <c r="X209" s="234">
        <f t="shared" si="179"/>
        <v>4665559635</v>
      </c>
      <c r="Y209" s="233">
        <f t="shared" si="179"/>
        <v>4596412660</v>
      </c>
      <c r="Z209" s="231">
        <f t="shared" si="179"/>
        <v>0</v>
      </c>
      <c r="AA209" s="234">
        <f t="shared" si="179"/>
        <v>4596412660</v>
      </c>
      <c r="AB209" s="233">
        <f t="shared" si="179"/>
        <v>4596412660</v>
      </c>
      <c r="AC209" s="231">
        <f>AC210+AC217</f>
        <v>0</v>
      </c>
      <c r="AD209" s="234">
        <f t="shared" si="179"/>
        <v>4596412660</v>
      </c>
      <c r="AE209" s="233">
        <f t="shared" si="179"/>
        <v>4596412660</v>
      </c>
      <c r="AF209" s="231">
        <f>AF210+AF217</f>
        <v>0</v>
      </c>
      <c r="AG209" s="234">
        <f t="shared" si="179"/>
        <v>4596412660</v>
      </c>
      <c r="AH209" s="233">
        <f t="shared" si="179"/>
        <v>69146975</v>
      </c>
      <c r="AI209" s="231">
        <f t="shared" si="179"/>
        <v>69146975</v>
      </c>
      <c r="AJ209" s="232">
        <f t="shared" si="179"/>
        <v>69146975</v>
      </c>
      <c r="AK209" s="101"/>
      <c r="AL209" s="233">
        <f>AL210+AL217</f>
        <v>0</v>
      </c>
      <c r="AM209" s="232">
        <f>AM210+AM217</f>
        <v>0</v>
      </c>
    </row>
    <row r="210" spans="19:39" ht="24.75" customHeight="1">
      <c r="S210" s="266">
        <f>+IF(OCTUBRE!S210=0,"",OCTUBRE!S210)</f>
        <v>5100100</v>
      </c>
      <c r="T210" s="267" t="str">
        <f>+IF(OCTUBRE!T210=0,"",OCTUBRE!T210)</f>
        <v>Compra de Bienes para la venta</v>
      </c>
      <c r="U210" s="373">
        <f t="shared" ref="U210:AJ210" si="180">SUM(U211:U216)</f>
        <v>3000000</v>
      </c>
      <c r="V210" s="220">
        <f t="shared" si="180"/>
        <v>0</v>
      </c>
      <c r="W210" s="220">
        <f t="shared" si="180"/>
        <v>0</v>
      </c>
      <c r="X210" s="271">
        <f t="shared" si="180"/>
        <v>3000000</v>
      </c>
      <c r="Y210" s="270">
        <f t="shared" si="180"/>
        <v>0</v>
      </c>
      <c r="Z210" s="300">
        <f t="shared" si="180"/>
        <v>0</v>
      </c>
      <c r="AA210" s="271">
        <f t="shared" si="180"/>
        <v>0</v>
      </c>
      <c r="AB210" s="270">
        <f t="shared" si="180"/>
        <v>0</v>
      </c>
      <c r="AC210" s="300">
        <f>SUM(AC211:AC216)</f>
        <v>0</v>
      </c>
      <c r="AD210" s="271">
        <f t="shared" si="180"/>
        <v>0</v>
      </c>
      <c r="AE210" s="270">
        <f t="shared" si="180"/>
        <v>0</v>
      </c>
      <c r="AF210" s="300">
        <f>SUM(AF211:AF216)</f>
        <v>0</v>
      </c>
      <c r="AG210" s="271">
        <f t="shared" si="180"/>
        <v>0</v>
      </c>
      <c r="AH210" s="270">
        <f t="shared" si="180"/>
        <v>3000000</v>
      </c>
      <c r="AI210" s="220">
        <f t="shared" si="180"/>
        <v>3000000</v>
      </c>
      <c r="AJ210" s="269">
        <f t="shared" si="180"/>
        <v>3000000</v>
      </c>
      <c r="AK210" s="216"/>
      <c r="AL210" s="301">
        <f>SUM(AL211:AL216)</f>
        <v>0</v>
      </c>
      <c r="AM210" s="302">
        <f>SUM(AM211:AM216)</f>
        <v>0</v>
      </c>
    </row>
    <row r="211" spans="19:39" ht="24.75" customHeight="1">
      <c r="S211" s="311" t="str">
        <f>+IF(OCTUBRE!S211=0,"",OCTUBRE!S211)</f>
        <v>5100100-1</v>
      </c>
      <c r="T211" s="312" t="str">
        <f>+IF(OCTUBRE!T211=0,"",OCTUBRE!T211)</f>
        <v>Productos Farmaceuticos</v>
      </c>
      <c r="U211" s="373">
        <f>+ENERO!U212</f>
        <v>0</v>
      </c>
      <c r="V211" s="220">
        <f>OCTUBRE!V211+NOVIEMBRE!AL211</f>
        <v>0</v>
      </c>
      <c r="W211" s="220">
        <f>OCTUBRE!W211+NOVIEMBRE!AM211</f>
        <v>0</v>
      </c>
      <c r="X211" s="271">
        <f t="shared" ref="X211:X217" si="181">SUM(U211:W211)</f>
        <v>0</v>
      </c>
      <c r="Y211" s="270">
        <f>OCTUBRE!AA211</f>
        <v>0</v>
      </c>
      <c r="Z211" s="208">
        <v>0</v>
      </c>
      <c r="AA211" s="271">
        <f t="shared" ref="AA211:AA217" si="182">SUM(Y211:Z211)</f>
        <v>0</v>
      </c>
      <c r="AB211" s="270">
        <f>OCTUBRE!AD211</f>
        <v>0</v>
      </c>
      <c r="AC211" s="208">
        <v>0</v>
      </c>
      <c r="AD211" s="271">
        <f t="shared" ref="AD211:AD217" si="183">SUM(AB211:AC211)</f>
        <v>0</v>
      </c>
      <c r="AE211" s="270">
        <f>OCTUBRE!AG211</f>
        <v>0</v>
      </c>
      <c r="AF211" s="208">
        <v>0</v>
      </c>
      <c r="AG211" s="271">
        <f t="shared" ref="AG211:AG217" si="184">SUM(AE211:AF211)</f>
        <v>0</v>
      </c>
      <c r="AH211" s="270">
        <f t="shared" ref="AH211:AH217" si="185">X211-AA211</f>
        <v>0</v>
      </c>
      <c r="AI211" s="220">
        <f t="shared" ref="AI211:AI217" si="186">X211-AD211</f>
        <v>0</v>
      </c>
      <c r="AJ211" s="269">
        <f t="shared" ref="AJ211:AJ217" si="187">X211-AG211</f>
        <v>0</v>
      </c>
      <c r="AK211" s="101"/>
      <c r="AL211" s="204">
        <v>0</v>
      </c>
      <c r="AM211" s="210">
        <v>0</v>
      </c>
    </row>
    <row r="212" spans="19:39" ht="24.75" customHeight="1">
      <c r="S212" s="311" t="str">
        <f>+IF(OCTUBRE!S212=0,"",OCTUBRE!S212)</f>
        <v>5100100-2</v>
      </c>
      <c r="T212" s="312" t="str">
        <f>+IF(OCTUBRE!T212=0,"",OCTUBRE!T212)</f>
        <v>Material Médico Quirúrgico</v>
      </c>
      <c r="U212" s="373">
        <f>+ENERO!U213</f>
        <v>0</v>
      </c>
      <c r="V212" s="220">
        <f>OCTUBRE!V212+NOVIEMBRE!AL212</f>
        <v>0</v>
      </c>
      <c r="W212" s="220">
        <f>OCTUBRE!W212+NOVIEMBRE!AM212</f>
        <v>0</v>
      </c>
      <c r="X212" s="271">
        <f t="shared" si="181"/>
        <v>0</v>
      </c>
      <c r="Y212" s="270">
        <f>OCTUBRE!AA212</f>
        <v>0</v>
      </c>
      <c r="Z212" s="208">
        <v>0</v>
      </c>
      <c r="AA212" s="271">
        <f t="shared" si="182"/>
        <v>0</v>
      </c>
      <c r="AB212" s="270">
        <f>OCTUBRE!AD212</f>
        <v>0</v>
      </c>
      <c r="AC212" s="208">
        <v>0</v>
      </c>
      <c r="AD212" s="271">
        <f t="shared" si="183"/>
        <v>0</v>
      </c>
      <c r="AE212" s="270">
        <f>OCTUBRE!AG212</f>
        <v>0</v>
      </c>
      <c r="AF212" s="208">
        <v>0</v>
      </c>
      <c r="AG212" s="271">
        <f t="shared" si="184"/>
        <v>0</v>
      </c>
      <c r="AH212" s="270">
        <f t="shared" si="185"/>
        <v>0</v>
      </c>
      <c r="AI212" s="220">
        <f t="shared" si="186"/>
        <v>0</v>
      </c>
      <c r="AJ212" s="269">
        <f t="shared" si="187"/>
        <v>0</v>
      </c>
      <c r="AK212" s="101"/>
      <c r="AL212" s="204">
        <v>0</v>
      </c>
      <c r="AM212" s="210">
        <v>0</v>
      </c>
    </row>
    <row r="213" spans="19:39" ht="24.75" customHeight="1">
      <c r="S213" s="311" t="str">
        <f>+IF(OCTUBRE!S213=0,"",OCTUBRE!S213)</f>
        <v>5100100-3</v>
      </c>
      <c r="T213" s="312" t="str">
        <f>+IF(OCTUBRE!T213=0,"",OCTUBRE!T213)</f>
        <v>Material de Laboratorio</v>
      </c>
      <c r="U213" s="373">
        <f>+ENERO!U214</f>
        <v>0</v>
      </c>
      <c r="V213" s="220">
        <f>OCTUBRE!V213+NOVIEMBRE!AL213</f>
        <v>0</v>
      </c>
      <c r="W213" s="220">
        <f>OCTUBRE!W213+NOVIEMBRE!AM213</f>
        <v>0</v>
      </c>
      <c r="X213" s="271">
        <f t="shared" si="181"/>
        <v>0</v>
      </c>
      <c r="Y213" s="270">
        <f>OCTUBRE!AA213</f>
        <v>0</v>
      </c>
      <c r="Z213" s="208">
        <v>0</v>
      </c>
      <c r="AA213" s="271">
        <f t="shared" si="182"/>
        <v>0</v>
      </c>
      <c r="AB213" s="270">
        <f>OCTUBRE!AD213</f>
        <v>0</v>
      </c>
      <c r="AC213" s="208">
        <v>0</v>
      </c>
      <c r="AD213" s="271">
        <f t="shared" si="183"/>
        <v>0</v>
      </c>
      <c r="AE213" s="270">
        <f>OCTUBRE!AG213</f>
        <v>0</v>
      </c>
      <c r="AF213" s="208">
        <v>0</v>
      </c>
      <c r="AG213" s="271">
        <f t="shared" si="184"/>
        <v>0</v>
      </c>
      <c r="AH213" s="270">
        <f t="shared" si="185"/>
        <v>0</v>
      </c>
      <c r="AI213" s="220">
        <f t="shared" si="186"/>
        <v>0</v>
      </c>
      <c r="AJ213" s="269">
        <f t="shared" si="187"/>
        <v>0</v>
      </c>
      <c r="AK213" s="101"/>
      <c r="AL213" s="204">
        <v>0</v>
      </c>
      <c r="AM213" s="210">
        <v>0</v>
      </c>
    </row>
    <row r="214" spans="19:39" ht="24.75" customHeight="1">
      <c r="S214" s="311" t="str">
        <f>+IF(OCTUBRE!S214=0,"",OCTUBRE!S214)</f>
        <v>2.4.5.02.09.91122</v>
      </c>
      <c r="T214" s="312" t="str">
        <f>+IF(OCTUBRE!T214=0,"",OCTUBRE!T214)</f>
        <v>Servicios de Certificación, Habilitación y Acreditación</v>
      </c>
      <c r="U214" s="373">
        <f>+ENERO!U215</f>
        <v>3000000</v>
      </c>
      <c r="V214" s="220">
        <f>OCTUBRE!V214+NOVIEMBRE!AL214</f>
        <v>0</v>
      </c>
      <c r="W214" s="220">
        <f>OCTUBRE!W214+NOVIEMBRE!AM214</f>
        <v>0</v>
      </c>
      <c r="X214" s="271">
        <f t="shared" si="181"/>
        <v>3000000</v>
      </c>
      <c r="Y214" s="270">
        <f>OCTUBRE!AA214</f>
        <v>0</v>
      </c>
      <c r="Z214" s="208">
        <v>0</v>
      </c>
      <c r="AA214" s="271">
        <f t="shared" si="182"/>
        <v>0</v>
      </c>
      <c r="AB214" s="270">
        <f>OCTUBRE!AD214</f>
        <v>0</v>
      </c>
      <c r="AC214" s="208">
        <v>0</v>
      </c>
      <c r="AD214" s="271">
        <f t="shared" si="183"/>
        <v>0</v>
      </c>
      <c r="AE214" s="270">
        <f>OCTUBRE!AG214</f>
        <v>0</v>
      </c>
      <c r="AF214" s="208">
        <v>0</v>
      </c>
      <c r="AG214" s="271">
        <f t="shared" si="184"/>
        <v>0</v>
      </c>
      <c r="AH214" s="270">
        <f t="shared" si="185"/>
        <v>3000000</v>
      </c>
      <c r="AI214" s="220">
        <f t="shared" si="186"/>
        <v>3000000</v>
      </c>
      <c r="AJ214" s="269">
        <f t="shared" si="187"/>
        <v>3000000</v>
      </c>
      <c r="AK214" s="101"/>
      <c r="AL214" s="204">
        <v>0</v>
      </c>
      <c r="AM214" s="210">
        <v>0</v>
      </c>
    </row>
    <row r="215" spans="19:39" ht="24.75" customHeight="1">
      <c r="S215" s="311" t="str">
        <f>+IF(OCTUBRE!S215=0,"",OCTUBRE!S215)</f>
        <v>2.4.5.02.08.801.99</v>
      </c>
      <c r="T215" s="312" t="str">
        <f>+IF(OCTUBRE!T215=0,"",OCTUBRE!T215)</f>
        <v>Vigencias Anteriores</v>
      </c>
      <c r="U215" s="373">
        <f>+ENERO!U216</f>
        <v>0</v>
      </c>
      <c r="V215" s="220">
        <f>OCTUBRE!V215+NOVIEMBRE!AL215</f>
        <v>0</v>
      </c>
      <c r="W215" s="220">
        <f>OCTUBRE!W215+NOVIEMBRE!AM215</f>
        <v>0</v>
      </c>
      <c r="X215" s="271">
        <f t="shared" si="181"/>
        <v>0</v>
      </c>
      <c r="Y215" s="270">
        <f>OCTUBRE!AA215</f>
        <v>0</v>
      </c>
      <c r="Z215" s="208">
        <v>0</v>
      </c>
      <c r="AA215" s="271">
        <f t="shared" si="182"/>
        <v>0</v>
      </c>
      <c r="AB215" s="270">
        <f>OCTUBRE!AD215</f>
        <v>0</v>
      </c>
      <c r="AC215" s="208">
        <v>0</v>
      </c>
      <c r="AD215" s="271">
        <f t="shared" si="183"/>
        <v>0</v>
      </c>
      <c r="AE215" s="270">
        <f>OCTUBRE!AG215</f>
        <v>0</v>
      </c>
      <c r="AF215" s="208">
        <v>0</v>
      </c>
      <c r="AG215" s="271">
        <f t="shared" si="184"/>
        <v>0</v>
      </c>
      <c r="AH215" s="270">
        <f t="shared" si="185"/>
        <v>0</v>
      </c>
      <c r="AI215" s="220">
        <f t="shared" si="186"/>
        <v>0</v>
      </c>
      <c r="AJ215" s="269">
        <f t="shared" si="187"/>
        <v>0</v>
      </c>
      <c r="AK215" s="101"/>
      <c r="AL215" s="204">
        <v>0</v>
      </c>
      <c r="AM215" s="210">
        <v>0</v>
      </c>
    </row>
    <row r="216" spans="19:39" ht="24.75" customHeight="1">
      <c r="S216" s="311" t="str">
        <f>+IF(OCTUBRE!S216=0,"",OCTUBRE!S216)</f>
        <v>2.4.5.02.08.802.99</v>
      </c>
      <c r="T216" s="312" t="str">
        <f>+IF(OCTUBRE!T216=0,"",OCTUBRE!T216)</f>
        <v>Vigencias Anteriores</v>
      </c>
      <c r="U216" s="373">
        <f>+ENERO!U217</f>
        <v>0</v>
      </c>
      <c r="V216" s="220">
        <f>OCTUBRE!V216+NOVIEMBRE!AL216</f>
        <v>0</v>
      </c>
      <c r="W216" s="220">
        <f>OCTUBRE!W216+NOVIEMBRE!AM216</f>
        <v>0</v>
      </c>
      <c r="X216" s="271">
        <f t="shared" si="181"/>
        <v>0</v>
      </c>
      <c r="Y216" s="270">
        <f>OCTUBRE!AA216</f>
        <v>0</v>
      </c>
      <c r="Z216" s="208">
        <v>0</v>
      </c>
      <c r="AA216" s="271">
        <f t="shared" si="182"/>
        <v>0</v>
      </c>
      <c r="AB216" s="270">
        <f>OCTUBRE!AD216</f>
        <v>0</v>
      </c>
      <c r="AC216" s="208">
        <v>0</v>
      </c>
      <c r="AD216" s="271">
        <f t="shared" si="183"/>
        <v>0</v>
      </c>
      <c r="AE216" s="270">
        <f>OCTUBRE!AG216</f>
        <v>0</v>
      </c>
      <c r="AF216" s="208">
        <v>0</v>
      </c>
      <c r="AG216" s="271">
        <f t="shared" si="184"/>
        <v>0</v>
      </c>
      <c r="AH216" s="270">
        <f t="shared" si="185"/>
        <v>0</v>
      </c>
      <c r="AI216" s="220">
        <f t="shared" si="186"/>
        <v>0</v>
      </c>
      <c r="AJ216" s="269">
        <f t="shared" si="187"/>
        <v>0</v>
      </c>
      <c r="AK216" s="101"/>
      <c r="AL216" s="204">
        <v>0</v>
      </c>
      <c r="AM216" s="210">
        <v>0</v>
      </c>
    </row>
    <row r="217" spans="19:39" ht="24.75" customHeight="1" thickBot="1">
      <c r="S217" s="499" t="str">
        <f>+IF(OCTUBRE!S217=0,"",OCTUBRE!S217)</f>
        <v>2.4.5.02.08.99</v>
      </c>
      <c r="T217" s="500" t="str">
        <f>+IF(OCTUBRE!T217=0,"",OCTUBRE!T217)</f>
        <v>Vigencias Anteriores</v>
      </c>
      <c r="U217" s="547">
        <f>+ENERO!U218</f>
        <v>2200000000</v>
      </c>
      <c r="V217" s="468">
        <f>OCTUBRE!V217+NOVIEMBRE!AL217</f>
        <v>2112559635</v>
      </c>
      <c r="W217" s="468">
        <f>OCTUBRE!W217+NOVIEMBRE!AM217</f>
        <v>350000000</v>
      </c>
      <c r="X217" s="471">
        <f t="shared" si="181"/>
        <v>4662559635</v>
      </c>
      <c r="Y217" s="470">
        <f>OCTUBRE!AA217</f>
        <v>4596412660</v>
      </c>
      <c r="Z217" s="246"/>
      <c r="AA217" s="471">
        <f t="shared" si="182"/>
        <v>4596412660</v>
      </c>
      <c r="AB217" s="470">
        <f>OCTUBRE!AD217</f>
        <v>4596412660</v>
      </c>
      <c r="AC217" s="246"/>
      <c r="AD217" s="471">
        <f t="shared" si="183"/>
        <v>4596412660</v>
      </c>
      <c r="AE217" s="470">
        <f>OCTUBRE!AG217</f>
        <v>4596412660</v>
      </c>
      <c r="AF217" s="246"/>
      <c r="AG217" s="471">
        <f t="shared" si="184"/>
        <v>4596412660</v>
      </c>
      <c r="AH217" s="470">
        <f t="shared" si="185"/>
        <v>66146975</v>
      </c>
      <c r="AI217" s="468">
        <f t="shared" si="186"/>
        <v>66146975</v>
      </c>
      <c r="AJ217" s="469">
        <f t="shared" si="187"/>
        <v>66146975</v>
      </c>
      <c r="AK217" s="101"/>
      <c r="AL217" s="489">
        <v>0</v>
      </c>
      <c r="AM217" s="490">
        <v>0</v>
      </c>
    </row>
    <row r="218" spans="19:39" ht="24.75" customHeight="1" thickBot="1">
      <c r="S218" s="480">
        <f>+IF(OCTUBRE!S218=0,"",OCTUBRE!S218)</f>
        <v>1133096960</v>
      </c>
      <c r="T218" s="481" t="str">
        <f>+IF(OCTUBRE!T218=0,"",OCTUBRE!T218)</f>
        <v/>
      </c>
      <c r="U218" s="482"/>
      <c r="V218" s="482"/>
      <c r="W218" s="482"/>
      <c r="X218" s="482"/>
      <c r="Y218" s="482"/>
      <c r="Z218" s="482"/>
      <c r="AA218" s="482"/>
      <c r="AB218" s="482"/>
      <c r="AC218" s="482"/>
      <c r="AD218" s="482"/>
      <c r="AE218" s="482"/>
      <c r="AF218" s="482"/>
      <c r="AG218" s="482"/>
      <c r="AH218" s="482"/>
      <c r="AI218" s="482"/>
      <c r="AJ218" s="484"/>
      <c r="AK218" s="216"/>
      <c r="AL218" s="485"/>
      <c r="AM218" s="486"/>
    </row>
    <row r="219" spans="19:39" ht="24.75" customHeight="1">
      <c r="S219" s="176" t="str">
        <f>+IF(OCTUBRE!S219=0,"",OCTUBRE!S219)</f>
        <v>C</v>
      </c>
      <c r="T219" s="177" t="str">
        <f>+IF(OCTUBRE!T219=0,"",OCTUBRE!T219)</f>
        <v xml:space="preserve">SERVICIO DE LA DEUDA </v>
      </c>
      <c r="U219" s="178">
        <f t="shared" ref="U219:AJ219" si="188">U221+U226</f>
        <v>3239175000</v>
      </c>
      <c r="V219" s="179">
        <f t="shared" si="188"/>
        <v>-1100000000</v>
      </c>
      <c r="W219" s="179">
        <f t="shared" si="188"/>
        <v>0</v>
      </c>
      <c r="X219" s="182">
        <f t="shared" si="188"/>
        <v>2139175000</v>
      </c>
      <c r="Y219" s="181">
        <f t="shared" si="188"/>
        <v>1438780329</v>
      </c>
      <c r="Z219" s="179">
        <f t="shared" si="188"/>
        <v>270133025</v>
      </c>
      <c r="AA219" s="182">
        <f t="shared" si="188"/>
        <v>1708913354</v>
      </c>
      <c r="AB219" s="181">
        <f t="shared" si="188"/>
        <v>1438780329</v>
      </c>
      <c r="AC219" s="179">
        <f>AC221+AC226</f>
        <v>270133025</v>
      </c>
      <c r="AD219" s="182">
        <f t="shared" si="188"/>
        <v>1708913354</v>
      </c>
      <c r="AE219" s="181">
        <f t="shared" si="188"/>
        <v>1438780329</v>
      </c>
      <c r="AF219" s="179">
        <f>AF221+AF226</f>
        <v>270133025</v>
      </c>
      <c r="AG219" s="182">
        <f t="shared" si="188"/>
        <v>1708913354</v>
      </c>
      <c r="AH219" s="181">
        <f t="shared" si="188"/>
        <v>430261646</v>
      </c>
      <c r="AI219" s="179">
        <f t="shared" si="188"/>
        <v>430261646</v>
      </c>
      <c r="AJ219" s="180">
        <f t="shared" si="188"/>
        <v>430261646</v>
      </c>
      <c r="AK219" s="487"/>
      <c r="AL219" s="181">
        <f>AL221+AL226</f>
        <v>-1100000000</v>
      </c>
      <c r="AM219" s="180">
        <f>AM221+AM226</f>
        <v>0</v>
      </c>
    </row>
    <row r="220" spans="19:39" ht="24.75" customHeight="1">
      <c r="S220" s="189">
        <f>+IF(OCTUBRE!S220=0,"",OCTUBRE!S220)</f>
        <v>1133096960</v>
      </c>
      <c r="T220" s="488" t="str">
        <f>+IF(OCTUBRE!T220=0,"",OCTUBRE!T220)</f>
        <v/>
      </c>
      <c r="U220" s="191"/>
      <c r="V220" s="191"/>
      <c r="W220" s="191"/>
      <c r="X220" s="191"/>
      <c r="Y220" s="191"/>
      <c r="Z220" s="191"/>
      <c r="AA220" s="191"/>
      <c r="AB220" s="191"/>
      <c r="AC220" s="191"/>
      <c r="AD220" s="191"/>
      <c r="AE220" s="191"/>
      <c r="AF220" s="191"/>
      <c r="AG220" s="191"/>
      <c r="AH220" s="191"/>
      <c r="AI220" s="191"/>
      <c r="AJ220" s="192"/>
      <c r="AK220" s="101"/>
      <c r="AL220" s="370"/>
      <c r="AM220" s="371"/>
    </row>
    <row r="221" spans="19:39" ht="24.75" customHeight="1">
      <c r="S221" s="257">
        <f>+IF(OCTUBRE!S221=0,"",OCTUBRE!S221)</f>
        <v>7001000</v>
      </c>
      <c r="T221" s="546" t="str">
        <f>+IF(OCTUBRE!T221=0,"",OCTUBRE!T221)</f>
        <v>SERVICIO DE LA DEUDA INTERNA</v>
      </c>
      <c r="U221" s="230">
        <f t="shared" ref="U221:AJ221" si="189">SUM(U222:U224)</f>
        <v>3239175000</v>
      </c>
      <c r="V221" s="231">
        <f t="shared" si="189"/>
        <v>-1100000000</v>
      </c>
      <c r="W221" s="231">
        <f t="shared" si="189"/>
        <v>0</v>
      </c>
      <c r="X221" s="234">
        <f t="shared" si="189"/>
        <v>2139175000</v>
      </c>
      <c r="Y221" s="233">
        <f t="shared" si="189"/>
        <v>1438780329</v>
      </c>
      <c r="Z221" s="231">
        <f t="shared" si="189"/>
        <v>270133025</v>
      </c>
      <c r="AA221" s="234">
        <f t="shared" si="189"/>
        <v>1708913354</v>
      </c>
      <c r="AB221" s="233">
        <f t="shared" si="189"/>
        <v>1438780329</v>
      </c>
      <c r="AC221" s="231">
        <f>SUM(AC222:AC224)</f>
        <v>270133025</v>
      </c>
      <c r="AD221" s="234">
        <f t="shared" si="189"/>
        <v>1708913354</v>
      </c>
      <c r="AE221" s="233">
        <f t="shared" si="189"/>
        <v>1438780329</v>
      </c>
      <c r="AF221" s="231">
        <f>SUM(AF222:AF224)</f>
        <v>270133025</v>
      </c>
      <c r="AG221" s="234">
        <f t="shared" si="189"/>
        <v>1708913354</v>
      </c>
      <c r="AH221" s="233">
        <f t="shared" si="189"/>
        <v>430261646</v>
      </c>
      <c r="AI221" s="231">
        <f t="shared" si="189"/>
        <v>430261646</v>
      </c>
      <c r="AJ221" s="232">
        <f t="shared" si="189"/>
        <v>430261646</v>
      </c>
      <c r="AK221" s="101"/>
      <c r="AL221" s="233">
        <f>SUM(AL222:AL224)</f>
        <v>-1100000000</v>
      </c>
      <c r="AM221" s="232">
        <f>SUM(AM222:AM224)</f>
        <v>0</v>
      </c>
    </row>
    <row r="222" spans="19:39" ht="24.75" customHeight="1">
      <c r="S222" s="266" t="str">
        <f>+IF(OCTUBRE!S222=0,"",OCTUBRE!S222)</f>
        <v>2.2.2.2.01.02.002.02</v>
      </c>
      <c r="T222" s="267" t="str">
        <f>+IF(OCTUBRE!T222=0,"",OCTUBRE!T222)</f>
        <v>Banca Comercial</v>
      </c>
      <c r="U222" s="373">
        <f>+ENERO!U223</f>
        <v>2000000000</v>
      </c>
      <c r="V222" s="220">
        <f>OCTUBRE!V222+NOVIEMBRE!AL222</f>
        <v>-1250000000</v>
      </c>
      <c r="W222" s="220">
        <f>OCTUBRE!W222+NOVIEMBRE!AM222</f>
        <v>0</v>
      </c>
      <c r="X222" s="271">
        <f>SUM(U222:W222)</f>
        <v>750000000</v>
      </c>
      <c r="Y222" s="270">
        <f>OCTUBRE!AA222</f>
        <v>332491536</v>
      </c>
      <c r="Z222" s="208">
        <v>166245768</v>
      </c>
      <c r="AA222" s="271">
        <f>SUM(Y222:Z222)</f>
        <v>498737304</v>
      </c>
      <c r="AB222" s="270">
        <f>OCTUBRE!AD222</f>
        <v>332491536</v>
      </c>
      <c r="AC222" s="208">
        <v>166245768</v>
      </c>
      <c r="AD222" s="271">
        <f>SUM(AB222:AC222)</f>
        <v>498737304</v>
      </c>
      <c r="AE222" s="270">
        <f>OCTUBRE!AG222</f>
        <v>332491536</v>
      </c>
      <c r="AF222" s="208">
        <v>166245768</v>
      </c>
      <c r="AG222" s="271">
        <f>SUM(AE222:AF222)</f>
        <v>498737304</v>
      </c>
      <c r="AH222" s="270">
        <f>X222-AA222</f>
        <v>251262696</v>
      </c>
      <c r="AI222" s="220">
        <f>X222-AD222</f>
        <v>251262696</v>
      </c>
      <c r="AJ222" s="269">
        <f>X222-AG222</f>
        <v>251262696</v>
      </c>
      <c r="AK222" s="101"/>
      <c r="AL222" s="204">
        <v>-900000000</v>
      </c>
      <c r="AM222" s="210">
        <v>0</v>
      </c>
    </row>
    <row r="223" spans="19:39" ht="24.75" customHeight="1">
      <c r="S223" s="266" t="s">
        <v>699</v>
      </c>
      <c r="T223" s="267" t="str">
        <f>+IF(OCTUBRE!T223=0,"",OCTUBRE!T223)</f>
        <v>Intereses Comisiones y gastos de la Deuda Pública</v>
      </c>
      <c r="U223" s="373">
        <f>+ENERO!U224</f>
        <v>1239175000</v>
      </c>
      <c r="V223" s="220">
        <f>OCTUBRE!V223+NOVIEMBRE!AL223</f>
        <v>150000000</v>
      </c>
      <c r="W223" s="220">
        <f>OCTUBRE!W223+NOVIEMBRE!AM223</f>
        <v>0</v>
      </c>
      <c r="X223" s="271">
        <f>SUM(U223:W223)</f>
        <v>1389175000</v>
      </c>
      <c r="Y223" s="270">
        <f>OCTUBRE!AA223</f>
        <v>1106288793</v>
      </c>
      <c r="Z223" s="208">
        <v>103887257</v>
      </c>
      <c r="AA223" s="271">
        <f>SUM(Y223:Z223)</f>
        <v>1210176050</v>
      </c>
      <c r="AB223" s="270">
        <f>OCTUBRE!AD223</f>
        <v>1106288793</v>
      </c>
      <c r="AC223" s="208">
        <v>103887257</v>
      </c>
      <c r="AD223" s="271">
        <f>SUM(AB223:AC223)</f>
        <v>1210176050</v>
      </c>
      <c r="AE223" s="270">
        <f>OCTUBRE!AG223</f>
        <v>1106288793</v>
      </c>
      <c r="AF223" s="208">
        <v>103887257</v>
      </c>
      <c r="AG223" s="271">
        <f>SUM(AE223:AF223)</f>
        <v>1210176050</v>
      </c>
      <c r="AH223" s="270">
        <f>X223-AA223</f>
        <v>178998950</v>
      </c>
      <c r="AI223" s="220">
        <f>X223-AD223</f>
        <v>178998950</v>
      </c>
      <c r="AJ223" s="269">
        <f>X223-AG223</f>
        <v>178998950</v>
      </c>
      <c r="AK223" s="101"/>
      <c r="AL223" s="204">
        <v>-200000000</v>
      </c>
      <c r="AM223" s="210"/>
    </row>
    <row r="224" spans="19:39" ht="24.75" customHeight="1">
      <c r="S224" s="266" t="str">
        <f>+IF(OCTUBRE!S224=0,"",OCTUBRE!S224)</f>
        <v>2.2.2.02</v>
      </c>
      <c r="T224" s="267" t="str">
        <f>+IF(OCTUBRE!T224=0,"",OCTUBRE!T224)</f>
        <v>Vigencias Anteriores Deuda Pública</v>
      </c>
      <c r="U224" s="373">
        <f>+ENERO!U225</f>
        <v>0</v>
      </c>
      <c r="V224" s="220">
        <f>OCTUBRE!V224+NOVIEMBRE!AL224</f>
        <v>0</v>
      </c>
      <c r="W224" s="220">
        <f>OCTUBRE!W224+NOVIEMBRE!AM224</f>
        <v>0</v>
      </c>
      <c r="X224" s="271">
        <f>SUM(U224:W224)</f>
        <v>0</v>
      </c>
      <c r="Y224" s="270">
        <f>OCTUBRE!AA224</f>
        <v>0</v>
      </c>
      <c r="Z224" s="208">
        <v>0</v>
      </c>
      <c r="AA224" s="271">
        <f>SUM(Y224:Z224)</f>
        <v>0</v>
      </c>
      <c r="AB224" s="270">
        <f>OCTUBRE!AD224</f>
        <v>0</v>
      </c>
      <c r="AC224" s="208">
        <v>0</v>
      </c>
      <c r="AD224" s="271">
        <f>SUM(AB224:AC224)</f>
        <v>0</v>
      </c>
      <c r="AE224" s="270">
        <f>OCTUBRE!AG224</f>
        <v>0</v>
      </c>
      <c r="AF224" s="208">
        <v>0</v>
      </c>
      <c r="AG224" s="271">
        <f>SUM(AE224:AF224)</f>
        <v>0</v>
      </c>
      <c r="AH224" s="270">
        <f>X224-AA224</f>
        <v>0</v>
      </c>
      <c r="AI224" s="220">
        <f>X224-AD224</f>
        <v>0</v>
      </c>
      <c r="AJ224" s="269">
        <f>X224-AG224</f>
        <v>0</v>
      </c>
      <c r="AK224" s="101"/>
      <c r="AL224" s="204">
        <v>0</v>
      </c>
      <c r="AM224" s="210">
        <v>0</v>
      </c>
    </row>
    <row r="225" spans="19:39" ht="24.75" customHeight="1">
      <c r="S225" s="189" t="str">
        <f>+IF(OCTUBRE!S225=0,"",OCTUBRE!S225)</f>
        <v/>
      </c>
      <c r="T225" s="488" t="str">
        <f>+IF(OCTUBRE!T225=0,"",OCTUBRE!T225)</f>
        <v/>
      </c>
      <c r="U225" s="191"/>
      <c r="V225" s="191"/>
      <c r="W225" s="191"/>
      <c r="X225" s="191"/>
      <c r="Y225" s="191"/>
      <c r="Z225" s="191"/>
      <c r="AA225" s="191"/>
      <c r="AB225" s="191"/>
      <c r="AC225" s="191"/>
      <c r="AD225" s="191"/>
      <c r="AE225" s="191"/>
      <c r="AF225" s="191"/>
      <c r="AG225" s="191"/>
      <c r="AH225" s="191"/>
      <c r="AI225" s="191"/>
      <c r="AJ225" s="192"/>
      <c r="AK225" s="216"/>
      <c r="AL225" s="370"/>
      <c r="AM225" s="371"/>
    </row>
    <row r="226" spans="19:39" ht="24.75" customHeight="1">
      <c r="S226" s="257">
        <f>+IF(OCTUBRE!S226=0,"",OCTUBRE!S226)</f>
        <v>7002001</v>
      </c>
      <c r="T226" s="546" t="str">
        <f>+IF(OCTUBRE!T226=0,"",OCTUBRE!T226)</f>
        <v>SERVICIO DE LA DEUDA EXTERNA</v>
      </c>
      <c r="U226" s="230">
        <f t="shared" ref="U226:AJ226" si="190">SUM(U227:U229)</f>
        <v>0</v>
      </c>
      <c r="V226" s="231">
        <f t="shared" si="190"/>
        <v>0</v>
      </c>
      <c r="W226" s="231">
        <f t="shared" si="190"/>
        <v>0</v>
      </c>
      <c r="X226" s="234">
        <f t="shared" si="190"/>
        <v>0</v>
      </c>
      <c r="Y226" s="233">
        <f t="shared" si="190"/>
        <v>0</v>
      </c>
      <c r="Z226" s="231">
        <f t="shared" si="190"/>
        <v>0</v>
      </c>
      <c r="AA226" s="234">
        <f t="shared" si="190"/>
        <v>0</v>
      </c>
      <c r="AB226" s="233">
        <f t="shared" si="190"/>
        <v>0</v>
      </c>
      <c r="AC226" s="231">
        <f>SUM(AC227:AC229)</f>
        <v>0</v>
      </c>
      <c r="AD226" s="234">
        <f t="shared" si="190"/>
        <v>0</v>
      </c>
      <c r="AE226" s="233">
        <f t="shared" si="190"/>
        <v>0</v>
      </c>
      <c r="AF226" s="231">
        <f>SUM(AF227:AF229)</f>
        <v>0</v>
      </c>
      <c r="AG226" s="234">
        <f t="shared" si="190"/>
        <v>0</v>
      </c>
      <c r="AH226" s="233">
        <f t="shared" si="190"/>
        <v>0</v>
      </c>
      <c r="AI226" s="231">
        <f t="shared" si="190"/>
        <v>0</v>
      </c>
      <c r="AJ226" s="232">
        <f t="shared" si="190"/>
        <v>0</v>
      </c>
      <c r="AK226" s="216"/>
      <c r="AL226" s="233">
        <f>SUM(AL227:AL229)</f>
        <v>0</v>
      </c>
      <c r="AM226" s="232">
        <f>SUM(AM227:AM229)</f>
        <v>0</v>
      </c>
    </row>
    <row r="227" spans="19:39" ht="24.75" customHeight="1">
      <c r="S227" s="266">
        <f>+IF(OCTUBRE!S227=0,"",OCTUBRE!S227)</f>
        <v>7002100</v>
      </c>
      <c r="T227" s="267" t="str">
        <f>+IF(OCTUBRE!T227=0,"",OCTUBRE!T227)</f>
        <v>Amortización deuda Pública Externa</v>
      </c>
      <c r="U227" s="373">
        <f>+ENERO!U228</f>
        <v>0</v>
      </c>
      <c r="V227" s="220">
        <f>OCTUBRE!V227+NOVIEMBRE!AL227</f>
        <v>0</v>
      </c>
      <c r="W227" s="220">
        <f>OCTUBRE!W227+NOVIEMBRE!AM227</f>
        <v>0</v>
      </c>
      <c r="X227" s="271">
        <f>SUM(U227:W227)</f>
        <v>0</v>
      </c>
      <c r="Y227" s="270">
        <f>OCTUBRE!AA227</f>
        <v>0</v>
      </c>
      <c r="Z227" s="208">
        <v>0</v>
      </c>
      <c r="AA227" s="271">
        <f>SUM(Y227:Z227)</f>
        <v>0</v>
      </c>
      <c r="AB227" s="270">
        <f>OCTUBRE!AD227</f>
        <v>0</v>
      </c>
      <c r="AC227" s="208">
        <v>0</v>
      </c>
      <c r="AD227" s="271">
        <f>SUM(AB227:AC227)</f>
        <v>0</v>
      </c>
      <c r="AE227" s="270">
        <f>OCTUBRE!AG227</f>
        <v>0</v>
      </c>
      <c r="AF227" s="208">
        <v>0</v>
      </c>
      <c r="AG227" s="271">
        <f>SUM(AE227:AF227)</f>
        <v>0</v>
      </c>
      <c r="AH227" s="270">
        <f>X227-AA227</f>
        <v>0</v>
      </c>
      <c r="AI227" s="220">
        <f>X227-AD227</f>
        <v>0</v>
      </c>
      <c r="AJ227" s="269">
        <f>X227-AG227</f>
        <v>0</v>
      </c>
      <c r="AK227" s="101"/>
      <c r="AL227" s="204">
        <v>0</v>
      </c>
      <c r="AM227" s="210">
        <v>0</v>
      </c>
    </row>
    <row r="228" spans="19:39" ht="24.75" customHeight="1">
      <c r="S228" s="266">
        <f>+IF(OCTUBRE!S228=0,"",OCTUBRE!S228)</f>
        <v>7002200</v>
      </c>
      <c r="T228" s="267" t="str">
        <f>+IF(OCTUBRE!T228=0,"",OCTUBRE!T228)</f>
        <v>Intereses Comisiones y gastos de la Deuda Pública</v>
      </c>
      <c r="U228" s="373">
        <f>+ENERO!U229</f>
        <v>0</v>
      </c>
      <c r="V228" s="220">
        <f>OCTUBRE!V228+NOVIEMBRE!AL228</f>
        <v>0</v>
      </c>
      <c r="W228" s="220">
        <f>OCTUBRE!W228+NOVIEMBRE!AM228</f>
        <v>0</v>
      </c>
      <c r="X228" s="271">
        <f>SUM(U228:W228)</f>
        <v>0</v>
      </c>
      <c r="Y228" s="270">
        <f>OCTUBRE!AA228</f>
        <v>0</v>
      </c>
      <c r="Z228" s="208">
        <v>0</v>
      </c>
      <c r="AA228" s="271">
        <f>SUM(Y228:Z228)</f>
        <v>0</v>
      </c>
      <c r="AB228" s="270">
        <f>OCTUBRE!AD228</f>
        <v>0</v>
      </c>
      <c r="AC228" s="208">
        <v>0</v>
      </c>
      <c r="AD228" s="271">
        <f>SUM(AB228:AC228)</f>
        <v>0</v>
      </c>
      <c r="AE228" s="270">
        <f>OCTUBRE!AG228</f>
        <v>0</v>
      </c>
      <c r="AF228" s="208">
        <v>0</v>
      </c>
      <c r="AG228" s="271">
        <f>SUM(AE228:AF228)</f>
        <v>0</v>
      </c>
      <c r="AH228" s="270">
        <f>X228-AA228</f>
        <v>0</v>
      </c>
      <c r="AI228" s="220">
        <f>X228-AD228</f>
        <v>0</v>
      </c>
      <c r="AJ228" s="269">
        <f>X228-AG228</f>
        <v>0</v>
      </c>
      <c r="AK228" s="101"/>
      <c r="AL228" s="204">
        <v>0</v>
      </c>
      <c r="AM228" s="210">
        <v>0</v>
      </c>
    </row>
    <row r="229" spans="19:39" ht="24.75" customHeight="1" thickBot="1">
      <c r="S229" s="466">
        <f>+IF(OCTUBRE!S229=0,"",OCTUBRE!S229)</f>
        <v>7002999</v>
      </c>
      <c r="T229" s="467" t="str">
        <f>+IF(OCTUBRE!T229=0,"",OCTUBRE!T229)</f>
        <v>Vigencias Anteriores</v>
      </c>
      <c r="U229" s="547">
        <f>+ENERO!U230</f>
        <v>0</v>
      </c>
      <c r="V229" s="468">
        <f>OCTUBRE!V229+NOVIEMBRE!AL229</f>
        <v>0</v>
      </c>
      <c r="W229" s="468">
        <f>OCTUBRE!W229+NOVIEMBRE!AM229</f>
        <v>0</v>
      </c>
      <c r="X229" s="471">
        <f>SUM(U229:W229)</f>
        <v>0</v>
      </c>
      <c r="Y229" s="470">
        <f>OCTUBRE!AA229</f>
        <v>0</v>
      </c>
      <c r="Z229" s="246">
        <v>0</v>
      </c>
      <c r="AA229" s="471">
        <f>SUM(Y229:Z229)</f>
        <v>0</v>
      </c>
      <c r="AB229" s="470">
        <f>OCTUBRE!AD229</f>
        <v>0</v>
      </c>
      <c r="AC229" s="246">
        <v>0</v>
      </c>
      <c r="AD229" s="471">
        <f>SUM(AB229:AC229)</f>
        <v>0</v>
      </c>
      <c r="AE229" s="470">
        <f>OCTUBRE!AG229</f>
        <v>0</v>
      </c>
      <c r="AF229" s="246">
        <v>0</v>
      </c>
      <c r="AG229" s="471">
        <f>SUM(AE229:AF229)</f>
        <v>0</v>
      </c>
      <c r="AH229" s="470">
        <f>X229-AA229</f>
        <v>0</v>
      </c>
      <c r="AI229" s="468">
        <f>X229-AD229</f>
        <v>0</v>
      </c>
      <c r="AJ229" s="469">
        <f>X229-AG229</f>
        <v>0</v>
      </c>
      <c r="AK229" s="101"/>
      <c r="AL229" s="489">
        <v>0</v>
      </c>
      <c r="AM229" s="490">
        <v>0</v>
      </c>
    </row>
    <row r="230" spans="19:39" ht="24.75" customHeight="1">
      <c r="S230" s="455" t="str">
        <f>+IF(OCTUBRE!S230=0,"",OCTUBRE!S230)</f>
        <v/>
      </c>
      <c r="T230" s="456" t="str">
        <f>+IF(OCTUBRE!T230=0,"",OCTUBRE!T230)</f>
        <v/>
      </c>
      <c r="U230" s="457"/>
      <c r="V230" s="457"/>
      <c r="W230" s="457"/>
      <c r="X230" s="457"/>
      <c r="Y230" s="457"/>
      <c r="Z230" s="457"/>
      <c r="AA230" s="457"/>
      <c r="AB230" s="457"/>
      <c r="AC230" s="457"/>
      <c r="AD230" s="457"/>
      <c r="AE230" s="457"/>
      <c r="AF230" s="457"/>
      <c r="AG230" s="457"/>
      <c r="AH230" s="457"/>
      <c r="AI230" s="457"/>
      <c r="AJ230" s="458"/>
      <c r="AK230" s="101"/>
      <c r="AL230" s="491"/>
      <c r="AM230" s="492"/>
    </row>
    <row r="231" spans="19:39" ht="24.75" customHeight="1">
      <c r="S231" s="493" t="str">
        <f>+IF(OCTUBRE!S231=0,"",OCTUBRE!S231)</f>
        <v>D</v>
      </c>
      <c r="T231" s="494" t="str">
        <f>+IF(OCTUBRE!T231=0,"",OCTUBRE!T231)</f>
        <v>INVERSION</v>
      </c>
      <c r="U231" s="405">
        <f t="shared" ref="U231:AJ231" si="191">U233+U242</f>
        <v>0</v>
      </c>
      <c r="V231" s="406">
        <f t="shared" si="191"/>
        <v>-450000000</v>
      </c>
      <c r="W231" s="406">
        <f t="shared" si="191"/>
        <v>38989587445</v>
      </c>
      <c r="X231" s="407">
        <f t="shared" si="191"/>
        <v>38539587445</v>
      </c>
      <c r="Y231" s="217">
        <f t="shared" si="191"/>
        <v>22448289970</v>
      </c>
      <c r="Z231" s="406">
        <f t="shared" si="191"/>
        <v>1680725792</v>
      </c>
      <c r="AA231" s="407">
        <f t="shared" si="191"/>
        <v>24129015762</v>
      </c>
      <c r="AB231" s="217">
        <f t="shared" si="191"/>
        <v>16648941763</v>
      </c>
      <c r="AC231" s="406">
        <f>AC233+AC242</f>
        <v>1770066044</v>
      </c>
      <c r="AD231" s="407">
        <f t="shared" si="191"/>
        <v>18419007807</v>
      </c>
      <c r="AE231" s="217">
        <f t="shared" si="191"/>
        <v>12669681657</v>
      </c>
      <c r="AF231" s="406">
        <f>AF233+AF242</f>
        <v>1683893061</v>
      </c>
      <c r="AG231" s="407">
        <f t="shared" si="191"/>
        <v>14353574718</v>
      </c>
      <c r="AH231" s="217">
        <f t="shared" si="191"/>
        <v>14410571683</v>
      </c>
      <c r="AI231" s="406">
        <f t="shared" si="191"/>
        <v>20120579638</v>
      </c>
      <c r="AJ231" s="218">
        <f t="shared" si="191"/>
        <v>24186012727</v>
      </c>
      <c r="AK231" s="487"/>
      <c r="AL231" s="217">
        <f>AL233+AL242</f>
        <v>-450000000</v>
      </c>
      <c r="AM231" s="218">
        <f>AM233+AM242</f>
        <v>11667126796</v>
      </c>
    </row>
    <row r="232" spans="19:39" ht="24.75" customHeight="1">
      <c r="S232" s="189" t="str">
        <f>+IF(OCTUBRE!S232=0,"",OCTUBRE!S232)</f>
        <v/>
      </c>
      <c r="T232" s="488" t="str">
        <f>+IF(OCTUBRE!T232=0,"",OCTUBRE!T232)</f>
        <v/>
      </c>
      <c r="U232" s="191"/>
      <c r="V232" s="191"/>
      <c r="W232" s="191"/>
      <c r="X232" s="191"/>
      <c r="Y232" s="191"/>
      <c r="Z232" s="191"/>
      <c r="AA232" s="191"/>
      <c r="AB232" s="191"/>
      <c r="AC232" s="191"/>
      <c r="AD232" s="191"/>
      <c r="AE232" s="191"/>
      <c r="AF232" s="191"/>
      <c r="AG232" s="191"/>
      <c r="AH232" s="191"/>
      <c r="AI232" s="191"/>
      <c r="AJ232" s="192"/>
      <c r="AK232" s="101"/>
      <c r="AL232" s="370"/>
      <c r="AM232" s="371"/>
    </row>
    <row r="233" spans="19:39" ht="24.75" customHeight="1">
      <c r="S233" s="257">
        <f>+IF(OCTUBRE!S233=0,"",OCTUBRE!S233)</f>
        <v>8000000</v>
      </c>
      <c r="T233" s="546" t="str">
        <f>+IF(OCTUBRE!T233=0,"",OCTUBRE!T233)</f>
        <v>Programas de Inversión</v>
      </c>
      <c r="U233" s="230">
        <f t="shared" ref="U233:AJ233" si="192">U234</f>
        <v>0</v>
      </c>
      <c r="V233" s="231">
        <f t="shared" si="192"/>
        <v>-450000000</v>
      </c>
      <c r="W233" s="231">
        <f t="shared" si="192"/>
        <v>38989587445</v>
      </c>
      <c r="X233" s="234">
        <f t="shared" si="192"/>
        <v>38539587445</v>
      </c>
      <c r="Y233" s="233">
        <f t="shared" si="192"/>
        <v>22448289970</v>
      </c>
      <c r="Z233" s="231">
        <f t="shared" si="192"/>
        <v>1680725792</v>
      </c>
      <c r="AA233" s="234">
        <f t="shared" si="192"/>
        <v>24129015762</v>
      </c>
      <c r="AB233" s="233">
        <f t="shared" si="192"/>
        <v>16648941763</v>
      </c>
      <c r="AC233" s="231">
        <f t="shared" si="192"/>
        <v>1770066044</v>
      </c>
      <c r="AD233" s="234">
        <f t="shared" si="192"/>
        <v>18419007807</v>
      </c>
      <c r="AE233" s="233">
        <f t="shared" si="192"/>
        <v>12669681657</v>
      </c>
      <c r="AF233" s="231">
        <f t="shared" si="192"/>
        <v>1683893061</v>
      </c>
      <c r="AG233" s="234">
        <f t="shared" si="192"/>
        <v>14353574718</v>
      </c>
      <c r="AH233" s="233">
        <f t="shared" si="192"/>
        <v>14410571683</v>
      </c>
      <c r="AI233" s="231">
        <f t="shared" si="192"/>
        <v>20120579638</v>
      </c>
      <c r="AJ233" s="232">
        <f t="shared" si="192"/>
        <v>24186012727</v>
      </c>
      <c r="AK233" s="101"/>
      <c r="AL233" s="1020">
        <f t="shared" ref="AL233" si="193">AL234</f>
        <v>-450000000</v>
      </c>
      <c r="AM233" s="232">
        <f>AM234</f>
        <v>11667126796</v>
      </c>
    </row>
    <row r="234" spans="19:39" ht="24.75" customHeight="1">
      <c r="S234" s="266">
        <f>+IF(OCTUBRE!S234=0,"",OCTUBRE!S234)</f>
        <v>8001000</v>
      </c>
      <c r="T234" s="267" t="str">
        <f>+IF(OCTUBRE!T234=0,"",OCTUBRE!T234)</f>
        <v>Formación Bruta del Capital</v>
      </c>
      <c r="U234" s="373">
        <f t="shared" ref="U234:AJ234" si="194">SUM(U235:U240)</f>
        <v>0</v>
      </c>
      <c r="V234" s="220">
        <f t="shared" si="194"/>
        <v>-450000000</v>
      </c>
      <c r="W234" s="220">
        <f t="shared" si="194"/>
        <v>38989587445</v>
      </c>
      <c r="X234" s="271">
        <f t="shared" si="194"/>
        <v>38539587445</v>
      </c>
      <c r="Y234" s="270">
        <f t="shared" si="194"/>
        <v>22448289970</v>
      </c>
      <c r="Z234" s="300">
        <f t="shared" si="194"/>
        <v>1680725792</v>
      </c>
      <c r="AA234" s="271">
        <f t="shared" si="194"/>
        <v>24129015762</v>
      </c>
      <c r="AB234" s="270">
        <f t="shared" si="194"/>
        <v>16648941763</v>
      </c>
      <c r="AC234" s="300">
        <f>SUM(AC235:AC240)</f>
        <v>1770066044</v>
      </c>
      <c r="AD234" s="271">
        <f t="shared" si="194"/>
        <v>18419007807</v>
      </c>
      <c r="AE234" s="270">
        <f t="shared" si="194"/>
        <v>12669681657</v>
      </c>
      <c r="AF234" s="300">
        <f>SUM(AF235:AF240)</f>
        <v>1683893061</v>
      </c>
      <c r="AG234" s="271">
        <f t="shared" si="194"/>
        <v>14353574718</v>
      </c>
      <c r="AH234" s="270">
        <f t="shared" si="194"/>
        <v>14410571683</v>
      </c>
      <c r="AI234" s="220">
        <f t="shared" si="194"/>
        <v>20120579638</v>
      </c>
      <c r="AJ234" s="269">
        <f t="shared" si="194"/>
        <v>24186012727</v>
      </c>
      <c r="AK234" s="101"/>
      <c r="AL234" s="1022">
        <f t="shared" ref="AL234" si="195">SUM(AL235:AL240)</f>
        <v>-450000000</v>
      </c>
      <c r="AM234" s="302">
        <f>SUM(AM235:AM240)</f>
        <v>11667126796</v>
      </c>
    </row>
    <row r="235" spans="19:39" ht="24.75" customHeight="1">
      <c r="S235" s="311" t="str">
        <f>+IF(OCTUBRE!S235=0,"",OCTUBRE!S235)</f>
        <v>2.3.2.01.01</v>
      </c>
      <c r="T235" s="312" t="str">
        <f>+IF(OCTUBRE!T235=0,"",OCTUBRE!T235)</f>
        <v>Activos Fijos</v>
      </c>
      <c r="U235" s="373">
        <f>+ENERO!U236</f>
        <v>0</v>
      </c>
      <c r="V235" s="220">
        <f>OCTUBRE!V235+NOVIEMBRE!AL235</f>
        <v>0</v>
      </c>
      <c r="W235" s="220">
        <f>OCTUBRE!W235+NOVIEMBRE!AM235</f>
        <v>1306632408</v>
      </c>
      <c r="X235" s="271">
        <f t="shared" ref="X235:X240" si="196">SUM(U235:W235)</f>
        <v>1306632408</v>
      </c>
      <c r="Y235" s="270">
        <f>OCTUBRE!AA235</f>
        <v>0</v>
      </c>
      <c r="Z235" s="208">
        <v>0</v>
      </c>
      <c r="AA235" s="271">
        <f t="shared" ref="AA235:AA240" si="197">SUM(Y235:Z235)</f>
        <v>0</v>
      </c>
      <c r="AB235" s="270">
        <f>OCTUBRE!AD235</f>
        <v>0</v>
      </c>
      <c r="AC235" s="208">
        <v>0</v>
      </c>
      <c r="AD235" s="271">
        <f t="shared" ref="AD235:AD240" si="198">SUM(AB235:AC235)</f>
        <v>0</v>
      </c>
      <c r="AE235" s="270">
        <f>OCTUBRE!AG235</f>
        <v>0</v>
      </c>
      <c r="AF235" s="208">
        <v>0</v>
      </c>
      <c r="AG235" s="271">
        <f t="shared" ref="AG235:AG240" si="199">SUM(AE235:AF235)</f>
        <v>0</v>
      </c>
      <c r="AH235" s="270">
        <f t="shared" ref="AH235:AH240" si="200">X235-AA235</f>
        <v>1306632408</v>
      </c>
      <c r="AI235" s="220">
        <f t="shared" ref="AI235:AI240" si="201">X235-AD235</f>
        <v>1306632408</v>
      </c>
      <c r="AJ235" s="269">
        <f t="shared" ref="AJ235:AJ240" si="202">X235-AG235</f>
        <v>1306632408</v>
      </c>
      <c r="AK235" s="101"/>
      <c r="AL235" s="204">
        <v>0</v>
      </c>
      <c r="AM235" s="210"/>
    </row>
    <row r="236" spans="19:39" ht="24.75" customHeight="1">
      <c r="S236" s="311" t="str">
        <f>+IF(OCTUBRE!S236=0,"",OCTUBRE!S236)</f>
        <v>2.3.2.02.02.005</v>
      </c>
      <c r="T236" s="312" t="str">
        <f>+IF(OCTUBRE!T236=0,"",OCTUBRE!T236)</f>
        <v>Proyecto Mantenimiento Preventivo y Correctivo de Infraestructura</v>
      </c>
      <c r="U236" s="373">
        <f>+ENERO!U237</f>
        <v>0</v>
      </c>
      <c r="V236" s="220">
        <f>OCTUBRE!V236+NOVIEMBRE!AL236</f>
        <v>0</v>
      </c>
      <c r="W236" s="220">
        <f>OCTUBRE!W236+NOVIEMBRE!AM236</f>
        <v>0</v>
      </c>
      <c r="X236" s="271">
        <f t="shared" si="196"/>
        <v>0</v>
      </c>
      <c r="Y236" s="270">
        <f>OCTUBRE!AA236</f>
        <v>0</v>
      </c>
      <c r="Z236" s="208">
        <v>0</v>
      </c>
      <c r="AA236" s="271">
        <f t="shared" si="197"/>
        <v>0</v>
      </c>
      <c r="AB236" s="270">
        <f>OCTUBRE!AD236</f>
        <v>0</v>
      </c>
      <c r="AC236" s="208">
        <v>0</v>
      </c>
      <c r="AD236" s="271">
        <f t="shared" si="198"/>
        <v>0</v>
      </c>
      <c r="AE236" s="270">
        <f>OCTUBRE!AG236</f>
        <v>0</v>
      </c>
      <c r="AF236" s="208">
        <v>0</v>
      </c>
      <c r="AG236" s="271">
        <f t="shared" si="199"/>
        <v>0</v>
      </c>
      <c r="AH236" s="270">
        <f t="shared" si="200"/>
        <v>0</v>
      </c>
      <c r="AI236" s="220">
        <f t="shared" si="201"/>
        <v>0</v>
      </c>
      <c r="AJ236" s="269">
        <f t="shared" si="202"/>
        <v>0</v>
      </c>
      <c r="AK236" s="101"/>
      <c r="AL236" s="204">
        <v>0</v>
      </c>
      <c r="AM236" s="210"/>
    </row>
    <row r="237" spans="19:39" ht="24.75" customHeight="1">
      <c r="S237" s="311" t="str">
        <f>+IF(OCTUBRE!S237=0,"",OCTUBRE!S237)</f>
        <v>2.3.2.02.02.009</v>
      </c>
      <c r="T237" s="312" t="str">
        <f>+IF(OCTUBRE!T237=0,"",OCTUBRE!T237)</f>
        <v>Servicios para la Comunidad Sociales y personales</v>
      </c>
      <c r="U237" s="373">
        <f>+ENERO!U238</f>
        <v>0</v>
      </c>
      <c r="V237" s="220">
        <f>OCTUBRE!V237+NOVIEMBRE!AL237</f>
        <v>0</v>
      </c>
      <c r="W237" s="220">
        <f>OCTUBRE!W237+NOVIEMBRE!AM237</f>
        <v>37232172508</v>
      </c>
      <c r="X237" s="271">
        <f t="shared" si="196"/>
        <v>37232172508</v>
      </c>
      <c r="Y237" s="270">
        <f>OCTUBRE!AA237</f>
        <v>22448289970</v>
      </c>
      <c r="Z237" s="208">
        <v>1680725792</v>
      </c>
      <c r="AA237" s="271">
        <f t="shared" si="197"/>
        <v>24129015762</v>
      </c>
      <c r="AB237" s="270">
        <f>OCTUBRE!AD237</f>
        <v>16648941763</v>
      </c>
      <c r="AC237" s="208">
        <v>1770066044</v>
      </c>
      <c r="AD237" s="271">
        <f t="shared" si="198"/>
        <v>18419007807</v>
      </c>
      <c r="AE237" s="270">
        <f>OCTUBRE!AG237</f>
        <v>12669681657</v>
      </c>
      <c r="AF237" s="208">
        <v>1683893061</v>
      </c>
      <c r="AG237" s="271">
        <f t="shared" si="199"/>
        <v>14353574718</v>
      </c>
      <c r="AH237" s="270">
        <f t="shared" si="200"/>
        <v>13103156746</v>
      </c>
      <c r="AI237" s="220">
        <f t="shared" si="201"/>
        <v>18813164701</v>
      </c>
      <c r="AJ237" s="269">
        <f t="shared" si="202"/>
        <v>22878597790</v>
      </c>
      <c r="AK237" s="101"/>
      <c r="AL237" s="204">
        <v>0</v>
      </c>
      <c r="AM237" s="210">
        <f>1996205405+8962327015+600189450+108404926</f>
        <v>11667126796</v>
      </c>
    </row>
    <row r="238" spans="19:39" ht="24.75" customHeight="1">
      <c r="S238" s="311" t="str">
        <f>+IF(OCTUBRE!S238=0,"",OCTUBRE!S238)</f>
        <v>2.3.2.02.02.008</v>
      </c>
      <c r="T238" s="312" t="str">
        <f>+IF(OCTUBRE!T238=0,"",OCTUBRE!T238)</f>
        <v>Servicios prestados a las empresas y servicios de produccion</v>
      </c>
      <c r="U238" s="373">
        <f>+ENERO!U239</f>
        <v>0</v>
      </c>
      <c r="V238" s="220">
        <f>OCTUBRE!V238+NOVIEMBRE!AL238</f>
        <v>0</v>
      </c>
      <c r="W238" s="220">
        <f>OCTUBRE!W238+NOVIEMBRE!AM238</f>
        <v>0</v>
      </c>
      <c r="X238" s="271">
        <f t="shared" si="196"/>
        <v>0</v>
      </c>
      <c r="Y238" s="270">
        <f>OCTUBRE!AA238</f>
        <v>0</v>
      </c>
      <c r="Z238" s="208">
        <v>0</v>
      </c>
      <c r="AA238" s="271">
        <f t="shared" si="197"/>
        <v>0</v>
      </c>
      <c r="AB238" s="270">
        <f>OCTUBRE!AD238</f>
        <v>0</v>
      </c>
      <c r="AC238" s="208">
        <v>0</v>
      </c>
      <c r="AD238" s="271">
        <f t="shared" si="198"/>
        <v>0</v>
      </c>
      <c r="AE238" s="270">
        <f>OCTUBRE!AG238</f>
        <v>0</v>
      </c>
      <c r="AF238" s="208">
        <v>0</v>
      </c>
      <c r="AG238" s="271">
        <f t="shared" si="199"/>
        <v>0</v>
      </c>
      <c r="AH238" s="270">
        <f t="shared" si="200"/>
        <v>0</v>
      </c>
      <c r="AI238" s="220">
        <f t="shared" si="201"/>
        <v>0</v>
      </c>
      <c r="AJ238" s="269">
        <f t="shared" si="202"/>
        <v>0</v>
      </c>
      <c r="AK238" s="101"/>
      <c r="AL238" s="204">
        <v>0</v>
      </c>
      <c r="AM238" s="210"/>
    </row>
    <row r="239" spans="19:39" ht="24.75" customHeight="1">
      <c r="S239" s="311" t="str">
        <f>+IF(OCTUBRE!S239=0,"",OCTUBRE!S239)</f>
        <v>8001000-5</v>
      </c>
      <c r="T239" s="312" t="str">
        <f>+IF(OCTUBRE!T239=0,"",OCTUBRE!T239)</f>
        <v>Subprogr.Construc. Remodelac. Adecuación y Apliac.5</v>
      </c>
      <c r="U239" s="373">
        <f>+ENERO!U240</f>
        <v>0</v>
      </c>
      <c r="V239" s="220">
        <f>OCTUBRE!V239+NOVIEMBRE!AL239</f>
        <v>0</v>
      </c>
      <c r="W239" s="220">
        <f>OCTUBRE!W239+NOVIEMBRE!AM239</f>
        <v>0</v>
      </c>
      <c r="X239" s="271">
        <f t="shared" si="196"/>
        <v>0</v>
      </c>
      <c r="Y239" s="270">
        <f>OCTUBRE!AA239</f>
        <v>0</v>
      </c>
      <c r="Z239" s="208">
        <v>0</v>
      </c>
      <c r="AA239" s="271">
        <f t="shared" si="197"/>
        <v>0</v>
      </c>
      <c r="AB239" s="270">
        <f>OCTUBRE!AD239</f>
        <v>0</v>
      </c>
      <c r="AC239" s="208">
        <v>0</v>
      </c>
      <c r="AD239" s="271">
        <f t="shared" si="198"/>
        <v>0</v>
      </c>
      <c r="AE239" s="270">
        <f>OCTUBRE!AG239</f>
        <v>0</v>
      </c>
      <c r="AF239" s="208">
        <v>0</v>
      </c>
      <c r="AG239" s="271">
        <f t="shared" si="199"/>
        <v>0</v>
      </c>
      <c r="AH239" s="270">
        <f t="shared" si="200"/>
        <v>0</v>
      </c>
      <c r="AI239" s="220">
        <f t="shared" si="201"/>
        <v>0</v>
      </c>
      <c r="AJ239" s="269">
        <f t="shared" si="202"/>
        <v>0</v>
      </c>
      <c r="AK239" s="101"/>
      <c r="AL239" s="204">
        <v>0</v>
      </c>
      <c r="AM239" s="210">
        <v>0</v>
      </c>
    </row>
    <row r="240" spans="19:39" ht="24.75" customHeight="1">
      <c r="S240" s="496" t="str">
        <f>+IF(OCTUBRE!S240=0,"",OCTUBRE!S240)</f>
        <v>2.3.2.02.02.009.99</v>
      </c>
      <c r="T240" s="312" t="str">
        <f>+IF(OCTUBRE!T240=0,"",OCTUBRE!T240)</f>
        <v>Vigencias Anteriores</v>
      </c>
      <c r="U240" s="373">
        <f>+ENERO!U241</f>
        <v>0</v>
      </c>
      <c r="V240" s="220">
        <f>OCTUBRE!V240+NOVIEMBRE!AL240</f>
        <v>-450000000</v>
      </c>
      <c r="W240" s="220">
        <f>OCTUBRE!W240+NOVIEMBRE!AM240</f>
        <v>450782529</v>
      </c>
      <c r="X240" s="271">
        <f t="shared" si="196"/>
        <v>782529</v>
      </c>
      <c r="Y240" s="270">
        <f>OCTUBRE!AA240</f>
        <v>0</v>
      </c>
      <c r="Z240" s="208">
        <v>0</v>
      </c>
      <c r="AA240" s="271">
        <f t="shared" si="197"/>
        <v>0</v>
      </c>
      <c r="AB240" s="270">
        <f>OCTUBRE!AD240</f>
        <v>0</v>
      </c>
      <c r="AC240" s="208">
        <v>0</v>
      </c>
      <c r="AD240" s="271">
        <f t="shared" si="198"/>
        <v>0</v>
      </c>
      <c r="AE240" s="270">
        <f>OCTUBRE!AG240</f>
        <v>0</v>
      </c>
      <c r="AF240" s="208">
        <v>0</v>
      </c>
      <c r="AG240" s="271">
        <f t="shared" si="199"/>
        <v>0</v>
      </c>
      <c r="AH240" s="270">
        <f t="shared" si="200"/>
        <v>782529</v>
      </c>
      <c r="AI240" s="220">
        <f t="shared" si="201"/>
        <v>782529</v>
      </c>
      <c r="AJ240" s="269">
        <f t="shared" si="202"/>
        <v>782529</v>
      </c>
      <c r="AK240" s="101"/>
      <c r="AL240" s="204">
        <v>-450000000</v>
      </c>
      <c r="AM240" s="210">
        <v>0</v>
      </c>
    </row>
    <row r="241" spans="19:39" ht="24.75" customHeight="1">
      <c r="S241" s="189" t="str">
        <f>+IF(OCTUBRE!S241=0,"",OCTUBRE!S241)</f>
        <v/>
      </c>
      <c r="T241" s="488" t="str">
        <f>+IF(OCTUBRE!T241=0,"",OCTUBRE!T241)</f>
        <v/>
      </c>
      <c r="U241" s="191"/>
      <c r="V241" s="191"/>
      <c r="W241" s="191"/>
      <c r="X241" s="191"/>
      <c r="Y241" s="191"/>
      <c r="Z241" s="191"/>
      <c r="AA241" s="191"/>
      <c r="AB241" s="191"/>
      <c r="AC241" s="191"/>
      <c r="AD241" s="191"/>
      <c r="AE241" s="191"/>
      <c r="AF241" s="191"/>
      <c r="AG241" s="191"/>
      <c r="AH241" s="191"/>
      <c r="AI241" s="191"/>
      <c r="AJ241" s="192"/>
      <c r="AK241" s="101"/>
      <c r="AL241" s="370"/>
      <c r="AM241" s="371"/>
    </row>
    <row r="242" spans="19:39" ht="24.75" customHeight="1">
      <c r="S242" s="257">
        <f>+IF(OCTUBRE!S242=0,"",OCTUBRE!S242)</f>
        <v>8002001</v>
      </c>
      <c r="T242" s="546" t="str">
        <f>+IF(OCTUBRE!T242=0,"",OCTUBRE!T242)</f>
        <v>Gastos Operativos de Inversion   (Programas Especiales)</v>
      </c>
      <c r="U242" s="230">
        <f t="shared" ref="U242:AJ242" si="203">SUM(U243:U255)</f>
        <v>0</v>
      </c>
      <c r="V242" s="231">
        <f t="shared" si="203"/>
        <v>0</v>
      </c>
      <c r="W242" s="231">
        <f t="shared" si="203"/>
        <v>0</v>
      </c>
      <c r="X242" s="234">
        <f t="shared" si="203"/>
        <v>0</v>
      </c>
      <c r="Y242" s="233">
        <f t="shared" si="203"/>
        <v>0</v>
      </c>
      <c r="Z242" s="231">
        <f t="shared" si="203"/>
        <v>0</v>
      </c>
      <c r="AA242" s="234">
        <f t="shared" si="203"/>
        <v>0</v>
      </c>
      <c r="AB242" s="233">
        <f t="shared" si="203"/>
        <v>0</v>
      </c>
      <c r="AC242" s="231">
        <f>SUM(AC243:AC255)</f>
        <v>0</v>
      </c>
      <c r="AD242" s="234">
        <f t="shared" si="203"/>
        <v>0</v>
      </c>
      <c r="AE242" s="233">
        <f t="shared" si="203"/>
        <v>0</v>
      </c>
      <c r="AF242" s="231">
        <f>SUM(AF243:AF255)</f>
        <v>0</v>
      </c>
      <c r="AG242" s="234">
        <f t="shared" si="203"/>
        <v>0</v>
      </c>
      <c r="AH242" s="233">
        <f t="shared" si="203"/>
        <v>0</v>
      </c>
      <c r="AI242" s="231">
        <f t="shared" si="203"/>
        <v>0</v>
      </c>
      <c r="AJ242" s="232">
        <f t="shared" si="203"/>
        <v>0</v>
      </c>
      <c r="AK242" s="101"/>
      <c r="AL242" s="233">
        <f>SUM(AL243:AL255)</f>
        <v>0</v>
      </c>
      <c r="AM242" s="232">
        <f>SUM(AM243:AM255)</f>
        <v>0</v>
      </c>
    </row>
    <row r="243" spans="19:39" ht="24.75" customHeight="1">
      <c r="S243" s="311" t="str">
        <f>+IF(OCTUBRE!S243=0,"",OCTUBRE!S243)</f>
        <v>8002100-1</v>
      </c>
      <c r="T243" s="312" t="str">
        <f>+IF(OCTUBRE!T243=0,"",OCTUBRE!T243)</f>
        <v>Fondo de la Vivienda</v>
      </c>
      <c r="U243" s="373">
        <f>+ENERO!U244</f>
        <v>0</v>
      </c>
      <c r="V243" s="220">
        <f>OCTUBRE!V243+NOVIEMBRE!AL243</f>
        <v>0</v>
      </c>
      <c r="W243" s="220">
        <f>OCTUBRE!W243+NOVIEMBRE!AM243</f>
        <v>0</v>
      </c>
      <c r="X243" s="271">
        <f t="shared" ref="X243:X255" si="204">SUM(U243:W243)</f>
        <v>0</v>
      </c>
      <c r="Y243" s="270">
        <f>OCTUBRE!AA243</f>
        <v>0</v>
      </c>
      <c r="Z243" s="208">
        <v>0</v>
      </c>
      <c r="AA243" s="271">
        <f t="shared" ref="AA243:AA255" si="205">SUM(Y243:Z243)</f>
        <v>0</v>
      </c>
      <c r="AB243" s="270">
        <f>OCTUBRE!AD243</f>
        <v>0</v>
      </c>
      <c r="AC243" s="208">
        <v>0</v>
      </c>
      <c r="AD243" s="271">
        <f t="shared" ref="AD243:AD255" si="206">SUM(AB243:AC243)</f>
        <v>0</v>
      </c>
      <c r="AE243" s="270">
        <f>OCTUBRE!AG243</f>
        <v>0</v>
      </c>
      <c r="AF243" s="208">
        <v>0</v>
      </c>
      <c r="AG243" s="271">
        <f t="shared" ref="AG243:AG255" si="207">SUM(AE243:AF243)</f>
        <v>0</v>
      </c>
      <c r="AH243" s="270">
        <f t="shared" ref="AH243:AH255" si="208">X243-AA243</f>
        <v>0</v>
      </c>
      <c r="AI243" s="220">
        <f t="shared" ref="AI243:AI255" si="209">X243-AD243</f>
        <v>0</v>
      </c>
      <c r="AJ243" s="269">
        <f t="shared" ref="AJ243:AJ255" si="210">X243-AG243</f>
        <v>0</v>
      </c>
      <c r="AK243" s="101"/>
      <c r="AL243" s="204">
        <v>0</v>
      </c>
      <c r="AM243" s="210">
        <v>0</v>
      </c>
    </row>
    <row r="244" spans="19:39" ht="24.75" customHeight="1">
      <c r="S244" s="311" t="str">
        <f>+IF(OCTUBRE!S244=0,"",OCTUBRE!S244)</f>
        <v>8002100-2</v>
      </c>
      <c r="T244" s="312" t="str">
        <f>+IF(OCTUBRE!T244=0,"",OCTUBRE!T244)</f>
        <v>Plan Nacional de Vacunación</v>
      </c>
      <c r="U244" s="373">
        <f>+ENERO!U245</f>
        <v>0</v>
      </c>
      <c r="V244" s="220">
        <f>OCTUBRE!V244+NOVIEMBRE!AL244</f>
        <v>0</v>
      </c>
      <c r="W244" s="220">
        <f>OCTUBRE!W244+NOVIEMBRE!AM244</f>
        <v>0</v>
      </c>
      <c r="X244" s="271">
        <f t="shared" si="204"/>
        <v>0</v>
      </c>
      <c r="Y244" s="270">
        <f>OCTUBRE!AA244</f>
        <v>0</v>
      </c>
      <c r="Z244" s="208">
        <v>0</v>
      </c>
      <c r="AA244" s="271">
        <f t="shared" si="205"/>
        <v>0</v>
      </c>
      <c r="AB244" s="270">
        <f>OCTUBRE!AD244</f>
        <v>0</v>
      </c>
      <c r="AC244" s="208">
        <v>0</v>
      </c>
      <c r="AD244" s="271">
        <f t="shared" si="206"/>
        <v>0</v>
      </c>
      <c r="AE244" s="270">
        <f>OCTUBRE!AG244</f>
        <v>0</v>
      </c>
      <c r="AF244" s="208">
        <v>0</v>
      </c>
      <c r="AG244" s="271">
        <f t="shared" si="207"/>
        <v>0</v>
      </c>
      <c r="AH244" s="270">
        <f t="shared" si="208"/>
        <v>0</v>
      </c>
      <c r="AI244" s="220">
        <f t="shared" si="209"/>
        <v>0</v>
      </c>
      <c r="AJ244" s="269">
        <f t="shared" si="210"/>
        <v>0</v>
      </c>
      <c r="AK244" s="101"/>
      <c r="AL244" s="204">
        <v>0</v>
      </c>
      <c r="AM244" s="210">
        <v>0</v>
      </c>
    </row>
    <row r="245" spans="19:39" ht="24.75" customHeight="1">
      <c r="S245" s="311" t="str">
        <f>+IF(OCTUBRE!S245=0,"",OCTUBRE!S245)</f>
        <v>8002100-3</v>
      </c>
      <c r="T245" s="312" t="str">
        <f>+IF(OCTUBRE!T245=0,"",OCTUBRE!T245)</f>
        <v>Adquisicion de Equipos de Computo</v>
      </c>
      <c r="U245" s="373">
        <f>+ENERO!U246</f>
        <v>0</v>
      </c>
      <c r="V245" s="220">
        <f>OCTUBRE!V245+NOVIEMBRE!AL245</f>
        <v>0</v>
      </c>
      <c r="W245" s="220">
        <f>OCTUBRE!W245+NOVIEMBRE!AM245</f>
        <v>0</v>
      </c>
      <c r="X245" s="271">
        <f t="shared" si="204"/>
        <v>0</v>
      </c>
      <c r="Y245" s="270">
        <f>OCTUBRE!AA245</f>
        <v>0</v>
      </c>
      <c r="Z245" s="208">
        <v>0</v>
      </c>
      <c r="AA245" s="271">
        <f t="shared" si="205"/>
        <v>0</v>
      </c>
      <c r="AB245" s="270">
        <f>OCTUBRE!AD245</f>
        <v>0</v>
      </c>
      <c r="AC245" s="208">
        <v>0</v>
      </c>
      <c r="AD245" s="271">
        <f t="shared" si="206"/>
        <v>0</v>
      </c>
      <c r="AE245" s="270">
        <f>OCTUBRE!AG245</f>
        <v>0</v>
      </c>
      <c r="AF245" s="208">
        <v>0</v>
      </c>
      <c r="AG245" s="271">
        <f t="shared" si="207"/>
        <v>0</v>
      </c>
      <c r="AH245" s="270">
        <f t="shared" si="208"/>
        <v>0</v>
      </c>
      <c r="AI245" s="220">
        <f t="shared" si="209"/>
        <v>0</v>
      </c>
      <c r="AJ245" s="269">
        <f t="shared" si="210"/>
        <v>0</v>
      </c>
      <c r="AK245" s="101"/>
      <c r="AL245" s="204">
        <v>0</v>
      </c>
      <c r="AM245" s="210">
        <v>0</v>
      </c>
    </row>
    <row r="246" spans="19:39" ht="24.75" customHeight="1">
      <c r="S246" s="311" t="str">
        <f>+IF(OCTUBRE!S246=0,"",OCTUBRE!S246)</f>
        <v>8002100-4</v>
      </c>
      <c r="T246" s="312" t="str">
        <f>+IF(OCTUBRE!T246=0,"",OCTUBRE!T246)</f>
        <v>Adquisiciòm de Dispositvos mèdicos para dotaciòn proyecto de Quiròfanos</v>
      </c>
      <c r="U246" s="373">
        <f>+ENERO!U247</f>
        <v>0</v>
      </c>
      <c r="V246" s="220">
        <f>OCTUBRE!V246+NOVIEMBRE!AL246</f>
        <v>0</v>
      </c>
      <c r="W246" s="220">
        <f>OCTUBRE!W246+NOVIEMBRE!AM246</f>
        <v>0</v>
      </c>
      <c r="X246" s="271">
        <f t="shared" si="204"/>
        <v>0</v>
      </c>
      <c r="Y246" s="270">
        <f>OCTUBRE!AA246</f>
        <v>0</v>
      </c>
      <c r="Z246" s="208">
        <v>0</v>
      </c>
      <c r="AA246" s="271">
        <f t="shared" si="205"/>
        <v>0</v>
      </c>
      <c r="AB246" s="270">
        <f>OCTUBRE!AD246</f>
        <v>0</v>
      </c>
      <c r="AC246" s="208">
        <v>0</v>
      </c>
      <c r="AD246" s="271">
        <f t="shared" si="206"/>
        <v>0</v>
      </c>
      <c r="AE246" s="270">
        <f>OCTUBRE!AG246</f>
        <v>0</v>
      </c>
      <c r="AF246" s="208">
        <v>0</v>
      </c>
      <c r="AG246" s="271">
        <f t="shared" si="207"/>
        <v>0</v>
      </c>
      <c r="AH246" s="270">
        <f t="shared" si="208"/>
        <v>0</v>
      </c>
      <c r="AI246" s="220">
        <f t="shared" si="209"/>
        <v>0</v>
      </c>
      <c r="AJ246" s="269">
        <f t="shared" si="210"/>
        <v>0</v>
      </c>
      <c r="AK246" s="101"/>
      <c r="AL246" s="204">
        <v>0</v>
      </c>
      <c r="AM246" s="210">
        <v>0</v>
      </c>
    </row>
    <row r="247" spans="19:39" ht="24.75" customHeight="1">
      <c r="S247" s="311" t="str">
        <f>+IF(OCTUBRE!S247=0,"",OCTUBRE!S247)</f>
        <v>8002100-5</v>
      </c>
      <c r="T247" s="312" t="str">
        <f>+IF(OCTUBRE!T247=0,"",OCTUBRE!T247)</f>
        <v>Programas Especial 04</v>
      </c>
      <c r="U247" s="373">
        <f>+ENERO!U248</f>
        <v>0</v>
      </c>
      <c r="V247" s="220">
        <f>OCTUBRE!V247+NOVIEMBRE!AL247</f>
        <v>0</v>
      </c>
      <c r="W247" s="220">
        <f>OCTUBRE!W247+NOVIEMBRE!AM247</f>
        <v>0</v>
      </c>
      <c r="X247" s="271">
        <f t="shared" si="204"/>
        <v>0</v>
      </c>
      <c r="Y247" s="270">
        <f>OCTUBRE!AA247</f>
        <v>0</v>
      </c>
      <c r="Z247" s="208">
        <v>0</v>
      </c>
      <c r="AA247" s="271">
        <f t="shared" si="205"/>
        <v>0</v>
      </c>
      <c r="AB247" s="270">
        <f>OCTUBRE!AD247</f>
        <v>0</v>
      </c>
      <c r="AC247" s="208">
        <v>0</v>
      </c>
      <c r="AD247" s="271">
        <f t="shared" si="206"/>
        <v>0</v>
      </c>
      <c r="AE247" s="270">
        <f>OCTUBRE!AG247</f>
        <v>0</v>
      </c>
      <c r="AF247" s="208">
        <v>0</v>
      </c>
      <c r="AG247" s="271">
        <f t="shared" si="207"/>
        <v>0</v>
      </c>
      <c r="AH247" s="270">
        <f t="shared" si="208"/>
        <v>0</v>
      </c>
      <c r="AI247" s="220">
        <f t="shared" si="209"/>
        <v>0</v>
      </c>
      <c r="AJ247" s="269">
        <f t="shared" si="210"/>
        <v>0</v>
      </c>
      <c r="AK247" s="101"/>
      <c r="AL247" s="204">
        <v>0</v>
      </c>
      <c r="AM247" s="210">
        <v>0</v>
      </c>
    </row>
    <row r="248" spans="19:39" ht="24.75" customHeight="1">
      <c r="S248" s="311" t="str">
        <f>+IF(OCTUBRE!S248=0,"",OCTUBRE!S248)</f>
        <v>8002100-6</v>
      </c>
      <c r="T248" s="312" t="str">
        <f>+IF(OCTUBRE!T248=0,"",OCTUBRE!T248)</f>
        <v>Programas Especial 05</v>
      </c>
      <c r="U248" s="373">
        <f>+ENERO!U249</f>
        <v>0</v>
      </c>
      <c r="V248" s="220">
        <f>OCTUBRE!V248+NOVIEMBRE!AL248</f>
        <v>0</v>
      </c>
      <c r="W248" s="220">
        <f>OCTUBRE!W248+NOVIEMBRE!AM248</f>
        <v>0</v>
      </c>
      <c r="X248" s="271">
        <f t="shared" si="204"/>
        <v>0</v>
      </c>
      <c r="Y248" s="270">
        <f>OCTUBRE!AA248</f>
        <v>0</v>
      </c>
      <c r="Z248" s="208">
        <v>0</v>
      </c>
      <c r="AA248" s="271">
        <f t="shared" si="205"/>
        <v>0</v>
      </c>
      <c r="AB248" s="270">
        <f>OCTUBRE!AD248</f>
        <v>0</v>
      </c>
      <c r="AC248" s="208">
        <v>0</v>
      </c>
      <c r="AD248" s="271">
        <f t="shared" si="206"/>
        <v>0</v>
      </c>
      <c r="AE248" s="270">
        <f>OCTUBRE!AG248</f>
        <v>0</v>
      </c>
      <c r="AF248" s="208">
        <v>0</v>
      </c>
      <c r="AG248" s="271">
        <f t="shared" si="207"/>
        <v>0</v>
      </c>
      <c r="AH248" s="270">
        <f t="shared" si="208"/>
        <v>0</v>
      </c>
      <c r="AI248" s="220">
        <f t="shared" si="209"/>
        <v>0</v>
      </c>
      <c r="AJ248" s="269">
        <f t="shared" si="210"/>
        <v>0</v>
      </c>
      <c r="AK248" s="101"/>
      <c r="AL248" s="204">
        <v>0</v>
      </c>
      <c r="AM248" s="210">
        <v>0</v>
      </c>
    </row>
    <row r="249" spans="19:39" ht="24.75" customHeight="1">
      <c r="S249" s="311" t="str">
        <f>+IF(OCTUBRE!S249=0,"",OCTUBRE!S249)</f>
        <v>8002100-7</v>
      </c>
      <c r="T249" s="312" t="str">
        <f>+IF(OCTUBRE!T249=0,"",OCTUBRE!T249)</f>
        <v>Programas Especial 06</v>
      </c>
      <c r="U249" s="373">
        <f>+ENERO!U250</f>
        <v>0</v>
      </c>
      <c r="V249" s="220">
        <f>OCTUBRE!V249+NOVIEMBRE!AL249</f>
        <v>0</v>
      </c>
      <c r="W249" s="220">
        <f>OCTUBRE!W249+NOVIEMBRE!AM249</f>
        <v>0</v>
      </c>
      <c r="X249" s="271">
        <f t="shared" si="204"/>
        <v>0</v>
      </c>
      <c r="Y249" s="270">
        <f>OCTUBRE!AA249</f>
        <v>0</v>
      </c>
      <c r="Z249" s="208">
        <v>0</v>
      </c>
      <c r="AA249" s="271">
        <f t="shared" si="205"/>
        <v>0</v>
      </c>
      <c r="AB249" s="270">
        <f>OCTUBRE!AD249</f>
        <v>0</v>
      </c>
      <c r="AC249" s="208">
        <v>0</v>
      </c>
      <c r="AD249" s="271">
        <f t="shared" si="206"/>
        <v>0</v>
      </c>
      <c r="AE249" s="270">
        <f>OCTUBRE!AG249</f>
        <v>0</v>
      </c>
      <c r="AF249" s="208">
        <v>0</v>
      </c>
      <c r="AG249" s="271">
        <f t="shared" si="207"/>
        <v>0</v>
      </c>
      <c r="AH249" s="270">
        <f t="shared" si="208"/>
        <v>0</v>
      </c>
      <c r="AI249" s="220">
        <f t="shared" si="209"/>
        <v>0</v>
      </c>
      <c r="AJ249" s="269">
        <f t="shared" si="210"/>
        <v>0</v>
      </c>
      <c r="AK249" s="101"/>
      <c r="AL249" s="204">
        <v>0</v>
      </c>
      <c r="AM249" s="210">
        <v>0</v>
      </c>
    </row>
    <row r="250" spans="19:39" ht="24.75" customHeight="1">
      <c r="S250" s="311" t="str">
        <f>+IF(OCTUBRE!S250=0,"",OCTUBRE!S250)</f>
        <v>8002100-8</v>
      </c>
      <c r="T250" s="312" t="str">
        <f>+IF(OCTUBRE!T250=0,"",OCTUBRE!T250)</f>
        <v>Programas Especial 07</v>
      </c>
      <c r="U250" s="373">
        <f>+ENERO!U251</f>
        <v>0</v>
      </c>
      <c r="V250" s="220">
        <f>OCTUBRE!V250+NOVIEMBRE!AL250</f>
        <v>0</v>
      </c>
      <c r="W250" s="220">
        <f>OCTUBRE!W250+NOVIEMBRE!AM250</f>
        <v>0</v>
      </c>
      <c r="X250" s="271">
        <f t="shared" si="204"/>
        <v>0</v>
      </c>
      <c r="Y250" s="270">
        <f>OCTUBRE!AA250</f>
        <v>0</v>
      </c>
      <c r="Z250" s="208">
        <v>0</v>
      </c>
      <c r="AA250" s="271">
        <f t="shared" si="205"/>
        <v>0</v>
      </c>
      <c r="AB250" s="270">
        <f>OCTUBRE!AD250</f>
        <v>0</v>
      </c>
      <c r="AC250" s="208">
        <v>0</v>
      </c>
      <c r="AD250" s="271">
        <f t="shared" si="206"/>
        <v>0</v>
      </c>
      <c r="AE250" s="270">
        <f>OCTUBRE!AG250</f>
        <v>0</v>
      </c>
      <c r="AF250" s="208">
        <v>0</v>
      </c>
      <c r="AG250" s="271">
        <f t="shared" si="207"/>
        <v>0</v>
      </c>
      <c r="AH250" s="270">
        <f t="shared" si="208"/>
        <v>0</v>
      </c>
      <c r="AI250" s="220">
        <f t="shared" si="209"/>
        <v>0</v>
      </c>
      <c r="AJ250" s="269">
        <f t="shared" si="210"/>
        <v>0</v>
      </c>
      <c r="AK250" s="101"/>
      <c r="AL250" s="204">
        <v>0</v>
      </c>
      <c r="AM250" s="210">
        <v>0</v>
      </c>
    </row>
    <row r="251" spans="19:39" ht="24.75" customHeight="1">
      <c r="S251" s="311" t="str">
        <f>+IF(OCTUBRE!S251=0,"",OCTUBRE!S251)</f>
        <v>8002100-9</v>
      </c>
      <c r="T251" s="312" t="str">
        <f>+IF(OCTUBRE!T251=0,"",OCTUBRE!T251)</f>
        <v>Programas Especial 08</v>
      </c>
      <c r="U251" s="373">
        <f>+ENERO!U252</f>
        <v>0</v>
      </c>
      <c r="V251" s="220">
        <f>OCTUBRE!V251+NOVIEMBRE!AL251</f>
        <v>0</v>
      </c>
      <c r="W251" s="220">
        <f>OCTUBRE!W251+NOVIEMBRE!AM251</f>
        <v>0</v>
      </c>
      <c r="X251" s="271">
        <f t="shared" si="204"/>
        <v>0</v>
      </c>
      <c r="Y251" s="270">
        <f>OCTUBRE!AA251</f>
        <v>0</v>
      </c>
      <c r="Z251" s="208">
        <v>0</v>
      </c>
      <c r="AA251" s="271">
        <f t="shared" si="205"/>
        <v>0</v>
      </c>
      <c r="AB251" s="270">
        <f>OCTUBRE!AD251</f>
        <v>0</v>
      </c>
      <c r="AC251" s="208">
        <v>0</v>
      </c>
      <c r="AD251" s="271">
        <f t="shared" si="206"/>
        <v>0</v>
      </c>
      <c r="AE251" s="270">
        <f>OCTUBRE!AG251</f>
        <v>0</v>
      </c>
      <c r="AF251" s="208">
        <v>0</v>
      </c>
      <c r="AG251" s="271">
        <f t="shared" si="207"/>
        <v>0</v>
      </c>
      <c r="AH251" s="270">
        <f t="shared" si="208"/>
        <v>0</v>
      </c>
      <c r="AI251" s="220">
        <f t="shared" si="209"/>
        <v>0</v>
      </c>
      <c r="AJ251" s="269">
        <f t="shared" si="210"/>
        <v>0</v>
      </c>
      <c r="AK251" s="101"/>
      <c r="AL251" s="204">
        <v>0</v>
      </c>
      <c r="AM251" s="210">
        <v>0</v>
      </c>
    </row>
    <row r="252" spans="19:39" ht="24.75" customHeight="1">
      <c r="S252" s="311" t="str">
        <f>+IF(OCTUBRE!S252=0,"",OCTUBRE!S252)</f>
        <v>8002100-10</v>
      </c>
      <c r="T252" s="312" t="str">
        <f>+IF(OCTUBRE!T252=0,"",OCTUBRE!T252)</f>
        <v>Programas Especial 09</v>
      </c>
      <c r="U252" s="373">
        <f>+ENERO!U253</f>
        <v>0</v>
      </c>
      <c r="V252" s="220">
        <f>OCTUBRE!V252+NOVIEMBRE!AL252</f>
        <v>0</v>
      </c>
      <c r="W252" s="220">
        <f>OCTUBRE!W252+NOVIEMBRE!AM252</f>
        <v>0</v>
      </c>
      <c r="X252" s="271">
        <f t="shared" si="204"/>
        <v>0</v>
      </c>
      <c r="Y252" s="270">
        <f>OCTUBRE!AA252</f>
        <v>0</v>
      </c>
      <c r="Z252" s="208">
        <v>0</v>
      </c>
      <c r="AA252" s="271">
        <f t="shared" si="205"/>
        <v>0</v>
      </c>
      <c r="AB252" s="270">
        <f>OCTUBRE!AD252</f>
        <v>0</v>
      </c>
      <c r="AC252" s="208">
        <v>0</v>
      </c>
      <c r="AD252" s="271">
        <f t="shared" si="206"/>
        <v>0</v>
      </c>
      <c r="AE252" s="270">
        <f>OCTUBRE!AG252</f>
        <v>0</v>
      </c>
      <c r="AF252" s="208">
        <v>0</v>
      </c>
      <c r="AG252" s="271">
        <f t="shared" si="207"/>
        <v>0</v>
      </c>
      <c r="AH252" s="270">
        <f t="shared" si="208"/>
        <v>0</v>
      </c>
      <c r="AI252" s="220">
        <f t="shared" si="209"/>
        <v>0</v>
      </c>
      <c r="AJ252" s="269">
        <f t="shared" si="210"/>
        <v>0</v>
      </c>
      <c r="AK252" s="101"/>
      <c r="AL252" s="204">
        <v>0</v>
      </c>
      <c r="AM252" s="210">
        <v>0</v>
      </c>
    </row>
    <row r="253" spans="19:39" ht="24.75" customHeight="1">
      <c r="S253" s="311" t="str">
        <f>+IF(OCTUBRE!S253=0,"",OCTUBRE!S253)</f>
        <v>8002100-11</v>
      </c>
      <c r="T253" s="312" t="str">
        <f>+IF(OCTUBRE!T253=0,"",OCTUBRE!T253)</f>
        <v>Programas Especial 10</v>
      </c>
      <c r="U253" s="373">
        <f>+ENERO!U254</f>
        <v>0</v>
      </c>
      <c r="V253" s="220">
        <f>OCTUBRE!V253+NOVIEMBRE!AL253</f>
        <v>0</v>
      </c>
      <c r="W253" s="220">
        <f>OCTUBRE!W253+NOVIEMBRE!AM253</f>
        <v>0</v>
      </c>
      <c r="X253" s="271">
        <f t="shared" si="204"/>
        <v>0</v>
      </c>
      <c r="Y253" s="270">
        <f>OCTUBRE!AA253</f>
        <v>0</v>
      </c>
      <c r="Z253" s="208">
        <v>0</v>
      </c>
      <c r="AA253" s="271">
        <f t="shared" si="205"/>
        <v>0</v>
      </c>
      <c r="AB253" s="270">
        <f>OCTUBRE!AD253</f>
        <v>0</v>
      </c>
      <c r="AC253" s="208">
        <v>0</v>
      </c>
      <c r="AD253" s="271">
        <f t="shared" si="206"/>
        <v>0</v>
      </c>
      <c r="AE253" s="270">
        <f>OCTUBRE!AG253</f>
        <v>0</v>
      </c>
      <c r="AF253" s="208">
        <v>0</v>
      </c>
      <c r="AG253" s="271">
        <f t="shared" si="207"/>
        <v>0</v>
      </c>
      <c r="AH253" s="270">
        <f t="shared" si="208"/>
        <v>0</v>
      </c>
      <c r="AI253" s="220">
        <f t="shared" si="209"/>
        <v>0</v>
      </c>
      <c r="AJ253" s="269">
        <f t="shared" si="210"/>
        <v>0</v>
      </c>
      <c r="AK253" s="101"/>
      <c r="AL253" s="204">
        <v>0</v>
      </c>
      <c r="AM253" s="210">
        <v>0</v>
      </c>
    </row>
    <row r="254" spans="19:39" ht="24.75" customHeight="1">
      <c r="S254" s="311" t="str">
        <f>+IF(OCTUBRE!S254=0,"",OCTUBRE!S254)</f>
        <v>8002100-12</v>
      </c>
      <c r="T254" s="312" t="str">
        <f>+IF(OCTUBRE!T254=0,"",OCTUBRE!T254)</f>
        <v>Programas Especial 11</v>
      </c>
      <c r="U254" s="373">
        <f>+ENERO!U255</f>
        <v>0</v>
      </c>
      <c r="V254" s="220">
        <f>OCTUBRE!V254+NOVIEMBRE!AL254</f>
        <v>0</v>
      </c>
      <c r="W254" s="220">
        <f>OCTUBRE!W254+NOVIEMBRE!AM254</f>
        <v>0</v>
      </c>
      <c r="X254" s="271">
        <f t="shared" si="204"/>
        <v>0</v>
      </c>
      <c r="Y254" s="270">
        <f>OCTUBRE!AA254</f>
        <v>0</v>
      </c>
      <c r="Z254" s="208">
        <v>0</v>
      </c>
      <c r="AA254" s="271">
        <f t="shared" si="205"/>
        <v>0</v>
      </c>
      <c r="AB254" s="270">
        <f>OCTUBRE!AD254</f>
        <v>0</v>
      </c>
      <c r="AC254" s="208">
        <v>0</v>
      </c>
      <c r="AD254" s="271">
        <f t="shared" si="206"/>
        <v>0</v>
      </c>
      <c r="AE254" s="270">
        <f>OCTUBRE!AG254</f>
        <v>0</v>
      </c>
      <c r="AF254" s="208">
        <v>0</v>
      </c>
      <c r="AG254" s="271">
        <f t="shared" si="207"/>
        <v>0</v>
      </c>
      <c r="AH254" s="270">
        <f t="shared" si="208"/>
        <v>0</v>
      </c>
      <c r="AI254" s="220">
        <f t="shared" si="209"/>
        <v>0</v>
      </c>
      <c r="AJ254" s="269">
        <f t="shared" si="210"/>
        <v>0</v>
      </c>
      <c r="AK254" s="101"/>
      <c r="AL254" s="204">
        <v>0</v>
      </c>
      <c r="AM254" s="210">
        <v>0</v>
      </c>
    </row>
    <row r="255" spans="19:39" ht="24.75" customHeight="1" thickBot="1">
      <c r="S255" s="499" t="str">
        <f>+IF(OCTUBRE!S255=0,"",OCTUBRE!S255)</f>
        <v>2.3.2.01.01.99</v>
      </c>
      <c r="T255" s="500" t="str">
        <f>+IF(OCTUBRE!T255=0,"",OCTUBRE!T255)</f>
        <v>Vigencias Anteriores Activos Fijos</v>
      </c>
      <c r="U255" s="547">
        <f>+ENERO!U256</f>
        <v>0</v>
      </c>
      <c r="V255" s="468">
        <f>OCTUBRE!V255+NOVIEMBRE!AL255</f>
        <v>0</v>
      </c>
      <c r="W255" s="468">
        <f>OCTUBRE!W255+NOVIEMBRE!AM255</f>
        <v>0</v>
      </c>
      <c r="X255" s="471">
        <f t="shared" si="204"/>
        <v>0</v>
      </c>
      <c r="Y255" s="470">
        <f>OCTUBRE!AA255</f>
        <v>0</v>
      </c>
      <c r="Z255" s="246">
        <v>0</v>
      </c>
      <c r="AA255" s="471">
        <f t="shared" si="205"/>
        <v>0</v>
      </c>
      <c r="AB255" s="470">
        <f>OCTUBRE!AD255</f>
        <v>0</v>
      </c>
      <c r="AC255" s="246">
        <v>0</v>
      </c>
      <c r="AD255" s="471">
        <f t="shared" si="206"/>
        <v>0</v>
      </c>
      <c r="AE255" s="470">
        <f>OCTUBRE!AG255</f>
        <v>0</v>
      </c>
      <c r="AF255" s="246">
        <v>0</v>
      </c>
      <c r="AG255" s="471">
        <f t="shared" si="207"/>
        <v>0</v>
      </c>
      <c r="AH255" s="470">
        <f t="shared" si="208"/>
        <v>0</v>
      </c>
      <c r="AI255" s="468">
        <f t="shared" si="209"/>
        <v>0</v>
      </c>
      <c r="AJ255" s="469">
        <f t="shared" si="210"/>
        <v>0</v>
      </c>
      <c r="AK255" s="101"/>
      <c r="AL255" s="242">
        <v>0</v>
      </c>
      <c r="AM255" s="248">
        <v>0</v>
      </c>
    </row>
    <row r="256" spans="19:39" ht="24.75" customHeight="1" thickBot="1">
      <c r="S256" s="480" t="str">
        <f>+IF(OCTUBRE!S256=0,"",OCTUBRE!S256)</f>
        <v/>
      </c>
      <c r="T256" s="481" t="str">
        <f>+IF(OCTUBRE!T256=0,"",OCTUBRE!T256)</f>
        <v/>
      </c>
      <c r="U256" s="482"/>
      <c r="V256" s="482"/>
      <c r="W256" s="482"/>
      <c r="X256" s="482"/>
      <c r="Y256" s="482"/>
      <c r="Z256" s="482"/>
      <c r="AA256" s="482"/>
      <c r="AB256" s="482"/>
      <c r="AC256" s="482"/>
      <c r="AD256" s="482"/>
      <c r="AE256" s="482"/>
      <c r="AF256" s="482"/>
      <c r="AG256" s="482"/>
      <c r="AH256" s="482"/>
      <c r="AI256" s="482"/>
      <c r="AJ256" s="484"/>
      <c r="AK256" s="216"/>
      <c r="AL256" s="501"/>
      <c r="AM256" s="502"/>
    </row>
    <row r="257" spans="19:39" ht="24.75" customHeight="1" thickBot="1">
      <c r="S257" s="503" t="s">
        <v>342</v>
      </c>
      <c r="T257" s="504" t="s">
        <v>197</v>
      </c>
      <c r="U257" s="136">
        <f t="shared" ref="U257:AJ257" si="211">+(C10+C17+C113)-(U10+U192+U219+U231)</f>
        <v>0.30987548828125</v>
      </c>
      <c r="V257" s="136">
        <f t="shared" si="211"/>
        <v>0</v>
      </c>
      <c r="W257" s="136">
        <f t="shared" si="211"/>
        <v>0</v>
      </c>
      <c r="X257" s="136">
        <f t="shared" si="211"/>
        <v>0.30987548828125</v>
      </c>
      <c r="Y257" s="136">
        <f t="shared" si="211"/>
        <v>18990099666</v>
      </c>
      <c r="Z257" s="136">
        <f t="shared" si="211"/>
        <v>5421818780</v>
      </c>
      <c r="AA257" s="136">
        <f t="shared" si="211"/>
        <v>24411918446</v>
      </c>
      <c r="AB257" s="136">
        <f t="shared" si="211"/>
        <v>-40017946617</v>
      </c>
      <c r="AC257" s="136">
        <f t="shared" si="211"/>
        <v>56086241</v>
      </c>
      <c r="AD257" s="136">
        <f t="shared" si="211"/>
        <v>-39961860376</v>
      </c>
      <c r="AE257" s="136">
        <f t="shared" si="211"/>
        <v>-116767475745.02348</v>
      </c>
      <c r="AF257" s="136">
        <f t="shared" si="211"/>
        <v>72287504742.476501</v>
      </c>
      <c r="AG257" s="136">
        <f t="shared" si="211"/>
        <v>-131736292726.5</v>
      </c>
      <c r="AH257" s="136">
        <f t="shared" si="211"/>
        <v>-25584872996.166664</v>
      </c>
      <c r="AI257" s="136">
        <f t="shared" si="211"/>
        <v>-34454380001.166664</v>
      </c>
      <c r="AJ257" s="505">
        <f t="shared" si="211"/>
        <v>-92535917672.666656</v>
      </c>
      <c r="AK257" s="101"/>
      <c r="AL257" s="134">
        <v>0</v>
      </c>
      <c r="AM257" s="135">
        <v>0</v>
      </c>
    </row>
    <row r="258" spans="19:39" ht="24.75" customHeight="1" thickBot="1">
      <c r="S258" s="1449"/>
      <c r="T258" s="1450"/>
      <c r="U258" s="506"/>
      <c r="V258" s="506"/>
      <c r="W258" s="506"/>
      <c r="X258" s="506"/>
      <c r="Y258" s="506"/>
      <c r="Z258" s="506"/>
      <c r="AA258" s="506"/>
      <c r="AB258" s="506"/>
      <c r="AC258" s="506"/>
      <c r="AD258" s="506"/>
      <c r="AE258" s="506"/>
      <c r="AF258" s="506"/>
      <c r="AG258" s="506"/>
      <c r="AH258" s="506"/>
      <c r="AI258" s="506"/>
      <c r="AJ258" s="507"/>
      <c r="AK258" s="216"/>
      <c r="AL258" s="508">
        <f>+SUMIF(AK8:AK255,AK33,AL8:AL255)</f>
        <v>-1694167880</v>
      </c>
      <c r="AM258" s="509">
        <f>+SUMIF(AL8:AL255,AL33,AM8:AM255)</f>
        <v>23334253592</v>
      </c>
    </row>
    <row r="259" spans="19:39" ht="24.75" customHeight="1" thickBot="1">
      <c r="S259" s="510" t="s">
        <v>343</v>
      </c>
      <c r="T259" s="511"/>
      <c r="U259" s="512">
        <f t="shared" ref="U259:AJ259" si="212">+U8-U261</f>
        <v>135355804552.9446</v>
      </c>
      <c r="V259" s="512">
        <f t="shared" si="212"/>
        <v>-368258168</v>
      </c>
      <c r="W259" s="512">
        <f t="shared" si="212"/>
        <v>61941277227</v>
      </c>
      <c r="X259" s="512">
        <f t="shared" si="212"/>
        <v>196928823611.94461</v>
      </c>
      <c r="Y259" s="512">
        <f t="shared" si="212"/>
        <v>157875953060</v>
      </c>
      <c r="Z259" s="512">
        <f t="shared" si="212"/>
        <v>13626186956</v>
      </c>
      <c r="AA259" s="512">
        <f t="shared" si="212"/>
        <v>171502140016</v>
      </c>
      <c r="AB259" s="512">
        <f t="shared" si="212"/>
        <v>136563427960</v>
      </c>
      <c r="AC259" s="512">
        <f t="shared" si="212"/>
        <v>14408278255</v>
      </c>
      <c r="AD259" s="512">
        <f t="shared" si="212"/>
        <v>150971706215</v>
      </c>
      <c r="AE259" s="512">
        <f t="shared" si="212"/>
        <v>90779488433.5</v>
      </c>
      <c r="AF259" s="512">
        <f t="shared" si="212"/>
        <v>13792312430</v>
      </c>
      <c r="AG259" s="512">
        <f t="shared" si="212"/>
        <v>104571800863.5</v>
      </c>
      <c r="AH259" s="512">
        <f t="shared" si="212"/>
        <v>25426683595.944607</v>
      </c>
      <c r="AI259" s="512">
        <f t="shared" si="212"/>
        <v>45957117396.944603</v>
      </c>
      <c r="AJ259" s="513">
        <f t="shared" si="212"/>
        <v>92357022748.444595</v>
      </c>
      <c r="AK259" s="216"/>
      <c r="AL259" s="67"/>
      <c r="AM259" s="67"/>
    </row>
    <row r="260" spans="19:39" ht="24.75" customHeight="1" thickBot="1">
      <c r="S260" s="514"/>
      <c r="T260" s="515"/>
      <c r="U260" s="516"/>
      <c r="V260" s="516"/>
      <c r="W260" s="516"/>
      <c r="X260" s="516"/>
      <c r="Y260" s="516"/>
      <c r="Z260" s="516"/>
      <c r="AA260" s="516"/>
      <c r="AB260" s="516"/>
      <c r="AC260" s="516"/>
      <c r="AD260" s="516"/>
      <c r="AE260" s="516"/>
      <c r="AF260" s="516"/>
      <c r="AG260" s="516"/>
      <c r="AH260" s="516"/>
      <c r="AI260" s="516"/>
      <c r="AJ260" s="517"/>
      <c r="AK260" s="36"/>
      <c r="AL260" s="31"/>
      <c r="AM260" s="31"/>
    </row>
    <row r="261" spans="19:39" ht="24.75" customHeight="1" thickBot="1">
      <c r="S261" s="518" t="s">
        <v>344</v>
      </c>
      <c r="T261" s="519"/>
      <c r="U261" s="660">
        <f>SUM(U255+U240+U229+U224+U217+U206+U190+U181+U166+U153+U139+U121+U108+U102+U88+U81+U61+U55+U41+U33)</f>
        <v>22787348584.222057</v>
      </c>
      <c r="V261" s="660">
        <f t="shared" ref="V261:AJ261" si="213">SUM(V255+V240+V229+V224+V217+V206+V190+V181+V166+V153+V139+V121+V108+V102+V88+V81+V61+V55+V41+V33)</f>
        <v>368258168</v>
      </c>
      <c r="W261" s="660">
        <f t="shared" si="213"/>
        <v>4187780035</v>
      </c>
      <c r="X261" s="660">
        <f t="shared" si="213"/>
        <v>27343386787.222057</v>
      </c>
      <c r="Y261" s="660">
        <f t="shared" si="213"/>
        <v>27185197387</v>
      </c>
      <c r="Z261" s="660">
        <f t="shared" si="213"/>
        <v>0</v>
      </c>
      <c r="AA261" s="660">
        <f t="shared" si="213"/>
        <v>27185197387</v>
      </c>
      <c r="AB261" s="660">
        <f t="shared" si="213"/>
        <v>27178997387</v>
      </c>
      <c r="AC261" s="660">
        <f t="shared" si="213"/>
        <v>0</v>
      </c>
      <c r="AD261" s="660">
        <f t="shared" si="213"/>
        <v>27178997387</v>
      </c>
      <c r="AE261" s="660">
        <f t="shared" si="213"/>
        <v>27160941862</v>
      </c>
      <c r="AF261" s="660">
        <f t="shared" si="213"/>
        <v>3550001</v>
      </c>
      <c r="AG261" s="660">
        <f t="shared" si="213"/>
        <v>27164491863</v>
      </c>
      <c r="AH261" s="660">
        <f t="shared" si="213"/>
        <v>158189400.2220574</v>
      </c>
      <c r="AI261" s="660">
        <f t="shared" si="213"/>
        <v>164389400.2220574</v>
      </c>
      <c r="AJ261" s="660">
        <f t="shared" si="213"/>
        <v>178894924.2220574</v>
      </c>
      <c r="AK261" s="36"/>
      <c r="AL261" s="31"/>
      <c r="AM261" s="31"/>
    </row>
    <row r="262" spans="19:39" ht="24.75" customHeight="1" thickBot="1">
      <c r="S262" s="514"/>
      <c r="T262" s="515"/>
      <c r="U262" s="515"/>
      <c r="V262" s="516"/>
      <c r="W262" s="516"/>
      <c r="X262" s="516"/>
      <c r="Y262" s="516"/>
      <c r="Z262" s="516"/>
      <c r="AA262" s="516"/>
      <c r="AB262" s="516"/>
      <c r="AC262" s="516"/>
      <c r="AD262" s="516"/>
      <c r="AE262" s="516"/>
      <c r="AF262" s="516"/>
      <c r="AG262" s="516"/>
      <c r="AH262" s="516"/>
      <c r="AI262" s="516"/>
      <c r="AJ262" s="516"/>
      <c r="AK262" s="36"/>
      <c r="AL262" s="31"/>
      <c r="AM262" s="31"/>
    </row>
    <row r="263" spans="19:39" ht="24.75" customHeight="1" thickBot="1">
      <c r="S263" s="520" t="s">
        <v>345</v>
      </c>
      <c r="T263" s="521"/>
      <c r="U263" s="522">
        <f t="shared" ref="U263:AJ263" si="214">+U259+U261</f>
        <v>158143153137.16666</v>
      </c>
      <c r="V263" s="522">
        <f t="shared" si="214"/>
        <v>0</v>
      </c>
      <c r="W263" s="522">
        <f t="shared" si="214"/>
        <v>66129057262</v>
      </c>
      <c r="X263" s="522">
        <f t="shared" si="214"/>
        <v>224272210399.16666</v>
      </c>
      <c r="Y263" s="522">
        <f t="shared" si="214"/>
        <v>185061150447</v>
      </c>
      <c r="Z263" s="522">
        <f t="shared" si="214"/>
        <v>13626186956</v>
      </c>
      <c r="AA263" s="522">
        <f t="shared" si="214"/>
        <v>198687337403</v>
      </c>
      <c r="AB263" s="522">
        <f t="shared" si="214"/>
        <v>163742425347</v>
      </c>
      <c r="AC263" s="522">
        <f t="shared" si="214"/>
        <v>14408278255</v>
      </c>
      <c r="AD263" s="522">
        <f t="shared" si="214"/>
        <v>178150703602</v>
      </c>
      <c r="AE263" s="522">
        <f t="shared" si="214"/>
        <v>117940430295.5</v>
      </c>
      <c r="AF263" s="522">
        <f t="shared" si="214"/>
        <v>13795862431</v>
      </c>
      <c r="AG263" s="522">
        <f t="shared" si="214"/>
        <v>131736292726.5</v>
      </c>
      <c r="AH263" s="522">
        <f t="shared" si="214"/>
        <v>25584872996.166664</v>
      </c>
      <c r="AI263" s="522">
        <f t="shared" si="214"/>
        <v>46121506797.166664</v>
      </c>
      <c r="AJ263" s="523">
        <f t="shared" si="214"/>
        <v>92535917672.666656</v>
      </c>
      <c r="AK263" s="36"/>
      <c r="AL263" s="31"/>
      <c r="AM263" s="31"/>
    </row>
  </sheetData>
  <mergeCells count="55">
    <mergeCell ref="A5:A6"/>
    <mergeCell ref="B5:B6"/>
    <mergeCell ref="C5:F5"/>
    <mergeCell ref="A1:B1"/>
    <mergeCell ref="C1:J1"/>
    <mergeCell ref="K1:N1"/>
    <mergeCell ref="L2:M2"/>
    <mergeCell ref="P2:Q2"/>
    <mergeCell ref="D2:E2"/>
    <mergeCell ref="B3:B4"/>
    <mergeCell ref="D3:E4"/>
    <mergeCell ref="F3:K4"/>
    <mergeCell ref="L3:M4"/>
    <mergeCell ref="P3:P5"/>
    <mergeCell ref="Q3:Q5"/>
    <mergeCell ref="G5:I5"/>
    <mergeCell ref="J5:L5"/>
    <mergeCell ref="M5:N5"/>
    <mergeCell ref="N3:N4"/>
    <mergeCell ref="BB2:BC2"/>
    <mergeCell ref="V2:X2"/>
    <mergeCell ref="BH5:BK5"/>
    <mergeCell ref="BM5:BM6"/>
    <mergeCell ref="BN5:BQ5"/>
    <mergeCell ref="BG2:BI2"/>
    <mergeCell ref="BM2:BO2"/>
    <mergeCell ref="V3:X4"/>
    <mergeCell ref="AP3:AZ3"/>
    <mergeCell ref="BF5:BF6"/>
    <mergeCell ref="BM3:BO3"/>
    <mergeCell ref="BL5:BL6"/>
    <mergeCell ref="BG3:BI3"/>
    <mergeCell ref="BB3:BC3"/>
    <mergeCell ref="BC5:BE5"/>
    <mergeCell ref="Y2:AG2"/>
    <mergeCell ref="AH2:AI2"/>
    <mergeCell ref="AL2:AM2"/>
    <mergeCell ref="AP2:AZ2"/>
    <mergeCell ref="Y3:AG4"/>
    <mergeCell ref="AH3:AI4"/>
    <mergeCell ref="AJ3:AJ4"/>
    <mergeCell ref="AW4:AZ4"/>
    <mergeCell ref="S258:T258"/>
    <mergeCell ref="AM3:AM5"/>
    <mergeCell ref="AW19:AZ19"/>
    <mergeCell ref="AW35:AX35"/>
    <mergeCell ref="AL3:AL5"/>
    <mergeCell ref="AH5:AJ5"/>
    <mergeCell ref="T5:T6"/>
    <mergeCell ref="U5:X5"/>
    <mergeCell ref="Y5:AA5"/>
    <mergeCell ref="AB5:AD5"/>
    <mergeCell ref="AE5:AG5"/>
    <mergeCell ref="T3:T4"/>
    <mergeCell ref="S5:S6"/>
  </mergeCells>
  <conditionalFormatting sqref="B5:B7">
    <cfRule type="expression" dxfId="1" priority="1" stopIfTrue="1">
      <formula>$B$5="OJO - RECUERDE RECAUDAR LA DISPONIBLIDAD INICIAL EN ESTE TRIMESTRE, haga clik en H9 para ampliar la información"</formula>
    </cfRule>
  </conditionalFormatting>
  <printOptions horizontalCentered="1" verticalCentered="1"/>
  <pageMargins left="0.59055118110236227" right="0.59055118110236227" top="0.43307086614173229" bottom="0.39370078740157483" header="0" footer="0"/>
  <pageSetup paperSize="14" scale="50" orientation="landscape" r:id="rId1"/>
  <headerFooter>
    <oddFooter>&amp;CPágina &amp;P de</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CL264"/>
  <sheetViews>
    <sheetView showGridLines="0" tabSelected="1" zoomScale="85" zoomScaleNormal="85" workbookViewId="0">
      <pane xSplit="2" ySplit="6" topLeftCell="C7" activePane="bottomRight" state="frozen"/>
      <selection pane="topRight" activeCell="C1" sqref="C1"/>
      <selection pane="bottomLeft" activeCell="A7" sqref="A7"/>
      <selection pane="bottomRight" activeCell="K35" sqref="K35:K36"/>
    </sheetView>
  </sheetViews>
  <sheetFormatPr baseColWidth="10" defaultColWidth="14.42578125" defaultRowHeight="15" customHeight="1"/>
  <cols>
    <col min="1" max="1" width="29.28515625" customWidth="1"/>
    <col min="2" max="2" width="50.7109375" customWidth="1"/>
    <col min="3" max="3" width="17.42578125" customWidth="1"/>
    <col min="4" max="4" width="16.140625" customWidth="1"/>
    <col min="5" max="5" width="14.42578125" customWidth="1"/>
    <col min="6" max="6" width="20.28515625" customWidth="1"/>
    <col min="7" max="7" width="16.5703125" customWidth="1"/>
    <col min="8" max="8" width="14.42578125" customWidth="1"/>
    <col min="9" max="9" width="16.85546875" style="657" customWidth="1"/>
    <col min="10" max="10" width="16" style="657" customWidth="1"/>
    <col min="11" max="11" width="14.42578125" customWidth="1"/>
    <col min="12" max="12" width="14.42578125" style="657" customWidth="1"/>
    <col min="13" max="14" width="16.7109375" customWidth="1"/>
    <col min="15" max="15" width="2.85546875" customWidth="1"/>
    <col min="16" max="17" width="23.7109375" customWidth="1"/>
    <col min="18" max="18" width="5.42578125" customWidth="1"/>
    <col min="19" max="19" width="20.5703125" customWidth="1"/>
    <col min="20" max="20" width="60.140625" customWidth="1"/>
    <col min="21" max="21" width="18.7109375" customWidth="1"/>
    <col min="22" max="22" width="16.7109375" customWidth="1"/>
    <col min="23" max="23" width="16.42578125" customWidth="1"/>
    <col min="24" max="24" width="17" customWidth="1"/>
    <col min="25" max="25" width="16.42578125" customWidth="1"/>
    <col min="26" max="26" width="14.7109375" customWidth="1"/>
    <col min="27" max="27" width="16.5703125" customWidth="1"/>
    <col min="28" max="28" width="16.85546875" customWidth="1"/>
    <col min="29" max="29" width="17.7109375" customWidth="1"/>
    <col min="30" max="30" width="17.42578125" customWidth="1"/>
    <col min="31" max="31" width="18.7109375" customWidth="1"/>
    <col min="32" max="34" width="16.7109375" customWidth="1"/>
    <col min="35" max="35" width="18.85546875" customWidth="1"/>
    <col min="36" max="36" width="20.140625" customWidth="1"/>
    <col min="37" max="37" width="13.7109375" bestFit="1" customWidth="1"/>
    <col min="38" max="39" width="23.7109375" customWidth="1"/>
    <col min="40" max="40" width="13.7109375" bestFit="1" customWidth="1"/>
    <col min="41" max="41" width="12.28515625" customWidth="1"/>
    <col min="42" max="42" width="50.140625" customWidth="1"/>
    <col min="43" max="45" width="16.85546875" customWidth="1"/>
    <col min="46" max="46" width="12.7109375" customWidth="1"/>
    <col min="47" max="47" width="27.42578125" customWidth="1"/>
    <col min="48" max="48" width="25" customWidth="1"/>
    <col min="49" max="52" width="16.85546875" customWidth="1"/>
    <col min="53" max="53" width="11" customWidth="1"/>
    <col min="54" max="54" width="65.140625" customWidth="1"/>
    <col min="55" max="57" width="18.85546875" customWidth="1"/>
    <col min="58" max="58" width="36.140625" customWidth="1"/>
    <col min="59" max="59" width="79.42578125" customWidth="1"/>
    <col min="60" max="60" width="20.42578125" customWidth="1"/>
    <col min="61" max="63" width="17.5703125" customWidth="1"/>
    <col min="64" max="64" width="30.28515625" customWidth="1"/>
    <col min="65" max="65" width="76" customWidth="1"/>
    <col min="66" max="66" width="18.42578125" customWidth="1"/>
    <col min="67" max="67" width="17" customWidth="1"/>
    <col min="68" max="68" width="17.85546875" customWidth="1"/>
    <col min="69" max="69" width="22.85546875" customWidth="1"/>
    <col min="70" max="70" width="50.42578125" customWidth="1"/>
    <col min="71" max="71" width="2.28515625" customWidth="1"/>
    <col min="72" max="90" width="11" hidden="1" customWidth="1"/>
  </cols>
  <sheetData>
    <row r="1" spans="1:69" ht="24.75" customHeight="1" thickBot="1">
      <c r="A1" s="1447"/>
      <c r="B1" s="1366"/>
      <c r="C1" s="1448"/>
      <c r="D1" s="1365"/>
      <c r="E1" s="1365"/>
      <c r="F1" s="1365"/>
      <c r="G1" s="1365"/>
      <c r="H1" s="1365"/>
      <c r="I1" s="1365"/>
      <c r="J1" s="1366"/>
      <c r="K1" s="1364" t="str">
        <f>+IF(L8&gt;I8,"OJO - SUS RECAUDOS SON SUPERIORES A SUS RECONOCIMIENTOS, VERIFIQUE","")</f>
        <v/>
      </c>
      <c r="L1" s="1365"/>
      <c r="M1" s="1365"/>
      <c r="N1" s="1366"/>
      <c r="O1" s="31"/>
      <c r="P1" s="32"/>
      <c r="Q1" s="32"/>
      <c r="R1" s="31"/>
      <c r="S1" s="33"/>
      <c r="T1" s="34"/>
      <c r="U1" s="35" t="str">
        <f>+IF(AA8&gt;X8,"OJO - HA COMPROMETIDO MUCHO MAS DE LO QUE TIENE PRESUPUESTADO","")</f>
        <v/>
      </c>
      <c r="V1" s="31"/>
      <c r="W1" s="31"/>
      <c r="X1" s="35"/>
      <c r="Y1" s="35" t="str">
        <f>+IF(AD8&gt;AA8,"OJO - SUS OBLIGACIONES SUPERAN SUS COMPROMISOS, VERIFIQUE","")</f>
        <v/>
      </c>
      <c r="Z1" s="31"/>
      <c r="AA1" s="31"/>
      <c r="AB1" s="31"/>
      <c r="AC1" s="35" t="str">
        <f>+IF(AG8&gt;AD8,"OJO - SUS PAGOS NO PUEDEN SUPERAR SUS OBLIGACIONES, VERIFIQUE","")</f>
        <v/>
      </c>
      <c r="AD1" s="31"/>
      <c r="AE1" s="31"/>
      <c r="AF1" s="31"/>
      <c r="AG1" s="31"/>
      <c r="AH1" s="31"/>
      <c r="AI1" s="31"/>
      <c r="AJ1" s="31"/>
      <c r="AK1" s="36"/>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r="2" spans="1:69" ht="53.25" customHeight="1" thickBot="1">
      <c r="A2" s="524"/>
      <c r="B2" s="45" t="str">
        <f>+ENERO!B2</f>
        <v>SECRETARIA SECCIONAL DE SALUD Y PROTECCION SOCIAL DE ANTIOQUIA DE ANTIOQUIA</v>
      </c>
      <c r="C2" s="39"/>
      <c r="D2" s="1346" t="str">
        <f>+IF(F2="","","MUNICIPIO:")</f>
        <v>MUNICIPIO:</v>
      </c>
      <c r="E2" s="1327"/>
      <c r="F2" s="40" t="str">
        <f>IF(INSTRUCCIONES!B3=0,"",INSTRUCCIONES!B3)</f>
        <v>BELLO</v>
      </c>
      <c r="G2" s="41"/>
      <c r="H2" s="41"/>
      <c r="I2" s="663"/>
      <c r="J2" s="663"/>
      <c r="K2" s="42"/>
      <c r="L2" s="1368" t="s">
        <v>37</v>
      </c>
      <c r="M2" s="1340"/>
      <c r="N2" s="43" t="s">
        <v>38</v>
      </c>
      <c r="O2" s="31"/>
      <c r="P2" s="1341" t="s">
        <v>346</v>
      </c>
      <c r="Q2" s="1338"/>
      <c r="R2" s="31"/>
      <c r="S2" s="44"/>
      <c r="T2" s="45" t="str">
        <f>+ENERO!T2</f>
        <v>SECRETARIA SECCIONAL DE SALUD Y PROTECCION SOCIAL DE ANTIOQUIA DE ANTIOQUIA</v>
      </c>
      <c r="U2" s="39"/>
      <c r="V2" s="1369" t="str">
        <f>+IF(Y2="","","M U N I C I P I O:")</f>
        <v>M U N I C I P I O:</v>
      </c>
      <c r="W2" s="1337"/>
      <c r="X2" s="1327"/>
      <c r="Y2" s="1336" t="str">
        <f>IF(INSTRUCCIONES!B3=0,"",INSTRUCCIONES!B3)</f>
        <v>BELLO</v>
      </c>
      <c r="Z2" s="1337"/>
      <c r="AA2" s="1337"/>
      <c r="AB2" s="1337"/>
      <c r="AC2" s="1337"/>
      <c r="AD2" s="1337"/>
      <c r="AE2" s="1337"/>
      <c r="AF2" s="1337"/>
      <c r="AG2" s="1338"/>
      <c r="AH2" s="1339" t="s">
        <v>37</v>
      </c>
      <c r="AI2" s="1340"/>
      <c r="AJ2" s="43" t="s">
        <v>38</v>
      </c>
      <c r="AK2" s="36"/>
      <c r="AL2" s="1341" t="s">
        <v>346</v>
      </c>
      <c r="AM2" s="1338"/>
      <c r="AN2" s="31"/>
      <c r="AO2" s="46">
        <v>12</v>
      </c>
      <c r="AP2" s="1342" t="s">
        <v>40</v>
      </c>
      <c r="AQ2" s="1322"/>
      <c r="AR2" s="1322"/>
      <c r="AS2" s="1322"/>
      <c r="AT2" s="1322"/>
      <c r="AU2" s="1322"/>
      <c r="AV2" s="1322"/>
      <c r="AW2" s="1322"/>
      <c r="AX2" s="1322"/>
      <c r="AY2" s="1322"/>
      <c r="AZ2" s="1323"/>
      <c r="BA2" s="31"/>
      <c r="BB2" s="1341" t="s">
        <v>41</v>
      </c>
      <c r="BC2" s="1327"/>
      <c r="BD2" s="47" t="s">
        <v>37</v>
      </c>
      <c r="BE2" s="43" t="str">
        <f>+L3</f>
        <v>DICIEMBRE</v>
      </c>
      <c r="BF2" s="35"/>
      <c r="BG2" s="1341" t="s">
        <v>42</v>
      </c>
      <c r="BH2" s="1337"/>
      <c r="BI2" s="1327"/>
      <c r="BJ2" s="47" t="s">
        <v>37</v>
      </c>
      <c r="BK2" s="43" t="str">
        <f>+BE2</f>
        <v>DICIEMBRE</v>
      </c>
      <c r="BL2" s="31"/>
      <c r="BM2" s="1343" t="s">
        <v>42</v>
      </c>
      <c r="BN2" s="1344"/>
      <c r="BO2" s="1345"/>
      <c r="BP2" s="732" t="s">
        <v>37</v>
      </c>
      <c r="BQ2" s="733" t="str">
        <f>+BK2</f>
        <v>DICIEMBRE</v>
      </c>
    </row>
    <row r="3" spans="1:69" ht="24.75" customHeight="1" thickBot="1">
      <c r="A3" s="525"/>
      <c r="B3" s="1332" t="s">
        <v>43</v>
      </c>
      <c r="C3" s="49"/>
      <c r="D3" s="1347" t="str">
        <f>+IF(F3="","","INSTITUCION:")</f>
        <v>INSTITUCION:</v>
      </c>
      <c r="E3" s="1348"/>
      <c r="F3" s="1308" t="str">
        <f>IF(INSTRUCCIONES!B5=0,"",INSTRUCCIONES!B5)</f>
        <v>ESE HOSPITAL MARCO FIDEL SUAREZ</v>
      </c>
      <c r="G3" s="1309"/>
      <c r="H3" s="1309"/>
      <c r="I3" s="1309"/>
      <c r="J3" s="1309"/>
      <c r="K3" s="1310"/>
      <c r="L3" s="1312" t="s">
        <v>415</v>
      </c>
      <c r="M3" s="1313"/>
      <c r="N3" s="1331">
        <f>SUM(ENERO!N3)</f>
        <v>2025</v>
      </c>
      <c r="O3" s="31"/>
      <c r="P3" s="1484" t="s">
        <v>416</v>
      </c>
      <c r="Q3" s="1485" t="s">
        <v>417</v>
      </c>
      <c r="R3" s="31"/>
      <c r="S3" s="50"/>
      <c r="T3" s="1332" t="s">
        <v>47</v>
      </c>
      <c r="U3" s="51"/>
      <c r="V3" s="1357" t="str">
        <f>+IF(Y3="","","E.S.E. H O S P I T A L:")</f>
        <v>E.S.E. H O S P I T A L:</v>
      </c>
      <c r="W3" s="1309"/>
      <c r="X3" s="1348"/>
      <c r="Y3" s="1308" t="str">
        <f>IF(INSTRUCCIONES!B5=0,"",INSTRUCCIONES!B5)</f>
        <v>ESE HOSPITAL MARCO FIDEL SUAREZ</v>
      </c>
      <c r="Z3" s="1309"/>
      <c r="AA3" s="1309"/>
      <c r="AB3" s="1309"/>
      <c r="AC3" s="1309"/>
      <c r="AD3" s="1309"/>
      <c r="AE3" s="1309"/>
      <c r="AF3" s="1309"/>
      <c r="AG3" s="1310"/>
      <c r="AH3" s="1334" t="str">
        <f>+L3</f>
        <v>DICIEMBRE</v>
      </c>
      <c r="AI3" s="1313"/>
      <c r="AJ3" s="1331">
        <f>+N3</f>
        <v>2025</v>
      </c>
      <c r="AK3" s="36"/>
      <c r="AL3" s="1315" t="s">
        <v>418</v>
      </c>
      <c r="AM3" s="1318" t="s">
        <v>419</v>
      </c>
      <c r="AN3" s="31"/>
      <c r="AO3" s="52"/>
      <c r="AP3" s="1373" t="s">
        <v>50</v>
      </c>
      <c r="AQ3" s="1374"/>
      <c r="AR3" s="1374"/>
      <c r="AS3" s="1374"/>
      <c r="AT3" s="1374"/>
      <c r="AU3" s="1374"/>
      <c r="AV3" s="1374"/>
      <c r="AW3" s="1374"/>
      <c r="AX3" s="1374"/>
      <c r="AY3" s="1374"/>
      <c r="AZ3" s="1375"/>
      <c r="BA3" s="31"/>
      <c r="BB3" s="1376" t="str">
        <f>+CONCATENATE(INSTRUCCIONES!B5, " - ", INSTRUCCIONES!B3)</f>
        <v>ESE HOSPITAL MARCO FIDEL SUAREZ - BELLO</v>
      </c>
      <c r="BC3" s="1377"/>
      <c r="BD3" s="53" t="s">
        <v>38</v>
      </c>
      <c r="BE3" s="54">
        <f>+N3</f>
        <v>2025</v>
      </c>
      <c r="BF3" s="55" t="s">
        <v>51</v>
      </c>
      <c r="BG3" s="1376" t="str">
        <f>+CONCATENATE(INSTRUCCIONES!B5, " - ", INSTRUCCIONES!B3)</f>
        <v>ESE HOSPITAL MARCO FIDEL SUAREZ - BELLO</v>
      </c>
      <c r="BH3" s="1378"/>
      <c r="BI3" s="1377"/>
      <c r="BJ3" s="53" t="s">
        <v>38</v>
      </c>
      <c r="BK3" s="54">
        <f>+BE3</f>
        <v>2025</v>
      </c>
      <c r="BL3" s="31"/>
      <c r="BM3" s="1379" t="str">
        <f>+CONCATENATE(INSTRUCCIONES!B5, " - ", INSTRUCCIONES!B3)</f>
        <v>ESE HOSPITAL MARCO FIDEL SUAREZ - BELLO</v>
      </c>
      <c r="BN3" s="1380"/>
      <c r="BO3" s="1381"/>
      <c r="BP3" s="53" t="s">
        <v>38</v>
      </c>
      <c r="BQ3" s="734">
        <f>+BK3</f>
        <v>2025</v>
      </c>
    </row>
    <row r="4" spans="1:69" ht="24.75" customHeight="1" thickBot="1">
      <c r="A4" s="525"/>
      <c r="B4" s="1363"/>
      <c r="C4" s="56"/>
      <c r="D4" s="1311"/>
      <c r="E4" s="1349"/>
      <c r="F4" s="1311"/>
      <c r="G4" s="1295"/>
      <c r="H4" s="1295"/>
      <c r="I4" s="1295"/>
      <c r="J4" s="1295"/>
      <c r="K4" s="1296"/>
      <c r="L4" s="1300"/>
      <c r="M4" s="1314"/>
      <c r="N4" s="1320"/>
      <c r="O4" s="31"/>
      <c r="P4" s="1316"/>
      <c r="Q4" s="1319"/>
      <c r="R4" s="31"/>
      <c r="S4" s="50"/>
      <c r="T4" s="1333"/>
      <c r="U4" s="56"/>
      <c r="V4" s="1311"/>
      <c r="W4" s="1295"/>
      <c r="X4" s="1349"/>
      <c r="Y4" s="1311"/>
      <c r="Z4" s="1295"/>
      <c r="AA4" s="1295"/>
      <c r="AB4" s="1295"/>
      <c r="AC4" s="1295"/>
      <c r="AD4" s="1295"/>
      <c r="AE4" s="1295"/>
      <c r="AF4" s="1295"/>
      <c r="AG4" s="1296"/>
      <c r="AH4" s="1311"/>
      <c r="AI4" s="1314"/>
      <c r="AJ4" s="1320"/>
      <c r="AK4" s="36"/>
      <c r="AL4" s="1316"/>
      <c r="AM4" s="1319"/>
      <c r="AN4" s="31"/>
      <c r="AO4" s="52"/>
      <c r="AP4" s="57"/>
      <c r="AQ4" s="58" t="s">
        <v>52</v>
      </c>
      <c r="AR4" s="58" t="s">
        <v>53</v>
      </c>
      <c r="AS4" s="58" t="s">
        <v>54</v>
      </c>
      <c r="AT4" s="58" t="s">
        <v>55</v>
      </c>
      <c r="AU4" s="58" t="s">
        <v>55</v>
      </c>
      <c r="AV4" s="59" t="s">
        <v>55</v>
      </c>
      <c r="AW4" s="1382" t="str">
        <f>+CONCATENATE("PROYECCION A DICIEMBRE 31 DEL ",N3)</f>
        <v>PROYECCION A DICIEMBRE 31 DEL 2025</v>
      </c>
      <c r="AX4" s="1374"/>
      <c r="AY4" s="1374"/>
      <c r="AZ4" s="1375"/>
      <c r="BA4" s="31"/>
      <c r="BB4" s="60"/>
      <c r="BC4" s="61"/>
      <c r="BD4" s="61"/>
      <c r="BE4" s="63"/>
      <c r="BF4" s="64"/>
      <c r="BG4" s="60"/>
      <c r="BH4" s="61"/>
      <c r="BI4" s="61"/>
      <c r="BJ4" s="62"/>
      <c r="BK4" s="65"/>
      <c r="BL4" s="66"/>
      <c r="BM4" s="735"/>
      <c r="BN4" s="736"/>
      <c r="BO4" s="737"/>
      <c r="BP4" s="737"/>
      <c r="BQ4" s="738"/>
    </row>
    <row r="5" spans="1:69" ht="42" customHeight="1" thickTop="1" thickBot="1">
      <c r="A5" s="1446" t="s">
        <v>56</v>
      </c>
      <c r="B5" s="1359" t="s">
        <v>61</v>
      </c>
      <c r="C5" s="1354" t="s">
        <v>57</v>
      </c>
      <c r="D5" s="1322"/>
      <c r="E5" s="1322"/>
      <c r="F5" s="1323"/>
      <c r="G5" s="1321" t="s">
        <v>420</v>
      </c>
      <c r="H5" s="1322"/>
      <c r="I5" s="1323"/>
      <c r="J5" s="1324" t="str">
        <f>+IF(L8&gt;I8,"OJO - RECAUDOS MAYORES QUE RECONOCIMIENTOS","RECAUDO")</f>
        <v>RECAUDO</v>
      </c>
      <c r="K5" s="1322"/>
      <c r="L5" s="1323"/>
      <c r="M5" s="1325" t="s">
        <v>59</v>
      </c>
      <c r="N5" s="1323"/>
      <c r="O5" s="31"/>
      <c r="P5" s="1317"/>
      <c r="Q5" s="1320"/>
      <c r="R5" s="31"/>
      <c r="S5" s="1358" t="s">
        <v>60</v>
      </c>
      <c r="T5" s="1359" t="s">
        <v>61</v>
      </c>
      <c r="U5" s="1360" t="s">
        <v>57</v>
      </c>
      <c r="V5" s="1322"/>
      <c r="W5" s="1322"/>
      <c r="X5" s="1323"/>
      <c r="Y5" s="1335" t="s">
        <v>421</v>
      </c>
      <c r="Z5" s="1322"/>
      <c r="AA5" s="1340"/>
      <c r="AB5" s="1335" t="s">
        <v>422</v>
      </c>
      <c r="AC5" s="1322"/>
      <c r="AD5" s="1323"/>
      <c r="AE5" s="1335" t="s">
        <v>34</v>
      </c>
      <c r="AF5" s="1322"/>
      <c r="AG5" s="1323"/>
      <c r="AH5" s="1335" t="s">
        <v>64</v>
      </c>
      <c r="AI5" s="1322"/>
      <c r="AJ5" s="1323"/>
      <c r="AK5" s="36"/>
      <c r="AL5" s="1317"/>
      <c r="AM5" s="1320"/>
      <c r="AN5" s="31"/>
      <c r="AO5" s="68"/>
      <c r="AP5" s="69" t="s">
        <v>65</v>
      </c>
      <c r="AQ5" s="58"/>
      <c r="AR5" s="58" t="s">
        <v>66</v>
      </c>
      <c r="AS5" s="58" t="s">
        <v>66</v>
      </c>
      <c r="AT5" s="58" t="s">
        <v>67</v>
      </c>
      <c r="AU5" s="58" t="s">
        <v>68</v>
      </c>
      <c r="AV5" s="58" t="s">
        <v>68</v>
      </c>
      <c r="AW5" s="58" t="s">
        <v>23</v>
      </c>
      <c r="AX5" s="58" t="s">
        <v>26</v>
      </c>
      <c r="AY5" s="58" t="s">
        <v>69</v>
      </c>
      <c r="AZ5" s="70" t="s">
        <v>69</v>
      </c>
      <c r="BA5" s="31"/>
      <c r="BB5" s="71" t="s">
        <v>70</v>
      </c>
      <c r="BC5" s="1445" t="str">
        <f>+CONCATENATE("ACUMULADO ",N3)</f>
        <v>ACUMULADO 2025</v>
      </c>
      <c r="BD5" s="1322"/>
      <c r="BE5" s="1323"/>
      <c r="BF5" s="1440" t="s">
        <v>352</v>
      </c>
      <c r="BG5" s="549" t="s">
        <v>71</v>
      </c>
      <c r="BH5" s="1361" t="str">
        <f>+CONCATENATE("ACUMULADO ",N3)</f>
        <v>ACUMULADO 2025</v>
      </c>
      <c r="BI5" s="1322"/>
      <c r="BJ5" s="1322"/>
      <c r="BK5" s="1442"/>
      <c r="BL5" s="1443" t="s">
        <v>353</v>
      </c>
      <c r="BM5" s="1384" t="s">
        <v>71</v>
      </c>
      <c r="BN5" s="1370" t="str">
        <f>+CONCATENATE("ACUMULADO ",BQ3)</f>
        <v>ACUMULADO 2025</v>
      </c>
      <c r="BO5" s="1371"/>
      <c r="BP5" s="1371"/>
      <c r="BQ5" s="1372"/>
    </row>
    <row r="6" spans="1:69" ht="24.75" customHeight="1" thickBot="1">
      <c r="A6" s="1398"/>
      <c r="B6" s="1401"/>
      <c r="C6" s="76" t="s">
        <v>72</v>
      </c>
      <c r="D6" s="77" t="s">
        <v>73</v>
      </c>
      <c r="E6" s="77" t="s">
        <v>74</v>
      </c>
      <c r="F6" s="78" t="s">
        <v>75</v>
      </c>
      <c r="G6" s="76" t="s">
        <v>76</v>
      </c>
      <c r="H6" s="77" t="s">
        <v>77</v>
      </c>
      <c r="I6" s="664" t="s">
        <v>78</v>
      </c>
      <c r="J6" s="665" t="s">
        <v>76</v>
      </c>
      <c r="K6" s="77" t="s">
        <v>77</v>
      </c>
      <c r="L6" s="664" t="s">
        <v>78</v>
      </c>
      <c r="M6" s="76" t="s">
        <v>79</v>
      </c>
      <c r="N6" s="78" t="s">
        <v>80</v>
      </c>
      <c r="O6" s="31"/>
      <c r="P6" s="79" t="s">
        <v>39</v>
      </c>
      <c r="Q6" s="80" t="s">
        <v>82</v>
      </c>
      <c r="R6" s="31"/>
      <c r="S6" s="1317"/>
      <c r="T6" s="1320"/>
      <c r="U6" s="81" t="s">
        <v>72</v>
      </c>
      <c r="V6" s="82" t="s">
        <v>73</v>
      </c>
      <c r="W6" s="82" t="s">
        <v>74</v>
      </c>
      <c r="X6" s="83" t="s">
        <v>75</v>
      </c>
      <c r="Y6" s="84" t="s">
        <v>76</v>
      </c>
      <c r="Z6" s="82" t="s">
        <v>77</v>
      </c>
      <c r="AA6" s="82" t="s">
        <v>78</v>
      </c>
      <c r="AB6" s="84" t="s">
        <v>76</v>
      </c>
      <c r="AC6" s="82" t="s">
        <v>77</v>
      </c>
      <c r="AD6" s="82" t="s">
        <v>78</v>
      </c>
      <c r="AE6" s="84" t="s">
        <v>76</v>
      </c>
      <c r="AF6" s="82" t="s">
        <v>77</v>
      </c>
      <c r="AG6" s="82" t="s">
        <v>78</v>
      </c>
      <c r="AH6" s="84" t="s">
        <v>29</v>
      </c>
      <c r="AI6" s="82" t="s">
        <v>31</v>
      </c>
      <c r="AJ6" s="83" t="s">
        <v>34</v>
      </c>
      <c r="AK6" s="36"/>
      <c r="AL6" s="76" t="s">
        <v>39</v>
      </c>
      <c r="AM6" s="78" t="s">
        <v>82</v>
      </c>
      <c r="AN6" s="31"/>
      <c r="AO6" s="85"/>
      <c r="AP6" s="86"/>
      <c r="AQ6" s="87" t="s">
        <v>75</v>
      </c>
      <c r="AR6" s="87" t="str">
        <f>+L3</f>
        <v>DICIEMBRE</v>
      </c>
      <c r="AS6" s="87" t="str">
        <f>AR6</f>
        <v>DICIEMBRE</v>
      </c>
      <c r="AT6" s="87" t="str">
        <f>AR6</f>
        <v>DICIEMBRE</v>
      </c>
      <c r="AU6" s="87" t="s">
        <v>53</v>
      </c>
      <c r="AV6" s="87" t="s">
        <v>26</v>
      </c>
      <c r="AW6" s="87"/>
      <c r="AX6" s="87"/>
      <c r="AY6" s="87" t="s">
        <v>53</v>
      </c>
      <c r="AZ6" s="88" t="s">
        <v>26</v>
      </c>
      <c r="BA6" s="31"/>
      <c r="BB6" s="89"/>
      <c r="BC6" s="90" t="s">
        <v>83</v>
      </c>
      <c r="BD6" s="91" t="s">
        <v>84</v>
      </c>
      <c r="BE6" s="92" t="s">
        <v>85</v>
      </c>
      <c r="BF6" s="1441"/>
      <c r="BG6" s="550"/>
      <c r="BH6" s="551" t="s">
        <v>83</v>
      </c>
      <c r="BI6" s="551" t="s">
        <v>86</v>
      </c>
      <c r="BJ6" s="551" t="s">
        <v>87</v>
      </c>
      <c r="BK6" s="552" t="s">
        <v>88</v>
      </c>
      <c r="BL6" s="1444"/>
      <c r="BM6" s="1385"/>
      <c r="BN6" s="96" t="s">
        <v>83</v>
      </c>
      <c r="BO6" s="739" t="s">
        <v>86</v>
      </c>
      <c r="BP6" s="739" t="s">
        <v>87</v>
      </c>
      <c r="BQ6" s="740" t="s">
        <v>88</v>
      </c>
    </row>
    <row r="7" spans="1:69" ht="24.75" customHeight="1" thickBot="1">
      <c r="A7" s="526"/>
      <c r="B7" s="103"/>
      <c r="C7" s="104"/>
      <c r="D7" s="104"/>
      <c r="E7" s="104"/>
      <c r="F7" s="104"/>
      <c r="G7" s="104"/>
      <c r="H7" s="104"/>
      <c r="I7" s="666"/>
      <c r="J7" s="666"/>
      <c r="K7" s="104"/>
      <c r="L7" s="666"/>
      <c r="M7" s="104"/>
      <c r="N7" s="105"/>
      <c r="O7" s="31"/>
      <c r="P7" s="527"/>
      <c r="Q7" s="105"/>
      <c r="R7" s="101"/>
      <c r="S7" s="102"/>
      <c r="T7" s="103"/>
      <c r="U7" s="104"/>
      <c r="V7" s="104"/>
      <c r="W7" s="104"/>
      <c r="X7" s="104"/>
      <c r="Y7" s="104"/>
      <c r="Z7" s="104"/>
      <c r="AA7" s="104"/>
      <c r="AB7" s="104"/>
      <c r="AC7" s="104"/>
      <c r="AD7" s="104"/>
      <c r="AE7" s="104"/>
      <c r="AF7" s="104"/>
      <c r="AG7" s="104"/>
      <c r="AH7" s="104"/>
      <c r="AI7" s="104"/>
      <c r="AJ7" s="105"/>
      <c r="AK7" s="36"/>
      <c r="AL7" s="106"/>
      <c r="AM7" s="107"/>
      <c r="AN7" s="101"/>
      <c r="AO7" s="108"/>
      <c r="AP7" s="109" t="s">
        <v>89</v>
      </c>
      <c r="AQ7" s="110">
        <f>F22</f>
        <v>62813118010.586876</v>
      </c>
      <c r="AR7" s="110">
        <f>I22</f>
        <v>88238215491</v>
      </c>
      <c r="AS7" s="110">
        <f>L22</f>
        <v>60063425347</v>
      </c>
      <c r="AT7" s="101"/>
      <c r="AU7" s="111">
        <f t="shared" ref="AU7:AU17" si="0">IF(AQ7=0," ",AR7/AQ7)</f>
        <v>1.4047736887719511</v>
      </c>
      <c r="AV7" s="111">
        <f t="shared" ref="AV7:AV17" si="1">IF(AQ7=0," ",AS7/AQ7)</f>
        <v>0.95622422909935112</v>
      </c>
      <c r="AW7" s="110">
        <f>I23/AO$2*12+I24</f>
        <v>88238215491</v>
      </c>
      <c r="AX7" s="110">
        <f>L23/AO$2*12+L24</f>
        <v>60063425347</v>
      </c>
      <c r="AY7" s="110">
        <f t="shared" ref="AY7:AY16" si="2">AW7-AQ7</f>
        <v>25425097480.413124</v>
      </c>
      <c r="AZ7" s="112">
        <f t="shared" ref="AZ7:AZ16" si="3">AX7-AQ7</f>
        <v>-2749692663.5868759</v>
      </c>
      <c r="BA7" s="101"/>
      <c r="BB7" s="113" t="s">
        <v>90</v>
      </c>
      <c r="BC7" s="114">
        <f>F10</f>
        <v>1179477265</v>
      </c>
      <c r="BD7" s="115">
        <f>I10</f>
        <v>1179477265</v>
      </c>
      <c r="BE7" s="116">
        <f>K10</f>
        <v>0</v>
      </c>
      <c r="BF7" s="553">
        <f>MARZO!BF7+ABRIL!BE7+MAYO!BE7+JUNIO!BE7</f>
        <v>1179477265</v>
      </c>
      <c r="BG7" s="227" t="s">
        <v>91</v>
      </c>
      <c r="BH7" s="554">
        <f>+SUM(BH8:BH11)</f>
        <v>104914667543.61127</v>
      </c>
      <c r="BI7" s="554">
        <f>+SUM(BI8:BI11)</f>
        <v>98054818194</v>
      </c>
      <c r="BJ7" s="554">
        <f>+SUM(BJ8:BJ11)</f>
        <v>98054818194</v>
      </c>
      <c r="BK7" s="554">
        <f>+SUM(BK8:BK11)</f>
        <v>8096848455</v>
      </c>
      <c r="BL7" s="555">
        <f>+BK7+MAYO!BK7+ABRIL!BK7+MARZO!BL7</f>
        <v>26368028399</v>
      </c>
      <c r="BM7" s="741" t="s">
        <v>91</v>
      </c>
      <c r="BN7" s="121">
        <f>BN8+BN15+BN22</f>
        <v>104914667543.6113</v>
      </c>
      <c r="BO7" s="121">
        <f>BO8+BO15+BO22</f>
        <v>98054818194</v>
      </c>
      <c r="BP7" s="121">
        <f>BP8+BP15+BP22</f>
        <v>98054818194</v>
      </c>
      <c r="BQ7" s="121">
        <f>BQ8+BQ15+BQ22</f>
        <v>8096848455</v>
      </c>
    </row>
    <row r="8" spans="1:69" ht="24.75" customHeight="1" thickBot="1">
      <c r="A8" s="123">
        <f>+IF(NOVIEMBRE!A8=0,"",NOVIEMBRE!A8)</f>
        <v>1</v>
      </c>
      <c r="B8" s="124" t="str">
        <f>+IF(NOVIEMBRE!B8=0,"",NOVIEMBRE!B8)</f>
        <v>INGRESOS</v>
      </c>
      <c r="C8" s="125">
        <f t="shared" ref="C8:N8" si="4">C10+C17+C113</f>
        <v>158143153137.47653</v>
      </c>
      <c r="D8" s="125">
        <f t="shared" si="4"/>
        <v>0</v>
      </c>
      <c r="E8" s="125">
        <f t="shared" si="4"/>
        <v>66606785976</v>
      </c>
      <c r="F8" s="125">
        <f t="shared" si="4"/>
        <v>224749939113.47653</v>
      </c>
      <c r="G8" s="125">
        <f t="shared" si="4"/>
        <v>223099255849</v>
      </c>
      <c r="H8" s="125">
        <f t="shared" si="4"/>
        <v>16918662548</v>
      </c>
      <c r="I8" s="667">
        <f t="shared" si="4"/>
        <v>240017918397</v>
      </c>
      <c r="J8" s="667">
        <f t="shared" si="4"/>
        <v>138188843226</v>
      </c>
      <c r="K8" s="125">
        <f t="shared" si="4"/>
        <v>17058933837</v>
      </c>
      <c r="L8" s="667">
        <f t="shared" si="4"/>
        <v>155247777063</v>
      </c>
      <c r="M8" s="125">
        <f t="shared" si="4"/>
        <v>-15267979283.523487</v>
      </c>
      <c r="N8" s="125">
        <f t="shared" si="4"/>
        <v>69502162050.476501</v>
      </c>
      <c r="O8" s="126"/>
      <c r="P8" s="127">
        <f>P10+P17+P113</f>
        <v>0</v>
      </c>
      <c r="Q8" s="128">
        <f>Q10+Q17+Q113</f>
        <v>477728714</v>
      </c>
      <c r="R8" s="101"/>
      <c r="S8" s="129" t="str">
        <f>+IF(OCTUBRE!S8=0,"",OCTUBRE!S8)</f>
        <v>2</v>
      </c>
      <c r="T8" s="130" t="str">
        <f>+IF(OCTUBRE!T8=0,"",OCTUBRE!T8)</f>
        <v>GASTOS</v>
      </c>
      <c r="U8" s="131">
        <f t="shared" ref="U8:AJ8" si="5">U10+U192+U219+U231</f>
        <v>158143153137.16666</v>
      </c>
      <c r="V8" s="132">
        <f t="shared" si="5"/>
        <v>0</v>
      </c>
      <c r="W8" s="132">
        <f t="shared" si="5"/>
        <v>66606785976</v>
      </c>
      <c r="X8" s="133">
        <f t="shared" si="5"/>
        <v>224749939113.16666</v>
      </c>
      <c r="Y8" s="134">
        <f t="shared" si="5"/>
        <v>198687337403</v>
      </c>
      <c r="Z8" s="132">
        <f t="shared" si="5"/>
        <v>-1479069558</v>
      </c>
      <c r="AA8" s="133">
        <f t="shared" si="5"/>
        <v>197208267845</v>
      </c>
      <c r="AB8" s="134">
        <f t="shared" si="5"/>
        <v>178150703602</v>
      </c>
      <c r="AC8" s="132">
        <f t="shared" si="5"/>
        <v>19057564243</v>
      </c>
      <c r="AD8" s="133">
        <f t="shared" si="5"/>
        <v>197208267845</v>
      </c>
      <c r="AE8" s="134">
        <f t="shared" si="5"/>
        <v>131736292726.5</v>
      </c>
      <c r="AF8" s="132">
        <f t="shared" si="5"/>
        <v>16841223261.5</v>
      </c>
      <c r="AG8" s="133">
        <f t="shared" si="5"/>
        <v>148577515988</v>
      </c>
      <c r="AH8" s="134">
        <f t="shared" si="5"/>
        <v>27541671268.166664</v>
      </c>
      <c r="AI8" s="132">
        <f t="shared" si="5"/>
        <v>27541671268.166664</v>
      </c>
      <c r="AJ8" s="135">
        <f t="shared" si="5"/>
        <v>76172423125.166656</v>
      </c>
      <c r="AK8" s="101"/>
      <c r="AL8" s="136">
        <f>AL10+AL192+AL219+AL231</f>
        <v>0</v>
      </c>
      <c r="AM8" s="137">
        <f>AM10+AM192+AM219+AM231</f>
        <v>477728714</v>
      </c>
      <c r="AN8" s="101"/>
      <c r="AO8" s="108"/>
      <c r="AP8" s="109" t="s">
        <v>93</v>
      </c>
      <c r="AQ8" s="138">
        <f>F25</f>
        <v>110963785244</v>
      </c>
      <c r="AR8" s="138">
        <f>I25</f>
        <v>110362151423</v>
      </c>
      <c r="AS8" s="138">
        <f>L25</f>
        <v>62040324121</v>
      </c>
      <c r="AT8" s="101"/>
      <c r="AU8" s="139">
        <f t="shared" si="0"/>
        <v>0.99457810654460765</v>
      </c>
      <c r="AV8" s="139">
        <f t="shared" si="1"/>
        <v>0.55910425175726086</v>
      </c>
      <c r="AW8" s="138">
        <f>I26/AO$2*12+I27</f>
        <v>110362151423</v>
      </c>
      <c r="AX8" s="138">
        <f>L26/AO$2*12+L27</f>
        <v>62040324121</v>
      </c>
      <c r="AY8" s="138">
        <f t="shared" si="2"/>
        <v>-601633821</v>
      </c>
      <c r="AZ8" s="140">
        <f t="shared" si="3"/>
        <v>-48923461123</v>
      </c>
      <c r="BA8" s="101"/>
      <c r="BB8" s="141" t="s">
        <v>94</v>
      </c>
      <c r="BC8" s="142">
        <f>BC9+BC19</f>
        <v>178210353825.37653</v>
      </c>
      <c r="BD8" s="143">
        <f>BD9+BD19</f>
        <v>187084700020</v>
      </c>
      <c r="BE8" s="142">
        <f>SUM(BE9+BE19+BE18)</f>
        <v>16843426160</v>
      </c>
      <c r="BF8" s="553">
        <f>MARZO!BF8+ABRIL!BE8+MAYO!BE8+JUNIO!BE8</f>
        <v>31282077404</v>
      </c>
      <c r="BG8" s="145" t="s">
        <v>95</v>
      </c>
      <c r="BH8" s="146">
        <f>BN9+BN13</f>
        <v>9381534326.2126675</v>
      </c>
      <c r="BI8" s="146">
        <f>BO9+BO13</f>
        <v>9015328293</v>
      </c>
      <c r="BJ8" s="146">
        <f>BP9+BP13</f>
        <v>9015328293</v>
      </c>
      <c r="BK8" s="146">
        <f>BQ9+BQ13</f>
        <v>1087753990</v>
      </c>
      <c r="BL8" s="555">
        <f>+BK8+MAYO!BK8+ABRIL!BK8+MARZO!BL8</f>
        <v>4326646344</v>
      </c>
      <c r="BM8" s="743" t="s">
        <v>96</v>
      </c>
      <c r="BN8" s="148">
        <f>BN9+BN14+BN13</f>
        <v>83016292982.212677</v>
      </c>
      <c r="BO8" s="146">
        <f>BO9+BO14+BO13</f>
        <v>81551561781</v>
      </c>
      <c r="BP8" s="146">
        <f>BP9+BP14+BP13</f>
        <v>81551561781</v>
      </c>
      <c r="BQ8" s="744">
        <f>BQ9+BQ14+BQ13</f>
        <v>6327525597</v>
      </c>
    </row>
    <row r="9" spans="1:69" ht="24.75" customHeight="1" thickBot="1">
      <c r="A9" s="149"/>
      <c r="B9" s="150"/>
      <c r="C9" s="151"/>
      <c r="D9" s="151"/>
      <c r="E9" s="151"/>
      <c r="F9" s="151"/>
      <c r="G9" s="151"/>
      <c r="H9" s="151"/>
      <c r="I9" s="668"/>
      <c r="J9" s="668"/>
      <c r="K9" s="151"/>
      <c r="L9" s="668"/>
      <c r="M9" s="151"/>
      <c r="N9" s="152"/>
      <c r="O9" s="126"/>
      <c r="P9" s="153"/>
      <c r="Q9" s="152"/>
      <c r="R9" s="101"/>
      <c r="S9" s="102"/>
      <c r="T9" s="103"/>
      <c r="U9" s="104"/>
      <c r="V9" s="104"/>
      <c r="W9" s="104"/>
      <c r="X9" s="104"/>
      <c r="Y9" s="104"/>
      <c r="Z9" s="104"/>
      <c r="AA9" s="104"/>
      <c r="AB9" s="104"/>
      <c r="AC9" s="104"/>
      <c r="AD9" s="104"/>
      <c r="AE9" s="104"/>
      <c r="AF9" s="104"/>
      <c r="AG9" s="104"/>
      <c r="AH9" s="104"/>
      <c r="AI9" s="104"/>
      <c r="AJ9" s="105"/>
      <c r="AK9" s="101"/>
      <c r="AL9" s="154"/>
      <c r="AM9" s="155"/>
      <c r="AN9" s="101"/>
      <c r="AO9" s="156"/>
      <c r="AP9" s="109" t="s">
        <v>97</v>
      </c>
      <c r="AQ9" s="138">
        <f>F28+F75</f>
        <v>2299679776</v>
      </c>
      <c r="AR9" s="138">
        <f>I28+I75</f>
        <v>2504984243</v>
      </c>
      <c r="AS9" s="138">
        <f>L28+L75</f>
        <v>2004909500</v>
      </c>
      <c r="AT9" s="101"/>
      <c r="AU9" s="157">
        <f t="shared" si="0"/>
        <v>1.0892752413369051</v>
      </c>
      <c r="AV9" s="157">
        <f t="shared" si="1"/>
        <v>0.87182116437414803</v>
      </c>
      <c r="AW9" s="158">
        <f>(I30+I33+I36+I76)/AO$2*12+I31+I34+I37+I38+I39+I40+I77</f>
        <v>2504984243</v>
      </c>
      <c r="AX9" s="158">
        <f>(L30+L33+L36+L76)/AO$2*12+L31+L34+L37+L38+L39+L40+L77</f>
        <v>2004909500</v>
      </c>
      <c r="AY9" s="158">
        <f t="shared" si="2"/>
        <v>205304467</v>
      </c>
      <c r="AZ9" s="159">
        <f t="shared" si="3"/>
        <v>-294770276</v>
      </c>
      <c r="BA9" s="101"/>
      <c r="BB9" s="160" t="s">
        <v>98</v>
      </c>
      <c r="BC9" s="161">
        <f>BC10+BC18</f>
        <v>160134468242.37653</v>
      </c>
      <c r="BD9" s="162">
        <f>BD10+BD18</f>
        <v>178195228511</v>
      </c>
      <c r="BE9" s="161">
        <f>BE10+BE16</f>
        <v>12026260832</v>
      </c>
      <c r="BF9" s="553">
        <f>MARZO!BF9+ABRIL!BE9+MAYO!BE9+JUNIO!BE9</f>
        <v>30552431532</v>
      </c>
      <c r="BG9" s="165" t="s">
        <v>99</v>
      </c>
      <c r="BH9" s="166">
        <f t="shared" ref="BH9:BK10" si="6">BN14</f>
        <v>73634758656</v>
      </c>
      <c r="BI9" s="166">
        <f t="shared" si="6"/>
        <v>72536233488</v>
      </c>
      <c r="BJ9" s="166">
        <f t="shared" si="6"/>
        <v>72536233488</v>
      </c>
      <c r="BK9" s="166">
        <f t="shared" si="6"/>
        <v>5239771607</v>
      </c>
      <c r="BL9" s="555">
        <f>+BK9+MAYO!BK9+ABRIL!BK9+MARZO!BL9</f>
        <v>16115309299</v>
      </c>
      <c r="BM9" s="745" t="s">
        <v>100</v>
      </c>
      <c r="BN9" s="168">
        <f>SUM(BN10:BN12)</f>
        <v>6786882922.916667</v>
      </c>
      <c r="BO9" s="574">
        <f>SUM(BO10:BO12)</f>
        <v>6593241023</v>
      </c>
      <c r="BP9" s="166">
        <f>SUM(BP10:BP12)</f>
        <v>6593241023</v>
      </c>
      <c r="BQ9" s="746">
        <f>SUM(BQ10:BQ12)</f>
        <v>942470490</v>
      </c>
    </row>
    <row r="10" spans="1:69" ht="24.75" customHeight="1">
      <c r="A10" s="169" t="str">
        <f>+IF(NOVIEMBRE!A10=0,"",NOVIEMBRE!A10)</f>
        <v>1.0</v>
      </c>
      <c r="B10" s="170" t="str">
        <f>+IF(NOVIEMBRE!B10=0,"",NOVIEMBRE!B10)</f>
        <v>DISPONIBILIDAD INICIAL</v>
      </c>
      <c r="C10" s="171">
        <f t="shared" ref="C10:N10" si="7">SUM(C12:C15)</f>
        <v>0</v>
      </c>
      <c r="D10" s="172">
        <f t="shared" si="7"/>
        <v>0</v>
      </c>
      <c r="E10" s="172">
        <f t="shared" si="7"/>
        <v>1179477265</v>
      </c>
      <c r="F10" s="173">
        <f t="shared" si="7"/>
        <v>1179477265</v>
      </c>
      <c r="G10" s="174">
        <f t="shared" si="7"/>
        <v>1179477265</v>
      </c>
      <c r="H10" s="172">
        <f t="shared" si="7"/>
        <v>0</v>
      </c>
      <c r="I10" s="669">
        <f t="shared" si="7"/>
        <v>1179477265</v>
      </c>
      <c r="J10" s="670">
        <f t="shared" si="7"/>
        <v>1179477265</v>
      </c>
      <c r="K10" s="172">
        <f t="shared" si="7"/>
        <v>0</v>
      </c>
      <c r="L10" s="693">
        <f t="shared" si="7"/>
        <v>1179477265</v>
      </c>
      <c r="M10" s="171">
        <f t="shared" si="7"/>
        <v>0</v>
      </c>
      <c r="N10" s="173">
        <f t="shared" si="7"/>
        <v>0</v>
      </c>
      <c r="O10" s="101"/>
      <c r="P10" s="171">
        <f>SUM(P12:P15)</f>
        <v>0</v>
      </c>
      <c r="Q10" s="173">
        <f>SUM(Q12:Q15)</f>
        <v>0</v>
      </c>
      <c r="R10" s="101"/>
      <c r="S10" s="176" t="str">
        <f>+IF(NOVIEMBRE!S10=0,"",NOVIEMBRE!S10)</f>
        <v>2.1</v>
      </c>
      <c r="T10" s="177" t="str">
        <f>+IF(NOVIEMBRE!T10=0,"",NOVIEMBRE!T10)</f>
        <v>GASTOS DE FUNCIONAMIENTO</v>
      </c>
      <c r="U10" s="178">
        <f t="shared" ref="U10:AJ10" si="8">U12+U110+U168</f>
        <v>112528788023.5</v>
      </c>
      <c r="V10" s="179">
        <f t="shared" si="8"/>
        <v>0</v>
      </c>
      <c r="W10" s="179">
        <f t="shared" si="8"/>
        <v>11349143180</v>
      </c>
      <c r="X10" s="182">
        <f t="shared" si="8"/>
        <v>123877931203.5</v>
      </c>
      <c r="Y10" s="181">
        <f t="shared" si="8"/>
        <v>116036343196</v>
      </c>
      <c r="Z10" s="179">
        <f t="shared" si="8"/>
        <v>952997170</v>
      </c>
      <c r="AA10" s="182">
        <f t="shared" si="8"/>
        <v>116989340366</v>
      </c>
      <c r="AB10" s="181">
        <f t="shared" si="8"/>
        <v>107307179858</v>
      </c>
      <c r="AC10" s="179">
        <f t="shared" si="8"/>
        <v>9682160508</v>
      </c>
      <c r="AD10" s="182">
        <f t="shared" si="8"/>
        <v>116989340366</v>
      </c>
      <c r="AE10" s="181">
        <f t="shared" si="8"/>
        <v>83051008031.5</v>
      </c>
      <c r="AF10" s="179">
        <f t="shared" si="8"/>
        <v>8096848455</v>
      </c>
      <c r="AG10" s="182">
        <f t="shared" si="8"/>
        <v>91147856486.5</v>
      </c>
      <c r="AH10" s="181">
        <f t="shared" si="8"/>
        <v>6888590837.5</v>
      </c>
      <c r="AI10" s="179">
        <f t="shared" si="8"/>
        <v>6888590837.5</v>
      </c>
      <c r="AJ10" s="180">
        <f t="shared" si="8"/>
        <v>32730074717</v>
      </c>
      <c r="AK10" s="101"/>
      <c r="AL10" s="183">
        <f>AL12+AL110+AL168</f>
        <v>0</v>
      </c>
      <c r="AM10" s="184">
        <f>AM12+AM110+AM168</f>
        <v>0</v>
      </c>
      <c r="AN10" s="101"/>
      <c r="AO10" s="156"/>
      <c r="AP10" s="109" t="s">
        <v>102</v>
      </c>
      <c r="AQ10" s="138">
        <f>F42</f>
        <v>287170800</v>
      </c>
      <c r="AR10" s="138">
        <f>I42</f>
        <v>125368574</v>
      </c>
      <c r="AS10" s="138">
        <f>L42</f>
        <v>98721935</v>
      </c>
      <c r="AT10" s="101"/>
      <c r="AU10" s="157">
        <f t="shared" si="0"/>
        <v>0.43656449054012453</v>
      </c>
      <c r="AV10" s="157">
        <f t="shared" si="1"/>
        <v>0.34377427997554066</v>
      </c>
      <c r="AW10" s="158">
        <f>I43/AO$2*12+I44</f>
        <v>125368574</v>
      </c>
      <c r="AX10" s="158">
        <f>L43/AO$2*12+L44</f>
        <v>98721935</v>
      </c>
      <c r="AY10" s="158">
        <f t="shared" si="2"/>
        <v>-161802226</v>
      </c>
      <c r="AZ10" s="159">
        <f t="shared" si="3"/>
        <v>-188448865</v>
      </c>
      <c r="BA10" s="101"/>
      <c r="BB10" s="185" t="s">
        <v>103</v>
      </c>
      <c r="BC10" s="161">
        <f>BC11+BC12+BC13+BC14+BC16+BC17+BC15</f>
        <v>160134468242.37653</v>
      </c>
      <c r="BD10" s="162">
        <f>BD11+BD12+BD13+BD14+BD16+BD17+BD15</f>
        <v>178195228511</v>
      </c>
      <c r="BE10" s="161">
        <f>SUM(BE11+BE12+BE13+BE14+BE17)</f>
        <v>9925570419</v>
      </c>
      <c r="BF10" s="553">
        <f>MARZO!BF10+ABRIL!BE10+MAYO!BE10+JUNIO!BE10</f>
        <v>24439062842</v>
      </c>
      <c r="BG10" s="145" t="s">
        <v>104</v>
      </c>
      <c r="BH10" s="186">
        <f t="shared" si="6"/>
        <v>20062313976.398613</v>
      </c>
      <c r="BI10" s="186">
        <f t="shared" si="6"/>
        <v>14904174898</v>
      </c>
      <c r="BJ10" s="186">
        <f t="shared" si="6"/>
        <v>14904174898</v>
      </c>
      <c r="BK10" s="186">
        <f t="shared" si="6"/>
        <v>1527415620</v>
      </c>
      <c r="BL10" s="555">
        <f>+BK10+MAYO!BK10+ABRIL!BK10+MARZO!BL10</f>
        <v>5163375626</v>
      </c>
      <c r="BM10" s="747" t="s">
        <v>105</v>
      </c>
      <c r="BN10" s="188">
        <f>X17+X66</f>
        <v>5171372985</v>
      </c>
      <c r="BO10" s="575">
        <f>AA17+AA66</f>
        <v>5082469893</v>
      </c>
      <c r="BP10" s="186">
        <f>AD17+AD66</f>
        <v>5082469893</v>
      </c>
      <c r="BQ10" s="748">
        <f>AF17+AF66</f>
        <v>398677753</v>
      </c>
    </row>
    <row r="11" spans="1:69" ht="24.75" customHeight="1">
      <c r="A11" s="149"/>
      <c r="B11" s="150"/>
      <c r="C11" s="151"/>
      <c r="D11" s="151"/>
      <c r="E11" s="151"/>
      <c r="F11" s="151"/>
      <c r="G11" s="151"/>
      <c r="H11" s="151"/>
      <c r="I11" s="668"/>
      <c r="J11" s="668"/>
      <c r="K11" s="151"/>
      <c r="L11" s="668"/>
      <c r="M11" s="151"/>
      <c r="N11" s="152"/>
      <c r="O11" s="126"/>
      <c r="P11" s="153"/>
      <c r="Q11" s="152"/>
      <c r="R11" s="101"/>
      <c r="S11" s="189"/>
      <c r="T11" s="488"/>
      <c r="U11" s="191"/>
      <c r="V11" s="191"/>
      <c r="W11" s="191"/>
      <c r="X11" s="191"/>
      <c r="Y11" s="191"/>
      <c r="Z11" s="191"/>
      <c r="AA11" s="191"/>
      <c r="AB11" s="191"/>
      <c r="AC11" s="191"/>
      <c r="AD11" s="191"/>
      <c r="AE11" s="191"/>
      <c r="AF11" s="191"/>
      <c r="AG11" s="191"/>
      <c r="AH11" s="191"/>
      <c r="AI11" s="191"/>
      <c r="AJ11" s="192"/>
      <c r="AK11" s="101"/>
      <c r="AL11" s="194"/>
      <c r="AM11" s="195"/>
      <c r="AN11" s="101"/>
      <c r="AO11" s="196" t="s">
        <v>50</v>
      </c>
      <c r="AP11" s="197" t="s">
        <v>106</v>
      </c>
      <c r="AQ11" s="138">
        <f>F88</f>
        <v>2337265046</v>
      </c>
      <c r="AR11" s="138">
        <f>I88</f>
        <v>2337265046</v>
      </c>
      <c r="AS11" s="138">
        <f>L88</f>
        <v>2278833420</v>
      </c>
      <c r="AT11" s="198">
        <f>AO2/12</f>
        <v>1</v>
      </c>
      <c r="AU11" s="157">
        <f t="shared" si="0"/>
        <v>1</v>
      </c>
      <c r="AV11" s="157">
        <f t="shared" si="1"/>
        <v>0.97500000006417753</v>
      </c>
      <c r="AW11" s="158">
        <f>I88</f>
        <v>2337265046</v>
      </c>
      <c r="AX11" s="158">
        <f>L88</f>
        <v>2278833420</v>
      </c>
      <c r="AY11" s="158">
        <f t="shared" si="2"/>
        <v>0</v>
      </c>
      <c r="AZ11" s="159">
        <f t="shared" si="3"/>
        <v>-58431626</v>
      </c>
      <c r="BA11" s="101"/>
      <c r="BB11" s="185" t="s">
        <v>107</v>
      </c>
      <c r="BC11" s="161">
        <f>F26</f>
        <v>81866799864</v>
      </c>
      <c r="BD11" s="162">
        <f>I26</f>
        <v>79486440800</v>
      </c>
      <c r="BE11" s="161">
        <f>SUM(K26)</f>
        <v>3862878393</v>
      </c>
      <c r="BF11" s="553">
        <f>MARZO!BF11+ABRIL!BE11+MAYO!BE11+JUNIO!BE11</f>
        <v>8453018963</v>
      </c>
      <c r="BG11" s="145" t="s">
        <v>108</v>
      </c>
      <c r="BH11" s="199">
        <f>BN22</f>
        <v>1836060585</v>
      </c>
      <c r="BI11" s="199">
        <f>BO22</f>
        <v>1599081515</v>
      </c>
      <c r="BJ11" s="199">
        <f>BP22</f>
        <v>1599081515</v>
      </c>
      <c r="BK11" s="199">
        <f>BQ22</f>
        <v>241907238</v>
      </c>
      <c r="BL11" s="555">
        <f>+BK11+MAYO!BK11+ABRIL!BK11+MARZO!BL11</f>
        <v>762697130</v>
      </c>
      <c r="BM11" s="749" t="s">
        <v>109</v>
      </c>
      <c r="BN11" s="201">
        <f>X18+X67</f>
        <v>17000000</v>
      </c>
      <c r="BO11" s="576">
        <f>AA18+AA67</f>
        <v>15097914</v>
      </c>
      <c r="BP11" s="199">
        <f>AD18+AD67</f>
        <v>15097914</v>
      </c>
      <c r="BQ11" s="750">
        <f>AF18+AF67</f>
        <v>1464927</v>
      </c>
    </row>
    <row r="12" spans="1:69" ht="36.75" customHeight="1">
      <c r="A12" s="202" t="str">
        <f>+IF(NOVIEMBRE!A12=0,"",NOVIEMBRE!A12)</f>
        <v>1.0.01</v>
      </c>
      <c r="B12" s="203" t="str">
        <f>+IF(NOVIEMBRE!B12=0,"",NOVIEMBRE!B12)</f>
        <v>Caja</v>
      </c>
      <c r="C12" s="204">
        <f>+ENERO!C12</f>
        <v>0</v>
      </c>
      <c r="D12" s="205">
        <f>NOVIEMBRE!D12+DICIEMBRE!P12</f>
        <v>0</v>
      </c>
      <c r="E12" s="205">
        <f>NOVIEMBRE!E12+DICIEMBRE!Q12</f>
        <v>3941159</v>
      </c>
      <c r="F12" s="206">
        <f>SUM(C12:E12)</f>
        <v>3941159</v>
      </c>
      <c r="G12" s="207">
        <f>NOVIEMBRE!I12</f>
        <v>3941159</v>
      </c>
      <c r="H12" s="208">
        <v>0</v>
      </c>
      <c r="I12" s="671">
        <f>SUM(G12:H12)</f>
        <v>3941159</v>
      </c>
      <c r="J12" s="672">
        <f>NOVIEMBRE!L12</f>
        <v>3941159</v>
      </c>
      <c r="K12" s="209">
        <v>0</v>
      </c>
      <c r="L12" s="671">
        <f>SUM(J12:K12)</f>
        <v>3941159</v>
      </c>
      <c r="M12" s="207">
        <f>F12-I12</f>
        <v>0</v>
      </c>
      <c r="N12" s="206">
        <f>F12-L12</f>
        <v>0</v>
      </c>
      <c r="O12" s="67"/>
      <c r="P12" s="204">
        <v>0</v>
      </c>
      <c r="Q12" s="210">
        <v>0</v>
      </c>
      <c r="R12" s="101"/>
      <c r="S12" s="211" t="str">
        <f>+IF(NOVIEMBRE!S12=0,"",NOVIEMBRE!S12)</f>
        <v>2.1.1</v>
      </c>
      <c r="T12" s="212" t="str">
        <f>+IF(NOVIEMBRE!T12=0,"",NOVIEMBRE!T12)</f>
        <v>GASTOS DE PERSONAL</v>
      </c>
      <c r="U12" s="213">
        <f t="shared" ref="U12:AJ12" si="9">U14+U63</f>
        <v>88367557767.879166</v>
      </c>
      <c r="V12" s="214">
        <f t="shared" si="9"/>
        <v>3289429125</v>
      </c>
      <c r="W12" s="214">
        <f t="shared" si="9"/>
        <v>8355635160</v>
      </c>
      <c r="X12" s="215">
        <f t="shared" si="9"/>
        <v>100012622052.87917</v>
      </c>
      <c r="Y12" s="183">
        <f t="shared" si="9"/>
        <v>97965358141</v>
      </c>
      <c r="Z12" s="214">
        <f t="shared" si="9"/>
        <v>569398729</v>
      </c>
      <c r="AA12" s="215">
        <f t="shared" si="9"/>
        <v>98534756870</v>
      </c>
      <c r="AB12" s="183">
        <f t="shared" si="9"/>
        <v>90703788432</v>
      </c>
      <c r="AC12" s="214">
        <f t="shared" si="9"/>
        <v>7830968438</v>
      </c>
      <c r="AD12" s="215">
        <f t="shared" si="9"/>
        <v>98534756870</v>
      </c>
      <c r="AE12" s="183">
        <f t="shared" si="9"/>
        <v>70349348404</v>
      </c>
      <c r="AF12" s="214">
        <f t="shared" si="9"/>
        <v>6327525597</v>
      </c>
      <c r="AG12" s="215">
        <f t="shared" si="9"/>
        <v>76676874001</v>
      </c>
      <c r="AH12" s="183">
        <f t="shared" si="9"/>
        <v>1477865182.879168</v>
      </c>
      <c r="AI12" s="214">
        <f t="shared" si="9"/>
        <v>1477865182.879168</v>
      </c>
      <c r="AJ12" s="184">
        <f t="shared" si="9"/>
        <v>23335748051.879169</v>
      </c>
      <c r="AK12" s="101"/>
      <c r="AL12" s="217">
        <f>AL14+AL63</f>
        <v>-101092760</v>
      </c>
      <c r="AM12" s="218">
        <f>AM14+AM63</f>
        <v>0</v>
      </c>
      <c r="AN12" s="101"/>
      <c r="AO12" s="196"/>
      <c r="AP12" s="197" t="s">
        <v>111</v>
      </c>
      <c r="AQ12" s="138">
        <f>F89+F92</f>
        <v>9574697797</v>
      </c>
      <c r="AR12" s="138">
        <f>I89+I92</f>
        <v>9451578964</v>
      </c>
      <c r="AS12" s="138">
        <f>L89+L92</f>
        <v>9451237457</v>
      </c>
      <c r="AT12" s="101"/>
      <c r="AU12" s="157">
        <f t="shared" si="0"/>
        <v>0.98714123039595292</v>
      </c>
      <c r="AV12" s="157">
        <f t="shared" si="1"/>
        <v>0.98710556274280703</v>
      </c>
      <c r="AW12" s="158">
        <f>I89</f>
        <v>9451578964</v>
      </c>
      <c r="AX12" s="158">
        <f>L89</f>
        <v>9451237457</v>
      </c>
      <c r="AY12" s="158">
        <f t="shared" si="2"/>
        <v>-123118833</v>
      </c>
      <c r="AZ12" s="159">
        <f t="shared" si="3"/>
        <v>-123460340</v>
      </c>
      <c r="BA12" s="101"/>
      <c r="BB12" s="185" t="s">
        <v>112</v>
      </c>
      <c r="BC12" s="161">
        <f>F23</f>
        <v>49300076925.586876</v>
      </c>
      <c r="BD12" s="162">
        <f>I23</f>
        <v>69992770378</v>
      </c>
      <c r="BE12" s="161">
        <f>SUM(K23)</f>
        <v>5594712417</v>
      </c>
      <c r="BF12" s="553">
        <f>MARZO!BF12+ABRIL!BE12+MAYO!BE12+JUNIO!BE12</f>
        <v>14566848805</v>
      </c>
      <c r="BG12" s="219" t="s">
        <v>113</v>
      </c>
      <c r="BH12" s="199">
        <f>BN25</f>
        <v>51584270413.333328</v>
      </c>
      <c r="BI12" s="199">
        <f>BO25</f>
        <v>47241848388</v>
      </c>
      <c r="BJ12" s="199">
        <f>BP25</f>
        <v>47241848388</v>
      </c>
      <c r="BK12" s="199">
        <f>BQ25</f>
        <v>3590712461.5</v>
      </c>
      <c r="BL12" s="555">
        <f>+BK12+MAYO!BK12+ABRIL!BK12+MARZO!BL12</f>
        <v>11063905207.5</v>
      </c>
      <c r="BM12" s="751" t="s">
        <v>114</v>
      </c>
      <c r="BN12" s="201">
        <f>X16+X65-X81-X33-BN10-BN11</f>
        <v>1598509937.916667</v>
      </c>
      <c r="BO12" s="576">
        <f>AA16+AA65-AA81-AA33-BO10-BO11</f>
        <v>1495673216</v>
      </c>
      <c r="BP12" s="199">
        <f>AD16+AD65-AD81-AD33-BP10-BP11</f>
        <v>1495673216</v>
      </c>
      <c r="BQ12" s="750">
        <f>AF16+AF65-AF81-AF33-BQ10-BQ11</f>
        <v>542327810</v>
      </c>
    </row>
    <row r="13" spans="1:69" ht="24.75" customHeight="1">
      <c r="A13" s="202" t="str">
        <f>+IF(NOVIEMBRE!A13=0,"",NOVIEMBRE!A13)</f>
        <v>1.0.02</v>
      </c>
      <c r="B13" s="203" t="str">
        <f>+IF(NOVIEMBRE!B13=0,"",NOVIEMBRE!B13)</f>
        <v>Bancos</v>
      </c>
      <c r="C13" s="204">
        <f>+ENERO!C13</f>
        <v>0</v>
      </c>
      <c r="D13" s="205">
        <f>NOVIEMBRE!D13+DICIEMBRE!P13</f>
        <v>0</v>
      </c>
      <c r="E13" s="205">
        <f>NOVIEMBRE!E13+DICIEMBRE!Q13</f>
        <v>554873586</v>
      </c>
      <c r="F13" s="206">
        <f>SUM(C13:E13)</f>
        <v>554873586</v>
      </c>
      <c r="G13" s="207">
        <f>NOVIEMBRE!I13</f>
        <v>554873586</v>
      </c>
      <c r="H13" s="208">
        <v>0</v>
      </c>
      <c r="I13" s="671">
        <f>SUM(G13:H13)</f>
        <v>554873586</v>
      </c>
      <c r="J13" s="672">
        <f>NOVIEMBRE!L13</f>
        <v>554873586</v>
      </c>
      <c r="K13" s="209">
        <v>0</v>
      </c>
      <c r="L13" s="671">
        <f>SUM(J13:K13)</f>
        <v>554873586</v>
      </c>
      <c r="M13" s="207">
        <f>F13-I13</f>
        <v>0</v>
      </c>
      <c r="N13" s="206">
        <f>F13-L13</f>
        <v>0</v>
      </c>
      <c r="O13" s="67"/>
      <c r="P13" s="204">
        <v>0</v>
      </c>
      <c r="Q13" s="210">
        <v>0</v>
      </c>
      <c r="R13" s="101"/>
      <c r="S13" s="189"/>
      <c r="T13" s="488"/>
      <c r="U13" s="191"/>
      <c r="V13" s="191"/>
      <c r="W13" s="191"/>
      <c r="X13" s="191"/>
      <c r="Y13" s="191"/>
      <c r="Z13" s="191"/>
      <c r="AA13" s="191"/>
      <c r="AB13" s="191"/>
      <c r="AC13" s="191"/>
      <c r="AD13" s="191"/>
      <c r="AE13" s="191"/>
      <c r="AF13" s="191"/>
      <c r="AG13" s="191"/>
      <c r="AH13" s="191"/>
      <c r="AI13" s="191"/>
      <c r="AJ13" s="192"/>
      <c r="AK13" s="101"/>
      <c r="AL13" s="194"/>
      <c r="AM13" s="195"/>
      <c r="AN13" s="101"/>
      <c r="AO13" s="221"/>
      <c r="AP13" s="197" t="s">
        <v>115</v>
      </c>
      <c r="AQ13" s="138">
        <f>F90</f>
        <v>10147236731</v>
      </c>
      <c r="AR13" s="138">
        <f>I90</f>
        <v>10147236731</v>
      </c>
      <c r="AS13" s="138">
        <f>L90</f>
        <v>5550101028</v>
      </c>
      <c r="AT13" s="101"/>
      <c r="AU13" s="157">
        <f t="shared" si="0"/>
        <v>1</v>
      </c>
      <c r="AV13" s="157">
        <f t="shared" si="1"/>
        <v>0.54695688837576206</v>
      </c>
      <c r="AW13" s="158">
        <f>I90</f>
        <v>10147236731</v>
      </c>
      <c r="AX13" s="158">
        <f>L90</f>
        <v>5550101028</v>
      </c>
      <c r="AY13" s="158">
        <f t="shared" si="2"/>
        <v>0</v>
      </c>
      <c r="AZ13" s="159">
        <f t="shared" si="3"/>
        <v>-4597135703</v>
      </c>
      <c r="BA13" s="67"/>
      <c r="BB13" s="236" t="s">
        <v>116</v>
      </c>
      <c r="BC13" s="223">
        <f>+F30+F33+F36+F38+F39+F40</f>
        <v>1140706891</v>
      </c>
      <c r="BD13" s="224">
        <f>+I30+I33+I36+I38+I39+I40</f>
        <v>1797978312</v>
      </c>
      <c r="BE13" s="161">
        <f>SUM(K33)</f>
        <v>93125586</v>
      </c>
      <c r="BF13" s="553">
        <f>MARZO!BF13+ABRIL!BE13+MAYO!BE13+JUNIO!BE13</f>
        <v>713778648</v>
      </c>
      <c r="BG13" s="227" t="s">
        <v>117</v>
      </c>
      <c r="BH13" s="199">
        <f>SUM(BN29)</f>
        <v>38768439369</v>
      </c>
      <c r="BI13" s="199">
        <f t="shared" ref="BI13:BK14" si="10">BO29</f>
        <v>22755317069</v>
      </c>
      <c r="BJ13" s="199">
        <f t="shared" si="10"/>
        <v>22755317069</v>
      </c>
      <c r="BK13" s="199">
        <f t="shared" si="10"/>
        <v>4885288892</v>
      </c>
      <c r="BL13" s="555">
        <f>+BK13+MAYO!BK13+ABRIL!BK13+MARZO!BL13</f>
        <v>9547532054</v>
      </c>
      <c r="BM13" s="745" t="s">
        <v>118</v>
      </c>
      <c r="BN13" s="188">
        <f>X43-X55+X57-X61+X90-X102+X104-X108</f>
        <v>2594651403.2960005</v>
      </c>
      <c r="BO13" s="575">
        <f>AA43-AA55+AA57-AA61+AA90-AA102+AA104-AA108</f>
        <v>2422087270</v>
      </c>
      <c r="BP13" s="186">
        <f>AD43-AD55+AD57-AD61+AD90-AD102+AD104-AD108</f>
        <v>2422087270</v>
      </c>
      <c r="BQ13" s="748">
        <f>AF43-AF55+AF57-AF61+AF90-AF102+AF104-AF108</f>
        <v>145283500</v>
      </c>
    </row>
    <row r="14" spans="1:69" ht="24.75" customHeight="1">
      <c r="A14" s="202" t="str">
        <f>+IF(NOVIEMBRE!A14=0,"",NOVIEMBRE!A14)</f>
        <v>1.0.03</v>
      </c>
      <c r="B14" s="203" t="str">
        <f>+IF(NOVIEMBRE!B14=0,"",NOVIEMBRE!B14)</f>
        <v>Inversiones Temporales</v>
      </c>
      <c r="C14" s="204">
        <f>+ENERO!C14</f>
        <v>0</v>
      </c>
      <c r="D14" s="205">
        <f>NOVIEMBRE!D14+DICIEMBRE!P14</f>
        <v>0</v>
      </c>
      <c r="E14" s="205">
        <f>NOVIEMBRE!E14+DICIEMBRE!Q14</f>
        <v>620662520</v>
      </c>
      <c r="F14" s="206">
        <f>SUM(C14:E14)</f>
        <v>620662520</v>
      </c>
      <c r="G14" s="207">
        <f>NOVIEMBRE!I14</f>
        <v>620662520</v>
      </c>
      <c r="H14" s="208">
        <v>0</v>
      </c>
      <c r="I14" s="671">
        <f>SUM(G14:H14)</f>
        <v>620662520</v>
      </c>
      <c r="J14" s="672">
        <f>NOVIEMBRE!L14</f>
        <v>620662520</v>
      </c>
      <c r="K14" s="209">
        <v>0</v>
      </c>
      <c r="L14" s="671">
        <f>SUM(J14:K14)</f>
        <v>620662520</v>
      </c>
      <c r="M14" s="207">
        <f>F14-I14</f>
        <v>0</v>
      </c>
      <c r="N14" s="206">
        <f>F14-L14</f>
        <v>0</v>
      </c>
      <c r="O14" s="67"/>
      <c r="P14" s="204">
        <v>0</v>
      </c>
      <c r="Q14" s="210">
        <v>0</v>
      </c>
      <c r="R14" s="101"/>
      <c r="S14" s="228" t="str">
        <f>+IF(NOVIEMBRE!S14=0,"",NOVIEMBRE!S14)</f>
        <v>2.1.1.01</v>
      </c>
      <c r="T14" s="229" t="str">
        <f>+IF(NOVIEMBRE!T14=0,"",NOVIEMBRE!T14)</f>
        <v>Gastos de Administración</v>
      </c>
      <c r="U14" s="230">
        <f t="shared" ref="U14:AJ14" si="11">U16+U35+U43+U57</f>
        <v>23848754297.879169</v>
      </c>
      <c r="V14" s="231">
        <f t="shared" si="11"/>
        <v>4193429125</v>
      </c>
      <c r="W14" s="231">
        <f t="shared" si="11"/>
        <v>865000000</v>
      </c>
      <c r="X14" s="234">
        <f t="shared" si="11"/>
        <v>28907183422.879169</v>
      </c>
      <c r="Y14" s="233">
        <f t="shared" si="11"/>
        <v>26864537497</v>
      </c>
      <c r="Z14" s="231">
        <f t="shared" si="11"/>
        <v>1213832445</v>
      </c>
      <c r="AA14" s="234">
        <f t="shared" si="11"/>
        <v>28078369942</v>
      </c>
      <c r="AB14" s="233">
        <f t="shared" si="11"/>
        <v>25098448987</v>
      </c>
      <c r="AC14" s="231">
        <f t="shared" si="11"/>
        <v>2979920955</v>
      </c>
      <c r="AD14" s="234">
        <f t="shared" si="11"/>
        <v>28078369942</v>
      </c>
      <c r="AE14" s="233">
        <f t="shared" si="11"/>
        <v>20411814652</v>
      </c>
      <c r="AF14" s="231">
        <f t="shared" si="11"/>
        <v>2477355147</v>
      </c>
      <c r="AG14" s="234">
        <f t="shared" si="11"/>
        <v>22889169799</v>
      </c>
      <c r="AH14" s="233">
        <f t="shared" si="11"/>
        <v>828813480.87916791</v>
      </c>
      <c r="AI14" s="231">
        <f t="shared" si="11"/>
        <v>828813480.87916791</v>
      </c>
      <c r="AJ14" s="232">
        <f t="shared" si="11"/>
        <v>6018013623.8791685</v>
      </c>
      <c r="AK14" s="101"/>
      <c r="AL14" s="233">
        <f>AL16+AL35+AL43+AL57</f>
        <v>-101092760</v>
      </c>
      <c r="AM14" s="232">
        <f>AM16+AM35+AM43+AM57</f>
        <v>0</v>
      </c>
      <c r="AN14" s="101"/>
      <c r="AO14" s="108"/>
      <c r="AP14" s="109" t="s">
        <v>120</v>
      </c>
      <c r="AQ14" s="138">
        <f>F19-AQ7-AQ8-AQ9-AQ10-AQ11-AQ12-AQ13+F104+F94</f>
        <v>25147508443.889648</v>
      </c>
      <c r="AR14" s="138">
        <f>I19-AR7-AR8-AR9-AR10-AR11-AR12-AR13+I94+I104</f>
        <v>15671640660</v>
      </c>
      <c r="AS14" s="138">
        <f>L19-AS7-AS8-AS9-AS10-AS11-AS12-AS13+L94+L104</f>
        <v>12580746990</v>
      </c>
      <c r="AT14" s="67"/>
      <c r="AU14" s="157">
        <f t="shared" si="0"/>
        <v>0.62318860315594815</v>
      </c>
      <c r="AV14" s="157">
        <f t="shared" si="1"/>
        <v>0.50027807001519764</v>
      </c>
      <c r="AW14" s="158">
        <f>(I41+I46+I49+I52+I55+I58+I61+I64+I67+I70+I73+I78+I81+I82+I83+I85+I94+I104)/AO$2*12+I47+I50+I53+I56+I59+I62+I65+I68+I71+I74</f>
        <v>38040207350</v>
      </c>
      <c r="AX14" s="158">
        <f>(L41+L46+L49+L52+L55+L58+L61+L64+L67+L70+L73+L78+L81+L82+L83+L85+L94+L104)/AO$2*12+L47+L50+L53+L56+L59+L62+L65+L68+L71+L74</f>
        <v>30194643521</v>
      </c>
      <c r="AY14" s="158">
        <f t="shared" si="2"/>
        <v>12892698906.110352</v>
      </c>
      <c r="AZ14" s="159">
        <f t="shared" si="3"/>
        <v>5047135077.1103516</v>
      </c>
      <c r="BA14" s="101"/>
      <c r="BB14" s="236" t="s">
        <v>121</v>
      </c>
      <c r="BC14" s="237">
        <f>+F64</f>
        <v>2137731076.9417498</v>
      </c>
      <c r="BD14" s="238">
        <f>+I64</f>
        <v>1731321386</v>
      </c>
      <c r="BE14" s="239">
        <f>K64</f>
        <v>91671562</v>
      </c>
      <c r="BF14" s="553">
        <f>MARZO!BF14+ABRIL!BE14+MAYO!BE14+JUNIO!BE14</f>
        <v>382641166</v>
      </c>
      <c r="BG14" s="227" t="s">
        <v>122</v>
      </c>
      <c r="BH14" s="186">
        <f>BN30</f>
        <v>2139175000</v>
      </c>
      <c r="BI14" s="186">
        <f t="shared" si="10"/>
        <v>1977286807</v>
      </c>
      <c r="BJ14" s="186">
        <f t="shared" si="10"/>
        <v>1977286807</v>
      </c>
      <c r="BK14" s="186">
        <f t="shared" si="10"/>
        <v>268373453</v>
      </c>
      <c r="BL14" s="555">
        <f>+BK14+MAYO!BK14+ABRIL!BK14+MARZO!BL14</f>
        <v>817904741</v>
      </c>
      <c r="BM14" s="752" t="s">
        <v>123</v>
      </c>
      <c r="BN14" s="201">
        <f>X35-X41+X83-X88</f>
        <v>73634758656</v>
      </c>
      <c r="BO14" s="199">
        <f>AA35-AA41+AA83-AA88</f>
        <v>72536233488</v>
      </c>
      <c r="BP14" s="199">
        <f>AD35-AD41+AD83-AD88</f>
        <v>72536233488</v>
      </c>
      <c r="BQ14" s="753">
        <f>AF35-AF41+AF83-AF88</f>
        <v>5239771607</v>
      </c>
    </row>
    <row r="15" spans="1:69" ht="24.75" customHeight="1" thickBot="1">
      <c r="A15" s="241">
        <f>+IF(NOVIEMBRE!A15=0,"",NOVIEMBRE!A15)</f>
        <v>1004</v>
      </c>
      <c r="B15" s="203" t="str">
        <f>+IF(NOVIEMBRE!B15=0,"",NOVIEMBRE!B15)</f>
        <v>Cesantias Ley 50/1990 a Dic-31-2024</v>
      </c>
      <c r="C15" s="242">
        <f>+ENERO!C15</f>
        <v>0</v>
      </c>
      <c r="D15" s="243">
        <f>NOVIEMBRE!D15+DICIEMBRE!P15</f>
        <v>0</v>
      </c>
      <c r="E15" s="243">
        <f>NOVIEMBRE!E15+DICIEMBRE!Q15</f>
        <v>0</v>
      </c>
      <c r="F15" s="244">
        <f>SUM(C15:E15)</f>
        <v>0</v>
      </c>
      <c r="G15" s="245">
        <f>NOVIEMBRE!I15</f>
        <v>0</v>
      </c>
      <c r="H15" s="246">
        <v>0</v>
      </c>
      <c r="I15" s="673">
        <f>SUM(G15:H15)</f>
        <v>0</v>
      </c>
      <c r="J15" s="674">
        <f>NOVIEMBRE!L15</f>
        <v>0</v>
      </c>
      <c r="K15" s="247">
        <v>0</v>
      </c>
      <c r="L15" s="673">
        <f>SUM(J15:K15)</f>
        <v>0</v>
      </c>
      <c r="M15" s="245">
        <f>F15-I15</f>
        <v>0</v>
      </c>
      <c r="N15" s="244">
        <f>F15-L15</f>
        <v>0</v>
      </c>
      <c r="O15" s="67"/>
      <c r="P15" s="242">
        <v>0</v>
      </c>
      <c r="Q15" s="248">
        <v>0</v>
      </c>
      <c r="R15" s="101"/>
      <c r="S15" s="189" t="str">
        <f>+IF(NOVIEMBRE!S15=0,"",NOVIEMBRE!S15)</f>
        <v/>
      </c>
      <c r="T15" s="488" t="str">
        <f>+IF(NOVIEMBRE!T15=0,"",NOVIEMBRE!T15)</f>
        <v xml:space="preserve"> </v>
      </c>
      <c r="U15" s="191"/>
      <c r="V15" s="191"/>
      <c r="W15" s="191"/>
      <c r="X15" s="191"/>
      <c r="Y15" s="191"/>
      <c r="Z15" s="191"/>
      <c r="AA15" s="191"/>
      <c r="AB15" s="191"/>
      <c r="AC15" s="191"/>
      <c r="AD15" s="191"/>
      <c r="AE15" s="191"/>
      <c r="AF15" s="191"/>
      <c r="AG15" s="191"/>
      <c r="AH15" s="191"/>
      <c r="AI15" s="191"/>
      <c r="AJ15" s="192"/>
      <c r="AK15" s="101"/>
      <c r="AL15" s="249"/>
      <c r="AM15" s="250"/>
      <c r="AN15" s="101"/>
      <c r="AO15" s="221"/>
      <c r="AP15" s="109" t="s">
        <v>124</v>
      </c>
      <c r="AQ15" s="138">
        <f>F113</f>
        <v>0</v>
      </c>
      <c r="AR15" s="138">
        <f>I113</f>
        <v>0</v>
      </c>
      <c r="AS15" s="138">
        <f>L113</f>
        <v>0</v>
      </c>
      <c r="AT15" s="101"/>
      <c r="AU15" s="139" t="str">
        <f t="shared" si="0"/>
        <v xml:space="preserve"> </v>
      </c>
      <c r="AV15" s="139" t="str">
        <f t="shared" si="1"/>
        <v xml:space="preserve"> </v>
      </c>
      <c r="AW15" s="138">
        <f>+AR15</f>
        <v>0</v>
      </c>
      <c r="AX15" s="138">
        <f>+AS15</f>
        <v>0</v>
      </c>
      <c r="AY15" s="138">
        <f t="shared" si="2"/>
        <v>0</v>
      </c>
      <c r="AZ15" s="140">
        <f t="shared" si="3"/>
        <v>0</v>
      </c>
      <c r="BA15" s="67"/>
      <c r="BB15" s="236" t="s">
        <v>125</v>
      </c>
      <c r="BC15" s="237">
        <f>F46+F49</f>
        <v>976431378</v>
      </c>
      <c r="BD15" s="238">
        <f>I46+I49</f>
        <v>474765389</v>
      </c>
      <c r="BE15" s="239">
        <f>K46</f>
        <v>0</v>
      </c>
      <c r="BF15" s="553">
        <f>MARZO!BF15+ABRIL!BE15+MAYO!BE15+JUNIO!BE15</f>
        <v>4215387</v>
      </c>
      <c r="BG15" s="227" t="s">
        <v>126</v>
      </c>
      <c r="BH15" s="186">
        <f>BN31</f>
        <v>27343386787.222057</v>
      </c>
      <c r="BI15" s="186">
        <f>BO31</f>
        <v>27178997387</v>
      </c>
      <c r="BJ15" s="186">
        <f>BP31</f>
        <v>27178997387</v>
      </c>
      <c r="BK15" s="186">
        <f>NOVIEMBRE!BQ31</f>
        <v>3550001</v>
      </c>
      <c r="BL15" s="555">
        <f>+BK15+MAYO!BK15+ABRIL!BK15+MARZO!BL15</f>
        <v>26889361875</v>
      </c>
      <c r="BM15" s="743" t="s">
        <v>104</v>
      </c>
      <c r="BN15" s="188">
        <f>SUM(BN16:BN21)</f>
        <v>20062313976.398613</v>
      </c>
      <c r="BO15" s="186">
        <f>SUM(BO16:BO21)</f>
        <v>14904174898</v>
      </c>
      <c r="BP15" s="186">
        <f>SUM(BP16:BP21)</f>
        <v>14904174898</v>
      </c>
      <c r="BQ15" s="754">
        <f>SUM(BQ16:BQ21)</f>
        <v>1527415620</v>
      </c>
    </row>
    <row r="16" spans="1:69" ht="24.75" customHeight="1" thickBot="1">
      <c r="A16" s="251" t="str">
        <f>+IF(NOVIEMBRE!A16=0,"",NOVIEMBRE!A16)</f>
        <v/>
      </c>
      <c r="B16" s="252" t="str">
        <f>+IF(NOVIEMBRE!B16=0,"",NOVIEMBRE!B16)</f>
        <v/>
      </c>
      <c r="C16" s="253"/>
      <c r="D16" s="253"/>
      <c r="E16" s="253"/>
      <c r="F16" s="253"/>
      <c r="G16" s="253"/>
      <c r="H16" s="253"/>
      <c r="I16" s="675"/>
      <c r="J16" s="675"/>
      <c r="K16" s="253"/>
      <c r="L16" s="675"/>
      <c r="M16" s="253"/>
      <c r="N16" s="254"/>
      <c r="O16" s="67"/>
      <c r="P16" s="255"/>
      <c r="Q16" s="256"/>
      <c r="R16" s="101"/>
      <c r="S16" s="257" t="str">
        <f>+IF(NOVIEMBRE!S16=0,"",NOVIEMBRE!S16)</f>
        <v>2.1.1.01.01</v>
      </c>
      <c r="T16" s="546" t="str">
        <f>+IF(NOVIEMBRE!T16=0,"",NOVIEMBRE!T16)</f>
        <v>Servicios Personales Asociados a Nómina</v>
      </c>
      <c r="U16" s="230">
        <f t="shared" ref="U16:AJ16" si="12">SUM(U17:U20)+U33</f>
        <v>8136453797.916667</v>
      </c>
      <c r="V16" s="231">
        <f t="shared" si="12"/>
        <v>-1349570875</v>
      </c>
      <c r="W16" s="231">
        <f t="shared" si="12"/>
        <v>0</v>
      </c>
      <c r="X16" s="234">
        <f t="shared" si="12"/>
        <v>6786882922.916667</v>
      </c>
      <c r="Y16" s="233">
        <f t="shared" si="12"/>
        <v>5650770533</v>
      </c>
      <c r="Z16" s="231">
        <f t="shared" si="12"/>
        <v>942470490</v>
      </c>
      <c r="AA16" s="234">
        <f t="shared" si="12"/>
        <v>6593241023</v>
      </c>
      <c r="AB16" s="233">
        <f t="shared" si="12"/>
        <v>5650770533</v>
      </c>
      <c r="AC16" s="231">
        <f t="shared" si="12"/>
        <v>942470490</v>
      </c>
      <c r="AD16" s="234">
        <f t="shared" si="12"/>
        <v>6593241023</v>
      </c>
      <c r="AE16" s="233">
        <f t="shared" si="12"/>
        <v>5650750533</v>
      </c>
      <c r="AF16" s="231">
        <f t="shared" si="12"/>
        <v>942470490</v>
      </c>
      <c r="AG16" s="234">
        <f t="shared" si="12"/>
        <v>6593221023</v>
      </c>
      <c r="AH16" s="233">
        <f t="shared" si="12"/>
        <v>193641899.91666663</v>
      </c>
      <c r="AI16" s="231">
        <f t="shared" si="12"/>
        <v>193641899.91666663</v>
      </c>
      <c r="AJ16" s="232">
        <f t="shared" si="12"/>
        <v>193661899.91666663</v>
      </c>
      <c r="AK16" s="101"/>
      <c r="AL16" s="233">
        <f>SUM(AL17:AL20)+AL33</f>
        <v>-30092760</v>
      </c>
      <c r="AM16" s="232">
        <f>SUM(AM17:AM20)+AM33</f>
        <v>0</v>
      </c>
      <c r="AN16" s="101"/>
      <c r="AO16" s="108"/>
      <c r="AP16" s="259" t="s">
        <v>128</v>
      </c>
      <c r="AQ16" s="260">
        <f>F10</f>
        <v>1179477265</v>
      </c>
      <c r="AR16" s="260">
        <f>I10</f>
        <v>1179477265</v>
      </c>
      <c r="AS16" s="260">
        <f>L10</f>
        <v>1179477265</v>
      </c>
      <c r="AT16" s="67"/>
      <c r="AU16" s="261">
        <f t="shared" si="0"/>
        <v>1</v>
      </c>
      <c r="AV16" s="261">
        <f t="shared" si="1"/>
        <v>1</v>
      </c>
      <c r="AW16" s="260">
        <f>+AR16</f>
        <v>1179477265</v>
      </c>
      <c r="AX16" s="260">
        <f>+AS16</f>
        <v>1179477265</v>
      </c>
      <c r="AY16" s="138">
        <f t="shared" si="2"/>
        <v>0</v>
      </c>
      <c r="AZ16" s="262">
        <f t="shared" si="3"/>
        <v>0</v>
      </c>
      <c r="BA16" s="67"/>
      <c r="BB16" s="185" t="s">
        <v>129</v>
      </c>
      <c r="BC16" s="161">
        <f>F43</f>
        <v>0</v>
      </c>
      <c r="BD16" s="162">
        <f>I43</f>
        <v>62971342</v>
      </c>
      <c r="BE16" s="237">
        <f>SUM(K86:K91)</f>
        <v>2100690413</v>
      </c>
      <c r="BF16" s="553">
        <f>MARZO!BF16+ABRIL!BE16+MAYO!BE16+JUNIO!BE16</f>
        <v>6113368690</v>
      </c>
      <c r="BG16" s="227" t="s">
        <v>130</v>
      </c>
      <c r="BH16" s="263">
        <f>BH7+BH12+BH13+BH14+BH15</f>
        <v>224749939113.16663</v>
      </c>
      <c r="BI16" s="263">
        <f>BI7+BI12+BI13+BI14+BI15</f>
        <v>197208267845</v>
      </c>
      <c r="BJ16" s="263">
        <f>BJ7+BJ12+BJ13+BJ14+BJ15</f>
        <v>197208267845</v>
      </c>
      <c r="BK16" s="263">
        <f>BK7+BK12+BK13+BK14+BK15</f>
        <v>16844773262.5</v>
      </c>
      <c r="BL16" s="555">
        <f>+BK16+MAYO!BK16+ABRIL!BK16+MARZO!BL16</f>
        <v>74686732276.5</v>
      </c>
      <c r="BM16" s="745" t="s">
        <v>131</v>
      </c>
      <c r="BN16" s="188">
        <f>SUM(X115+X116+X117+X149)</f>
        <v>1806007702.1208334</v>
      </c>
      <c r="BO16" s="188">
        <f>SUM(AA115+AA116+AA117+AA149)</f>
        <v>1725254279</v>
      </c>
      <c r="BP16" s="188">
        <f>SUM(AD115+AD116+AD117+AD149)</f>
        <v>1725254279</v>
      </c>
      <c r="BQ16" s="188">
        <f>SUM(AF115+AF116+AF117+AF149)</f>
        <v>245197575</v>
      </c>
    </row>
    <row r="17" spans="1:69" ht="24.75" customHeight="1" thickBot="1">
      <c r="A17" s="169" t="str">
        <f>+IF(NOVIEMBRE!A17=0,"",NOVIEMBRE!A17)</f>
        <v>1.1</v>
      </c>
      <c r="B17" s="265" t="str">
        <f>+IF(NOVIEMBRE!B17=0,"",NOVIEMBRE!B17)</f>
        <v>INGRESOS  CORRIENTES</v>
      </c>
      <c r="C17" s="127">
        <f t="shared" ref="C17:N17" si="13">C19+C94+C104</f>
        <v>158143153137.47653</v>
      </c>
      <c r="D17" s="125">
        <f t="shared" si="13"/>
        <v>0</v>
      </c>
      <c r="E17" s="125">
        <f t="shared" si="13"/>
        <v>65427308711</v>
      </c>
      <c r="F17" s="125">
        <f t="shared" si="13"/>
        <v>223570461848.47653</v>
      </c>
      <c r="G17" s="125">
        <f t="shared" si="13"/>
        <v>221919778584</v>
      </c>
      <c r="H17" s="125">
        <f t="shared" si="13"/>
        <v>16918662548</v>
      </c>
      <c r="I17" s="667">
        <f t="shared" si="13"/>
        <v>238838441132</v>
      </c>
      <c r="J17" s="667">
        <f t="shared" si="13"/>
        <v>137009365961</v>
      </c>
      <c r="K17" s="125">
        <f t="shared" si="13"/>
        <v>17058933837</v>
      </c>
      <c r="L17" s="667">
        <f t="shared" si="13"/>
        <v>154068299798</v>
      </c>
      <c r="M17" s="125">
        <f t="shared" si="13"/>
        <v>-15267979283.523487</v>
      </c>
      <c r="N17" s="128">
        <f t="shared" si="13"/>
        <v>69502162050.476501</v>
      </c>
      <c r="O17" s="67"/>
      <c r="P17" s="171">
        <f>P19+P94+P104</f>
        <v>0</v>
      </c>
      <c r="Q17" s="173">
        <f>Q19+Q94+Q104</f>
        <v>477728714</v>
      </c>
      <c r="R17" s="101"/>
      <c r="S17" s="266" t="str">
        <f>+IF(NOVIEMBRE!S17=0,"",NOVIEMBRE!S17)</f>
        <v>2.1.1.01.01.001.01</v>
      </c>
      <c r="T17" s="267" t="str">
        <f>+IF(NOVIEMBRE!T17=0,"",NOVIEMBRE!T17)</f>
        <v>Sueldos del Personal de nómina</v>
      </c>
      <c r="U17" s="373">
        <f>+ENERO!U17</f>
        <v>6531851100</v>
      </c>
      <c r="V17" s="220">
        <f>NOVIEMBRE!V17+DICIEMBRE!AL17</f>
        <v>-1360478115</v>
      </c>
      <c r="W17" s="220">
        <f>NOVIEMBRE!W17+DICIEMBRE!AM17</f>
        <v>0</v>
      </c>
      <c r="X17" s="271">
        <f>SUM(U17:W17)</f>
        <v>5171372985</v>
      </c>
      <c r="Y17" s="270">
        <f>NOVIEMBRE!AA17</f>
        <v>4683792140</v>
      </c>
      <c r="Z17" s="208">
        <v>398677753</v>
      </c>
      <c r="AA17" s="271">
        <f>SUM(Y17:Z17)</f>
        <v>5082469893</v>
      </c>
      <c r="AB17" s="270">
        <f>NOVIEMBRE!AD17</f>
        <v>4683792140</v>
      </c>
      <c r="AC17" s="208">
        <v>398677753</v>
      </c>
      <c r="AD17" s="271">
        <f>SUM(AB17:AC17)</f>
        <v>5082469893</v>
      </c>
      <c r="AE17" s="270">
        <f>NOVIEMBRE!AG17</f>
        <v>4683792140</v>
      </c>
      <c r="AF17" s="208">
        <v>398677753</v>
      </c>
      <c r="AG17" s="271">
        <f>SUM(AE17:AF17)</f>
        <v>5082469893</v>
      </c>
      <c r="AH17" s="270">
        <f>X17-AA17</f>
        <v>88903092</v>
      </c>
      <c r="AI17" s="220">
        <f>X17-AD17</f>
        <v>88903092</v>
      </c>
      <c r="AJ17" s="269">
        <f>X17-AG17</f>
        <v>88903092</v>
      </c>
      <c r="AK17" s="101"/>
      <c r="AL17" s="204">
        <v>-40000000</v>
      </c>
      <c r="AM17" s="210">
        <v>0</v>
      </c>
      <c r="AN17" s="101"/>
      <c r="AO17" s="156"/>
      <c r="AP17" s="272" t="s">
        <v>134</v>
      </c>
      <c r="AQ17" s="981">
        <f>SUM(AQ7:AQ16)</f>
        <v>224749939113.47653</v>
      </c>
      <c r="AR17" s="982">
        <f>SUM(AR7:AR16)</f>
        <v>240017918397</v>
      </c>
      <c r="AS17" s="983">
        <f>SUM(AS7:AS16)</f>
        <v>155247777063</v>
      </c>
      <c r="AT17" s="276"/>
      <c r="AU17" s="274">
        <f t="shared" si="0"/>
        <v>1.0679331854048453</v>
      </c>
      <c r="AV17" s="274">
        <f t="shared" si="1"/>
        <v>0.69075781588806218</v>
      </c>
      <c r="AW17" s="277">
        <f>SUM(AX7:AX16)</f>
        <v>172861673594</v>
      </c>
      <c r="AX17" s="277">
        <f>SUM(AX7:AX16)</f>
        <v>172861673594</v>
      </c>
      <c r="AY17" s="277">
        <f>SUM(AY7:AY16)</f>
        <v>37636545973.523476</v>
      </c>
      <c r="AZ17" s="278">
        <f>SUM(AZ7:AZ16)</f>
        <v>-51888265519.476524</v>
      </c>
      <c r="BA17" s="101"/>
      <c r="BB17" s="185" t="s">
        <v>135</v>
      </c>
      <c r="BC17" s="161">
        <f>F41+F52+F55+F58+F61+F67+F70+F73+F76+F79+F82+F86+F87+F88+F89+F90+F91</f>
        <v>24712722106.847889</v>
      </c>
      <c r="BD17" s="162">
        <f>I41+I52+I55+I58+I61+I67+I70+I73+I76+I79+I82+I86+I87+I88+I89+I90+I91</f>
        <v>24648980904</v>
      </c>
      <c r="BE17" s="161">
        <f>SUM(K43+K49+K46+K49+K52+K55+K58+K61+K67+K70+K73+K79+K76+K82)</f>
        <v>283182461</v>
      </c>
      <c r="BF17" s="553">
        <f>MARZO!BF17+ABRIL!BE17+MAYO!BE17+JUNIO!BE17</f>
        <v>322775260</v>
      </c>
      <c r="BG17" s="279" t="s">
        <v>136</v>
      </c>
      <c r="BH17" s="280">
        <f>BC23-BH16</f>
        <v>-224749939113.16663</v>
      </c>
      <c r="BI17" s="280"/>
      <c r="BJ17" s="280"/>
      <c r="BK17" s="280"/>
      <c r="BL17" s="555">
        <f>+BK17+MAYO!BK17+ABRIL!BK17+MARZO!BL17</f>
        <v>0</v>
      </c>
      <c r="BM17" s="745" t="s">
        <v>137</v>
      </c>
      <c r="BN17" s="188">
        <f>X124+X127+X128+X129+X130+X131+X132+X133+X134+X135+X136+X125+X137+X138</f>
        <v>4607603296.2777777</v>
      </c>
      <c r="BO17" s="188">
        <f>AA124+AA127+AA128+AA129+AA130+AA131+AA132+AA133+AA134+AA135+AA136+AA125+AA137+AA138</f>
        <v>4492152766</v>
      </c>
      <c r="BP17" s="188">
        <f>AD124+AD127+AD128+AD129+AD130+AD131+AD132+AD133+AD134+AD135+AD136+AD125+AD137+AD138</f>
        <v>4492152766</v>
      </c>
      <c r="BQ17" s="188">
        <f>AF124+AF127+AF128+AF129+AF130+AF131+AF132+AF133+AF134+AF135+AF136+AF125+AF137+AF138</f>
        <v>489210501</v>
      </c>
    </row>
    <row r="18" spans="1:69" ht="24.75" customHeight="1" thickBot="1">
      <c r="A18" s="202">
        <f>+IF(NOVIEMBRE!A18=0,"",NOVIEMBRE!A18)</f>
        <v>399373312</v>
      </c>
      <c r="B18" s="282">
        <f>+IF(NOVIEMBRE!B18=0,"",NOVIEMBRE!B18)</f>
        <v>399373312</v>
      </c>
      <c r="C18" s="67"/>
      <c r="D18" s="67"/>
      <c r="E18" s="67"/>
      <c r="F18" s="67"/>
      <c r="G18" s="67"/>
      <c r="H18" s="67"/>
      <c r="I18" s="649"/>
      <c r="J18" s="649"/>
      <c r="K18" s="67"/>
      <c r="L18" s="649"/>
      <c r="M18" s="67"/>
      <c r="N18" s="283"/>
      <c r="O18" s="101"/>
      <c r="P18" s="284"/>
      <c r="Q18" s="285"/>
      <c r="R18" s="101"/>
      <c r="S18" s="266" t="str">
        <f>+IF(NOVIEMBRE!S18=0,"",NOVIEMBRE!S18)</f>
        <v>2.1.1.01.01.001.02</v>
      </c>
      <c r="T18" s="267" t="str">
        <f>+IF(NOVIEMBRE!T18=0,"",NOVIEMBRE!T18)</f>
        <v>Horas Extras,Dominic.,Festivos y Rec. Nocturnos</v>
      </c>
      <c r="U18" s="373">
        <f>+ENERO!U18</f>
        <v>17000000</v>
      </c>
      <c r="V18" s="220">
        <f>NOVIEMBRE!V18+DICIEMBRE!AL18</f>
        <v>0</v>
      </c>
      <c r="W18" s="220">
        <f>NOVIEMBRE!W18+DICIEMBRE!AM18</f>
        <v>0</v>
      </c>
      <c r="X18" s="271">
        <f>SUM(U18:W18)</f>
        <v>17000000</v>
      </c>
      <c r="Y18" s="270">
        <f>NOVIEMBRE!AA18</f>
        <v>13632987</v>
      </c>
      <c r="Z18" s="208">
        <v>1464927</v>
      </c>
      <c r="AA18" s="271">
        <f>SUM(Y18:Z18)</f>
        <v>15097914</v>
      </c>
      <c r="AB18" s="270">
        <f>NOVIEMBRE!AD18</f>
        <v>13632987</v>
      </c>
      <c r="AC18" s="208">
        <v>1464927</v>
      </c>
      <c r="AD18" s="271">
        <f>SUM(AB18:AC18)</f>
        <v>15097914</v>
      </c>
      <c r="AE18" s="270">
        <f>NOVIEMBRE!AG18</f>
        <v>13632987</v>
      </c>
      <c r="AF18" s="208">
        <v>1464927</v>
      </c>
      <c r="AG18" s="271">
        <f>SUM(AE18:AF18)</f>
        <v>15097914</v>
      </c>
      <c r="AH18" s="270">
        <f>X18-AA18</f>
        <v>1902086</v>
      </c>
      <c r="AI18" s="220">
        <f>X18-AD18</f>
        <v>1902086</v>
      </c>
      <c r="AJ18" s="269">
        <f>X18-AG18</f>
        <v>1902086</v>
      </c>
      <c r="AK18" s="101"/>
      <c r="AL18" s="204"/>
      <c r="AM18" s="210">
        <v>0</v>
      </c>
      <c r="AN18" s="101"/>
      <c r="AO18" s="108"/>
      <c r="AP18" s="67" t="s">
        <v>92</v>
      </c>
      <c r="AQ18" s="67"/>
      <c r="AR18" s="67"/>
      <c r="AS18" s="67"/>
      <c r="AT18" s="67"/>
      <c r="AU18" s="67"/>
      <c r="AV18" s="67"/>
      <c r="AW18" s="67"/>
      <c r="AX18" s="67"/>
      <c r="AY18" s="67"/>
      <c r="AZ18" s="67"/>
      <c r="BA18" s="67"/>
      <c r="BB18" s="236" t="s">
        <v>139</v>
      </c>
      <c r="BC18" s="161">
        <f>+F95+F96+F97+F99</f>
        <v>0</v>
      </c>
      <c r="BD18" s="162">
        <f>+I95+I96+I97+I99</f>
        <v>0</v>
      </c>
      <c r="BE18" s="163">
        <f>+K95+K96+K97+K99</f>
        <v>0</v>
      </c>
      <c r="BF18" s="553">
        <f>MARZO!BF18+ABRIL!BE18+MAYO!BE18+JUNIO!BE18</f>
        <v>0</v>
      </c>
      <c r="BG18" s="101"/>
      <c r="BH18" s="101"/>
      <c r="BI18" s="101"/>
      <c r="BJ18" s="101"/>
      <c r="BK18" s="101"/>
      <c r="BL18" s="101"/>
      <c r="BM18" s="745" t="s">
        <v>140</v>
      </c>
      <c r="BN18" s="188">
        <f>X118+X120+X148+X156+X157-X166</f>
        <v>9458680319</v>
      </c>
      <c r="BO18" s="188">
        <f>AA118+AA120+AA148+AA156+AA157-AA166</f>
        <v>4597595919</v>
      </c>
      <c r="BP18" s="188">
        <f>AD118+AD120+AD148+AD156+AD157-AD166</f>
        <v>4597595919</v>
      </c>
      <c r="BQ18" s="188">
        <f>AF118+AF120+AF148+AF156+AF157-AF166</f>
        <v>326764280</v>
      </c>
    </row>
    <row r="19" spans="1:69" ht="24.75" customHeight="1" thickBot="1">
      <c r="A19" s="286">
        <f>+IF(NOVIEMBRE!A19=0,"",NOVIEMBRE!A19)</f>
        <v>113</v>
      </c>
      <c r="B19" s="287" t="str">
        <f>+IF(NOVIEMBRE!B19=0,"",NOVIEMBRE!B19)</f>
        <v>VENTA DE SERVICIOS</v>
      </c>
      <c r="C19" s="127">
        <f t="shared" ref="C19:N19" si="14">C21+C85</f>
        <v>157258153137.47653</v>
      </c>
      <c r="D19" s="125">
        <f t="shared" si="14"/>
        <v>0</v>
      </c>
      <c r="E19" s="125">
        <f t="shared" si="14"/>
        <v>48216686339</v>
      </c>
      <c r="F19" s="128">
        <f t="shared" si="14"/>
        <v>205474839476.47653</v>
      </c>
      <c r="G19" s="127">
        <f t="shared" si="14"/>
        <v>216778731937</v>
      </c>
      <c r="H19" s="125">
        <f t="shared" si="14"/>
        <v>13150500897</v>
      </c>
      <c r="I19" s="676">
        <f t="shared" si="14"/>
        <v>229929232834</v>
      </c>
      <c r="J19" s="677">
        <f t="shared" si="14"/>
        <v>133224147180</v>
      </c>
      <c r="K19" s="125">
        <f t="shared" si="14"/>
        <v>12241768509</v>
      </c>
      <c r="L19" s="676">
        <f t="shared" si="14"/>
        <v>145465915689</v>
      </c>
      <c r="M19" s="127">
        <f t="shared" si="14"/>
        <v>-24454393357.523487</v>
      </c>
      <c r="N19" s="128">
        <f t="shared" si="14"/>
        <v>60008923787.476509</v>
      </c>
      <c r="O19" s="67"/>
      <c r="P19" s="288">
        <f>P21+P85</f>
        <v>0</v>
      </c>
      <c r="Q19" s="289">
        <f>Q21+Q85</f>
        <v>229634453</v>
      </c>
      <c r="R19" s="101"/>
      <c r="S19" s="266">
        <f>+IF(NOVIEMBRE!S19=0,"",NOVIEMBRE!S19)</f>
        <v>1010103</v>
      </c>
      <c r="T19" s="267" t="str">
        <f>+IF(NOVIEMBRE!T19=0,"",NOVIEMBRE!T19)</f>
        <v>Prima Técnica</v>
      </c>
      <c r="U19" s="373">
        <f>+ENERO!U19</f>
        <v>0</v>
      </c>
      <c r="V19" s="220">
        <f>NOVIEMBRE!V19+DICIEMBRE!AL19</f>
        <v>0</v>
      </c>
      <c r="W19" s="220">
        <f>NOVIEMBRE!W19+DICIEMBRE!AM19</f>
        <v>0</v>
      </c>
      <c r="X19" s="271">
        <f>SUM(U19:W19)</f>
        <v>0</v>
      </c>
      <c r="Y19" s="270">
        <f>NOVIEMBRE!AA19</f>
        <v>0</v>
      </c>
      <c r="Z19" s="208"/>
      <c r="AA19" s="271">
        <f>SUM(Y19:Z19)</f>
        <v>0</v>
      </c>
      <c r="AB19" s="270">
        <f>NOVIEMBRE!AD19</f>
        <v>0</v>
      </c>
      <c r="AC19" s="208"/>
      <c r="AD19" s="271">
        <f>SUM(AB19:AC19)</f>
        <v>0</v>
      </c>
      <c r="AE19" s="270">
        <f>NOVIEMBRE!AG19</f>
        <v>0</v>
      </c>
      <c r="AF19" s="208"/>
      <c r="AG19" s="271">
        <f>SUM(AE19:AF19)</f>
        <v>0</v>
      </c>
      <c r="AH19" s="270">
        <f>X19-AA19</f>
        <v>0</v>
      </c>
      <c r="AI19" s="220">
        <f>X19-AD19</f>
        <v>0</v>
      </c>
      <c r="AJ19" s="269">
        <f>X19-AG19</f>
        <v>0</v>
      </c>
      <c r="AK19" s="101"/>
      <c r="AL19" s="204"/>
      <c r="AM19" s="210">
        <v>0</v>
      </c>
      <c r="AN19" s="101"/>
      <c r="AO19" s="108"/>
      <c r="AP19" s="290"/>
      <c r="AQ19" s="291" t="s">
        <v>52</v>
      </c>
      <c r="AR19" s="292" t="s">
        <v>31</v>
      </c>
      <c r="AS19" s="293" t="s">
        <v>143</v>
      </c>
      <c r="AT19" s="292" t="s">
        <v>55</v>
      </c>
      <c r="AU19" s="294" t="s">
        <v>55</v>
      </c>
      <c r="AV19" s="295" t="s">
        <v>55</v>
      </c>
      <c r="AW19" s="1328" t="str">
        <f>+CONCATENATE("PROYECCION A DICIEMBRE 31 DEL ",N3)</f>
        <v>PROYECCION A DICIEMBRE 31 DEL 2025</v>
      </c>
      <c r="AX19" s="1322"/>
      <c r="AY19" s="1322"/>
      <c r="AZ19" s="1323"/>
      <c r="BA19" s="67"/>
      <c r="BB19" s="296" t="s">
        <v>144</v>
      </c>
      <c r="BC19" s="297">
        <f>+F105+F106+F107+F108+F109+F110+F98+F100+F101</f>
        <v>18075885583</v>
      </c>
      <c r="BD19" s="238">
        <f>+I105+I106+I107+I108+I109+I110+I98+I100+I101</f>
        <v>8889471509</v>
      </c>
      <c r="BE19" s="239">
        <f>+K105+K106+K107+K108+K109+K110+K98+K100+K101</f>
        <v>4817165328</v>
      </c>
      <c r="BF19" s="553">
        <f>MARZO!BF19+ABRIL!BE19+MAYO!BE19+JUNIO!BE19</f>
        <v>729645872</v>
      </c>
      <c r="BG19" s="67"/>
      <c r="BH19" s="67"/>
      <c r="BI19" s="67"/>
      <c r="BJ19" s="67"/>
      <c r="BK19" s="67"/>
      <c r="BL19" s="101"/>
      <c r="BM19" s="745" t="s">
        <v>145</v>
      </c>
      <c r="BN19" s="188">
        <f>X126</f>
        <v>3552022659</v>
      </c>
      <c r="BO19" s="188">
        <f>AA126</f>
        <v>3530410889</v>
      </c>
      <c r="BP19" s="188">
        <f>AD126</f>
        <v>3530410889</v>
      </c>
      <c r="BQ19" s="755">
        <f>AF126</f>
        <v>357361914</v>
      </c>
    </row>
    <row r="20" spans="1:69" ht="24.75" customHeight="1" thickBot="1">
      <c r="A20" s="202" t="str">
        <f>+IF(NOVIEMBRE!A20=0,"",NOVIEMBRE!A20)</f>
        <v/>
      </c>
      <c r="B20" s="298" t="str">
        <f>+IF(NOVIEMBRE!B20=0,"",NOVIEMBRE!B20)</f>
        <v/>
      </c>
      <c r="C20" s="67"/>
      <c r="D20" s="67"/>
      <c r="E20" s="67"/>
      <c r="F20" s="67"/>
      <c r="G20" s="67"/>
      <c r="H20" s="67"/>
      <c r="I20" s="649"/>
      <c r="J20" s="649"/>
      <c r="K20" s="67"/>
      <c r="L20" s="649"/>
      <c r="M20" s="67"/>
      <c r="N20" s="283"/>
      <c r="O20" s="101"/>
      <c r="P20" s="284"/>
      <c r="Q20" s="285"/>
      <c r="R20" s="101"/>
      <c r="S20" s="266">
        <f>+IF(NOVIEMBRE!S20=0,"",NOVIEMBRE!S20)</f>
        <v>1010104</v>
      </c>
      <c r="T20" s="267" t="str">
        <f>+IF(NOVIEMBRE!T20=0,"",NOVIEMBRE!T20)</f>
        <v>Otros</v>
      </c>
      <c r="U20" s="373">
        <f t="shared" ref="U20:AJ20" si="15">SUM(U21:U32)</f>
        <v>1587602697.9166667</v>
      </c>
      <c r="V20" s="220">
        <f t="shared" si="15"/>
        <v>10907240</v>
      </c>
      <c r="W20" s="220">
        <f t="shared" si="15"/>
        <v>0</v>
      </c>
      <c r="X20" s="271">
        <f t="shared" si="15"/>
        <v>1598509937.9166667</v>
      </c>
      <c r="Y20" s="270">
        <f t="shared" si="15"/>
        <v>953345406</v>
      </c>
      <c r="Z20" s="300">
        <f t="shared" si="15"/>
        <v>542327810</v>
      </c>
      <c r="AA20" s="271">
        <f t="shared" si="15"/>
        <v>1495673216</v>
      </c>
      <c r="AB20" s="270">
        <f t="shared" si="15"/>
        <v>953345406</v>
      </c>
      <c r="AC20" s="300">
        <f t="shared" si="15"/>
        <v>542327810</v>
      </c>
      <c r="AD20" s="271">
        <f t="shared" si="15"/>
        <v>1495673216</v>
      </c>
      <c r="AE20" s="270">
        <f t="shared" si="15"/>
        <v>953325406</v>
      </c>
      <c r="AF20" s="300">
        <f t="shared" si="15"/>
        <v>542327810</v>
      </c>
      <c r="AG20" s="271">
        <f t="shared" si="15"/>
        <v>1495653216</v>
      </c>
      <c r="AH20" s="270">
        <f t="shared" si="15"/>
        <v>102836721.91666663</v>
      </c>
      <c r="AI20" s="220">
        <f t="shared" si="15"/>
        <v>102836721.91666663</v>
      </c>
      <c r="AJ20" s="269">
        <f t="shared" si="15"/>
        <v>102856721.91666663</v>
      </c>
      <c r="AK20" s="101"/>
      <c r="AL20" s="301">
        <f>SUM(AL21:AL32)</f>
        <v>9907240</v>
      </c>
      <c r="AM20" s="302">
        <f>SUM(AM21:AM32)</f>
        <v>0</v>
      </c>
      <c r="AN20" s="101"/>
      <c r="AO20" s="156"/>
      <c r="AP20" s="303" t="s">
        <v>65</v>
      </c>
      <c r="AQ20" s="304" t="s">
        <v>75</v>
      </c>
      <c r="AR20" s="304" t="s">
        <v>66</v>
      </c>
      <c r="AS20" s="305" t="s">
        <v>66</v>
      </c>
      <c r="AT20" s="304" t="s">
        <v>67</v>
      </c>
      <c r="AU20" s="306" t="s">
        <v>68</v>
      </c>
      <c r="AV20" s="306" t="s">
        <v>68</v>
      </c>
      <c r="AW20" s="306" t="s">
        <v>31</v>
      </c>
      <c r="AX20" s="306" t="s">
        <v>34</v>
      </c>
      <c r="AY20" s="306" t="s">
        <v>147</v>
      </c>
      <c r="AZ20" s="307" t="s">
        <v>147</v>
      </c>
      <c r="BA20" s="67"/>
      <c r="BB20" s="308" t="s">
        <v>148</v>
      </c>
      <c r="BC20" s="142">
        <f>+F115+F117+F119+F120+F121+F123+F124</f>
        <v>0</v>
      </c>
      <c r="BD20" s="143">
        <f>+I115+I117+I119+I120+I121+I123+I124</f>
        <v>0</v>
      </c>
      <c r="BE20" s="144">
        <f>+K115+K117+K119+K120+K121+K123+K124</f>
        <v>0</v>
      </c>
      <c r="BF20" s="553">
        <f>MARZO!BF20+ABRIL!BE20+MAYO!BE20+JUNIO!BE20</f>
        <v>0</v>
      </c>
      <c r="BG20" s="67"/>
      <c r="BH20" s="67"/>
      <c r="BI20" s="67"/>
      <c r="BJ20" s="67"/>
      <c r="BK20" s="67"/>
      <c r="BL20" s="67"/>
      <c r="BM20" s="745" t="s">
        <v>149</v>
      </c>
      <c r="BN20" s="188">
        <f>+X141</f>
        <v>638000000</v>
      </c>
      <c r="BO20" s="188">
        <f>+AA141</f>
        <v>558761045</v>
      </c>
      <c r="BP20" s="188">
        <f>+AD141</f>
        <v>558761045</v>
      </c>
      <c r="BQ20" s="755">
        <f>+AF141</f>
        <v>108881350</v>
      </c>
    </row>
    <row r="21" spans="1:69" ht="24.75" customHeight="1" thickBot="1">
      <c r="A21" s="309" t="str">
        <f>+IF(NOVIEMBRE!A21=0,"",NOVIEMBRE!A21)</f>
        <v>1.1.02.05.001.09.02</v>
      </c>
      <c r="B21" s="310" t="str">
        <f>+IF(NOVIEMBRE!B21=0,"",NOVIEMBRE!B21)</f>
        <v>Venta de Servicios de Salud</v>
      </c>
      <c r="C21" s="171">
        <f t="shared" ref="C21:N21" si="16">C22+C25+C28+C41+C42+C45+C48+C51+C54+C57+C60+C63+C66+C69+C72+C75+C78+C81</f>
        <v>157258153137.47653</v>
      </c>
      <c r="D21" s="172">
        <f t="shared" si="16"/>
        <v>0</v>
      </c>
      <c r="E21" s="172">
        <f t="shared" si="16"/>
        <v>26157486765</v>
      </c>
      <c r="F21" s="172">
        <f t="shared" si="16"/>
        <v>183415639902.47653</v>
      </c>
      <c r="G21" s="172">
        <f t="shared" si="16"/>
        <v>194364281552</v>
      </c>
      <c r="H21" s="172">
        <f t="shared" si="16"/>
        <v>13628870541</v>
      </c>
      <c r="I21" s="678">
        <f t="shared" si="16"/>
        <v>207993152093</v>
      </c>
      <c r="J21" s="678">
        <f t="shared" si="16"/>
        <v>118044665688</v>
      </c>
      <c r="K21" s="172">
        <f>K22+K25+K28+K41+K42+K45+K48+K51+K54+K57+K60+K63+K66+K69+K72+K75+K78+K81</f>
        <v>10141078096</v>
      </c>
      <c r="L21" s="678">
        <f t="shared" si="16"/>
        <v>128185743784</v>
      </c>
      <c r="M21" s="172">
        <f t="shared" si="16"/>
        <v>-24577512190.523487</v>
      </c>
      <c r="N21" s="173">
        <f t="shared" si="16"/>
        <v>55229896118.476509</v>
      </c>
      <c r="O21" s="67"/>
      <c r="P21" s="288">
        <f>P22+P25+P28+P41+P42+P45+P48+P51+P54+P57+P60+P63+P66+P69+P72+P75+P78+P81</f>
        <v>0</v>
      </c>
      <c r="Q21" s="289">
        <f>Q22+Q25+Q28+Q41+Q42+Q45+Q48+Q51+Q54+Q57+Q60+Q63+Q66+Q69+Q72+Q75+Q78+Q81</f>
        <v>0</v>
      </c>
      <c r="R21" s="101"/>
      <c r="S21" s="311" t="str">
        <f>+IF(NOVIEMBRE!S21=0,"",NOVIEMBRE!S21)</f>
        <v>2.1.1.01.01.001.08.01</v>
      </c>
      <c r="T21" s="312" t="str">
        <f>+IF(NOVIEMBRE!T21=0,"",NOVIEMBRE!T21)</f>
        <v xml:space="preserve">Prima de Navidad </v>
      </c>
      <c r="U21" s="373">
        <f>+ENERO!U21</f>
        <v>544320925</v>
      </c>
      <c r="V21" s="220">
        <f>NOVIEMBRE!V21+DICIEMBRE!AL21</f>
        <v>-33915764</v>
      </c>
      <c r="W21" s="220">
        <f>NOVIEMBRE!W21+DICIEMBRE!AM21</f>
        <v>0</v>
      </c>
      <c r="X21" s="271">
        <f t="shared" ref="X21:X33" si="17">SUM(U21:W21)</f>
        <v>510405161</v>
      </c>
      <c r="Y21" s="270">
        <f>NOVIEMBRE!AA21</f>
        <v>23684843</v>
      </c>
      <c r="Z21" s="1186">
        <v>462613965</v>
      </c>
      <c r="AA21" s="271">
        <f t="shared" ref="AA21:AA33" si="18">SUM(Y21:Z21)</f>
        <v>486298808</v>
      </c>
      <c r="AB21" s="270">
        <f>NOVIEMBRE!AD21</f>
        <v>23684843</v>
      </c>
      <c r="AC21" s="1186">
        <v>462613965</v>
      </c>
      <c r="AD21" s="271">
        <f t="shared" ref="AD21:AD33" si="19">SUM(AB21:AC21)</f>
        <v>486298808</v>
      </c>
      <c r="AE21" s="270">
        <f>NOVIEMBRE!AG21</f>
        <v>23684843</v>
      </c>
      <c r="AF21" s="1186">
        <v>462613965</v>
      </c>
      <c r="AG21" s="271">
        <f t="shared" ref="AG21:AG33" si="20">SUM(AE21:AF21)</f>
        <v>486298808</v>
      </c>
      <c r="AH21" s="270">
        <f t="shared" ref="AH21:AH33" si="21">X21-AA21</f>
        <v>24106353</v>
      </c>
      <c r="AI21" s="220">
        <f t="shared" ref="AI21:AI33" si="22">X21-AD21</f>
        <v>24106353</v>
      </c>
      <c r="AJ21" s="269">
        <f t="shared" ref="AJ21:AJ33" si="23">X21-AG21</f>
        <v>24106353</v>
      </c>
      <c r="AK21" s="101"/>
      <c r="AL21" s="204">
        <f>-3915764</f>
        <v>-3915764</v>
      </c>
      <c r="AM21" s="210">
        <v>0</v>
      </c>
      <c r="AN21" s="101"/>
      <c r="AO21" s="156"/>
      <c r="AP21" s="313"/>
      <c r="AQ21" s="314"/>
      <c r="AR21" s="315" t="str">
        <f>AR6</f>
        <v>DICIEMBRE</v>
      </c>
      <c r="AS21" s="316" t="str">
        <f>AR6</f>
        <v>DICIEMBRE</v>
      </c>
      <c r="AT21" s="315" t="str">
        <f>AR6</f>
        <v>DICIEMBRE</v>
      </c>
      <c r="AU21" s="315" t="s">
        <v>31</v>
      </c>
      <c r="AV21" s="315" t="s">
        <v>34</v>
      </c>
      <c r="AW21" s="317"/>
      <c r="AX21" s="317"/>
      <c r="AY21" s="315" t="s">
        <v>31</v>
      </c>
      <c r="AZ21" s="318" t="s">
        <v>34</v>
      </c>
      <c r="BA21" s="101"/>
      <c r="BB21" s="308" t="s">
        <v>152</v>
      </c>
      <c r="BC21" s="142">
        <f>SUM(F128)</f>
        <v>45360108023.099998</v>
      </c>
      <c r="BD21" s="143">
        <f>SUM(I128)</f>
        <v>51753741112</v>
      </c>
      <c r="BE21" s="142">
        <f>SUM(K128)</f>
        <v>230798443</v>
      </c>
      <c r="BF21" s="553">
        <f>MARZO!BF21+ABRIL!BE21+MAYO!BE21+JUNIO!BE21</f>
        <v>43654823414</v>
      </c>
      <c r="BG21" s="67"/>
      <c r="BH21" s="67"/>
      <c r="BI21" s="67"/>
      <c r="BJ21" s="67"/>
      <c r="BK21" s="67"/>
      <c r="BL21" s="67"/>
      <c r="BM21" s="745" t="s">
        <v>153</v>
      </c>
      <c r="BN21" s="188">
        <v>0</v>
      </c>
      <c r="BO21" s="186">
        <v>0</v>
      </c>
      <c r="BP21" s="186">
        <v>0</v>
      </c>
      <c r="BQ21" s="754">
        <v>0</v>
      </c>
    </row>
    <row r="22" spans="1:69" ht="24.75" customHeight="1" thickBot="1">
      <c r="A22" s="286" t="str">
        <f>+IF(NOVIEMBRE!A22=0,"",NOVIEMBRE!A22)</f>
        <v>1.1.02.05.001.09.02.02</v>
      </c>
      <c r="B22" s="319" t="str">
        <f>+IF(NOVIEMBRE!B22=0,"",NOVIEMBRE!B22)</f>
        <v>EPS - REGIMEN CONTRIBUTIVO</v>
      </c>
      <c r="C22" s="288">
        <f t="shared" ref="C22:N22" si="24">SUM(C23:C24)</f>
        <v>56030749893.586876</v>
      </c>
      <c r="D22" s="320">
        <f t="shared" si="24"/>
        <v>0</v>
      </c>
      <c r="E22" s="320">
        <f t="shared" si="24"/>
        <v>6782368117</v>
      </c>
      <c r="F22" s="320">
        <f t="shared" si="24"/>
        <v>62813118010.586876</v>
      </c>
      <c r="G22" s="320">
        <f t="shared" si="24"/>
        <v>82021762906</v>
      </c>
      <c r="H22" s="320">
        <f t="shared" si="24"/>
        <v>6216452585</v>
      </c>
      <c r="I22" s="679">
        <f t="shared" si="24"/>
        <v>88238215491</v>
      </c>
      <c r="J22" s="679">
        <f t="shared" si="24"/>
        <v>54456724658</v>
      </c>
      <c r="K22" s="320">
        <f t="shared" si="24"/>
        <v>5606700689</v>
      </c>
      <c r="L22" s="679">
        <f t="shared" si="24"/>
        <v>60063425347</v>
      </c>
      <c r="M22" s="320">
        <f t="shared" si="24"/>
        <v>-25425097480.413124</v>
      </c>
      <c r="N22" s="289">
        <f t="shared" si="24"/>
        <v>2749692663.5868759</v>
      </c>
      <c r="O22" s="101"/>
      <c r="P22" s="288">
        <f>SUM(P23:P24)</f>
        <v>0</v>
      </c>
      <c r="Q22" s="289">
        <f>SUM(Q23:Q24)</f>
        <v>0</v>
      </c>
      <c r="R22" s="101"/>
      <c r="S22" s="311" t="str">
        <f>+IF(NOVIEMBRE!S22=0,"",NOVIEMBRE!S22)</f>
        <v>2.1.1.01.01.001.08.02</v>
      </c>
      <c r="T22" s="312" t="str">
        <f>+IF(NOVIEMBRE!T22=0,"",NOVIEMBRE!T22)</f>
        <v>Prima de Vacaciones</v>
      </c>
      <c r="U22" s="373">
        <f>+ENERO!U22</f>
        <v>272160462.5</v>
      </c>
      <c r="V22" s="220">
        <f>NOVIEMBRE!V22+DICIEMBRE!AL22</f>
        <v>-24000000</v>
      </c>
      <c r="W22" s="220">
        <f>NOVIEMBRE!W22+DICIEMBRE!AM22</f>
        <v>0</v>
      </c>
      <c r="X22" s="271">
        <f t="shared" si="17"/>
        <v>248160462.5</v>
      </c>
      <c r="Y22" s="270">
        <f>NOVIEMBRE!AA22</f>
        <v>209396030</v>
      </c>
      <c r="Z22" s="1186">
        <v>25816454</v>
      </c>
      <c r="AA22" s="271">
        <f t="shared" si="18"/>
        <v>235212484</v>
      </c>
      <c r="AB22" s="270">
        <f>NOVIEMBRE!AD22</f>
        <v>209396030</v>
      </c>
      <c r="AC22" s="1186">
        <v>25816454</v>
      </c>
      <c r="AD22" s="271">
        <f t="shared" si="19"/>
        <v>235212484</v>
      </c>
      <c r="AE22" s="270">
        <f>NOVIEMBRE!AG22</f>
        <v>209396030</v>
      </c>
      <c r="AF22" s="1186">
        <v>25816454</v>
      </c>
      <c r="AG22" s="271">
        <f t="shared" si="20"/>
        <v>235212484</v>
      </c>
      <c r="AH22" s="270">
        <f t="shared" si="21"/>
        <v>12947978.5</v>
      </c>
      <c r="AI22" s="220">
        <f t="shared" si="22"/>
        <v>12947978.5</v>
      </c>
      <c r="AJ22" s="269">
        <f t="shared" si="23"/>
        <v>12947978.5</v>
      </c>
      <c r="AK22" s="101"/>
      <c r="AL22" s="204">
        <v>-24000000</v>
      </c>
      <c r="AM22" s="210">
        <v>0</v>
      </c>
      <c r="AN22" s="101"/>
      <c r="AO22" s="108"/>
      <c r="AP22" s="536" t="s">
        <v>156</v>
      </c>
      <c r="AQ22" s="537">
        <f>X17+X66</f>
        <v>5171372985</v>
      </c>
      <c r="AR22" s="537">
        <f>AD17+AD66</f>
        <v>5082469893</v>
      </c>
      <c r="AS22" s="537">
        <f>AG17+AG66</f>
        <v>5082469893</v>
      </c>
      <c r="AT22" s="338"/>
      <c r="AU22" s="325">
        <f t="shared" ref="AU22:AU32" si="25">IF(AQ22=0," ",AR22/AQ22)</f>
        <v>0.98280860957856442</v>
      </c>
      <c r="AV22" s="325">
        <f t="shared" ref="AV22:AV32" si="26">IF(AQ22=0," ",AS22/AQ22)</f>
        <v>0.98280860957856442</v>
      </c>
      <c r="AW22" s="323">
        <f>AR22/$AO$2*12</f>
        <v>5082469893</v>
      </c>
      <c r="AX22" s="323">
        <f>AS22/$AO$2*12</f>
        <v>5082469893</v>
      </c>
      <c r="AY22" s="323">
        <f t="shared" ref="AY22:AY31" si="27">AW22-AQ22</f>
        <v>-88903092</v>
      </c>
      <c r="AZ22" s="326">
        <f t="shared" ref="AZ22:AZ31" si="28">AQ22-AX22</f>
        <v>88903092</v>
      </c>
      <c r="BA22" s="67"/>
      <c r="BB22" s="327" t="s">
        <v>157</v>
      </c>
      <c r="BC22" s="328">
        <f>BC7+BC8+BC20+BC21</f>
        <v>224749939113.47653</v>
      </c>
      <c r="BD22" s="329">
        <f>BD7+BD8+BD20+BD21</f>
        <v>240017918397</v>
      </c>
      <c r="BE22" s="328">
        <f>SUM(BE8+BE21)</f>
        <v>17074224603</v>
      </c>
      <c r="BF22" s="553">
        <f>MARZO!BF22+ABRIL!BE22+MAYO!BE22+JUNIO!BE22</f>
        <v>74936900818</v>
      </c>
      <c r="BG22" s="67"/>
      <c r="BH22" s="67"/>
      <c r="BI22" s="67"/>
      <c r="BJ22" s="67"/>
      <c r="BK22" s="67"/>
      <c r="BL22" s="101"/>
      <c r="BM22" s="743" t="s">
        <v>108</v>
      </c>
      <c r="BN22" s="188">
        <f>BN23+BN24</f>
        <v>1836060585</v>
      </c>
      <c r="BO22" s="186">
        <f>BO23+BO24</f>
        <v>1599081515</v>
      </c>
      <c r="BP22" s="186">
        <f>BP23+BP24</f>
        <v>1599081515</v>
      </c>
      <c r="BQ22" s="748">
        <f>BQ23+BQ24</f>
        <v>241907238</v>
      </c>
    </row>
    <row r="23" spans="1:69" ht="24.75" customHeight="1">
      <c r="A23" s="202" t="str">
        <f>+IF(NOVIEMBRE!A23=0,"",NOVIEMBRE!A23)</f>
        <v>1.1.02.05.001.09.02.02</v>
      </c>
      <c r="B23" s="331" t="str">
        <f>+CONCATENATE("Vigencia ",INSTRUCCIONES!$F$3)</f>
        <v>Vigencia 2025</v>
      </c>
      <c r="C23" s="204">
        <f>+ENERO!C23</f>
        <v>49300076925.586876</v>
      </c>
      <c r="D23" s="205">
        <f>NOVIEMBRE!D23+DICIEMBRE!P23</f>
        <v>0</v>
      </c>
      <c r="E23" s="205">
        <f>NOVIEMBRE!E23+DICIEMBRE!Q23</f>
        <v>0</v>
      </c>
      <c r="F23" s="205">
        <f>SUM(C23:E23)</f>
        <v>49300076925.586876</v>
      </c>
      <c r="G23" s="205">
        <f>NOVIEMBRE!I23</f>
        <v>63788306065</v>
      </c>
      <c r="H23" s="208">
        <v>6204464313</v>
      </c>
      <c r="I23" s="680">
        <f>SUM(G23:H23)</f>
        <v>69992770378</v>
      </c>
      <c r="J23" s="680">
        <f>NOVIEMBRE!L23</f>
        <v>36223267817</v>
      </c>
      <c r="K23" s="208">
        <v>5594712417</v>
      </c>
      <c r="L23" s="680">
        <f>SUM(J23:K23)</f>
        <v>41817980234</v>
      </c>
      <c r="M23" s="205">
        <f>F23-I23</f>
        <v>-20692693452.413124</v>
      </c>
      <c r="N23" s="206">
        <f>F23-L23</f>
        <v>7482096691.5868759</v>
      </c>
      <c r="O23" s="101"/>
      <c r="P23" s="204">
        <v>0</v>
      </c>
      <c r="Q23" s="210">
        <v>0</v>
      </c>
      <c r="R23" s="101"/>
      <c r="S23" s="311" t="str">
        <f>+IF(NOVIEMBRE!S23=0,"",NOVIEMBRE!S23)</f>
        <v>2.1.1.01.01.001.07</v>
      </c>
      <c r="T23" s="312" t="str">
        <f>+IF(NOVIEMBRE!T23=0,"",NOVIEMBRE!T23)</f>
        <v>Bonificación  por servicios prestados</v>
      </c>
      <c r="U23" s="373">
        <f>+ENERO!U23</f>
        <v>190512323.74999997</v>
      </c>
      <c r="V23" s="220">
        <f>NOVIEMBRE!V23+DICIEMBRE!AL23</f>
        <v>0</v>
      </c>
      <c r="W23" s="220">
        <f>NOVIEMBRE!W23+DICIEMBRE!AM23</f>
        <v>0</v>
      </c>
      <c r="X23" s="271">
        <f t="shared" si="17"/>
        <v>190512323.74999997</v>
      </c>
      <c r="Y23" s="270">
        <f>NOVIEMBRE!AA23</f>
        <v>144227627</v>
      </c>
      <c r="Z23" s="1186">
        <v>11305031</v>
      </c>
      <c r="AA23" s="271">
        <f t="shared" si="18"/>
        <v>155532658</v>
      </c>
      <c r="AB23" s="270">
        <f>NOVIEMBRE!AD23</f>
        <v>144227627</v>
      </c>
      <c r="AC23" s="1186">
        <v>11305031</v>
      </c>
      <c r="AD23" s="271">
        <f t="shared" si="19"/>
        <v>155532658</v>
      </c>
      <c r="AE23" s="270">
        <f>NOVIEMBRE!AG23</f>
        <v>144227627</v>
      </c>
      <c r="AF23" s="1186">
        <v>11305031</v>
      </c>
      <c r="AG23" s="271">
        <f t="shared" si="20"/>
        <v>155532658</v>
      </c>
      <c r="AH23" s="270">
        <f t="shared" si="21"/>
        <v>34979665.74999997</v>
      </c>
      <c r="AI23" s="220">
        <f t="shared" si="22"/>
        <v>34979665.74999997</v>
      </c>
      <c r="AJ23" s="269">
        <f t="shared" si="23"/>
        <v>34979665.74999997</v>
      </c>
      <c r="AK23" s="101"/>
      <c r="AL23" s="204"/>
      <c r="AM23" s="210">
        <v>0</v>
      </c>
      <c r="AN23" s="101"/>
      <c r="AO23" s="196"/>
      <c r="AP23" s="538" t="s">
        <v>159</v>
      </c>
      <c r="AQ23" s="334">
        <f>X16+X65-AQ22</f>
        <v>1615509937.916667</v>
      </c>
      <c r="AR23" s="334">
        <f>AD16+AD65-AR22</f>
        <v>1510771130</v>
      </c>
      <c r="AS23" s="334">
        <f>AG16+AG65-AS22</f>
        <v>1510751130</v>
      </c>
      <c r="AT23" s="110"/>
      <c r="AU23" s="139">
        <f t="shared" si="25"/>
        <v>0.93516672014303037</v>
      </c>
      <c r="AV23" s="139">
        <f t="shared" si="26"/>
        <v>0.93515434015109677</v>
      </c>
      <c r="AW23" s="334">
        <f>(AR23-AD21-AD22-AD23-AD25-AD30-AD33-AD70-AD71-AD72-AD74-AD78-AD81)/$AO$2*12+AX22/12*2.5+AD30+AD33+AD78+AD81</f>
        <v>1692575074.375</v>
      </c>
      <c r="AX23" s="334">
        <f>(AS23-AG21-AG22-AG23-AG25-AG30-AG33-AG70-AG71-AG72-AG74-AG78-AG81)/$AO$2*12+AX22/12*2.5+AG30+AG33+AG78+AG81</f>
        <v>1692555074.375</v>
      </c>
      <c r="AY23" s="334">
        <f t="shared" si="27"/>
        <v>77065136.458333015</v>
      </c>
      <c r="AZ23" s="335">
        <f t="shared" si="28"/>
        <v>-77045136.458333015</v>
      </c>
      <c r="BA23" s="67"/>
      <c r="BB23" s="336"/>
      <c r="BC23" s="336"/>
      <c r="BD23" s="336"/>
      <c r="BE23" s="336"/>
      <c r="BF23" s="67"/>
      <c r="BG23" s="67"/>
      <c r="BH23" s="67"/>
      <c r="BI23" s="67"/>
      <c r="BJ23" s="67"/>
      <c r="BK23" s="67"/>
      <c r="BL23" s="67"/>
      <c r="BM23" s="745" t="s">
        <v>160</v>
      </c>
      <c r="BN23" s="188">
        <f>X176</f>
        <v>0</v>
      </c>
      <c r="BO23" s="186">
        <f>AA176</f>
        <v>0</v>
      </c>
      <c r="BP23" s="186">
        <f>AD176</f>
        <v>0</v>
      </c>
      <c r="BQ23" s="748">
        <f>AF176</f>
        <v>0</v>
      </c>
    </row>
    <row r="24" spans="1:69" ht="24.75" customHeight="1">
      <c r="A24" s="202" t="str">
        <f>+IF(NOVIEMBRE!A24=0,"",NOVIEMBRE!A24)</f>
        <v>1.1.02.05.001.09.02.02,99</v>
      </c>
      <c r="B24" s="331" t="str">
        <f>+IF(NOVIEMBRE!B24=0,"",NOVIEMBRE!B24)</f>
        <v>Vigencia Anterior</v>
      </c>
      <c r="C24" s="204">
        <f>+ENERO!C24</f>
        <v>6730672968</v>
      </c>
      <c r="D24" s="205">
        <f>NOVIEMBRE!D24+DICIEMBRE!P24</f>
        <v>0</v>
      </c>
      <c r="E24" s="205">
        <f>NOVIEMBRE!E24+DICIEMBRE!Q24</f>
        <v>6782368117</v>
      </c>
      <c r="F24" s="205">
        <f>SUM(C24:E24)</f>
        <v>13513041085</v>
      </c>
      <c r="G24" s="205">
        <f>NOVIEMBRE!I24</f>
        <v>18233456841</v>
      </c>
      <c r="H24" s="208">
        <v>11988272</v>
      </c>
      <c r="I24" s="680">
        <f>SUM(G24:H24)</f>
        <v>18245445113</v>
      </c>
      <c r="J24" s="680">
        <f>NOVIEMBRE!L24</f>
        <v>18233456841</v>
      </c>
      <c r="K24" s="208">
        <v>11988272</v>
      </c>
      <c r="L24" s="680">
        <f>SUM(J24:K24)</f>
        <v>18245445113</v>
      </c>
      <c r="M24" s="205">
        <f>F24-I24</f>
        <v>-4732404028</v>
      </c>
      <c r="N24" s="206">
        <f>F24-L24</f>
        <v>-4732404028</v>
      </c>
      <c r="O24" s="67"/>
      <c r="P24" s="204">
        <v>0</v>
      </c>
      <c r="Q24" s="210">
        <v>0</v>
      </c>
      <c r="R24" s="101"/>
      <c r="S24" s="311" t="str">
        <f>+IF(NOVIEMBRE!S24=0,"",NOVIEMBRE!S24)</f>
        <v>2.1.1.01.01.001.06</v>
      </c>
      <c r="T24" s="312" t="str">
        <f>+IF(NOVIEMBRE!T24=0,"",NOVIEMBRE!T24)</f>
        <v>Prima de Servicios</v>
      </c>
      <c r="U24" s="373">
        <f>+ENERO!U24</f>
        <v>272160462.5</v>
      </c>
      <c r="V24" s="220">
        <f>NOVIEMBRE!V24+DICIEMBRE!AL24</f>
        <v>-30000000</v>
      </c>
      <c r="W24" s="220">
        <f>NOVIEMBRE!W24+DICIEMBRE!AM24</f>
        <v>0</v>
      </c>
      <c r="X24" s="271">
        <f t="shared" si="17"/>
        <v>242160462.5</v>
      </c>
      <c r="Y24" s="270">
        <f>NOVIEMBRE!AA24</f>
        <v>237734955</v>
      </c>
      <c r="Z24" s="208"/>
      <c r="AA24" s="271">
        <f t="shared" si="18"/>
        <v>237734955</v>
      </c>
      <c r="AB24" s="270">
        <f>NOVIEMBRE!AD24</f>
        <v>237734955</v>
      </c>
      <c r="AC24" s="208"/>
      <c r="AD24" s="271">
        <f t="shared" si="19"/>
        <v>237734955</v>
      </c>
      <c r="AE24" s="270">
        <f>NOVIEMBRE!AG24</f>
        <v>237734955</v>
      </c>
      <c r="AF24" s="208"/>
      <c r="AG24" s="271">
        <f t="shared" si="20"/>
        <v>237734955</v>
      </c>
      <c r="AH24" s="270">
        <f t="shared" si="21"/>
        <v>4425507.5</v>
      </c>
      <c r="AI24" s="220">
        <f t="shared" si="22"/>
        <v>4425507.5</v>
      </c>
      <c r="AJ24" s="269">
        <f t="shared" si="23"/>
        <v>4425507.5</v>
      </c>
      <c r="AK24" s="101"/>
      <c r="AL24" s="204"/>
      <c r="AM24" s="210">
        <v>0</v>
      </c>
      <c r="AN24" s="101"/>
      <c r="AO24" s="196"/>
      <c r="AP24" s="303" t="s">
        <v>163</v>
      </c>
      <c r="AQ24" s="338">
        <f>X35+X83</f>
        <v>90078946637</v>
      </c>
      <c r="AR24" s="338">
        <f>AD35+AD83</f>
        <v>88976859372</v>
      </c>
      <c r="AS24" s="338">
        <f>AG35+AG83</f>
        <v>67682621307</v>
      </c>
      <c r="AT24" s="338"/>
      <c r="AU24" s="205">
        <f t="shared" si="25"/>
        <v>0.98776531802218792</v>
      </c>
      <c r="AV24" s="205">
        <f t="shared" si="26"/>
        <v>0.75137003521752233</v>
      </c>
      <c r="AW24" s="205">
        <f>(AR24-AD41-AD88)/$AO$2*12+AD41+AD88</f>
        <v>88976859372</v>
      </c>
      <c r="AX24" s="205">
        <f>(AS24-AG41-AG88)/$AO$2*12+AG41+AG88</f>
        <v>67682621307</v>
      </c>
      <c r="AY24" s="205">
        <f t="shared" si="27"/>
        <v>-1102087265</v>
      </c>
      <c r="AZ24" s="206">
        <f t="shared" si="28"/>
        <v>22396325330</v>
      </c>
      <c r="BA24" s="101"/>
      <c r="BB24" s="339"/>
      <c r="BC24" s="67"/>
      <c r="BD24" s="67"/>
      <c r="BE24" s="67"/>
      <c r="BF24" s="67"/>
      <c r="BG24" s="67"/>
      <c r="BH24" s="67"/>
      <c r="BI24" s="67"/>
      <c r="BJ24" s="67"/>
      <c r="BK24" s="67"/>
      <c r="BL24" s="67"/>
      <c r="BM24" s="745" t="s">
        <v>164</v>
      </c>
      <c r="BN24" s="188">
        <f>X168-X190</f>
        <v>1836060585</v>
      </c>
      <c r="BO24" s="188">
        <f>AA168-AA190</f>
        <v>1599081515</v>
      </c>
      <c r="BP24" s="188">
        <f>AD168-AD190</f>
        <v>1599081515</v>
      </c>
      <c r="BQ24" s="188">
        <f>AF168-AF190</f>
        <v>241907238</v>
      </c>
    </row>
    <row r="25" spans="1:69" ht="24.75" customHeight="1">
      <c r="A25" s="286" t="str">
        <f>+IF(NOVIEMBRE!A25=0,"",NOVIEMBRE!A25)</f>
        <v>1.1.02.05.001.09.02.01</v>
      </c>
      <c r="B25" s="319" t="str">
        <f>+IF(NOVIEMBRE!B25=0,"",NOVIEMBRE!B25)</f>
        <v>ARS - REGIMEN SUBSIDIADO</v>
      </c>
      <c r="C25" s="288">
        <f t="shared" ref="C25:N25" si="29">SUM(C26:C27)</f>
        <v>91588666596</v>
      </c>
      <c r="D25" s="320">
        <f t="shared" si="29"/>
        <v>0</v>
      </c>
      <c r="E25" s="320">
        <f t="shared" si="29"/>
        <v>19375118648</v>
      </c>
      <c r="F25" s="320">
        <f t="shared" si="29"/>
        <v>110963785244</v>
      </c>
      <c r="G25" s="320">
        <f t="shared" si="29"/>
        <v>103510085099</v>
      </c>
      <c r="H25" s="320">
        <f t="shared" si="29"/>
        <v>6852066324</v>
      </c>
      <c r="I25" s="679">
        <f t="shared" si="29"/>
        <v>110362151423</v>
      </c>
      <c r="J25" s="679">
        <f t="shared" si="29"/>
        <v>58005710524</v>
      </c>
      <c r="K25" s="320">
        <f t="shared" si="29"/>
        <v>4034613597</v>
      </c>
      <c r="L25" s="679">
        <f t="shared" si="29"/>
        <v>62040324121</v>
      </c>
      <c r="M25" s="320">
        <f t="shared" si="29"/>
        <v>601633821</v>
      </c>
      <c r="N25" s="289">
        <f t="shared" si="29"/>
        <v>48923461123</v>
      </c>
      <c r="O25" s="67"/>
      <c r="P25" s="288">
        <f>SUM(P26:P27)</f>
        <v>0</v>
      </c>
      <c r="Q25" s="289">
        <f>SUM(Q26:Q27)</f>
        <v>0</v>
      </c>
      <c r="R25" s="101"/>
      <c r="S25" s="311" t="str">
        <f>+IF(NOVIEMBRE!S25=0,"",NOVIEMBRE!S25)</f>
        <v>1010104-5</v>
      </c>
      <c r="T25" s="312" t="str">
        <f>+IF(NOVIEMBRE!T25=0,"",NOVIEMBRE!T25)</f>
        <v>Bonificación Convencional</v>
      </c>
      <c r="U25" s="373">
        <f>+ENERO!U25</f>
        <v>0</v>
      </c>
      <c r="V25" s="220">
        <f>NOVIEMBRE!V25+DICIEMBRE!AL25</f>
        <v>0</v>
      </c>
      <c r="W25" s="220">
        <f>NOVIEMBRE!W25+DICIEMBRE!AM25</f>
        <v>0</v>
      </c>
      <c r="X25" s="271">
        <f t="shared" si="17"/>
        <v>0</v>
      </c>
      <c r="Y25" s="270">
        <f>NOVIEMBRE!AA25</f>
        <v>0</v>
      </c>
      <c r="Z25" s="208"/>
      <c r="AA25" s="271">
        <f t="shared" si="18"/>
        <v>0</v>
      </c>
      <c r="AB25" s="270">
        <f>NOVIEMBRE!AD25</f>
        <v>0</v>
      </c>
      <c r="AC25" s="208"/>
      <c r="AD25" s="271">
        <f t="shared" si="19"/>
        <v>0</v>
      </c>
      <c r="AE25" s="270">
        <f>NOVIEMBRE!AG25</f>
        <v>0</v>
      </c>
      <c r="AF25" s="208"/>
      <c r="AG25" s="271">
        <f t="shared" si="20"/>
        <v>0</v>
      </c>
      <c r="AH25" s="270">
        <f t="shared" si="21"/>
        <v>0</v>
      </c>
      <c r="AI25" s="220">
        <f t="shared" si="22"/>
        <v>0</v>
      </c>
      <c r="AJ25" s="269">
        <f t="shared" si="23"/>
        <v>0</v>
      </c>
      <c r="AK25" s="101"/>
      <c r="AL25" s="204"/>
      <c r="AM25" s="210">
        <v>0</v>
      </c>
      <c r="AN25" s="101"/>
      <c r="AO25" s="108"/>
      <c r="AP25" s="420" t="s">
        <v>168</v>
      </c>
      <c r="AQ25" s="205">
        <f>X43+X57+X90+X106</f>
        <v>3126792492.9625015</v>
      </c>
      <c r="AR25" s="205">
        <f>AD43+AD57+AD90+AD106</f>
        <v>2946394904</v>
      </c>
      <c r="AS25" s="205">
        <f>AG43+AG57+AG90+AG106</f>
        <v>2382770100</v>
      </c>
      <c r="AT25" s="338"/>
      <c r="AU25" s="205">
        <f t="shared" si="25"/>
        <v>0.94230586475804712</v>
      </c>
      <c r="AV25" s="205">
        <f t="shared" si="26"/>
        <v>0.76204932222490651</v>
      </c>
      <c r="AW25" s="205">
        <f>(AR25-AD55-AD61-AD102-AD110)/$AO$2*12+AD55+AD61+AD102+AD110</f>
        <v>2946394904</v>
      </c>
      <c r="AX25" s="205">
        <f>(AS25-AG55-AG61-AG102-AG110)/$AO$2*12+AG55+AG61+AG102+AG110</f>
        <v>2382770100</v>
      </c>
      <c r="AY25" s="205">
        <f t="shared" si="27"/>
        <v>-180397588.96250153</v>
      </c>
      <c r="AZ25" s="206">
        <f t="shared" si="28"/>
        <v>744022392.96250153</v>
      </c>
      <c r="BA25" s="67"/>
      <c r="BB25" s="67"/>
      <c r="BC25" s="67"/>
      <c r="BD25" s="67"/>
      <c r="BE25" s="67"/>
      <c r="BF25" s="67"/>
      <c r="BG25" s="67"/>
      <c r="BH25" s="67"/>
      <c r="BI25" s="67"/>
      <c r="BJ25" s="67"/>
      <c r="BK25" s="67"/>
      <c r="BL25" s="67"/>
      <c r="BM25" s="756" t="s">
        <v>169</v>
      </c>
      <c r="BN25" s="340">
        <f>+SUM(BN26:BN28)</f>
        <v>51584270413.333328</v>
      </c>
      <c r="BO25" s="341">
        <f>+SUM(BO26:BO28)</f>
        <v>47241848388</v>
      </c>
      <c r="BP25" s="341">
        <f>+SUM(BP26:BP28)</f>
        <v>47241848388</v>
      </c>
      <c r="BQ25" s="757">
        <f>+SUM(BQ26:BQ28)</f>
        <v>3590712461.5</v>
      </c>
    </row>
    <row r="26" spans="1:69" ht="24.75" customHeight="1">
      <c r="A26" s="202" t="str">
        <f>+IF(NOVIEMBRE!A26=0,"",NOVIEMBRE!A26)</f>
        <v>1.1.02.05.001.09.02.01</v>
      </c>
      <c r="B26" s="331" t="str">
        <f>+CONCATENATE("Vigencia ",INSTRUCCIONES!$F$3)</f>
        <v>Vigencia 2025</v>
      </c>
      <c r="C26" s="204">
        <f>+ENERO!C26</f>
        <v>81866799864</v>
      </c>
      <c r="D26" s="205">
        <f>NOVIEMBRE!D26+DICIEMBRE!P26</f>
        <v>0</v>
      </c>
      <c r="E26" s="205">
        <f>NOVIEMBRE!E26+DICIEMBRE!Q26</f>
        <v>0</v>
      </c>
      <c r="F26" s="205">
        <f>SUM(C26:E26)</f>
        <v>81866799864</v>
      </c>
      <c r="G26" s="205">
        <f>NOVIEMBRE!I26</f>
        <v>72806109680</v>
      </c>
      <c r="H26" s="208">
        <v>6680331120</v>
      </c>
      <c r="I26" s="680">
        <f>SUM(G26:H26)</f>
        <v>79486440800</v>
      </c>
      <c r="J26" s="680">
        <f>NOVIEMBRE!L26</f>
        <v>27301735105</v>
      </c>
      <c r="K26" s="208">
        <v>3862878393</v>
      </c>
      <c r="L26" s="680">
        <f>SUM(J26:K26)</f>
        <v>31164613498</v>
      </c>
      <c r="M26" s="205">
        <f>F26-I26</f>
        <v>2380359064</v>
      </c>
      <c r="N26" s="206">
        <f>F26-L26</f>
        <v>50702186366</v>
      </c>
      <c r="O26" s="101"/>
      <c r="P26" s="204">
        <v>0</v>
      </c>
      <c r="Q26" s="210">
        <v>0</v>
      </c>
      <c r="R26" s="101"/>
      <c r="S26" s="311" t="str">
        <f>+IF(NOVIEMBRE!S26=0,"",NOVIEMBRE!S26)</f>
        <v>2.1.1.01.01.001.05</v>
      </c>
      <c r="T26" s="312" t="str">
        <f>+IF(NOVIEMBRE!T26=0,"",NOVIEMBRE!T26)</f>
        <v>Auxilio de Transporte</v>
      </c>
      <c r="U26" s="373">
        <f>+ENERO!U26</f>
        <v>0</v>
      </c>
      <c r="V26" s="220">
        <f>NOVIEMBRE!V26+DICIEMBRE!AL26</f>
        <v>18823004</v>
      </c>
      <c r="W26" s="220">
        <f>NOVIEMBRE!W26+DICIEMBRE!AM26</f>
        <v>0</v>
      </c>
      <c r="X26" s="271">
        <f t="shared" si="17"/>
        <v>18823004</v>
      </c>
      <c r="Y26" s="270">
        <f>NOVIEMBRE!AA26</f>
        <v>12933331</v>
      </c>
      <c r="Z26" s="208"/>
      <c r="AA26" s="271">
        <f t="shared" si="18"/>
        <v>12933331</v>
      </c>
      <c r="AB26" s="270">
        <f>NOVIEMBRE!AD26</f>
        <v>12933331</v>
      </c>
      <c r="AC26" s="208"/>
      <c r="AD26" s="271">
        <f t="shared" si="19"/>
        <v>12933331</v>
      </c>
      <c r="AE26" s="270">
        <f>NOVIEMBRE!AG26</f>
        <v>12933331</v>
      </c>
      <c r="AF26" s="208"/>
      <c r="AG26" s="271">
        <f t="shared" si="20"/>
        <v>12933331</v>
      </c>
      <c r="AH26" s="270">
        <f t="shared" si="21"/>
        <v>5889673</v>
      </c>
      <c r="AI26" s="220">
        <f t="shared" si="22"/>
        <v>5889673</v>
      </c>
      <c r="AJ26" s="269">
        <f t="shared" si="23"/>
        <v>5889673</v>
      </c>
      <c r="AK26" s="101"/>
      <c r="AL26" s="204">
        <v>-2176996</v>
      </c>
      <c r="AM26" s="210">
        <v>0</v>
      </c>
      <c r="AN26" s="101"/>
      <c r="AO26" s="108"/>
      <c r="AP26" s="539" t="s">
        <v>171</v>
      </c>
      <c r="AQ26" s="110">
        <f>SUM(X110)</f>
        <v>21826248565.620831</v>
      </c>
      <c r="AR26" s="110">
        <f>AD110</f>
        <v>16652727772</v>
      </c>
      <c r="AS26" s="110">
        <f>AG110</f>
        <v>12669126761</v>
      </c>
      <c r="AT26" s="198">
        <f>AO2/12</f>
        <v>1</v>
      </c>
      <c r="AU26" s="139">
        <f t="shared" si="25"/>
        <v>0.76296793385878525</v>
      </c>
      <c r="AV26" s="139">
        <f t="shared" si="26"/>
        <v>0.58045370109802175</v>
      </c>
      <c r="AW26" s="334">
        <f>(AR26-AD289-AD139-AD143-AD153)/$AO$2*12+AD289+AD139+AD143+AD153</f>
        <v>16652727772</v>
      </c>
      <c r="AX26" s="334">
        <f>(AS26-AG289-AG139-AG143-AG153)/$AO$2*12+AG289+AG139+AG143+AG153</f>
        <v>12669126761</v>
      </c>
      <c r="AY26" s="334">
        <f t="shared" si="27"/>
        <v>-5173520793.6208305</v>
      </c>
      <c r="AZ26" s="335">
        <f t="shared" si="28"/>
        <v>9157121804.6208305</v>
      </c>
      <c r="BA26" s="67"/>
      <c r="BB26" s="67"/>
      <c r="BC26" s="67"/>
      <c r="BD26" s="67"/>
      <c r="BE26" s="67"/>
      <c r="BF26" s="67"/>
      <c r="BG26" s="67"/>
      <c r="BH26" s="67"/>
      <c r="BI26" s="67"/>
      <c r="BJ26" s="67"/>
      <c r="BK26" s="67"/>
      <c r="BL26" s="101"/>
      <c r="BM26" s="758" t="s">
        <v>172</v>
      </c>
      <c r="BN26" s="199">
        <f>+X197</f>
        <v>10165487289.666666</v>
      </c>
      <c r="BO26" s="199">
        <f>+AA197</f>
        <v>8901125493</v>
      </c>
      <c r="BP26" s="199">
        <f>+AD197</f>
        <v>8901125493</v>
      </c>
      <c r="BQ26" s="750">
        <f>+AF197</f>
        <v>762407560</v>
      </c>
    </row>
    <row r="27" spans="1:69" ht="24.75" customHeight="1">
      <c r="A27" s="202" t="str">
        <f>+IF(NOVIEMBRE!A27=0,"",NOVIEMBRE!A27)</f>
        <v>1.1.02.05.001.09.02.01.99</v>
      </c>
      <c r="B27" s="331" t="str">
        <f>+IF(NOVIEMBRE!B27=0,"",NOVIEMBRE!B27)</f>
        <v>Vigencia Anterior</v>
      </c>
      <c r="C27" s="204">
        <f>+ENERO!C27</f>
        <v>9721866732</v>
      </c>
      <c r="D27" s="205">
        <f>NOVIEMBRE!D27+DICIEMBRE!P27</f>
        <v>0</v>
      </c>
      <c r="E27" s="205">
        <f>NOVIEMBRE!E27+DICIEMBRE!Q27</f>
        <v>19375118648</v>
      </c>
      <c r="F27" s="205">
        <f>SUM(C27:E27)</f>
        <v>29096985380</v>
      </c>
      <c r="G27" s="205">
        <f>NOVIEMBRE!I27</f>
        <v>30703975419</v>
      </c>
      <c r="H27" s="208">
        <f>171735204</f>
        <v>171735204</v>
      </c>
      <c r="I27" s="680">
        <f>SUM(G27:H27)</f>
        <v>30875710623</v>
      </c>
      <c r="J27" s="680">
        <f>NOVIEMBRE!L27</f>
        <v>30703975419</v>
      </c>
      <c r="K27" s="208">
        <v>171735204</v>
      </c>
      <c r="L27" s="680">
        <f>SUM(J27:K27)</f>
        <v>30875710623</v>
      </c>
      <c r="M27" s="205">
        <f>F27-I27</f>
        <v>-1778725243</v>
      </c>
      <c r="N27" s="206">
        <f>F27-L27</f>
        <v>-1778725243</v>
      </c>
      <c r="O27" s="67"/>
      <c r="P27" s="204">
        <v>0</v>
      </c>
      <c r="Q27" s="210">
        <v>0</v>
      </c>
      <c r="R27" s="101"/>
      <c r="S27" s="311" t="str">
        <f>+IF(NOVIEMBRE!S27=0,"",NOVIEMBRE!S27)</f>
        <v>2.1.1.01.01.001.04</v>
      </c>
      <c r="T27" s="312" t="str">
        <f>+IF(NOVIEMBRE!T27=0,"",NOVIEMBRE!T27)</f>
        <v>Auxilio de Alimentación</v>
      </c>
      <c r="U27" s="373">
        <f>+ENERO!U27</f>
        <v>0</v>
      </c>
      <c r="V27" s="220">
        <f>NOVIEMBRE!V27+DICIEMBRE!AL27</f>
        <v>0</v>
      </c>
      <c r="W27" s="220">
        <f>NOVIEMBRE!W27+DICIEMBRE!AM27</f>
        <v>0</v>
      </c>
      <c r="X27" s="271">
        <f t="shared" si="17"/>
        <v>0</v>
      </c>
      <c r="Y27" s="270">
        <f>NOVIEMBRE!AA27</f>
        <v>0</v>
      </c>
      <c r="Z27" s="208"/>
      <c r="AA27" s="271">
        <f t="shared" si="18"/>
        <v>0</v>
      </c>
      <c r="AB27" s="270">
        <f>NOVIEMBRE!AD27</f>
        <v>0</v>
      </c>
      <c r="AC27" s="208"/>
      <c r="AD27" s="271">
        <f t="shared" si="19"/>
        <v>0</v>
      </c>
      <c r="AE27" s="270">
        <f>NOVIEMBRE!AG27</f>
        <v>0</v>
      </c>
      <c r="AF27" s="208"/>
      <c r="AG27" s="271">
        <f t="shared" si="20"/>
        <v>0</v>
      </c>
      <c r="AH27" s="270">
        <f t="shared" si="21"/>
        <v>0</v>
      </c>
      <c r="AI27" s="220">
        <f t="shared" si="22"/>
        <v>0</v>
      </c>
      <c r="AJ27" s="269">
        <f t="shared" si="23"/>
        <v>0</v>
      </c>
      <c r="AK27" s="101"/>
      <c r="AL27" s="204"/>
      <c r="AM27" s="210">
        <v>0</v>
      </c>
      <c r="AN27" s="101"/>
      <c r="AO27" s="156"/>
      <c r="AP27" s="420" t="s">
        <v>174</v>
      </c>
      <c r="AQ27" s="205">
        <f>X168</f>
        <v>2039060585</v>
      </c>
      <c r="AR27" s="205">
        <f>AD168</f>
        <v>1801855724</v>
      </c>
      <c r="AS27" s="205">
        <f>AG168</f>
        <v>1801855724.5</v>
      </c>
      <c r="AT27" s="338"/>
      <c r="AU27" s="205">
        <f t="shared" si="25"/>
        <v>0.88366953746006527</v>
      </c>
      <c r="AV27" s="205">
        <f t="shared" si="26"/>
        <v>0.88366953770527623</v>
      </c>
      <c r="AW27" s="205">
        <f>(AR27-AD172-AD181-AD190)/$AO$2*12+AD172+AD181+AD190</f>
        <v>1801855724</v>
      </c>
      <c r="AX27" s="205">
        <f>(AS27-AG172-AG181-AG190)/$AO$2*12+AG172+AG181+AG190</f>
        <v>1801855724.5</v>
      </c>
      <c r="AY27" s="205">
        <f t="shared" si="27"/>
        <v>-237204861</v>
      </c>
      <c r="AZ27" s="206">
        <f t="shared" si="28"/>
        <v>237204860.5</v>
      </c>
      <c r="BA27" s="101"/>
      <c r="BB27" s="67"/>
      <c r="BC27" s="67"/>
      <c r="BD27" s="67"/>
      <c r="BE27" s="67"/>
      <c r="BF27" s="67"/>
      <c r="BG27" s="67"/>
      <c r="BH27" s="67"/>
      <c r="BI27" s="67"/>
      <c r="BJ27" s="67"/>
      <c r="BK27" s="67"/>
      <c r="BL27" s="67"/>
      <c r="BM27" s="758" t="s">
        <v>175</v>
      </c>
      <c r="BN27" s="201">
        <f>+X210</f>
        <v>3000000</v>
      </c>
      <c r="BO27" s="199">
        <f>+AA210</f>
        <v>0</v>
      </c>
      <c r="BP27" s="199">
        <f>+AD210</f>
        <v>0</v>
      </c>
      <c r="BQ27" s="750">
        <f>+AF210</f>
        <v>0</v>
      </c>
    </row>
    <row r="28" spans="1:69" ht="24.75" customHeight="1">
      <c r="A28" s="286">
        <f>+IF(NOVIEMBRE!A28=0,"",NOVIEMBRE!A28)</f>
        <v>1130103</v>
      </c>
      <c r="B28" s="344" t="str">
        <f>+IF(NOVIEMBRE!B28=0,"",NOVIEMBRE!B28)</f>
        <v>SUBSIDIO A LA OFERTA- ATENCION PERSONAS POBRES NO CUBIERTOS CON SUBSIDIO A LA DEMANDA</v>
      </c>
      <c r="C28" s="288">
        <f>C29+C32+C35+C38+C39+C40</f>
        <v>1850957800</v>
      </c>
      <c r="D28" s="320">
        <f>+D29+D32+D35+D38+D39+D40</f>
        <v>0</v>
      </c>
      <c r="E28" s="320">
        <f>+E29+E32+E35+E38+E39+E40</f>
        <v>0</v>
      </c>
      <c r="F28" s="320">
        <f>+F29+F32+F35+F38+F39+F40</f>
        <v>1850957800</v>
      </c>
      <c r="G28" s="320">
        <f t="shared" ref="G28:N28" si="30">G29+G32+G35+G38+G39+G40</f>
        <v>1930872355</v>
      </c>
      <c r="H28" s="320">
        <f t="shared" si="30"/>
        <v>157112940</v>
      </c>
      <c r="I28" s="679">
        <f t="shared" si="30"/>
        <v>2087985295</v>
      </c>
      <c r="J28" s="679">
        <f t="shared" si="30"/>
        <v>1640150826</v>
      </c>
      <c r="K28" s="320">
        <f t="shared" si="30"/>
        <v>93125586</v>
      </c>
      <c r="L28" s="679">
        <f t="shared" si="30"/>
        <v>1733276412</v>
      </c>
      <c r="M28" s="320">
        <f t="shared" si="30"/>
        <v>-237027495</v>
      </c>
      <c r="N28" s="289">
        <f t="shared" si="30"/>
        <v>117681388</v>
      </c>
      <c r="O28" s="67"/>
      <c r="P28" s="288">
        <f>P29+P32+P35+P38+P39+P939</f>
        <v>0</v>
      </c>
      <c r="Q28" s="289">
        <f>Q29+Q32+Q35+Q38+Q39+Q40</f>
        <v>0</v>
      </c>
      <c r="R28" s="101"/>
      <c r="S28" s="311" t="str">
        <f>+IF(NOVIEMBRE!S28=0,"",NOVIEMBRE!S28)</f>
        <v>1010104-8</v>
      </c>
      <c r="T28" s="312" t="str">
        <f>+IF(NOVIEMBRE!T28=0,"",NOVIEMBRE!T28)</f>
        <v>Indemnizaciones por Vacaciones o Supresión de Cargos por Reestructuración</v>
      </c>
      <c r="U28" s="373">
        <f>+ENERO!U28</f>
        <v>0</v>
      </c>
      <c r="V28" s="220">
        <f>NOVIEMBRE!V28+DICIEMBRE!AL28</f>
        <v>0</v>
      </c>
      <c r="W28" s="220">
        <f>NOVIEMBRE!W28+DICIEMBRE!AM28</f>
        <v>0</v>
      </c>
      <c r="X28" s="271">
        <f t="shared" si="17"/>
        <v>0</v>
      </c>
      <c r="Y28" s="270">
        <f>NOVIEMBRE!AA28</f>
        <v>0</v>
      </c>
      <c r="Z28" s="208"/>
      <c r="AA28" s="271">
        <f t="shared" si="18"/>
        <v>0</v>
      </c>
      <c r="AB28" s="270">
        <f>NOVIEMBRE!AD28</f>
        <v>0</v>
      </c>
      <c r="AC28" s="208"/>
      <c r="AD28" s="271">
        <f t="shared" si="19"/>
        <v>0</v>
      </c>
      <c r="AE28" s="270">
        <f>NOVIEMBRE!AG28</f>
        <v>0</v>
      </c>
      <c r="AF28" s="208"/>
      <c r="AG28" s="271">
        <f t="shared" si="20"/>
        <v>0</v>
      </c>
      <c r="AH28" s="270">
        <f t="shared" si="21"/>
        <v>0</v>
      </c>
      <c r="AI28" s="220">
        <f t="shared" si="22"/>
        <v>0</v>
      </c>
      <c r="AJ28" s="269">
        <f t="shared" si="23"/>
        <v>0</v>
      </c>
      <c r="AK28" s="101"/>
      <c r="AL28" s="204"/>
      <c r="AM28" s="210">
        <v>0</v>
      </c>
      <c r="AN28" s="101"/>
      <c r="AO28" s="156"/>
      <c r="AP28" s="333" t="s">
        <v>179</v>
      </c>
      <c r="AQ28" s="205">
        <f>X194</f>
        <v>55298051376.666664</v>
      </c>
      <c r="AR28" s="205">
        <f>AD194</f>
        <v>50889910943</v>
      </c>
      <c r="AS28" s="205">
        <f>AG194</f>
        <v>31617096424.5</v>
      </c>
      <c r="AT28" s="338"/>
      <c r="AU28" s="205">
        <f t="shared" si="25"/>
        <v>0.92028398245644683</v>
      </c>
      <c r="AV28" s="205">
        <f t="shared" si="26"/>
        <v>0.57175787640576825</v>
      </c>
      <c r="AW28" s="205">
        <f>(AR28-AD206)/$AO$2*12+AD206</f>
        <v>50889910943</v>
      </c>
      <c r="AX28" s="205">
        <f>(AS28-AG206)/$AO$2*12+AG206</f>
        <v>31617096424.5</v>
      </c>
      <c r="AY28" s="205">
        <f t="shared" si="27"/>
        <v>-4408140433.6666641</v>
      </c>
      <c r="AZ28" s="206">
        <f t="shared" si="28"/>
        <v>23680954952.166664</v>
      </c>
      <c r="BA28" s="67"/>
      <c r="BB28" s="67"/>
      <c r="BC28" s="67"/>
      <c r="BD28" s="67"/>
      <c r="BE28" s="67"/>
      <c r="BF28" s="67"/>
      <c r="BG28" s="67"/>
      <c r="BH28" s="67"/>
      <c r="BI28" s="67"/>
      <c r="BJ28" s="67"/>
      <c r="BK28" s="67"/>
      <c r="BL28" s="67"/>
      <c r="BM28" s="743" t="s">
        <v>180</v>
      </c>
      <c r="BN28" s="186">
        <f>+X196-X197+X204</f>
        <v>41415783123.666664</v>
      </c>
      <c r="BO28" s="186">
        <f>+AA196-AA197+AA204</f>
        <v>38340722895</v>
      </c>
      <c r="BP28" s="186">
        <f>+AD196-AD197+AD204</f>
        <v>38340722895</v>
      </c>
      <c r="BQ28" s="748">
        <f>+AF196-AF197+AF204</f>
        <v>2828304901.5</v>
      </c>
    </row>
    <row r="29" spans="1:69" ht="24.75" customHeight="1">
      <c r="A29" s="202" t="str">
        <f>+IF(NOVIEMBRE!A29=0,"",NOVIEMBRE!A29)</f>
        <v>1130103-1</v>
      </c>
      <c r="B29" s="345" t="str">
        <f>+IF(NOVIEMBRE!B29=0,"",NOVIEMBRE!B29)</f>
        <v>Prestación de Servicios de salud  1er Nivel</v>
      </c>
      <c r="C29" s="270">
        <f t="shared" ref="C29:N29" si="31">SUM(C30:C31)</f>
        <v>0</v>
      </c>
      <c r="D29" s="220">
        <f t="shared" si="31"/>
        <v>0</v>
      </c>
      <c r="E29" s="220">
        <f t="shared" si="31"/>
        <v>0</v>
      </c>
      <c r="F29" s="220">
        <f t="shared" si="31"/>
        <v>0</v>
      </c>
      <c r="G29" s="220">
        <f t="shared" si="31"/>
        <v>0</v>
      </c>
      <c r="H29" s="220">
        <f t="shared" si="31"/>
        <v>0</v>
      </c>
      <c r="I29" s="651">
        <f t="shared" si="31"/>
        <v>0</v>
      </c>
      <c r="J29" s="651">
        <f t="shared" si="31"/>
        <v>0</v>
      </c>
      <c r="K29" s="220">
        <f t="shared" si="31"/>
        <v>0</v>
      </c>
      <c r="L29" s="651">
        <f t="shared" si="31"/>
        <v>0</v>
      </c>
      <c r="M29" s="220">
        <f t="shared" si="31"/>
        <v>0</v>
      </c>
      <c r="N29" s="269">
        <f t="shared" si="31"/>
        <v>0</v>
      </c>
      <c r="O29" s="67"/>
      <c r="P29" s="346">
        <f>SUM(P30:P31)</f>
        <v>0</v>
      </c>
      <c r="Q29" s="347">
        <f>SUM(Q30:Q31)</f>
        <v>0</v>
      </c>
      <c r="R29" s="101"/>
      <c r="S29" s="311" t="str">
        <f>+IF(NOVIEMBRE!S29=0,"",NOVIEMBRE!S29)</f>
        <v>1010104-9</v>
      </c>
      <c r="T29" s="312" t="str">
        <f>+IF(NOVIEMBRE!T29=0,"",NOVIEMBRE!T29)</f>
        <v>Gastos de Representacion</v>
      </c>
      <c r="U29" s="373">
        <f>+ENERO!U29</f>
        <v>0</v>
      </c>
      <c r="V29" s="220">
        <f>NOVIEMBRE!V29+DICIEMBRE!AL29</f>
        <v>0</v>
      </c>
      <c r="W29" s="220">
        <f>NOVIEMBRE!W29+DICIEMBRE!AM29</f>
        <v>0</v>
      </c>
      <c r="X29" s="271">
        <f t="shared" si="17"/>
        <v>0</v>
      </c>
      <c r="Y29" s="270">
        <f>NOVIEMBRE!AA29</f>
        <v>0</v>
      </c>
      <c r="Z29" s="208"/>
      <c r="AA29" s="271">
        <f t="shared" si="18"/>
        <v>0</v>
      </c>
      <c r="AB29" s="270">
        <f>NOVIEMBRE!AD29</f>
        <v>0</v>
      </c>
      <c r="AC29" s="208"/>
      <c r="AD29" s="271">
        <f t="shared" si="19"/>
        <v>0</v>
      </c>
      <c r="AE29" s="270">
        <f>NOVIEMBRE!AG29</f>
        <v>0</v>
      </c>
      <c r="AF29" s="208"/>
      <c r="AG29" s="271">
        <f t="shared" si="20"/>
        <v>0</v>
      </c>
      <c r="AH29" s="270">
        <f t="shared" si="21"/>
        <v>0</v>
      </c>
      <c r="AI29" s="220">
        <f t="shared" si="22"/>
        <v>0</v>
      </c>
      <c r="AJ29" s="269">
        <f t="shared" si="23"/>
        <v>0</v>
      </c>
      <c r="AK29" s="101"/>
      <c r="AL29" s="204"/>
      <c r="AM29" s="210">
        <v>0</v>
      </c>
      <c r="AN29" s="101"/>
      <c r="AO29" s="108"/>
      <c r="AP29" s="333" t="s">
        <v>185</v>
      </c>
      <c r="AQ29" s="205">
        <f>X208</f>
        <v>4665559635</v>
      </c>
      <c r="AR29" s="205">
        <f>AD208</f>
        <v>4596412660</v>
      </c>
      <c r="AS29" s="205">
        <f>AG208</f>
        <v>4596412660</v>
      </c>
      <c r="AT29" s="110"/>
      <c r="AU29" s="139">
        <f t="shared" si="25"/>
        <v>0.9851792752832319</v>
      </c>
      <c r="AV29" s="139">
        <f t="shared" si="26"/>
        <v>0.9851792752832319</v>
      </c>
      <c r="AW29" s="334">
        <f>(AR29-AD217)/$AO$2*12+AD217</f>
        <v>4596412660</v>
      </c>
      <c r="AX29" s="334">
        <f>(AS29-AG217)/$AO$2*12+AG217</f>
        <v>4596412660</v>
      </c>
      <c r="AY29" s="334">
        <f t="shared" si="27"/>
        <v>-69146975</v>
      </c>
      <c r="AZ29" s="335">
        <f t="shared" si="28"/>
        <v>69146975</v>
      </c>
      <c r="BA29" s="67"/>
      <c r="BB29" s="336"/>
      <c r="BC29" s="336"/>
      <c r="BD29" s="336"/>
      <c r="BE29" s="336"/>
      <c r="BF29" s="336"/>
      <c r="BG29" s="67"/>
      <c r="BH29" s="67"/>
      <c r="BI29" s="67"/>
      <c r="BJ29" s="67"/>
      <c r="BK29" s="67"/>
      <c r="BL29" s="101"/>
      <c r="BM29" s="759" t="s">
        <v>117</v>
      </c>
      <c r="BN29" s="340">
        <f>X234-X240</f>
        <v>38768439369</v>
      </c>
      <c r="BO29" s="340">
        <f>AA234-AA240</f>
        <v>22755317069</v>
      </c>
      <c r="BP29" s="340">
        <f>AD234-AD240</f>
        <v>22755317069</v>
      </c>
      <c r="BQ29" s="340">
        <f>AF234-AF240</f>
        <v>4885288892</v>
      </c>
    </row>
    <row r="30" spans="1:69" ht="24.75" customHeight="1">
      <c r="A30" s="202" t="str">
        <f>+IF(NOVIEMBRE!A30=0,"",NOVIEMBRE!A30)</f>
        <v>1130103-1-1</v>
      </c>
      <c r="B30" s="331" t="str">
        <f>+CONCATENATE("Vigencia ",INSTRUCCIONES!$F$3)</f>
        <v>Vigencia 2025</v>
      </c>
      <c r="C30" s="204">
        <f>+ENERO!C30</f>
        <v>0</v>
      </c>
      <c r="D30" s="205">
        <f>NOVIEMBRE!D30+DICIEMBRE!P30</f>
        <v>0</v>
      </c>
      <c r="E30" s="205">
        <f>NOVIEMBRE!E30+DICIEMBRE!Q30</f>
        <v>0</v>
      </c>
      <c r="F30" s="205">
        <f>SUM(C30:E30)</f>
        <v>0</v>
      </c>
      <c r="G30" s="205">
        <f>NOVIEMBRE!I30</f>
        <v>0</v>
      </c>
      <c r="H30" s="208">
        <v>0</v>
      </c>
      <c r="I30" s="680">
        <f>SUM(G30:H30)</f>
        <v>0</v>
      </c>
      <c r="J30" s="680">
        <f>NOVIEMBRE!L30</f>
        <v>0</v>
      </c>
      <c r="K30" s="208">
        <v>0</v>
      </c>
      <c r="L30" s="680">
        <f>SUM(J30:K30)</f>
        <v>0</v>
      </c>
      <c r="M30" s="205">
        <f>F30-I30</f>
        <v>0</v>
      </c>
      <c r="N30" s="206">
        <f>F30-L30</f>
        <v>0</v>
      </c>
      <c r="O30" s="101"/>
      <c r="P30" s="204">
        <v>0</v>
      </c>
      <c r="Q30" s="210">
        <v>0</v>
      </c>
      <c r="R30" s="101"/>
      <c r="S30" s="311" t="str">
        <f>+IF(NOVIEMBRE!S30=0,"",NOVIEMBRE!S30)</f>
        <v>2.1.1.01.03.001.03</v>
      </c>
      <c r="T30" s="312" t="str">
        <f>+IF(NOVIEMBRE!T30=0,"",NOVIEMBRE!T30)</f>
        <v>Bonificación Especial por Recreación</v>
      </c>
      <c r="U30" s="373">
        <f>+ENERO!U30</f>
        <v>36288061.666666657</v>
      </c>
      <c r="V30" s="220">
        <f>NOVIEMBRE!V30+DICIEMBRE!AL30</f>
        <v>0</v>
      </c>
      <c r="W30" s="220">
        <f>NOVIEMBRE!W30+DICIEMBRE!AM30</f>
        <v>0</v>
      </c>
      <c r="X30" s="271">
        <f t="shared" si="17"/>
        <v>36288061.666666657</v>
      </c>
      <c r="Y30" s="270">
        <f>NOVIEMBRE!AA30</f>
        <v>26161940</v>
      </c>
      <c r="Z30" s="1186">
        <v>3210948</v>
      </c>
      <c r="AA30" s="271">
        <f t="shared" si="18"/>
        <v>29372888</v>
      </c>
      <c r="AB30" s="270">
        <f>NOVIEMBRE!AD30</f>
        <v>26161940</v>
      </c>
      <c r="AC30" s="1186">
        <v>3210948</v>
      </c>
      <c r="AD30" s="271">
        <f t="shared" si="19"/>
        <v>29372888</v>
      </c>
      <c r="AE30" s="270">
        <f>NOVIEMBRE!AG30</f>
        <v>26141940</v>
      </c>
      <c r="AF30" s="1186">
        <v>3210948</v>
      </c>
      <c r="AG30" s="271">
        <f t="shared" si="20"/>
        <v>29352888</v>
      </c>
      <c r="AH30" s="270">
        <f t="shared" si="21"/>
        <v>6915173.6666666567</v>
      </c>
      <c r="AI30" s="220">
        <f t="shared" si="22"/>
        <v>6915173.6666666567</v>
      </c>
      <c r="AJ30" s="269">
        <f t="shared" si="23"/>
        <v>6935173.6666666567</v>
      </c>
      <c r="AK30" s="101"/>
      <c r="AL30" s="204"/>
      <c r="AM30" s="210">
        <v>0</v>
      </c>
      <c r="AN30" s="101"/>
      <c r="AO30" s="196" t="s">
        <v>92</v>
      </c>
      <c r="AP30" s="420" t="s">
        <v>188</v>
      </c>
      <c r="AQ30" s="205">
        <f>X219+X231</f>
        <v>40908396898</v>
      </c>
      <c r="AR30" s="205">
        <f>AD219+AD231</f>
        <v>24732603876</v>
      </c>
      <c r="AS30" s="205">
        <f>AG219+AG231</f>
        <v>21216150417</v>
      </c>
      <c r="AT30" s="338"/>
      <c r="AU30" s="205">
        <f t="shared" si="25"/>
        <v>0.60458501802619324</v>
      </c>
      <c r="AV30" s="205">
        <f t="shared" si="26"/>
        <v>0.51862580853265483</v>
      </c>
      <c r="AW30" s="205">
        <f>(AR30-AD224-AD229-AD240-AD255)/$AO$2*12+AD224+AD229+AD240+AD255</f>
        <v>24732603876</v>
      </c>
      <c r="AX30" s="205">
        <f>(AS30-AG224-AG229-AG240-AG255)/$AO$2*12+AG224+AG229+AG240+AG255</f>
        <v>21216150417</v>
      </c>
      <c r="AY30" s="205">
        <f t="shared" si="27"/>
        <v>-16175793022</v>
      </c>
      <c r="AZ30" s="206">
        <f t="shared" si="28"/>
        <v>19692246481</v>
      </c>
      <c r="BA30" s="67"/>
      <c r="BB30" s="336"/>
      <c r="BC30" s="336"/>
      <c r="BD30" s="336"/>
      <c r="BE30" s="336"/>
      <c r="BF30" s="336"/>
      <c r="BG30" s="67"/>
      <c r="BH30" s="67"/>
      <c r="BI30" s="67"/>
      <c r="BJ30" s="67"/>
      <c r="BK30" s="67"/>
      <c r="BL30" s="67"/>
      <c r="BM30" s="759" t="s">
        <v>122</v>
      </c>
      <c r="BN30" s="340">
        <f>X219-X229</f>
        <v>2139175000</v>
      </c>
      <c r="BO30" s="340">
        <f>AA219-AA229</f>
        <v>1977286807</v>
      </c>
      <c r="BP30" s="340">
        <f>AD219-AD229</f>
        <v>1977286807</v>
      </c>
      <c r="BQ30" s="340">
        <f>AF219-AF229</f>
        <v>268373453</v>
      </c>
    </row>
    <row r="31" spans="1:69" ht="24.75" customHeight="1">
      <c r="A31" s="202" t="str">
        <f>+IF(NOVIEMBRE!A31=0,"",NOVIEMBRE!A31)</f>
        <v>1130103-1-2</v>
      </c>
      <c r="B31" s="331" t="str">
        <f>+IF(NOVIEMBRE!B31=0,"",NOVIEMBRE!B31)</f>
        <v>Vigencia Anterior</v>
      </c>
      <c r="C31" s="204">
        <f>+ENERO!C31</f>
        <v>0</v>
      </c>
      <c r="D31" s="205">
        <f>NOVIEMBRE!D31+DICIEMBRE!P31</f>
        <v>0</v>
      </c>
      <c r="E31" s="205">
        <f>NOVIEMBRE!E31+DICIEMBRE!Q31</f>
        <v>0</v>
      </c>
      <c r="F31" s="205">
        <f>SUM(C31:E31)</f>
        <v>0</v>
      </c>
      <c r="G31" s="205">
        <f>NOVIEMBRE!I31</f>
        <v>0</v>
      </c>
      <c r="H31" s="208">
        <v>0</v>
      </c>
      <c r="I31" s="680">
        <f>SUM(G31:H31)</f>
        <v>0</v>
      </c>
      <c r="J31" s="680">
        <f>NOVIEMBRE!L31</f>
        <v>0</v>
      </c>
      <c r="K31" s="208">
        <v>0</v>
      </c>
      <c r="L31" s="680">
        <f>SUM(J31:K31)</f>
        <v>0</v>
      </c>
      <c r="M31" s="205">
        <f>F31-I31</f>
        <v>0</v>
      </c>
      <c r="N31" s="206">
        <f>F31-L31</f>
        <v>0</v>
      </c>
      <c r="O31" s="67"/>
      <c r="P31" s="204">
        <v>0</v>
      </c>
      <c r="Q31" s="210">
        <v>0</v>
      </c>
      <c r="R31" s="101"/>
      <c r="S31" s="311" t="str">
        <f>+IF(NOVIEMBRE!S31=0,"",NOVIEMBRE!S31)</f>
        <v>2.1.1.01.03.001.01</v>
      </c>
      <c r="T31" s="312" t="str">
        <f>+IF(NOVIEMBRE!T31=0,"",NOVIEMBRE!T31)</f>
        <v>Vacaciones</v>
      </c>
      <c r="U31" s="373">
        <f>+ENERO!U31</f>
        <v>272160462.5</v>
      </c>
      <c r="V31" s="220">
        <f>NOVIEMBRE!V31+DICIEMBRE!AL31</f>
        <v>80000000</v>
      </c>
      <c r="W31" s="220">
        <f>NOVIEMBRE!W31+DICIEMBRE!AM31</f>
        <v>0</v>
      </c>
      <c r="X31" s="271">
        <f t="shared" si="17"/>
        <v>352160462.5</v>
      </c>
      <c r="Y31" s="270">
        <f>NOVIEMBRE!AA31</f>
        <v>299206680</v>
      </c>
      <c r="Z31" s="1186">
        <v>39381412</v>
      </c>
      <c r="AA31" s="271">
        <f t="shared" si="18"/>
        <v>338588092</v>
      </c>
      <c r="AB31" s="270">
        <f>NOVIEMBRE!AD31</f>
        <v>299206680</v>
      </c>
      <c r="AC31" s="1186">
        <v>39381412</v>
      </c>
      <c r="AD31" s="271">
        <f t="shared" si="19"/>
        <v>338588092</v>
      </c>
      <c r="AE31" s="270">
        <f>NOVIEMBRE!AG31</f>
        <v>299206680</v>
      </c>
      <c r="AF31" s="1186">
        <v>39381412</v>
      </c>
      <c r="AG31" s="271">
        <f t="shared" si="20"/>
        <v>338588092</v>
      </c>
      <c r="AH31" s="270">
        <f t="shared" si="21"/>
        <v>13572370.5</v>
      </c>
      <c r="AI31" s="220">
        <f t="shared" si="22"/>
        <v>13572370.5</v>
      </c>
      <c r="AJ31" s="269">
        <f t="shared" si="23"/>
        <v>13572370.5</v>
      </c>
      <c r="AK31" s="101"/>
      <c r="AL31" s="204">
        <v>40000000</v>
      </c>
      <c r="AM31" s="210">
        <v>0</v>
      </c>
      <c r="AN31" s="101"/>
      <c r="AO31" s="156"/>
      <c r="AP31" s="303" t="s">
        <v>190</v>
      </c>
      <c r="AQ31" s="338">
        <f>X257</f>
        <v>0.30987548828125</v>
      </c>
      <c r="AR31" s="338">
        <f>AD257</f>
        <v>-41960490782</v>
      </c>
      <c r="AS31" s="338">
        <f>AG257</f>
        <v>-148577515988</v>
      </c>
      <c r="AT31" s="338"/>
      <c r="AU31" s="205">
        <f t="shared" si="25"/>
        <v>-135410809724.69727</v>
      </c>
      <c r="AV31" s="205">
        <f t="shared" si="26"/>
        <v>-479474891067.0459</v>
      </c>
      <c r="AW31" s="205">
        <f>AQ31</f>
        <v>0.30987548828125</v>
      </c>
      <c r="AX31" s="205">
        <f>AQ31</f>
        <v>0.30987548828125</v>
      </c>
      <c r="AY31" s="205">
        <f t="shared" si="27"/>
        <v>0</v>
      </c>
      <c r="AZ31" s="206">
        <f t="shared" si="28"/>
        <v>0</v>
      </c>
      <c r="BA31" s="67"/>
      <c r="BB31" s="67"/>
      <c r="BC31" s="67"/>
      <c r="BD31" s="67"/>
      <c r="BE31" s="67"/>
      <c r="BF31" s="67"/>
      <c r="BG31" s="67"/>
      <c r="BH31" s="67"/>
      <c r="BI31" s="67"/>
      <c r="BJ31" s="67"/>
      <c r="BK31" s="67"/>
      <c r="BL31" s="67"/>
      <c r="BM31" s="759" t="s">
        <v>191</v>
      </c>
      <c r="BN31" s="340">
        <f>X261</f>
        <v>27343386787.222057</v>
      </c>
      <c r="BO31" s="340">
        <f>AA261</f>
        <v>27178997387</v>
      </c>
      <c r="BP31" s="340">
        <f>AD261</f>
        <v>27178997387</v>
      </c>
      <c r="BQ31" s="340">
        <f>AF261</f>
        <v>0</v>
      </c>
    </row>
    <row r="32" spans="1:69" ht="24.75" customHeight="1" thickBot="1">
      <c r="A32" s="202" t="str">
        <f>+IF(NOVIEMBRE!A32=0,"",NOVIEMBRE!A32)</f>
        <v>1.1.02.05.001.09.02.15</v>
      </c>
      <c r="B32" s="345" t="str">
        <f>+IF(NOVIEMBRE!B32=0,"",NOVIEMBRE!B32)</f>
        <v>Prestación de Servicios de salud  2o. Nivel</v>
      </c>
      <c r="C32" s="270">
        <f t="shared" ref="C32:N32" si="32">SUM(C33:C34)</f>
        <v>1850957800</v>
      </c>
      <c r="D32" s="220">
        <f t="shared" si="32"/>
        <v>0</v>
      </c>
      <c r="E32" s="220">
        <f t="shared" si="32"/>
        <v>0</v>
      </c>
      <c r="F32" s="220">
        <f t="shared" si="32"/>
        <v>1850957800</v>
      </c>
      <c r="G32" s="220">
        <f t="shared" si="32"/>
        <v>1930872355</v>
      </c>
      <c r="H32" s="220">
        <f t="shared" si="32"/>
        <v>157112940</v>
      </c>
      <c r="I32" s="651">
        <f t="shared" si="32"/>
        <v>2087985295</v>
      </c>
      <c r="J32" s="651">
        <f t="shared" si="32"/>
        <v>1640150826</v>
      </c>
      <c r="K32" s="220">
        <f t="shared" si="32"/>
        <v>93125586</v>
      </c>
      <c r="L32" s="651">
        <f t="shared" si="32"/>
        <v>1733276412</v>
      </c>
      <c r="M32" s="220">
        <f t="shared" si="32"/>
        <v>-237027495</v>
      </c>
      <c r="N32" s="269">
        <f t="shared" si="32"/>
        <v>117681388</v>
      </c>
      <c r="O32" s="67"/>
      <c r="P32" s="346">
        <f>SUM(P33:P34)</f>
        <v>0</v>
      </c>
      <c r="Q32" s="347">
        <f>SUM(Q33:Q34)</f>
        <v>0</v>
      </c>
      <c r="R32" s="101"/>
      <c r="S32" s="311" t="str">
        <f>+IF(NOVIEMBRE!S32=0,"",NOVIEMBRE!S32)</f>
        <v>1010104-12</v>
      </c>
      <c r="T32" s="312" t="str">
        <f>+IF(NOVIEMBRE!T32=0,"",NOVIEMBRE!T32)</f>
        <v/>
      </c>
      <c r="U32" s="373">
        <f>+ENERO!U32</f>
        <v>0</v>
      </c>
      <c r="V32" s="220">
        <f>NOVIEMBRE!V32+DICIEMBRE!AL32</f>
        <v>0</v>
      </c>
      <c r="W32" s="220">
        <f>NOVIEMBRE!W32+DICIEMBRE!AM32</f>
        <v>0</v>
      </c>
      <c r="X32" s="271">
        <f t="shared" si="17"/>
        <v>0</v>
      </c>
      <c r="Y32" s="270">
        <f>NOVIEMBRE!AA32</f>
        <v>0</v>
      </c>
      <c r="Z32" s="208"/>
      <c r="AA32" s="271">
        <f t="shared" si="18"/>
        <v>0</v>
      </c>
      <c r="AB32" s="270">
        <f>NOVIEMBRE!AD32</f>
        <v>0</v>
      </c>
      <c r="AC32" s="208"/>
      <c r="AD32" s="271">
        <f t="shared" si="19"/>
        <v>0</v>
      </c>
      <c r="AE32" s="270">
        <f>NOVIEMBRE!AG32</f>
        <v>0</v>
      </c>
      <c r="AF32" s="208"/>
      <c r="AG32" s="271">
        <f t="shared" si="20"/>
        <v>0</v>
      </c>
      <c r="AH32" s="270">
        <f t="shared" si="21"/>
        <v>0</v>
      </c>
      <c r="AI32" s="220">
        <f t="shared" si="22"/>
        <v>0</v>
      </c>
      <c r="AJ32" s="269">
        <f t="shared" si="23"/>
        <v>0</v>
      </c>
      <c r="AK32" s="101"/>
      <c r="AL32" s="204"/>
      <c r="AM32" s="210">
        <v>0</v>
      </c>
      <c r="AN32" s="101"/>
      <c r="AO32" s="108"/>
      <c r="AP32" s="540" t="s">
        <v>194</v>
      </c>
      <c r="AQ32" s="260">
        <f>SUM(AQ22:AQ31)</f>
        <v>224729939113.47656</v>
      </c>
      <c r="AR32" s="260">
        <f>SUM(AR22:AR31)</f>
        <v>155229515492</v>
      </c>
      <c r="AS32" s="260">
        <f>SUM(AS22:AS31)</f>
        <v>-18261571</v>
      </c>
      <c r="AT32" s="349"/>
      <c r="AU32" s="350">
        <f t="shared" si="25"/>
        <v>0.69073803029696645</v>
      </c>
      <c r="AV32" s="350">
        <f t="shared" si="26"/>
        <v>-8.1260071853527649E-5</v>
      </c>
      <c r="AW32" s="158">
        <f>SUM(AW22:AW31)</f>
        <v>197371810218.68488</v>
      </c>
      <c r="AX32" s="158">
        <f>SUM(AX22:AX31)</f>
        <v>148741058361.68488</v>
      </c>
      <c r="AY32" s="158">
        <f>SUM(AY22:AY31)</f>
        <v>-27358128894.791664</v>
      </c>
      <c r="AZ32" s="159">
        <f>SUM(AZ22:AZ31)</f>
        <v>75988880751.791656</v>
      </c>
      <c r="BA32" s="67"/>
      <c r="BB32" s="336"/>
      <c r="BC32" s="336"/>
      <c r="BD32" s="336"/>
      <c r="BE32" s="336"/>
      <c r="BF32" s="336"/>
      <c r="BG32" s="67"/>
      <c r="BH32" s="67"/>
      <c r="BI32" s="67"/>
      <c r="BJ32" s="67"/>
      <c r="BK32" s="67"/>
      <c r="BL32" s="101"/>
      <c r="BM32" s="759" t="s">
        <v>195</v>
      </c>
      <c r="BN32" s="340">
        <f>+BN7+BN25+BN29+BN30+BN31</f>
        <v>224749939113.16669</v>
      </c>
      <c r="BO32" s="340">
        <f>+BO7+BO25+BO29+BO30+BO31</f>
        <v>197208267845</v>
      </c>
      <c r="BP32" s="340">
        <f>+BP7+BP25+BP29+BP30+BP31</f>
        <v>197208267845</v>
      </c>
      <c r="BQ32" s="760">
        <f>+BQ7+BQ25+BQ29+BQ30+BQ31</f>
        <v>16841223261.5</v>
      </c>
    </row>
    <row r="33" spans="1:69" ht="24.75" customHeight="1" thickBot="1">
      <c r="A33" s="202" t="str">
        <f>+IF(NOVIEMBRE!A33=0,"",NOVIEMBRE!A33)</f>
        <v>1.1.02.05.001.09.02.15</v>
      </c>
      <c r="B33" s="331" t="str">
        <f>+CONCATENATE("Vigencia ",INSTRUCCIONES!$F$3)</f>
        <v>Vigencia 2025</v>
      </c>
      <c r="C33" s="204">
        <f>+ENERO!C33</f>
        <v>1140706891</v>
      </c>
      <c r="D33" s="205">
        <f>NOVIEMBRE!D33+DICIEMBRE!P33</f>
        <v>0</v>
      </c>
      <c r="E33" s="205">
        <f>NOVIEMBRE!E33+DICIEMBRE!Q33</f>
        <v>0</v>
      </c>
      <c r="F33" s="205">
        <f>SUM(C33:E33)</f>
        <v>1140706891</v>
      </c>
      <c r="G33" s="205">
        <f>NOVIEMBRE!I33</f>
        <v>1640865372</v>
      </c>
      <c r="H33" s="208">
        <f>156605926+507014</f>
        <v>157112940</v>
      </c>
      <c r="I33" s="680">
        <f>SUM(G33:H33)</f>
        <v>1797978312</v>
      </c>
      <c r="J33" s="680">
        <f>NOVIEMBRE!L33</f>
        <v>1350143843</v>
      </c>
      <c r="K33" s="208">
        <f>93044186+81400</f>
        <v>93125586</v>
      </c>
      <c r="L33" s="680">
        <f>SUM(J33:K33)</f>
        <v>1443269429</v>
      </c>
      <c r="M33" s="205">
        <f>F33-I33</f>
        <v>-657271421</v>
      </c>
      <c r="N33" s="206">
        <f>F33-L33</f>
        <v>-302562538</v>
      </c>
      <c r="O33" s="101"/>
      <c r="P33" s="204">
        <v>0</v>
      </c>
      <c r="Q33" s="210">
        <v>0</v>
      </c>
      <c r="R33" s="101"/>
      <c r="S33" s="266">
        <f>+IF(NOVIEMBRE!S33=0,"",NOVIEMBRE!S33)</f>
        <v>1010199</v>
      </c>
      <c r="T33" s="267" t="str">
        <f>+IF(NOVIEMBRE!T33=0,"",NOVIEMBRE!T33)</f>
        <v>Vigencias Anteriores</v>
      </c>
      <c r="U33" s="373">
        <f>+ENERO!U33</f>
        <v>0</v>
      </c>
      <c r="V33" s="220">
        <f>NOVIEMBRE!V33+DICIEMBRE!AL33</f>
        <v>0</v>
      </c>
      <c r="W33" s="220">
        <f>NOVIEMBRE!W33+DICIEMBRE!AM33</f>
        <v>0</v>
      </c>
      <c r="X33" s="271">
        <f t="shared" si="17"/>
        <v>0</v>
      </c>
      <c r="Y33" s="270">
        <f>NOVIEMBRE!AA33</f>
        <v>0</v>
      </c>
      <c r="Z33" s="208"/>
      <c r="AA33" s="271">
        <f t="shared" si="18"/>
        <v>0</v>
      </c>
      <c r="AB33" s="270">
        <f>NOVIEMBRE!AD33</f>
        <v>0</v>
      </c>
      <c r="AC33" s="208"/>
      <c r="AD33" s="271">
        <f t="shared" si="19"/>
        <v>0</v>
      </c>
      <c r="AE33" s="270">
        <f>NOVIEMBRE!AG33</f>
        <v>0</v>
      </c>
      <c r="AF33" s="208"/>
      <c r="AG33" s="271">
        <f t="shared" si="20"/>
        <v>0</v>
      </c>
      <c r="AH33" s="270">
        <f t="shared" si="21"/>
        <v>0</v>
      </c>
      <c r="AI33" s="220">
        <f t="shared" si="22"/>
        <v>0</v>
      </c>
      <c r="AJ33" s="269">
        <f t="shared" si="23"/>
        <v>0</v>
      </c>
      <c r="AK33" s="101">
        <f>+AK34-SEPTIEMBRE!AK34</f>
        <v>10665556462</v>
      </c>
      <c r="AL33" s="204"/>
      <c r="AM33" s="210">
        <v>0</v>
      </c>
      <c r="AN33" s="101"/>
      <c r="AO33" s="156"/>
      <c r="AP33" s="351"/>
      <c r="AQ33" s="352">
        <f>IF((AQ32-X8)&lt;&gt;0,(AQ32-X8),"")</f>
        <v>-19999999.690093994</v>
      </c>
      <c r="AR33" s="352"/>
      <c r="AS33" s="352"/>
      <c r="AT33" s="352"/>
      <c r="AU33" s="353"/>
      <c r="AV33" s="325"/>
      <c r="AW33" s="323"/>
      <c r="AX33" s="323"/>
      <c r="AY33" s="323"/>
      <c r="AZ33" s="326"/>
      <c r="BA33" s="67"/>
      <c r="BB33" s="336"/>
      <c r="BC33" s="336"/>
      <c r="BD33" s="336"/>
      <c r="BE33" s="336"/>
      <c r="BF33" s="336"/>
      <c r="BG33" s="67"/>
      <c r="BH33" s="67"/>
      <c r="BI33" s="67"/>
      <c r="BJ33" s="67"/>
      <c r="BK33" s="67"/>
      <c r="BL33" s="67"/>
      <c r="BM33" s="761" t="s">
        <v>197</v>
      </c>
      <c r="BN33" s="762">
        <f>X258</f>
        <v>0</v>
      </c>
      <c r="BO33" s="763">
        <f>AA258</f>
        <v>0</v>
      </c>
      <c r="BP33" s="763">
        <f>AD258</f>
        <v>0</v>
      </c>
      <c r="BQ33" s="764">
        <f>AF258</f>
        <v>0</v>
      </c>
    </row>
    <row r="34" spans="1:69" ht="24.75" customHeight="1" thickBot="1">
      <c r="A34" s="202" t="str">
        <f>+IF(NOVIEMBRE!A34=0,"",NOVIEMBRE!A34)</f>
        <v>1.1.02.05.001.09.02.15.99</v>
      </c>
      <c r="B34" s="331" t="str">
        <f>+IF(NOVIEMBRE!B34=0,"",NOVIEMBRE!B34)</f>
        <v>Vigencia Anterior</v>
      </c>
      <c r="C34" s="204">
        <f>+ENERO!C34</f>
        <v>710250909</v>
      </c>
      <c r="D34" s="205">
        <f>NOVIEMBRE!D34+DICIEMBRE!P34</f>
        <v>0</v>
      </c>
      <c r="E34" s="205">
        <f>NOVIEMBRE!E34+DICIEMBRE!Q34</f>
        <v>0</v>
      </c>
      <c r="F34" s="205">
        <f>SUM(C34:E34)</f>
        <v>710250909</v>
      </c>
      <c r="G34" s="205">
        <f>NOVIEMBRE!I34</f>
        <v>290006983</v>
      </c>
      <c r="H34" s="208">
        <v>0</v>
      </c>
      <c r="I34" s="680">
        <f>SUM(G34:H34)</f>
        <v>290006983</v>
      </c>
      <c r="J34" s="680">
        <f>NOVIEMBRE!L34</f>
        <v>290006983</v>
      </c>
      <c r="K34" s="208">
        <v>0</v>
      </c>
      <c r="L34" s="680">
        <f>SUM(J34:K34)</f>
        <v>290006983</v>
      </c>
      <c r="M34" s="205">
        <f>F34-I34</f>
        <v>420243926</v>
      </c>
      <c r="N34" s="206">
        <f>F34-L34</f>
        <v>420243926</v>
      </c>
      <c r="O34" s="67"/>
      <c r="P34" s="204">
        <v>0</v>
      </c>
      <c r="Q34" s="210">
        <v>0</v>
      </c>
      <c r="R34" s="101"/>
      <c r="S34" s="189" t="str">
        <f>+IF(NOVIEMBRE!S34=0,"",NOVIEMBRE!S34)</f>
        <v/>
      </c>
      <c r="T34" s="488" t="str">
        <f>+IF(NOVIEMBRE!T34=0,"",NOVIEMBRE!T34)</f>
        <v/>
      </c>
      <c r="U34" s="191"/>
      <c r="V34" s="191"/>
      <c r="W34" s="191"/>
      <c r="X34" s="191"/>
      <c r="Y34" s="191"/>
      <c r="Z34" s="191"/>
      <c r="AA34" s="191"/>
      <c r="AB34" s="191"/>
      <c r="AC34" s="191"/>
      <c r="AD34" s="191"/>
      <c r="AE34" s="191"/>
      <c r="AF34" s="191"/>
      <c r="AG34" s="191"/>
      <c r="AH34" s="191"/>
      <c r="AI34" s="191"/>
      <c r="AJ34" s="192"/>
      <c r="AK34" s="101">
        <f>SUM(AK36:AK87)</f>
        <v>72536233488</v>
      </c>
      <c r="AL34" s="249"/>
      <c r="AM34" s="250"/>
      <c r="AN34" s="101"/>
      <c r="AO34" s="156"/>
      <c r="AP34" s="354"/>
      <c r="AQ34" s="101"/>
      <c r="AR34" s="101"/>
      <c r="AS34" s="101" t="s">
        <v>198</v>
      </c>
      <c r="AT34" s="101"/>
      <c r="AU34" s="355" t="s">
        <v>199</v>
      </c>
      <c r="AV34" s="356" t="s">
        <v>200</v>
      </c>
      <c r="AW34" s="243" t="s">
        <v>198</v>
      </c>
      <c r="AX34" s="357"/>
      <c r="AY34" s="243" t="s">
        <v>201</v>
      </c>
      <c r="AZ34" s="244" t="s">
        <v>202</v>
      </c>
      <c r="BA34" s="67"/>
      <c r="BB34" s="67"/>
      <c r="BC34" s="67"/>
      <c r="BD34" s="67"/>
      <c r="BE34" s="67"/>
      <c r="BF34" s="67"/>
      <c r="BG34" s="67"/>
      <c r="BH34" s="67"/>
      <c r="BI34" s="67"/>
      <c r="BJ34" s="67"/>
      <c r="BK34" s="67"/>
      <c r="BL34" s="67"/>
      <c r="BM34" s="101"/>
      <c r="BN34" s="101"/>
      <c r="BO34" s="101"/>
      <c r="BP34" s="101"/>
      <c r="BQ34" s="101"/>
    </row>
    <row r="35" spans="1:69" s="1210" customFormat="1" ht="24.75" customHeight="1" thickBot="1">
      <c r="A35" s="202" t="str">
        <f>+IF(NOVIEMBRE!A35=0,"",NOVIEMBRE!A35)</f>
        <v>1130103-3</v>
      </c>
      <c r="B35" s="331" t="str">
        <f>+IF(NOVIEMBRE!B35=0,"",NOVIEMBRE!B35)</f>
        <v>Prestación de Servicios de salud  3o. Nivel</v>
      </c>
      <c r="C35" s="204">
        <f t="shared" ref="C35:N35" si="33">SUM(C36:C37)</f>
        <v>0</v>
      </c>
      <c r="D35" s="205">
        <f t="shared" si="33"/>
        <v>0</v>
      </c>
      <c r="E35" s="205">
        <f t="shared" si="33"/>
        <v>0</v>
      </c>
      <c r="F35" s="205">
        <f t="shared" si="33"/>
        <v>0</v>
      </c>
      <c r="G35" s="205">
        <f t="shared" si="33"/>
        <v>0</v>
      </c>
      <c r="H35" s="208">
        <f t="shared" si="33"/>
        <v>0</v>
      </c>
      <c r="I35" s="205">
        <f t="shared" si="33"/>
        <v>0</v>
      </c>
      <c r="J35" s="205">
        <f t="shared" si="33"/>
        <v>0</v>
      </c>
      <c r="K35" s="208">
        <f t="shared" si="33"/>
        <v>0</v>
      </c>
      <c r="L35" s="205">
        <f t="shared" si="33"/>
        <v>0</v>
      </c>
      <c r="M35" s="205">
        <f t="shared" si="33"/>
        <v>0</v>
      </c>
      <c r="N35" s="205">
        <f t="shared" si="33"/>
        <v>0</v>
      </c>
      <c r="O35" s="1208"/>
      <c r="P35" s="1211">
        <f>SUM(P36:P37)</f>
        <v>0</v>
      </c>
      <c r="Q35" s="1212">
        <f>SUM(Q36:Q37)</f>
        <v>0</v>
      </c>
      <c r="R35" s="1195"/>
      <c r="S35" s="1213" t="str">
        <f>+IF(NOVIEMBRE!S35=0,"",NOVIEMBRE!S35)</f>
        <v>2.1.2.02.02.008</v>
      </c>
      <c r="T35" s="1214" t="str">
        <f>+IF(NOVIEMBRE!T35=0,"",NOVIEMBRE!T35)</f>
        <v>Servicios Personales Indirectos</v>
      </c>
      <c r="U35" s="1215">
        <f t="shared" ref="U35:AJ35" si="34">SUM(U36:U41)</f>
        <v>12514508007</v>
      </c>
      <c r="V35" s="1216">
        <f t="shared" si="34"/>
        <v>5614000000</v>
      </c>
      <c r="W35" s="1216">
        <f t="shared" si="34"/>
        <v>865000000</v>
      </c>
      <c r="X35" s="1217">
        <f t="shared" si="34"/>
        <v>18993508007</v>
      </c>
      <c r="Y35" s="1218">
        <f t="shared" si="34"/>
        <v>18976280363</v>
      </c>
      <c r="Z35" s="1216">
        <f t="shared" si="34"/>
        <v>-437546348</v>
      </c>
      <c r="AA35" s="1217">
        <f t="shared" si="34"/>
        <v>18538734015</v>
      </c>
      <c r="AB35" s="1218">
        <f t="shared" si="34"/>
        <v>17210191853</v>
      </c>
      <c r="AC35" s="1216">
        <f t="shared" si="34"/>
        <v>1328542162</v>
      </c>
      <c r="AD35" s="1217">
        <f t="shared" si="34"/>
        <v>18538734015</v>
      </c>
      <c r="AE35" s="1218">
        <f t="shared" si="34"/>
        <v>12523577519</v>
      </c>
      <c r="AF35" s="1216">
        <f t="shared" si="34"/>
        <v>1389601157</v>
      </c>
      <c r="AG35" s="1217">
        <f t="shared" si="34"/>
        <v>13913178676</v>
      </c>
      <c r="AH35" s="1218">
        <f t="shared" si="34"/>
        <v>454773992</v>
      </c>
      <c r="AI35" s="1216">
        <f t="shared" si="34"/>
        <v>454773992</v>
      </c>
      <c r="AJ35" s="1219">
        <f t="shared" si="34"/>
        <v>5080329331</v>
      </c>
      <c r="AK35" s="1195"/>
      <c r="AL35" s="1218">
        <f>SUM(AL36:AL41)</f>
        <v>0</v>
      </c>
      <c r="AM35" s="1219">
        <f>SUM(AM36:AM41)</f>
        <v>0</v>
      </c>
      <c r="AN35" s="1195">
        <f>+AK35-SEPTIEMBRE!AK35</f>
        <v>0</v>
      </c>
      <c r="AO35" s="1220"/>
      <c r="AP35" s="1221"/>
      <c r="AQ35" s="1222"/>
      <c r="AR35" s="1223"/>
      <c r="AS35" s="1223"/>
      <c r="AT35" s="1223"/>
      <c r="AU35" s="1224">
        <f>AR17-AR32</f>
        <v>84788402905</v>
      </c>
      <c r="AV35" s="1225">
        <f>AS17-AR32</f>
        <v>18261571</v>
      </c>
      <c r="AW35" s="1486" t="s">
        <v>205</v>
      </c>
      <c r="AX35" s="1487"/>
      <c r="AY35" s="1225">
        <f>AY17+AY32</f>
        <v>10278417078.731812</v>
      </c>
      <c r="AZ35" s="1226">
        <f>AZ17+AY32</f>
        <v>-79246394414.268188</v>
      </c>
      <c r="BA35" s="1208"/>
      <c r="BB35" s="1209"/>
      <c r="BC35" s="1209"/>
      <c r="BD35" s="1209"/>
      <c r="BE35" s="1209"/>
      <c r="BF35" s="1209"/>
      <c r="BG35" s="1208"/>
      <c r="BH35" s="1208"/>
      <c r="BI35" s="1208"/>
      <c r="BJ35" s="1208"/>
      <c r="BK35" s="1208"/>
      <c r="BL35" s="1208"/>
      <c r="BM35" s="1208"/>
      <c r="BN35" s="1208"/>
      <c r="BO35" s="1208"/>
      <c r="BP35" s="1208"/>
      <c r="BQ35" s="1208"/>
    </row>
    <row r="36" spans="1:69" s="1210" customFormat="1" ht="24.75" customHeight="1" thickBot="1">
      <c r="A36" s="202" t="str">
        <f>+IF(NOVIEMBRE!A36=0,"",NOVIEMBRE!A36)</f>
        <v>1130103-3-1</v>
      </c>
      <c r="B36" s="331" t="str">
        <f>+CONCATENATE("Vigencia ",INSTRUCCIONES!$F$3)</f>
        <v>Vigencia 2025</v>
      </c>
      <c r="C36" s="204">
        <f>+ENERO!C36</f>
        <v>0</v>
      </c>
      <c r="D36" s="205">
        <f>NOVIEMBRE!D36+DICIEMBRE!P36</f>
        <v>0</v>
      </c>
      <c r="E36" s="205">
        <f>NOVIEMBRE!E36+DICIEMBRE!Q36</f>
        <v>0</v>
      </c>
      <c r="F36" s="205">
        <f t="shared" ref="F36:F41" si="35">SUM(C36:E36)</f>
        <v>0</v>
      </c>
      <c r="G36" s="205">
        <f>NOVIEMBRE!I36</f>
        <v>0</v>
      </c>
      <c r="H36" s="208">
        <v>0</v>
      </c>
      <c r="I36" s="205">
        <f t="shared" ref="I36:I41" si="36">SUM(G36:H36)</f>
        <v>0</v>
      </c>
      <c r="J36" s="205">
        <f>NOVIEMBRE!L36</f>
        <v>0</v>
      </c>
      <c r="K36" s="208">
        <v>0</v>
      </c>
      <c r="L36" s="205">
        <f t="shared" ref="L36:L41" si="37">SUM(J36:K36)</f>
        <v>0</v>
      </c>
      <c r="M36" s="205">
        <f t="shared" ref="M36:M41" si="38">F36-I36</f>
        <v>0</v>
      </c>
      <c r="N36" s="205">
        <f t="shared" ref="N36:N41" si="39">F36-L36</f>
        <v>0</v>
      </c>
      <c r="O36" s="1195"/>
      <c r="P36" s="1193">
        <v>0</v>
      </c>
      <c r="Q36" s="1196">
        <v>0</v>
      </c>
      <c r="R36" s="1195"/>
      <c r="S36" s="1197" t="str">
        <f>+IF(NOVIEMBRE!S36=0,"",NOVIEMBRE!S36)</f>
        <v>2.1.2.02.02.008.802</v>
      </c>
      <c r="T36" s="1198" t="str">
        <f>+IF(NOVIEMBRE!T36=0,"",NOVIEMBRE!T36)</f>
        <v>Servicios Personales Administrativos (Contador, Abogado, otros)</v>
      </c>
      <c r="U36" s="1199">
        <f>+ENERO!U36</f>
        <v>771615965</v>
      </c>
      <c r="V36" s="1200">
        <f>NOVIEMBRE!V36+DICIEMBRE!AL36</f>
        <v>390000000</v>
      </c>
      <c r="W36" s="1200">
        <f>NOVIEMBRE!W36+DICIEMBRE!AM36</f>
        <v>0</v>
      </c>
      <c r="X36" s="1201">
        <f t="shared" ref="X36:X41" si="40">SUM(U36:W36)</f>
        <v>1161615965</v>
      </c>
      <c r="Y36" s="1202">
        <f>NOVIEMBRE!AA36</f>
        <v>1155557020</v>
      </c>
      <c r="Z36" s="1203">
        <v>-243336898</v>
      </c>
      <c r="AA36" s="1201">
        <f t="shared" ref="AA36:AA41" si="41">SUM(Y36:Z36)</f>
        <v>912220122</v>
      </c>
      <c r="AB36" s="1202">
        <f>NOVIEMBRE!AD36</f>
        <v>873251867</v>
      </c>
      <c r="AC36" s="1203">
        <v>38968255</v>
      </c>
      <c r="AD36" s="1201">
        <f t="shared" ref="AD36:AD41" si="42">SUM(AB36:AC36)</f>
        <v>912220122</v>
      </c>
      <c r="AE36" s="1202">
        <f>NOVIEMBRE!AG36</f>
        <v>485646722</v>
      </c>
      <c r="AF36" s="1203">
        <v>88264699</v>
      </c>
      <c r="AG36" s="1201">
        <f t="shared" ref="AG36:AG41" si="43">SUM(AE36:AF36)</f>
        <v>573911421</v>
      </c>
      <c r="AH36" s="1202">
        <f t="shared" ref="AH36:AH41" si="44">X36-AA36</f>
        <v>249395843</v>
      </c>
      <c r="AI36" s="1200">
        <f t="shared" ref="AI36:AI41" si="45">X36-AD36</f>
        <v>249395843</v>
      </c>
      <c r="AJ36" s="1204">
        <f t="shared" ref="AJ36:AJ41" si="46">X36-AG36</f>
        <v>587704544</v>
      </c>
      <c r="AK36" s="1195">
        <f t="shared" ref="AK36:AK40" si="47">+AA36</f>
        <v>912220122</v>
      </c>
      <c r="AL36" s="1193"/>
      <c r="AM36" s="1196">
        <v>0</v>
      </c>
      <c r="AN36" s="1195">
        <f>+AK36-SEPTIEMBRE!AK36</f>
        <v>-209056898</v>
      </c>
      <c r="AO36" s="1205"/>
      <c r="AP36" s="1206"/>
      <c r="AQ36" s="1206"/>
      <c r="AR36" s="1206"/>
      <c r="AS36" s="1206"/>
      <c r="AT36" s="1206"/>
      <c r="AU36" s="1206"/>
      <c r="AV36" s="1206"/>
      <c r="AW36" s="1206"/>
      <c r="AX36" s="1206"/>
      <c r="AY36" s="1206"/>
      <c r="AZ36" s="1207"/>
      <c r="BA36" s="1208"/>
      <c r="BB36" s="1209"/>
      <c r="BC36" s="1209"/>
      <c r="BD36" s="1209"/>
      <c r="BE36" s="1209"/>
      <c r="BF36" s="1209"/>
      <c r="BG36" s="1208"/>
      <c r="BH36" s="1208"/>
      <c r="BI36" s="1208"/>
      <c r="BJ36" s="1208"/>
      <c r="BK36" s="1208"/>
      <c r="BL36" s="1208"/>
      <c r="BM36" s="1208"/>
      <c r="BN36" s="1208"/>
      <c r="BO36" s="1208"/>
      <c r="BP36" s="1208"/>
      <c r="BQ36" s="1208"/>
    </row>
    <row r="37" spans="1:69" ht="24.75" customHeight="1">
      <c r="A37" s="202" t="str">
        <f>+IF(NOVIEMBRE!A37=0,"",NOVIEMBRE!A37)</f>
        <v>1130103-3-2</v>
      </c>
      <c r="B37" s="331" t="str">
        <f>+IF(NOVIEMBRE!B37=0,"",NOVIEMBRE!B37)</f>
        <v>Vigencia Anterior</v>
      </c>
      <c r="C37" s="204">
        <f>+ENERO!C37</f>
        <v>0</v>
      </c>
      <c r="D37" s="205">
        <f>NOVIEMBRE!D37+DICIEMBRE!P37</f>
        <v>0</v>
      </c>
      <c r="E37" s="205">
        <f>NOVIEMBRE!E37+DICIEMBRE!Q37</f>
        <v>0</v>
      </c>
      <c r="F37" s="205">
        <f t="shared" si="35"/>
        <v>0</v>
      </c>
      <c r="G37" s="205">
        <f>NOVIEMBRE!I37</f>
        <v>0</v>
      </c>
      <c r="H37" s="208">
        <v>0</v>
      </c>
      <c r="I37" s="680">
        <f t="shared" si="36"/>
        <v>0</v>
      </c>
      <c r="J37" s="680">
        <f>NOVIEMBRE!L37</f>
        <v>0</v>
      </c>
      <c r="K37" s="208">
        <v>0</v>
      </c>
      <c r="L37" s="680">
        <f t="shared" si="37"/>
        <v>0</v>
      </c>
      <c r="M37" s="205">
        <f t="shared" si="38"/>
        <v>0</v>
      </c>
      <c r="N37" s="206">
        <f t="shared" si="39"/>
        <v>0</v>
      </c>
      <c r="O37" s="67"/>
      <c r="P37" s="204">
        <v>0</v>
      </c>
      <c r="Q37" s="210">
        <v>0</v>
      </c>
      <c r="R37" s="101"/>
      <c r="S37" s="266" t="str">
        <f>+IF(NOVIEMBRE!S37=0,"",NOVIEMBRE!S37)</f>
        <v>1010200-2</v>
      </c>
      <c r="T37" s="267" t="str">
        <f>+IF(NOVIEMBRE!T37=0,"",NOVIEMBRE!T37)</f>
        <v>Personal Supernumerario</v>
      </c>
      <c r="U37" s="373">
        <f>+ENERO!U37</f>
        <v>0</v>
      </c>
      <c r="V37" s="220">
        <f>NOVIEMBRE!V37+DICIEMBRE!AL37</f>
        <v>0</v>
      </c>
      <c r="W37" s="220">
        <f>NOVIEMBRE!W37+DICIEMBRE!AM37</f>
        <v>0</v>
      </c>
      <c r="X37" s="271">
        <f t="shared" si="40"/>
        <v>0</v>
      </c>
      <c r="Y37" s="270">
        <f>NOVIEMBRE!AA37</f>
        <v>0</v>
      </c>
      <c r="Z37" s="208"/>
      <c r="AA37" s="271">
        <f t="shared" si="41"/>
        <v>0</v>
      </c>
      <c r="AB37" s="270">
        <f>NOVIEMBRE!AD37</f>
        <v>0</v>
      </c>
      <c r="AC37" s="208"/>
      <c r="AD37" s="271">
        <f t="shared" si="42"/>
        <v>0</v>
      </c>
      <c r="AE37" s="270">
        <f>NOVIEMBRE!AG37</f>
        <v>0</v>
      </c>
      <c r="AF37" s="208"/>
      <c r="AG37" s="271">
        <f t="shared" si="43"/>
        <v>0</v>
      </c>
      <c r="AH37" s="270">
        <f t="shared" si="44"/>
        <v>0</v>
      </c>
      <c r="AI37" s="220">
        <f t="shared" si="45"/>
        <v>0</v>
      </c>
      <c r="AJ37" s="269">
        <f t="shared" si="46"/>
        <v>0</v>
      </c>
      <c r="AK37" s="1195">
        <f t="shared" si="47"/>
        <v>0</v>
      </c>
      <c r="AL37" s="204"/>
      <c r="AM37" s="210">
        <v>0</v>
      </c>
      <c r="AN37" s="1195">
        <f>+AK37-SEPTIEMBRE!AK37</f>
        <v>0</v>
      </c>
      <c r="AO37" s="366" t="s">
        <v>209</v>
      </c>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row>
    <row r="38" spans="1:69" ht="24.75" customHeight="1">
      <c r="A38" s="367" t="str">
        <f>+IF(NOVIEMBRE!A38=0,"",NOVIEMBRE!A38)</f>
        <v>1130103-4</v>
      </c>
      <c r="B38" s="368" t="str">
        <f>+IF(NOVIEMBRE!B38=0,"",NOVIEMBRE!B38)</f>
        <v xml:space="preserve"> Aportes Patronales  1o. Nivel</v>
      </c>
      <c r="C38" s="204">
        <f>+ENERO!C38</f>
        <v>0</v>
      </c>
      <c r="D38" s="205">
        <f>NOVIEMBRE!D38+DICIEMBRE!P38</f>
        <v>0</v>
      </c>
      <c r="E38" s="205">
        <f>NOVIEMBRE!E38+DICIEMBRE!Q38</f>
        <v>0</v>
      </c>
      <c r="F38" s="205">
        <f t="shared" si="35"/>
        <v>0</v>
      </c>
      <c r="G38" s="205">
        <f>NOVIEMBRE!I38</f>
        <v>0</v>
      </c>
      <c r="H38" s="208">
        <v>0</v>
      </c>
      <c r="I38" s="680">
        <f t="shared" si="36"/>
        <v>0</v>
      </c>
      <c r="J38" s="680">
        <f>NOVIEMBRE!L38</f>
        <v>0</v>
      </c>
      <c r="K38" s="208">
        <v>0</v>
      </c>
      <c r="L38" s="680">
        <f t="shared" si="37"/>
        <v>0</v>
      </c>
      <c r="M38" s="205">
        <f t="shared" si="38"/>
        <v>0</v>
      </c>
      <c r="N38" s="206">
        <f t="shared" si="39"/>
        <v>0</v>
      </c>
      <c r="O38" s="369"/>
      <c r="P38" s="204">
        <v>0</v>
      </c>
      <c r="Q38" s="210">
        <v>0</v>
      </c>
      <c r="R38" s="101"/>
      <c r="S38" s="266" t="str">
        <f>+IF(NOVIEMBRE!S38=0,"",NOVIEMBRE!S38)</f>
        <v>2.1.2.02.02.008.810</v>
      </c>
      <c r="T38" s="267" t="str">
        <f>+IF(NOVIEMBRE!T38=0,"",NOVIEMBRE!T38)</f>
        <v>Honorarios de la Junta Directiva</v>
      </c>
      <c r="U38" s="373">
        <f>+ENERO!U38</f>
        <v>38518134</v>
      </c>
      <c r="V38" s="220">
        <f>NOVIEMBRE!V38+DICIEMBRE!AL38</f>
        <v>0</v>
      </c>
      <c r="W38" s="220">
        <f>NOVIEMBRE!W38+DICIEMBRE!AM38</f>
        <v>0</v>
      </c>
      <c r="X38" s="271">
        <f t="shared" si="40"/>
        <v>38518134</v>
      </c>
      <c r="Y38" s="270">
        <f>NOVIEMBRE!AA38</f>
        <v>29181750</v>
      </c>
      <c r="Z38" s="1186">
        <v>2135250</v>
      </c>
      <c r="AA38" s="271">
        <f t="shared" si="41"/>
        <v>31317000</v>
      </c>
      <c r="AB38" s="270">
        <f>NOVIEMBRE!AD38</f>
        <v>23487750</v>
      </c>
      <c r="AC38" s="1186">
        <v>7829250</v>
      </c>
      <c r="AD38" s="271">
        <f t="shared" si="42"/>
        <v>31317000</v>
      </c>
      <c r="AE38" s="270">
        <f>NOVIEMBRE!AG38</f>
        <v>23487750</v>
      </c>
      <c r="AF38" s="1186">
        <v>5694000</v>
      </c>
      <c r="AG38" s="271">
        <f t="shared" si="43"/>
        <v>29181750</v>
      </c>
      <c r="AH38" s="270">
        <f t="shared" si="44"/>
        <v>7201134</v>
      </c>
      <c r="AI38" s="220">
        <f t="shared" si="45"/>
        <v>7201134</v>
      </c>
      <c r="AJ38" s="269">
        <f t="shared" si="46"/>
        <v>9336384</v>
      </c>
      <c r="AK38" s="1195">
        <f t="shared" si="47"/>
        <v>31317000</v>
      </c>
      <c r="AL38" s="204"/>
      <c r="AM38" s="210">
        <v>0</v>
      </c>
      <c r="AN38" s="1195">
        <f>+AK38-SEPTIEMBRE!AK38</f>
        <v>13523250</v>
      </c>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row>
    <row r="39" spans="1:69" ht="24.75" customHeight="1">
      <c r="A39" s="367" t="s">
        <v>497</v>
      </c>
      <c r="B39" s="368" t="str">
        <f>+IF(NOVIEMBRE!B39=0,"",NOVIEMBRE!B39)</f>
        <v xml:space="preserve"> Aportes Patronales  2o. Nivel</v>
      </c>
      <c r="C39" s="204">
        <f>+ENERO!C39</f>
        <v>0</v>
      </c>
      <c r="D39" s="205">
        <f>NOVIEMBRE!D39+DICIEMBRE!P39</f>
        <v>0</v>
      </c>
      <c r="E39" s="205">
        <f>NOVIEMBRE!E39+DICIEMBRE!Q39</f>
        <v>0</v>
      </c>
      <c r="F39" s="205">
        <f t="shared" si="35"/>
        <v>0</v>
      </c>
      <c r="G39" s="205">
        <f>NOVIEMBRE!I39</f>
        <v>0</v>
      </c>
      <c r="H39" s="208">
        <v>0</v>
      </c>
      <c r="I39" s="680">
        <f t="shared" si="36"/>
        <v>0</v>
      </c>
      <c r="J39" s="680">
        <f>NOVIEMBRE!L39</f>
        <v>0</v>
      </c>
      <c r="K39" s="208">
        <v>0</v>
      </c>
      <c r="L39" s="680">
        <f t="shared" si="37"/>
        <v>0</v>
      </c>
      <c r="M39" s="205">
        <f t="shared" si="38"/>
        <v>0</v>
      </c>
      <c r="N39" s="206">
        <f t="shared" si="39"/>
        <v>0</v>
      </c>
      <c r="O39" s="369"/>
      <c r="P39" s="204">
        <v>0</v>
      </c>
      <c r="Q39" s="210">
        <v>0</v>
      </c>
      <c r="R39" s="101"/>
      <c r="S39" s="266" t="str">
        <f>+IF(NOVIEMBRE!S39=0,"",NOVIEMBRE!S39)</f>
        <v>2.1.2.02.02.009.906</v>
      </c>
      <c r="T39" s="267" t="str">
        <f>+IF(NOVIEMBRE!T39=0,"",NOVIEMBRE!T39)</f>
        <v>Servicios de Agremiación (administrativo)</v>
      </c>
      <c r="U39" s="373">
        <f>+ENERO!U39</f>
        <v>9849382921</v>
      </c>
      <c r="V39" s="220">
        <f>NOVIEMBRE!V39+DICIEMBRE!AL39</f>
        <v>4441000000</v>
      </c>
      <c r="W39" s="220">
        <f>NOVIEMBRE!W39+DICIEMBRE!AM39</f>
        <v>865000000</v>
      </c>
      <c r="X39" s="271">
        <f t="shared" si="40"/>
        <v>15155382921</v>
      </c>
      <c r="Y39" s="270">
        <f>NOVIEMBRE!AA39</f>
        <v>15154431159</v>
      </c>
      <c r="Z39" s="1186">
        <v>-196344700</v>
      </c>
      <c r="AA39" s="271">
        <f t="shared" si="41"/>
        <v>14958086459</v>
      </c>
      <c r="AB39" s="270">
        <f>NOVIEMBRE!AD39</f>
        <v>13676341802</v>
      </c>
      <c r="AC39" s="1186">
        <v>1281744657</v>
      </c>
      <c r="AD39" s="271">
        <f t="shared" si="42"/>
        <v>14958086459</v>
      </c>
      <c r="AE39" s="270">
        <f>NOVIEMBRE!AG39</f>
        <v>9377332613</v>
      </c>
      <c r="AF39" s="1186">
        <v>1295642458</v>
      </c>
      <c r="AG39" s="271">
        <f t="shared" si="43"/>
        <v>10672975071</v>
      </c>
      <c r="AH39" s="270">
        <f t="shared" si="44"/>
        <v>197296462</v>
      </c>
      <c r="AI39" s="220">
        <f t="shared" si="45"/>
        <v>197296462</v>
      </c>
      <c r="AJ39" s="269">
        <f t="shared" si="46"/>
        <v>4482407850</v>
      </c>
      <c r="AK39" s="1195">
        <f t="shared" si="47"/>
        <v>14958086459</v>
      </c>
      <c r="AL39" s="204"/>
      <c r="AM39" s="210">
        <v>0</v>
      </c>
      <c r="AN39" s="1195">
        <f>+AK39-SEPTIEMBRE!AK39</f>
        <v>2841231153</v>
      </c>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row>
    <row r="40" spans="1:69" ht="24.75" customHeight="1">
      <c r="A40" s="367" t="str">
        <f>+IF(NOVIEMBRE!A40=0,"",NOVIEMBRE!A40)</f>
        <v>1130103-6</v>
      </c>
      <c r="B40" s="368" t="str">
        <f>+IF(NOVIEMBRE!B40=0,"",NOVIEMBRE!B40)</f>
        <v xml:space="preserve"> Aportes Patronales  3er. Nivel</v>
      </c>
      <c r="C40" s="204">
        <f>+ENERO!C40</f>
        <v>0</v>
      </c>
      <c r="D40" s="205">
        <f>NOVIEMBRE!D40+DICIEMBRE!P40</f>
        <v>0</v>
      </c>
      <c r="E40" s="205">
        <f>NOVIEMBRE!E40+DICIEMBRE!Q40</f>
        <v>0</v>
      </c>
      <c r="F40" s="205">
        <f t="shared" si="35"/>
        <v>0</v>
      </c>
      <c r="G40" s="205">
        <f>NOVIEMBRE!I40</f>
        <v>0</v>
      </c>
      <c r="H40" s="208">
        <v>0</v>
      </c>
      <c r="I40" s="680">
        <f t="shared" si="36"/>
        <v>0</v>
      </c>
      <c r="J40" s="680">
        <f>NOVIEMBRE!L40</f>
        <v>0</v>
      </c>
      <c r="K40" s="208">
        <v>0</v>
      </c>
      <c r="L40" s="680">
        <f t="shared" si="37"/>
        <v>0</v>
      </c>
      <c r="M40" s="205">
        <f t="shared" si="38"/>
        <v>0</v>
      </c>
      <c r="N40" s="206">
        <f t="shared" si="39"/>
        <v>0</v>
      </c>
      <c r="O40" s="369"/>
      <c r="P40" s="204">
        <v>0</v>
      </c>
      <c r="Q40" s="210">
        <v>0</v>
      </c>
      <c r="R40" s="101"/>
      <c r="S40" s="266" t="str">
        <f>+IF(NOVIEMBRE!S40=0,"",NOVIEMBRE!S40)</f>
        <v/>
      </c>
      <c r="T40" s="267" t="str">
        <f>+IF(NOVIEMBRE!T40=0,"",NOVIEMBRE!T40)</f>
        <v>Certificación, Habilitación y Acreditación</v>
      </c>
      <c r="U40" s="373">
        <f>+ENERO!U40</f>
        <v>0</v>
      </c>
      <c r="V40" s="220">
        <f>NOVIEMBRE!V40+DICIEMBRE!AL40</f>
        <v>0</v>
      </c>
      <c r="W40" s="220">
        <f>NOVIEMBRE!W40+DICIEMBRE!AM40</f>
        <v>0</v>
      </c>
      <c r="X40" s="271">
        <f t="shared" si="40"/>
        <v>0</v>
      </c>
      <c r="Y40" s="270">
        <f>NOVIEMBRE!AA40</f>
        <v>0</v>
      </c>
      <c r="Z40" s="208"/>
      <c r="AA40" s="271">
        <f t="shared" si="41"/>
        <v>0</v>
      </c>
      <c r="AB40" s="270">
        <f>NOVIEMBRE!AD40</f>
        <v>0</v>
      </c>
      <c r="AC40" s="208"/>
      <c r="AD40" s="271">
        <f t="shared" si="42"/>
        <v>0</v>
      </c>
      <c r="AE40" s="270">
        <f>NOVIEMBRE!AG40</f>
        <v>0</v>
      </c>
      <c r="AF40" s="208"/>
      <c r="AG40" s="271">
        <f t="shared" si="43"/>
        <v>0</v>
      </c>
      <c r="AH40" s="270">
        <f t="shared" si="44"/>
        <v>0</v>
      </c>
      <c r="AI40" s="220">
        <f t="shared" si="45"/>
        <v>0</v>
      </c>
      <c r="AJ40" s="269">
        <f t="shared" si="46"/>
        <v>0</v>
      </c>
      <c r="AK40" s="1195">
        <f t="shared" si="47"/>
        <v>0</v>
      </c>
      <c r="AL40" s="204"/>
      <c r="AM40" s="210">
        <v>0</v>
      </c>
      <c r="AN40" s="1195">
        <f>+AK40-SEPTIEMBRE!AK40</f>
        <v>0</v>
      </c>
      <c r="AO40" s="67"/>
      <c r="AP40" s="67"/>
      <c r="AQ40" s="67"/>
      <c r="AR40" s="67"/>
      <c r="AS40" s="67"/>
      <c r="AT40" s="67"/>
      <c r="AU40" s="67"/>
      <c r="AV40" s="67"/>
      <c r="AW40" s="67"/>
      <c r="AX40" s="67"/>
      <c r="AY40" s="67"/>
      <c r="AZ40" s="67"/>
      <c r="BA40" s="67"/>
      <c r="BB40" s="336"/>
      <c r="BC40" s="336"/>
      <c r="BD40" s="336"/>
      <c r="BE40" s="336"/>
      <c r="BF40" s="67"/>
      <c r="BG40" s="67"/>
      <c r="BH40" s="67"/>
      <c r="BI40" s="67"/>
      <c r="BJ40" s="67"/>
      <c r="BK40" s="67"/>
      <c r="BL40" s="67"/>
      <c r="BM40" s="67"/>
      <c r="BN40" s="67"/>
      <c r="BO40" s="67"/>
      <c r="BP40" s="67"/>
      <c r="BQ40" s="67"/>
    </row>
    <row r="41" spans="1:69" ht="24.75" customHeight="1">
      <c r="A41" s="286">
        <f>+IF(NOVIEMBRE!A41=0,"",NOVIEMBRE!A41)</f>
        <v>1130104</v>
      </c>
      <c r="B41" s="319" t="str">
        <f>+IF(NOVIEMBRE!B41=0,"",NOVIEMBRE!B41)</f>
        <v>SUBSIDIO A LA OFERTA- ACTIVIDADES NO POS-S</v>
      </c>
      <c r="C41" s="204">
        <f>+ENERO!C41</f>
        <v>0</v>
      </c>
      <c r="D41" s="231">
        <f>NOVIEMBRE!D41+DICIEMBRE!P41</f>
        <v>0</v>
      </c>
      <c r="E41" s="231">
        <f>NOVIEMBRE!E41+DICIEMBRE!Q41</f>
        <v>0</v>
      </c>
      <c r="F41" s="231">
        <f t="shared" si="35"/>
        <v>0</v>
      </c>
      <c r="G41" s="231">
        <f>NOVIEMBRE!I41</f>
        <v>0</v>
      </c>
      <c r="H41" s="208">
        <v>0</v>
      </c>
      <c r="I41" s="681">
        <f t="shared" si="36"/>
        <v>0</v>
      </c>
      <c r="J41" s="681">
        <f>NOVIEMBRE!L41</f>
        <v>0</v>
      </c>
      <c r="K41" s="208">
        <v>0</v>
      </c>
      <c r="L41" s="681">
        <f t="shared" si="37"/>
        <v>0</v>
      </c>
      <c r="M41" s="231">
        <f t="shared" si="38"/>
        <v>0</v>
      </c>
      <c r="N41" s="232">
        <f t="shared" si="39"/>
        <v>0</v>
      </c>
      <c r="O41" s="67"/>
      <c r="P41" s="208">
        <v>0</v>
      </c>
      <c r="Q41" s="210">
        <v>0</v>
      </c>
      <c r="R41" s="101"/>
      <c r="S41" s="266" t="str">
        <f>+IF(NOVIEMBRE!S41=0,"",NOVIEMBRE!S41)</f>
        <v>2.1.2.02.02.009.99.02</v>
      </c>
      <c r="T41" s="267" t="str">
        <f>+IF(NOVIEMBRE!T41=0,"",NOVIEMBRE!T41)</f>
        <v>Vigencias Anteriores</v>
      </c>
      <c r="U41" s="373">
        <f>+ENERO!U41</f>
        <v>1854990987</v>
      </c>
      <c r="V41" s="220">
        <f>NOVIEMBRE!V41+DICIEMBRE!AL41</f>
        <v>783000000</v>
      </c>
      <c r="W41" s="220">
        <f>NOVIEMBRE!W41+DICIEMBRE!AM41</f>
        <v>0</v>
      </c>
      <c r="X41" s="271">
        <f t="shared" si="40"/>
        <v>2637990987</v>
      </c>
      <c r="Y41" s="270">
        <f>NOVIEMBRE!AA41</f>
        <v>2637110434</v>
      </c>
      <c r="Z41" s="208"/>
      <c r="AA41" s="271">
        <f t="shared" si="41"/>
        <v>2637110434</v>
      </c>
      <c r="AB41" s="270">
        <f>NOVIEMBRE!AD41</f>
        <v>2637110434</v>
      </c>
      <c r="AC41" s="208"/>
      <c r="AD41" s="271">
        <f t="shared" si="42"/>
        <v>2637110434</v>
      </c>
      <c r="AE41" s="270">
        <f>NOVIEMBRE!AG41</f>
        <v>2637110434</v>
      </c>
      <c r="AF41" s="208"/>
      <c r="AG41" s="271">
        <f t="shared" si="43"/>
        <v>2637110434</v>
      </c>
      <c r="AH41" s="270">
        <f t="shared" si="44"/>
        <v>880553</v>
      </c>
      <c r="AI41" s="220">
        <f t="shared" si="45"/>
        <v>880553</v>
      </c>
      <c r="AJ41" s="269">
        <f t="shared" si="46"/>
        <v>880553</v>
      </c>
      <c r="AK41" s="101"/>
      <c r="AL41" s="204"/>
      <c r="AM41" s="210">
        <v>0</v>
      </c>
      <c r="AN41" s="101"/>
      <c r="AO41" s="67"/>
      <c r="AP41" s="67"/>
      <c r="AQ41" s="67"/>
      <c r="AR41" s="67"/>
      <c r="AS41" s="67"/>
      <c r="AT41" s="67"/>
      <c r="AU41" s="67"/>
      <c r="AV41" s="67"/>
      <c r="AW41" s="67"/>
      <c r="AX41" s="67"/>
      <c r="AY41" s="67"/>
      <c r="AZ41" s="67"/>
      <c r="BA41" s="67"/>
      <c r="BB41" s="336"/>
      <c r="BC41" s="336"/>
      <c r="BD41" s="336"/>
      <c r="BE41" s="336"/>
      <c r="BF41" s="67"/>
      <c r="BG41" s="67"/>
      <c r="BH41" s="67"/>
      <c r="BI41" s="67"/>
      <c r="BJ41" s="67"/>
      <c r="BK41" s="67"/>
      <c r="BL41" s="67"/>
      <c r="BM41" s="336"/>
      <c r="BN41" s="336"/>
      <c r="BO41" s="336"/>
      <c r="BP41" s="336"/>
      <c r="BQ41" s="336"/>
    </row>
    <row r="42" spans="1:69" ht="24.75" customHeight="1">
      <c r="A42" s="286" t="str">
        <f>+IF(NOVIEMBRE!A42=0,"",NOVIEMBRE!A42)</f>
        <v>1.1.02.05.001.09.02.03</v>
      </c>
      <c r="B42" s="319" t="str">
        <f>+IF(NOVIEMBRE!B42=0,"",NOVIEMBRE!B42)</f>
        <v>SALUD PUBLICA - PLAN DE INTERVENCIONES COLECTIVAS</v>
      </c>
      <c r="C42" s="288">
        <f t="shared" ref="C42:N42" si="48">SUM(C43:C44)</f>
        <v>287170800</v>
      </c>
      <c r="D42" s="320">
        <f t="shared" si="48"/>
        <v>0</v>
      </c>
      <c r="E42" s="320">
        <f t="shared" si="48"/>
        <v>0</v>
      </c>
      <c r="F42" s="320">
        <f t="shared" si="48"/>
        <v>287170800</v>
      </c>
      <c r="G42" s="320">
        <f t="shared" si="48"/>
        <v>118260956</v>
      </c>
      <c r="H42" s="320">
        <f t="shared" si="48"/>
        <v>7107618</v>
      </c>
      <c r="I42" s="679">
        <f t="shared" si="48"/>
        <v>125368574</v>
      </c>
      <c r="J42" s="679">
        <f t="shared" si="48"/>
        <v>75044358</v>
      </c>
      <c r="K42" s="320">
        <f t="shared" si="48"/>
        <v>23677577</v>
      </c>
      <c r="L42" s="679">
        <f t="shared" si="48"/>
        <v>98721935</v>
      </c>
      <c r="M42" s="320">
        <f t="shared" si="48"/>
        <v>161802226</v>
      </c>
      <c r="N42" s="289">
        <f t="shared" si="48"/>
        <v>188448865</v>
      </c>
      <c r="O42" s="67"/>
      <c r="P42" s="288">
        <f>SUM(P43:P44)</f>
        <v>0</v>
      </c>
      <c r="Q42" s="289">
        <f>SUM(Q43:Q44)</f>
        <v>0</v>
      </c>
      <c r="R42" s="101"/>
      <c r="S42" s="189">
        <f>+IF(NOVIEMBRE!S42=0,"",NOVIEMBRE!S42)</f>
        <v>1130106</v>
      </c>
      <c r="T42" s="488" t="str">
        <f>+IF(NOVIEMBRE!T42=0,"",NOVIEMBRE!T42)</f>
        <v/>
      </c>
      <c r="U42" s="191"/>
      <c r="V42" s="191"/>
      <c r="W42" s="191"/>
      <c r="X42" s="191"/>
      <c r="Y42" s="191"/>
      <c r="Z42" s="191"/>
      <c r="AA42" s="191"/>
      <c r="AB42" s="191"/>
      <c r="AC42" s="191"/>
      <c r="AD42" s="191"/>
      <c r="AE42" s="191"/>
      <c r="AF42" s="191"/>
      <c r="AG42" s="191"/>
      <c r="AH42" s="191"/>
      <c r="AI42" s="191"/>
      <c r="AJ42" s="192"/>
      <c r="AK42" s="101"/>
      <c r="AL42" s="370"/>
      <c r="AM42" s="371"/>
      <c r="AN42" s="101"/>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row>
    <row r="43" spans="1:69" ht="24.75" customHeight="1">
      <c r="A43" s="202" t="str">
        <f>+IF(NOVIEMBRE!A43=0,"",NOVIEMBRE!A43)</f>
        <v>1.1.02.05.001.09.02.03</v>
      </c>
      <c r="B43" s="331" t="str">
        <f>+CONCATENATE("Vigencia ",INSTRUCCIONES!$F$3)</f>
        <v>Vigencia 2025</v>
      </c>
      <c r="C43" s="204">
        <f>+ENERO!C43</f>
        <v>0</v>
      </c>
      <c r="D43" s="205">
        <f>NOVIEMBRE!D43+DICIEMBRE!P43</f>
        <v>0</v>
      </c>
      <c r="E43" s="205">
        <f>NOVIEMBRE!E43+DICIEMBRE!Q43</f>
        <v>0</v>
      </c>
      <c r="F43" s="205">
        <f>SUM(C43:E43)</f>
        <v>0</v>
      </c>
      <c r="G43" s="205">
        <f>NOVIEMBRE!I43</f>
        <v>55863724</v>
      </c>
      <c r="H43" s="208">
        <v>7107618</v>
      </c>
      <c r="I43" s="680">
        <f>SUM(G43:H43)</f>
        <v>62971342</v>
      </c>
      <c r="J43" s="680">
        <f>NOVIEMBRE!L43</f>
        <v>12647126</v>
      </c>
      <c r="K43" s="208">
        <v>23677577</v>
      </c>
      <c r="L43" s="680">
        <f>SUM(J43:K43)</f>
        <v>36324703</v>
      </c>
      <c r="M43" s="205">
        <f>F43-I43</f>
        <v>-62971342</v>
      </c>
      <c r="N43" s="206">
        <f>F43-L43</f>
        <v>-36324703</v>
      </c>
      <c r="O43" s="67"/>
      <c r="P43" s="204">
        <v>0</v>
      </c>
      <c r="Q43" s="210">
        <v>0</v>
      </c>
      <c r="R43" s="101"/>
      <c r="S43" s="257">
        <f>+IF(NOVIEMBRE!S43=0,"",NOVIEMBRE!S43)</f>
        <v>1010300</v>
      </c>
      <c r="T43" s="546" t="str">
        <f>+IF(NOVIEMBRE!T43=0,"",NOVIEMBRE!T43)</f>
        <v>Contribuciones Inherentes nómina al Sector Privado</v>
      </c>
      <c r="U43" s="230">
        <f t="shared" ref="U43:AJ43" si="49">U44+U49+U55</f>
        <v>2871199937.9625015</v>
      </c>
      <c r="V43" s="231">
        <f t="shared" si="49"/>
        <v>-71000000</v>
      </c>
      <c r="W43" s="231">
        <f t="shared" si="49"/>
        <v>0</v>
      </c>
      <c r="X43" s="234">
        <f t="shared" si="49"/>
        <v>2800199937.9625015</v>
      </c>
      <c r="Y43" s="233">
        <f t="shared" si="49"/>
        <v>1971829801</v>
      </c>
      <c r="Z43" s="231">
        <f t="shared" si="49"/>
        <v>683960203</v>
      </c>
      <c r="AA43" s="234">
        <f t="shared" si="49"/>
        <v>2655790004</v>
      </c>
      <c r="AB43" s="233">
        <f t="shared" si="49"/>
        <v>1971829801</v>
      </c>
      <c r="AC43" s="231">
        <f t="shared" si="49"/>
        <v>683960203</v>
      </c>
      <c r="AD43" s="234">
        <f t="shared" si="49"/>
        <v>2655790004</v>
      </c>
      <c r="AE43" s="233">
        <f t="shared" si="49"/>
        <v>1971829800</v>
      </c>
      <c r="AF43" s="231">
        <f t="shared" si="49"/>
        <v>120335400</v>
      </c>
      <c r="AG43" s="234">
        <f t="shared" si="49"/>
        <v>2092165200</v>
      </c>
      <c r="AH43" s="233">
        <f t="shared" si="49"/>
        <v>144409933.96250132</v>
      </c>
      <c r="AI43" s="231">
        <f t="shared" si="49"/>
        <v>144409933.96250132</v>
      </c>
      <c r="AJ43" s="232">
        <f t="shared" si="49"/>
        <v>708034737.96250129</v>
      </c>
      <c r="AK43" s="101"/>
      <c r="AL43" s="233">
        <f>AL44+AL49+AL55</f>
        <v>-71000000</v>
      </c>
      <c r="AM43" s="232">
        <f>AM44+AM49+AM55</f>
        <v>0</v>
      </c>
      <c r="AN43" s="101"/>
      <c r="AO43" s="67"/>
      <c r="AP43" s="372"/>
      <c r="AQ43" s="67"/>
      <c r="AR43" s="67"/>
      <c r="AS43" s="67"/>
      <c r="AT43" s="67"/>
      <c r="AU43" s="67"/>
      <c r="AV43" s="67"/>
      <c r="AW43" s="67"/>
      <c r="AX43" s="67"/>
      <c r="AY43" s="67"/>
      <c r="AZ43" s="67"/>
      <c r="BA43" s="67"/>
      <c r="BB43" s="336"/>
      <c r="BC43" s="336"/>
      <c r="BD43" s="336"/>
      <c r="BE43" s="336"/>
      <c r="BF43" s="67"/>
      <c r="BG43" s="67"/>
      <c r="BH43" s="67"/>
      <c r="BI43" s="67"/>
      <c r="BJ43" s="67"/>
      <c r="BK43" s="67"/>
      <c r="BL43" s="67"/>
      <c r="BM43" s="67"/>
      <c r="BN43" s="67"/>
      <c r="BO43" s="67"/>
      <c r="BP43" s="67"/>
      <c r="BQ43" s="67"/>
    </row>
    <row r="44" spans="1:69" ht="24.75" customHeight="1">
      <c r="A44" s="202" t="str">
        <f>+IF(NOVIEMBRE!A44=0,"",NOVIEMBRE!A44)</f>
        <v>1.1.02.05.001.09.02.03.99</v>
      </c>
      <c r="B44" s="331" t="str">
        <f>+IF(NOVIEMBRE!B44=0,"",NOVIEMBRE!B44)</f>
        <v>Vigencia Anterior</v>
      </c>
      <c r="C44" s="204">
        <f>+ENERO!C44</f>
        <v>287170800</v>
      </c>
      <c r="D44" s="205">
        <f>NOVIEMBRE!D44+DICIEMBRE!P44</f>
        <v>0</v>
      </c>
      <c r="E44" s="205">
        <f>NOVIEMBRE!E44+DICIEMBRE!Q44</f>
        <v>0</v>
      </c>
      <c r="F44" s="205">
        <f>SUM(C44:E44)</f>
        <v>287170800</v>
      </c>
      <c r="G44" s="205">
        <f>NOVIEMBRE!I44</f>
        <v>62397232</v>
      </c>
      <c r="H44" s="208">
        <v>0</v>
      </c>
      <c r="I44" s="680">
        <f>SUM(G44:H44)</f>
        <v>62397232</v>
      </c>
      <c r="J44" s="680">
        <f>NOVIEMBRE!L44</f>
        <v>62397232</v>
      </c>
      <c r="K44" s="208">
        <v>0</v>
      </c>
      <c r="L44" s="680">
        <f>SUM(J44:K44)</f>
        <v>62397232</v>
      </c>
      <c r="M44" s="205">
        <f>F44-I44</f>
        <v>224773568</v>
      </c>
      <c r="N44" s="206">
        <f>F44-L44</f>
        <v>224773568</v>
      </c>
      <c r="O44" s="67"/>
      <c r="P44" s="204">
        <v>0</v>
      </c>
      <c r="Q44" s="210">
        <v>0</v>
      </c>
      <c r="R44" s="101"/>
      <c r="S44" s="266">
        <f>+IF(NOVIEMBRE!S44=0,"",NOVIEMBRE!S44)</f>
        <v>1010301</v>
      </c>
      <c r="T44" s="267" t="str">
        <f>+IF(NOVIEMBRE!T44=0,"",NOVIEMBRE!T44)</f>
        <v>Contribuciones - SGP - Aportes Patronales - Cuenta Maestra</v>
      </c>
      <c r="U44" s="373">
        <f t="shared" ref="U44:AJ44" si="50">SUM(U45:U48)</f>
        <v>0</v>
      </c>
      <c r="V44" s="220">
        <f t="shared" si="50"/>
        <v>0</v>
      </c>
      <c r="W44" s="220">
        <f t="shared" si="50"/>
        <v>0</v>
      </c>
      <c r="X44" s="271">
        <f t="shared" si="50"/>
        <v>0</v>
      </c>
      <c r="Y44" s="270">
        <f t="shared" si="50"/>
        <v>0</v>
      </c>
      <c r="Z44" s="300">
        <f t="shared" si="50"/>
        <v>0</v>
      </c>
      <c r="AA44" s="271">
        <f t="shared" si="50"/>
        <v>0</v>
      </c>
      <c r="AB44" s="270">
        <f t="shared" si="50"/>
        <v>0</v>
      </c>
      <c r="AC44" s="300">
        <f t="shared" si="50"/>
        <v>0</v>
      </c>
      <c r="AD44" s="271">
        <f t="shared" si="50"/>
        <v>0</v>
      </c>
      <c r="AE44" s="270">
        <f t="shared" si="50"/>
        <v>0</v>
      </c>
      <c r="AF44" s="300">
        <f t="shared" si="50"/>
        <v>0</v>
      </c>
      <c r="AG44" s="271">
        <f t="shared" si="50"/>
        <v>0</v>
      </c>
      <c r="AH44" s="270">
        <f t="shared" si="50"/>
        <v>0</v>
      </c>
      <c r="AI44" s="220">
        <f t="shared" si="50"/>
        <v>0</v>
      </c>
      <c r="AJ44" s="269">
        <f t="shared" si="50"/>
        <v>0</v>
      </c>
      <c r="AK44" s="101"/>
      <c r="AL44" s="301">
        <f>SUM(AL45:AL48)</f>
        <v>0</v>
      </c>
      <c r="AM44" s="302">
        <f>SUM(AM45:AM48)</f>
        <v>0</v>
      </c>
      <c r="AN44" s="101"/>
      <c r="AO44" s="67"/>
      <c r="AP44" s="67"/>
      <c r="AQ44" s="67"/>
      <c r="AR44" s="67"/>
      <c r="AS44" s="67"/>
      <c r="AT44" s="67"/>
      <c r="AU44" s="67"/>
      <c r="AV44" s="67"/>
      <c r="AW44" s="67"/>
      <c r="AX44" s="67"/>
      <c r="AY44" s="67"/>
      <c r="AZ44" s="67"/>
      <c r="BA44" s="67"/>
      <c r="BB44" s="336"/>
      <c r="BC44" s="336"/>
      <c r="BD44" s="336"/>
      <c r="BE44" s="336"/>
      <c r="BF44" s="67"/>
      <c r="BG44" s="67"/>
      <c r="BH44" s="67"/>
      <c r="BI44" s="67"/>
      <c r="BJ44" s="67"/>
      <c r="BK44" s="67"/>
      <c r="BL44" s="67"/>
      <c r="BM44" s="67"/>
      <c r="BN44" s="67"/>
      <c r="BO44" s="67"/>
      <c r="BP44" s="67"/>
      <c r="BQ44" s="67"/>
    </row>
    <row r="45" spans="1:69" s="1273" customFormat="1" ht="24.75" customHeight="1">
      <c r="A45" s="1258" t="str">
        <f>+IF(NOVIEMBRE!A45=0,"",NOVIEMBRE!A45)</f>
        <v>1.1.02.05.001.09.02.04</v>
      </c>
      <c r="B45" s="331" t="str">
        <f>+IF(NOVIEMBRE!B45=0,"",NOVIEMBRE!B45)</f>
        <v>EVENTOS CATASTROFICOS Y ACCIDENTES DE TRANSITO</v>
      </c>
      <c r="C45" s="204">
        <f t="shared" ref="C45:N45" si="51">SUM(C46:C47)</f>
        <v>1301505717</v>
      </c>
      <c r="D45" s="205">
        <f t="shared" si="51"/>
        <v>0</v>
      </c>
      <c r="E45" s="205">
        <f t="shared" si="51"/>
        <v>0</v>
      </c>
      <c r="F45" s="205">
        <f t="shared" si="51"/>
        <v>1301505717</v>
      </c>
      <c r="G45" s="205">
        <f t="shared" si="51"/>
        <v>709127778</v>
      </c>
      <c r="H45" s="208">
        <f t="shared" si="51"/>
        <v>29903763</v>
      </c>
      <c r="I45" s="679">
        <f t="shared" si="51"/>
        <v>739031541</v>
      </c>
      <c r="J45" s="680">
        <f t="shared" si="51"/>
        <v>396687321</v>
      </c>
      <c r="K45" s="208">
        <f t="shared" si="51"/>
        <v>0</v>
      </c>
      <c r="L45" s="679">
        <f t="shared" si="51"/>
        <v>396687321</v>
      </c>
      <c r="M45" s="320">
        <f t="shared" si="51"/>
        <v>562474176</v>
      </c>
      <c r="N45" s="320">
        <f t="shared" si="51"/>
        <v>904818396</v>
      </c>
      <c r="O45" s="1261"/>
      <c r="P45" s="1259">
        <f>SUM(P46:P47)</f>
        <v>0</v>
      </c>
      <c r="Q45" s="1260">
        <f>SUM(Q46:Q47)</f>
        <v>0</v>
      </c>
      <c r="R45" s="1262"/>
      <c r="S45" s="1263" t="str">
        <f>+IF(NOVIEMBRE!S45=0,"",NOVIEMBRE!S45)</f>
        <v>1010301-1</v>
      </c>
      <c r="T45" s="1264" t="str">
        <f>+IF(NOVIEMBRE!T45=0,"",NOVIEMBRE!T45)</f>
        <v>E.P.S. - Aportes cuenta maestra</v>
      </c>
      <c r="U45" s="1265">
        <f>+ENERO!U45</f>
        <v>0</v>
      </c>
      <c r="V45" s="1266">
        <f>NOVIEMBRE!V45+DICIEMBRE!AL45</f>
        <v>0</v>
      </c>
      <c r="W45" s="1266">
        <f>NOVIEMBRE!W45+DICIEMBRE!AM45</f>
        <v>0</v>
      </c>
      <c r="X45" s="1267">
        <f>SUM(U45:W45)</f>
        <v>0</v>
      </c>
      <c r="Y45" s="1268">
        <f>NOVIEMBRE!AA45</f>
        <v>0</v>
      </c>
      <c r="Z45" s="1269"/>
      <c r="AA45" s="1267">
        <f>SUM(Y45:Z45)</f>
        <v>0</v>
      </c>
      <c r="AB45" s="1268">
        <f>NOVIEMBRE!AD45</f>
        <v>0</v>
      </c>
      <c r="AC45" s="1269"/>
      <c r="AD45" s="1267">
        <f>SUM(AB45:AC45)</f>
        <v>0</v>
      </c>
      <c r="AE45" s="1268">
        <f>NOVIEMBRE!AG45</f>
        <v>0</v>
      </c>
      <c r="AF45" s="1269"/>
      <c r="AG45" s="1267">
        <f>SUM(AE45:AF45)</f>
        <v>0</v>
      </c>
      <c r="AH45" s="1268">
        <f>X45-AA45</f>
        <v>0</v>
      </c>
      <c r="AI45" s="1266">
        <f>X45-AD45</f>
        <v>0</v>
      </c>
      <c r="AJ45" s="1270">
        <f>X45-AG45</f>
        <v>0</v>
      </c>
      <c r="AK45" s="1262"/>
      <c r="AL45" s="1271"/>
      <c r="AM45" s="1272">
        <v>0</v>
      </c>
      <c r="AN45" s="1262"/>
      <c r="AO45" s="1261"/>
      <c r="AP45" s="1261"/>
      <c r="AQ45" s="1261"/>
      <c r="AR45" s="1261"/>
      <c r="AS45" s="1261"/>
      <c r="AT45" s="1261"/>
      <c r="AU45" s="1261"/>
      <c r="AV45" s="1261"/>
      <c r="AW45" s="1261"/>
      <c r="AX45" s="1261"/>
      <c r="AY45" s="1261"/>
      <c r="AZ45" s="1261"/>
      <c r="BA45" s="1261"/>
      <c r="BB45" s="1261"/>
      <c r="BC45" s="1261"/>
      <c r="BD45" s="1261"/>
      <c r="BE45" s="1261"/>
      <c r="BF45" s="1261"/>
      <c r="BG45" s="1261"/>
      <c r="BH45" s="1261"/>
      <c r="BI45" s="1261"/>
      <c r="BJ45" s="1261"/>
      <c r="BK45" s="1261"/>
      <c r="BL45" s="1261"/>
      <c r="BM45" s="1261"/>
      <c r="BN45" s="1261"/>
      <c r="BO45" s="1261"/>
      <c r="BP45" s="1261"/>
      <c r="BQ45" s="1261"/>
    </row>
    <row r="46" spans="1:69" s="1273" customFormat="1" ht="24.75" customHeight="1">
      <c r="A46" s="1274" t="str">
        <f>+IF(NOVIEMBRE!A46=0,"",NOVIEMBRE!A46)</f>
        <v>1.1.02.05.001.09.02.04</v>
      </c>
      <c r="B46" s="331" t="str">
        <f>+CONCATENATE("Vigencia ",INSTRUCCIONES!$F$3)</f>
        <v>Vigencia 2025</v>
      </c>
      <c r="C46" s="204">
        <f>+ENERO!C46</f>
        <v>795758987</v>
      </c>
      <c r="D46" s="205">
        <f>NOVIEMBRE!D46+DICIEMBRE!P46</f>
        <v>0</v>
      </c>
      <c r="E46" s="205">
        <f>NOVIEMBRE!E46+DICIEMBRE!Q46</f>
        <v>0</v>
      </c>
      <c r="F46" s="205">
        <f>SUM(C46:E46)</f>
        <v>795758987</v>
      </c>
      <c r="G46" s="205">
        <f>NOVIEMBRE!I46</f>
        <v>327928762</v>
      </c>
      <c r="H46" s="208">
        <v>29903763</v>
      </c>
      <c r="I46" s="680">
        <f>SUM(G46:H46)</f>
        <v>357832525</v>
      </c>
      <c r="J46" s="680">
        <f>NOVIEMBRE!L46</f>
        <v>15488305</v>
      </c>
      <c r="K46" s="208">
        <v>0</v>
      </c>
      <c r="L46" s="680">
        <f>SUM(J46:K46)</f>
        <v>15488305</v>
      </c>
      <c r="M46" s="205">
        <f>F46-I46</f>
        <v>437926462</v>
      </c>
      <c r="N46" s="206">
        <f>F46-L46</f>
        <v>780270682</v>
      </c>
      <c r="O46" s="1261"/>
      <c r="P46" s="1271">
        <v>0</v>
      </c>
      <c r="Q46" s="1272">
        <v>0</v>
      </c>
      <c r="R46" s="1262"/>
      <c r="S46" s="1263" t="str">
        <f>+IF(NOVIEMBRE!S46=0,"",NOVIEMBRE!S46)</f>
        <v>1010301-2</v>
      </c>
      <c r="T46" s="1264" t="str">
        <f>+IF(NOVIEMBRE!T46=0,"",NOVIEMBRE!T46)</f>
        <v>Fondos pensionales - Aportes cuenta maestra</v>
      </c>
      <c r="U46" s="1265">
        <f>+ENERO!U46</f>
        <v>0</v>
      </c>
      <c r="V46" s="1266">
        <f>NOVIEMBRE!V46+DICIEMBRE!AL46</f>
        <v>0</v>
      </c>
      <c r="W46" s="1266">
        <f>NOVIEMBRE!W46+DICIEMBRE!AM46</f>
        <v>0</v>
      </c>
      <c r="X46" s="1267">
        <f>SUM(U46:W46)</f>
        <v>0</v>
      </c>
      <c r="Y46" s="1268">
        <f>NOVIEMBRE!AA46</f>
        <v>0</v>
      </c>
      <c r="Z46" s="1269"/>
      <c r="AA46" s="1267">
        <f>SUM(Y46:Z46)</f>
        <v>0</v>
      </c>
      <c r="AB46" s="1268">
        <f>NOVIEMBRE!AD46</f>
        <v>0</v>
      </c>
      <c r="AC46" s="1269"/>
      <c r="AD46" s="1267">
        <f>SUM(AB46:AC46)</f>
        <v>0</v>
      </c>
      <c r="AE46" s="1268">
        <f>NOVIEMBRE!AG46</f>
        <v>0</v>
      </c>
      <c r="AF46" s="1269"/>
      <c r="AG46" s="1267">
        <f>SUM(AE46:AF46)</f>
        <v>0</v>
      </c>
      <c r="AH46" s="1268">
        <f>X46-AA46</f>
        <v>0</v>
      </c>
      <c r="AI46" s="1266">
        <f>X46-AD46</f>
        <v>0</v>
      </c>
      <c r="AJ46" s="1270">
        <f>X46-AG46</f>
        <v>0</v>
      </c>
      <c r="AK46" s="1262"/>
      <c r="AL46" s="1271"/>
      <c r="AM46" s="1272">
        <v>0</v>
      </c>
      <c r="AN46" s="1262"/>
      <c r="AO46" s="1278"/>
      <c r="AP46" s="1279"/>
      <c r="AQ46" s="1261"/>
      <c r="AR46" s="1261"/>
      <c r="AS46" s="1261"/>
      <c r="AT46" s="1261"/>
      <c r="AU46" s="1261"/>
      <c r="AV46" s="1261"/>
      <c r="AW46" s="1261"/>
      <c r="AX46" s="1261"/>
      <c r="AY46" s="1261"/>
      <c r="AZ46" s="1261"/>
      <c r="BA46" s="1261"/>
      <c r="BB46" s="1280"/>
      <c r="BC46" s="1280"/>
      <c r="BD46" s="1280"/>
      <c r="BE46" s="1280"/>
      <c r="BF46" s="1261"/>
      <c r="BG46" s="1261"/>
      <c r="BH46" s="1261"/>
      <c r="BI46" s="1261"/>
      <c r="BJ46" s="1261"/>
      <c r="BK46" s="1261"/>
      <c r="BL46" s="1261"/>
      <c r="BM46" s="1280"/>
      <c r="BN46" s="1280"/>
      <c r="BO46" s="1280"/>
      <c r="BP46" s="1280"/>
      <c r="BQ46" s="1280"/>
    </row>
    <row r="47" spans="1:69" ht="24.75" customHeight="1">
      <c r="A47" s="202" t="str">
        <f>+IF(NOVIEMBRE!A47=0,"",NOVIEMBRE!A47)</f>
        <v>1.1.02.05.001.09.02.04.99</v>
      </c>
      <c r="B47" s="331" t="str">
        <f>+IF(NOVIEMBRE!B47=0,"",NOVIEMBRE!B47)</f>
        <v>Vigencia Anterior</v>
      </c>
      <c r="C47" s="204">
        <f>+ENERO!C47</f>
        <v>505746730</v>
      </c>
      <c r="D47" s="205">
        <f>NOVIEMBRE!D47+DICIEMBRE!P47</f>
        <v>0</v>
      </c>
      <c r="E47" s="205">
        <f>NOVIEMBRE!E47+DICIEMBRE!Q47</f>
        <v>0</v>
      </c>
      <c r="F47" s="205">
        <f>SUM(C47:E47)</f>
        <v>505746730</v>
      </c>
      <c r="G47" s="205">
        <f>NOVIEMBRE!I47</f>
        <v>381199016</v>
      </c>
      <c r="H47" s="208">
        <v>0</v>
      </c>
      <c r="I47" s="680">
        <f>SUM(G47:H47)</f>
        <v>381199016</v>
      </c>
      <c r="J47" s="680">
        <f>NOVIEMBRE!L47</f>
        <v>381199016</v>
      </c>
      <c r="K47" s="208">
        <v>0</v>
      </c>
      <c r="L47" s="680">
        <f>SUM(J47:K47)</f>
        <v>381199016</v>
      </c>
      <c r="M47" s="205">
        <f>F47-I47</f>
        <v>124547714</v>
      </c>
      <c r="N47" s="206">
        <f>F47-L47</f>
        <v>124547714</v>
      </c>
      <c r="O47" s="67"/>
      <c r="P47" s="204">
        <v>0</v>
      </c>
      <c r="Q47" s="210">
        <v>0</v>
      </c>
      <c r="R47" s="101"/>
      <c r="S47" s="311" t="str">
        <f>+IF(NOVIEMBRE!S47=0,"",NOVIEMBRE!S47)</f>
        <v>1010301-3</v>
      </c>
      <c r="T47" s="312" t="str">
        <f>+IF(NOVIEMBRE!T47=0,"",NOVIEMBRE!T47)</f>
        <v>Fondos de cesantías - Aportes cuenta maestra</v>
      </c>
      <c r="U47" s="373">
        <f>+ENERO!U47</f>
        <v>0</v>
      </c>
      <c r="V47" s="220">
        <f>NOVIEMBRE!V47+DICIEMBRE!AL47</f>
        <v>0</v>
      </c>
      <c r="W47" s="220">
        <f>NOVIEMBRE!W47+DICIEMBRE!AM47</f>
        <v>0</v>
      </c>
      <c r="X47" s="271">
        <f>SUM(U47:W47)</f>
        <v>0</v>
      </c>
      <c r="Y47" s="270">
        <f>NOVIEMBRE!AA47</f>
        <v>0</v>
      </c>
      <c r="Z47" s="208"/>
      <c r="AA47" s="271">
        <f>SUM(Y47:Z47)</f>
        <v>0</v>
      </c>
      <c r="AB47" s="270">
        <f>NOVIEMBRE!AD47</f>
        <v>0</v>
      </c>
      <c r="AC47" s="208"/>
      <c r="AD47" s="271">
        <f>SUM(AB47:AC47)</f>
        <v>0</v>
      </c>
      <c r="AE47" s="270">
        <f>NOVIEMBRE!AG47</f>
        <v>0</v>
      </c>
      <c r="AF47" s="208"/>
      <c r="AG47" s="271">
        <f>SUM(AE47:AF47)</f>
        <v>0</v>
      </c>
      <c r="AH47" s="270">
        <f>X47-AA47</f>
        <v>0</v>
      </c>
      <c r="AI47" s="220">
        <f>X47-AD47</f>
        <v>0</v>
      </c>
      <c r="AJ47" s="269">
        <f>X47-AG47</f>
        <v>0</v>
      </c>
      <c r="AK47" s="101"/>
      <c r="AL47" s="204"/>
      <c r="AM47" s="210">
        <v>0</v>
      </c>
      <c r="AN47" s="101"/>
      <c r="AO47" s="67"/>
      <c r="AP47" s="67"/>
      <c r="AQ47" s="67"/>
      <c r="AR47" s="67"/>
      <c r="AS47" s="67"/>
      <c r="AT47" s="67"/>
      <c r="AU47" s="67"/>
      <c r="AV47" s="67"/>
      <c r="AW47" s="67"/>
      <c r="AX47" s="67"/>
      <c r="AY47" s="67"/>
      <c r="AZ47" s="67"/>
      <c r="BA47" s="67"/>
      <c r="BB47" s="336"/>
      <c r="BC47" s="336"/>
      <c r="BD47" s="336"/>
      <c r="BE47" s="336"/>
      <c r="BF47" s="67"/>
      <c r="BG47" s="67"/>
      <c r="BH47" s="67"/>
      <c r="BI47" s="67"/>
      <c r="BJ47" s="67"/>
      <c r="BK47" s="67"/>
      <c r="BL47" s="67"/>
      <c r="BM47" s="67"/>
      <c r="BN47" s="67"/>
      <c r="BO47" s="67"/>
      <c r="BP47" s="67"/>
      <c r="BQ47" s="67"/>
    </row>
    <row r="48" spans="1:69" ht="24.75" customHeight="1">
      <c r="A48" s="286" t="str">
        <f>+IF(NOVIEMBRE!A48=0,"",NOVIEMBRE!A48)</f>
        <v>1.1.02.05.001.09.02.11</v>
      </c>
      <c r="B48" s="319" t="str">
        <f>+IF(NOVIEMBRE!B48=0,"",NOVIEMBRE!B48)</f>
        <v>Poblacion Especial</v>
      </c>
      <c r="C48" s="288">
        <f t="shared" ref="C48:N48" si="52">SUM(C49:C50)</f>
        <v>225672391</v>
      </c>
      <c r="D48" s="320">
        <f t="shared" si="52"/>
        <v>0</v>
      </c>
      <c r="E48" s="320">
        <f t="shared" si="52"/>
        <v>0</v>
      </c>
      <c r="F48" s="320">
        <f t="shared" si="52"/>
        <v>225672391</v>
      </c>
      <c r="G48" s="320">
        <f t="shared" si="52"/>
        <v>145941781</v>
      </c>
      <c r="H48" s="320">
        <f t="shared" si="52"/>
        <v>10193427</v>
      </c>
      <c r="I48" s="679">
        <f t="shared" si="52"/>
        <v>156135208</v>
      </c>
      <c r="J48" s="679">
        <f t="shared" si="52"/>
        <v>77521640</v>
      </c>
      <c r="K48" s="320">
        <f t="shared" si="52"/>
        <v>15290766</v>
      </c>
      <c r="L48" s="679">
        <f t="shared" si="52"/>
        <v>92812406</v>
      </c>
      <c r="M48" s="320">
        <f t="shared" si="52"/>
        <v>69537183</v>
      </c>
      <c r="N48" s="289">
        <f t="shared" si="52"/>
        <v>132859985</v>
      </c>
      <c r="O48" s="67"/>
      <c r="P48" s="288">
        <f>SUM(P49:P50)</f>
        <v>0</v>
      </c>
      <c r="Q48" s="289">
        <f>SUM(Q49:Q50)</f>
        <v>0</v>
      </c>
      <c r="R48" s="101"/>
      <c r="S48" s="311" t="str">
        <f>+IF(NOVIEMBRE!S48=0,"",NOVIEMBRE!S48)</f>
        <v>1010301-4</v>
      </c>
      <c r="T48" s="312" t="str">
        <f>+IF(NOVIEMBRE!T48=0,"",NOVIEMBRE!T48)</f>
        <v>Riesgos laborales - Aportes cuenta maestra</v>
      </c>
      <c r="U48" s="373">
        <f>+ENERO!U48</f>
        <v>0</v>
      </c>
      <c r="V48" s="220">
        <f>NOVIEMBRE!V48+DICIEMBRE!AL48</f>
        <v>0</v>
      </c>
      <c r="W48" s="220">
        <f>NOVIEMBRE!W48+DICIEMBRE!AM48</f>
        <v>0</v>
      </c>
      <c r="X48" s="271">
        <f>SUM(U48:W48)</f>
        <v>0</v>
      </c>
      <c r="Y48" s="270">
        <f>NOVIEMBRE!AA48</f>
        <v>0</v>
      </c>
      <c r="Z48" s="208"/>
      <c r="AA48" s="271">
        <f>SUM(Y48:Z48)</f>
        <v>0</v>
      </c>
      <c r="AB48" s="270">
        <f>NOVIEMBRE!AD48</f>
        <v>0</v>
      </c>
      <c r="AC48" s="208"/>
      <c r="AD48" s="271">
        <f>SUM(AB48:AC48)</f>
        <v>0</v>
      </c>
      <c r="AE48" s="270">
        <f>NOVIEMBRE!AG48</f>
        <v>0</v>
      </c>
      <c r="AF48" s="208"/>
      <c r="AG48" s="271">
        <f>SUM(AE48:AF48)</f>
        <v>0</v>
      </c>
      <c r="AH48" s="270">
        <f>X48-AA48</f>
        <v>0</v>
      </c>
      <c r="AI48" s="220">
        <f>X48-AD48</f>
        <v>0</v>
      </c>
      <c r="AJ48" s="269">
        <f>X48-AG48</f>
        <v>0</v>
      </c>
      <c r="AK48" s="101"/>
      <c r="AL48" s="204"/>
      <c r="AM48" s="210">
        <v>0</v>
      </c>
      <c r="AN48" s="101"/>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row>
    <row r="49" spans="1:39" ht="24.75" customHeight="1">
      <c r="A49" s="202" t="str">
        <f>+IF(NOVIEMBRE!A49=0,"",NOVIEMBRE!A49)</f>
        <v>1.1.02.05.001.09.02.11</v>
      </c>
      <c r="B49" s="331" t="str">
        <f>+CONCATENATE("Vigencia ",INSTRUCCIONES!$F$3)</f>
        <v>Vigencia 2025</v>
      </c>
      <c r="C49" s="204">
        <f>+ENERO!C49</f>
        <v>180672391</v>
      </c>
      <c r="D49" s="205">
        <f>NOVIEMBRE!D49+DICIEMBRE!P49</f>
        <v>0</v>
      </c>
      <c r="E49" s="205">
        <f>NOVIEMBRE!E49+DICIEMBRE!Q49</f>
        <v>0</v>
      </c>
      <c r="F49" s="205">
        <f>SUM(C49:E49)</f>
        <v>180672391</v>
      </c>
      <c r="G49" s="205">
        <f>NOVIEMBRE!I49</f>
        <v>106739437</v>
      </c>
      <c r="H49" s="208">
        <v>10193427</v>
      </c>
      <c r="I49" s="680">
        <f>SUM(G49:H49)</f>
        <v>116932864</v>
      </c>
      <c r="J49" s="680">
        <f>NOVIEMBRE!L49</f>
        <v>38319296</v>
      </c>
      <c r="K49" s="208">
        <v>15290766</v>
      </c>
      <c r="L49" s="680">
        <f>SUM(J49:K49)</f>
        <v>53610062</v>
      </c>
      <c r="M49" s="205">
        <f>F49-I49</f>
        <v>63739527</v>
      </c>
      <c r="N49" s="206">
        <f>F49-L49</f>
        <v>127062329</v>
      </c>
      <c r="O49" s="67"/>
      <c r="P49" s="204">
        <v>0</v>
      </c>
      <c r="Q49" s="210">
        <v>0</v>
      </c>
      <c r="R49" s="101"/>
      <c r="S49" s="266">
        <f>+IF(NOVIEMBRE!S49=0,"",NOVIEMBRE!S49)</f>
        <v>1010302</v>
      </c>
      <c r="T49" s="267" t="str">
        <f>+IF(NOVIEMBRE!T49=0,"",NOVIEMBRE!T49)</f>
        <v>Contribuciones - Otros</v>
      </c>
      <c r="U49" s="373">
        <f t="shared" ref="U49:AJ49" si="53">SUM(U50:U54)</f>
        <v>2369058848.2960005</v>
      </c>
      <c r="V49" s="220">
        <f t="shared" si="53"/>
        <v>-101000000</v>
      </c>
      <c r="W49" s="220">
        <f t="shared" si="53"/>
        <v>0</v>
      </c>
      <c r="X49" s="271">
        <f t="shared" si="53"/>
        <v>2268058848.2960005</v>
      </c>
      <c r="Y49" s="270">
        <f t="shared" si="53"/>
        <v>1447522167</v>
      </c>
      <c r="Z49" s="300">
        <f t="shared" si="53"/>
        <v>683960203</v>
      </c>
      <c r="AA49" s="271">
        <f t="shared" si="53"/>
        <v>2131482370</v>
      </c>
      <c r="AB49" s="270">
        <f t="shared" si="53"/>
        <v>1447522167</v>
      </c>
      <c r="AC49" s="300">
        <f t="shared" si="53"/>
        <v>683960203</v>
      </c>
      <c r="AD49" s="271">
        <f t="shared" si="53"/>
        <v>2131482370</v>
      </c>
      <c r="AE49" s="270">
        <f t="shared" si="53"/>
        <v>1447522166</v>
      </c>
      <c r="AF49" s="300">
        <f t="shared" si="53"/>
        <v>120335400</v>
      </c>
      <c r="AG49" s="271">
        <f t="shared" si="53"/>
        <v>1567857566</v>
      </c>
      <c r="AH49" s="270">
        <f t="shared" si="53"/>
        <v>136576478.29600021</v>
      </c>
      <c r="AI49" s="220">
        <f t="shared" si="53"/>
        <v>136576478.29600021</v>
      </c>
      <c r="AJ49" s="269">
        <f t="shared" si="53"/>
        <v>700201282.29600024</v>
      </c>
      <c r="AK49" s="101"/>
      <c r="AL49" s="301">
        <f>SUM(AL50:AL54)</f>
        <v>-71000000</v>
      </c>
      <c r="AM49" s="302">
        <f>SUM(AM50:AM54)</f>
        <v>0</v>
      </c>
    </row>
    <row r="50" spans="1:39" ht="24.75" customHeight="1">
      <c r="A50" s="202" t="str">
        <f>+IF(NOVIEMBRE!A50=0,"",NOVIEMBRE!A50)</f>
        <v>1.1.02.05.001.09.02.11.99</v>
      </c>
      <c r="B50" s="331" t="str">
        <f>+IF(NOVIEMBRE!B50=0,"",NOVIEMBRE!B50)</f>
        <v>Vigencia Anterior</v>
      </c>
      <c r="C50" s="204">
        <f>+ENERO!C50</f>
        <v>45000000</v>
      </c>
      <c r="D50" s="205">
        <f>NOVIEMBRE!D50+DICIEMBRE!P50</f>
        <v>0</v>
      </c>
      <c r="E50" s="205">
        <f>NOVIEMBRE!E50+DICIEMBRE!Q50</f>
        <v>0</v>
      </c>
      <c r="F50" s="205">
        <f>SUM(C50:E50)</f>
        <v>45000000</v>
      </c>
      <c r="G50" s="205">
        <f>NOVIEMBRE!I50</f>
        <v>39202344</v>
      </c>
      <c r="H50" s="208">
        <v>0</v>
      </c>
      <c r="I50" s="680">
        <f>SUM(G50:H50)</f>
        <v>39202344</v>
      </c>
      <c r="J50" s="680">
        <f>NOVIEMBRE!L50</f>
        <v>39202344</v>
      </c>
      <c r="K50" s="208">
        <v>0</v>
      </c>
      <c r="L50" s="680">
        <f>SUM(J50:K50)</f>
        <v>39202344</v>
      </c>
      <c r="M50" s="205">
        <f>F50-I50</f>
        <v>5797656</v>
      </c>
      <c r="N50" s="206">
        <f>F50-L50</f>
        <v>5797656</v>
      </c>
      <c r="O50" s="67"/>
      <c r="P50" s="204">
        <v>0</v>
      </c>
      <c r="Q50" s="210">
        <v>0</v>
      </c>
      <c r="R50" s="101"/>
      <c r="S50" s="311" t="str">
        <f>+IF(NOVIEMBRE!S50=0,"",NOVIEMBRE!S50)</f>
        <v>2.1.1.01.02.002</v>
      </c>
      <c r="T50" s="312" t="str">
        <f>+IF(NOVIEMBRE!T50=0,"",NOVIEMBRE!T50)</f>
        <v>Aportes a E.P.S. - recursos propios</v>
      </c>
      <c r="U50" s="373">
        <f>+ENERO!U50</f>
        <v>555207343.50000024</v>
      </c>
      <c r="V50" s="220">
        <f>NOVIEMBRE!V50+DICIEMBRE!AL50</f>
        <v>-40000000</v>
      </c>
      <c r="W50" s="220">
        <f>NOVIEMBRE!W50+DICIEMBRE!AM50</f>
        <v>0</v>
      </c>
      <c r="X50" s="271">
        <f t="shared" ref="X50:X55" si="54">SUM(U50:W50)</f>
        <v>515207343.50000024</v>
      </c>
      <c r="Y50" s="270">
        <f>NOVIEMBRE!AA50</f>
        <v>435200751</v>
      </c>
      <c r="Z50" s="1186">
        <v>38445300</v>
      </c>
      <c r="AA50" s="271">
        <f t="shared" ref="AA50:AA55" si="55">SUM(Y50:Z50)</f>
        <v>473646051</v>
      </c>
      <c r="AB50" s="270">
        <f>NOVIEMBRE!AD50</f>
        <v>435200751</v>
      </c>
      <c r="AC50" s="1186">
        <v>38445300</v>
      </c>
      <c r="AD50" s="271">
        <f t="shared" ref="AD50:AD55" si="56">SUM(AB50:AC50)</f>
        <v>473646051</v>
      </c>
      <c r="AE50" s="270">
        <f>NOVIEMBRE!AG50</f>
        <v>435200751</v>
      </c>
      <c r="AF50" s="1186">
        <v>38445300</v>
      </c>
      <c r="AG50" s="271">
        <f t="shared" ref="AG50:AG55" si="57">SUM(AE50:AF50)</f>
        <v>473646051</v>
      </c>
      <c r="AH50" s="270">
        <f t="shared" ref="AH50:AH55" si="58">X50-AA50</f>
        <v>41561292.500000238</v>
      </c>
      <c r="AI50" s="220">
        <f t="shared" ref="AI50:AI55" si="59">X50-AD50</f>
        <v>41561292.500000238</v>
      </c>
      <c r="AJ50" s="269">
        <f t="shared" ref="AJ50:AJ55" si="60">X50-AG50</f>
        <v>41561292.500000238</v>
      </c>
      <c r="AK50" s="101"/>
      <c r="AL50" s="204">
        <f>-40000000</f>
        <v>-40000000</v>
      </c>
      <c r="AM50" s="210">
        <v>0</v>
      </c>
    </row>
    <row r="51" spans="1:39" ht="24.75" customHeight="1">
      <c r="A51" s="286" t="str">
        <f>+IF(NOVIEMBRE!A51=0,"",NOVIEMBRE!A51)</f>
        <v>1.1.02.05.001.09.02.16</v>
      </c>
      <c r="B51" s="319" t="str">
        <f>+IF(NOVIEMBRE!B51=0,"",NOVIEMBRE!B51)</f>
        <v>Fondo Nacional de la Salud personas privadas de la Libertad</v>
      </c>
      <c r="C51" s="288">
        <f t="shared" ref="C51:N51" si="61">SUM(C52:C53)</f>
        <v>168856</v>
      </c>
      <c r="D51" s="320">
        <f t="shared" si="61"/>
        <v>0</v>
      </c>
      <c r="E51" s="320">
        <f t="shared" si="61"/>
        <v>0</v>
      </c>
      <c r="F51" s="320">
        <f t="shared" si="61"/>
        <v>168856</v>
      </c>
      <c r="G51" s="320">
        <f t="shared" si="61"/>
        <v>43047331</v>
      </c>
      <c r="H51" s="320">
        <f t="shared" si="61"/>
        <v>0</v>
      </c>
      <c r="I51" s="679">
        <f t="shared" si="61"/>
        <v>43047331</v>
      </c>
      <c r="J51" s="679">
        <f t="shared" si="61"/>
        <v>15371803</v>
      </c>
      <c r="K51" s="320">
        <f t="shared" si="61"/>
        <v>0</v>
      </c>
      <c r="L51" s="679">
        <f t="shared" si="61"/>
        <v>15371803</v>
      </c>
      <c r="M51" s="320">
        <f t="shared" si="61"/>
        <v>-42878475</v>
      </c>
      <c r="N51" s="289">
        <f t="shared" si="61"/>
        <v>-15202947</v>
      </c>
      <c r="O51" s="67"/>
      <c r="P51" s="288">
        <f>SUM(P52:P53)</f>
        <v>0</v>
      </c>
      <c r="Q51" s="289">
        <f>SUM(Q52:Q53)</f>
        <v>0</v>
      </c>
      <c r="R51" s="101"/>
      <c r="S51" s="311" t="str">
        <f>+IF(NOVIEMBRE!S51=0,"",NOVIEMBRE!S51)</f>
        <v>2.1.1.01.02.001</v>
      </c>
      <c r="T51" s="312" t="str">
        <f>+IF(NOVIEMBRE!T51=0,"",NOVIEMBRE!T51)</f>
        <v>Aportes Fondos Pensionales - recursos propios</v>
      </c>
      <c r="U51" s="373">
        <f>+ENERO!U51</f>
        <v>783822132</v>
      </c>
      <c r="V51" s="220">
        <f>NOVIEMBRE!V51+DICIEMBRE!AL51</f>
        <v>-55000000</v>
      </c>
      <c r="W51" s="220">
        <f>NOVIEMBRE!W51+DICIEMBRE!AM51</f>
        <v>0</v>
      </c>
      <c r="X51" s="271">
        <f t="shared" si="54"/>
        <v>728822132</v>
      </c>
      <c r="Y51" s="270">
        <f>NOVIEMBRE!AA51</f>
        <v>618278995</v>
      </c>
      <c r="Z51" s="1186">
        <v>54889100</v>
      </c>
      <c r="AA51" s="271">
        <f t="shared" si="55"/>
        <v>673168095</v>
      </c>
      <c r="AB51" s="270">
        <f>NOVIEMBRE!AD51</f>
        <v>618278995</v>
      </c>
      <c r="AC51" s="1186">
        <v>54889100</v>
      </c>
      <c r="AD51" s="271">
        <f t="shared" si="56"/>
        <v>673168095</v>
      </c>
      <c r="AE51" s="270">
        <f>NOVIEMBRE!AG51</f>
        <v>618278995</v>
      </c>
      <c r="AF51" s="1186">
        <v>54889100</v>
      </c>
      <c r="AG51" s="271">
        <f t="shared" si="57"/>
        <v>673168095</v>
      </c>
      <c r="AH51" s="270">
        <f t="shared" si="58"/>
        <v>55654037</v>
      </c>
      <c r="AI51" s="220">
        <f t="shared" si="59"/>
        <v>55654037</v>
      </c>
      <c r="AJ51" s="269">
        <f t="shared" si="60"/>
        <v>55654037</v>
      </c>
      <c r="AK51" s="101"/>
      <c r="AL51" s="204">
        <f>-13000000-42000000</f>
        <v>-55000000</v>
      </c>
      <c r="AM51" s="210">
        <v>0</v>
      </c>
    </row>
    <row r="52" spans="1:39" ht="24.75" customHeight="1">
      <c r="A52" s="202" t="str">
        <f>+IF(NOVIEMBRE!A52=0,"",NOVIEMBRE!A52)</f>
        <v>1.1.02.05.001.09.02.16</v>
      </c>
      <c r="B52" s="331" t="str">
        <f>+CONCATENATE("Vigencia ",INSTRUCCIONES!$F$3)</f>
        <v>Vigencia 2025</v>
      </c>
      <c r="C52" s="204">
        <f>+ENERO!C52</f>
        <v>168856</v>
      </c>
      <c r="D52" s="205">
        <f>NOVIEMBRE!D52+DICIEMBRE!P52</f>
        <v>0</v>
      </c>
      <c r="E52" s="205">
        <f>NOVIEMBRE!E52+DICIEMBRE!Q52</f>
        <v>0</v>
      </c>
      <c r="F52" s="205">
        <f>SUM(C52:E52)</f>
        <v>168856</v>
      </c>
      <c r="G52" s="205">
        <f>NOVIEMBRE!I52</f>
        <v>27675528</v>
      </c>
      <c r="H52" s="208">
        <v>0</v>
      </c>
      <c r="I52" s="680">
        <f>SUM(G52:H52)</f>
        <v>27675528</v>
      </c>
      <c r="J52" s="680">
        <f>NOVIEMBRE!L52</f>
        <v>0</v>
      </c>
      <c r="K52" s="208">
        <v>0</v>
      </c>
      <c r="L52" s="680">
        <f>SUM(J52:K52)</f>
        <v>0</v>
      </c>
      <c r="M52" s="205">
        <f>F52-I52</f>
        <v>-27506672</v>
      </c>
      <c r="N52" s="206">
        <f>F52-L52</f>
        <v>168856</v>
      </c>
      <c r="O52" s="67"/>
      <c r="P52" s="204">
        <v>0</v>
      </c>
      <c r="Q52" s="210">
        <v>0</v>
      </c>
      <c r="R52" s="101"/>
      <c r="S52" s="311" t="str">
        <f>+IF(NOVIEMBRE!S52=0,"",NOVIEMBRE!S52)</f>
        <v>2.1.1.01.02.003</v>
      </c>
      <c r="T52" s="312" t="str">
        <f>+IF(NOVIEMBRE!T52=0,"",NOVIEMBRE!T52)</f>
        <v>Aportes a Fondos de Cesantia - recursos propios</v>
      </c>
      <c r="U52" s="373">
        <f>+ENERO!U52</f>
        <v>609639436</v>
      </c>
      <c r="V52" s="220">
        <f>NOVIEMBRE!V52+DICIEMBRE!AL52</f>
        <v>54000000</v>
      </c>
      <c r="W52" s="220">
        <f>NOVIEMBRE!W52+DICIEMBRE!AM52</f>
        <v>0</v>
      </c>
      <c r="X52" s="271">
        <f t="shared" si="54"/>
        <v>663639436</v>
      </c>
      <c r="Y52" s="270">
        <f>NOVIEMBRE!AA52</f>
        <v>95176921</v>
      </c>
      <c r="Z52" s="1186">
        <v>563624803</v>
      </c>
      <c r="AA52" s="271">
        <f t="shared" si="55"/>
        <v>658801724</v>
      </c>
      <c r="AB52" s="270">
        <f>NOVIEMBRE!AD52</f>
        <v>95176921</v>
      </c>
      <c r="AC52" s="1186">
        <v>563624803</v>
      </c>
      <c r="AD52" s="271">
        <f t="shared" si="56"/>
        <v>658801724</v>
      </c>
      <c r="AE52" s="270">
        <f>NOVIEMBRE!AG52</f>
        <v>95176920</v>
      </c>
      <c r="AF52" s="1186">
        <v>0</v>
      </c>
      <c r="AG52" s="271">
        <f t="shared" si="57"/>
        <v>95176920</v>
      </c>
      <c r="AH52" s="270">
        <f t="shared" si="58"/>
        <v>4837712</v>
      </c>
      <c r="AI52" s="220">
        <f t="shared" si="59"/>
        <v>4837712</v>
      </c>
      <c r="AJ52" s="269">
        <f t="shared" si="60"/>
        <v>568462516</v>
      </c>
      <c r="AK52" s="101"/>
      <c r="AL52" s="204">
        <v>84000000</v>
      </c>
      <c r="AM52" s="210">
        <v>0</v>
      </c>
    </row>
    <row r="53" spans="1:39" ht="24.75" customHeight="1">
      <c r="A53" s="202" t="str">
        <f>+IF(NOVIEMBRE!A53=0,"",NOVIEMBRE!A53)</f>
        <v>1.1.02.05.001.09.02.16.99</v>
      </c>
      <c r="B53" s="331" t="str">
        <f>+IF(NOVIEMBRE!B53=0,"",NOVIEMBRE!B53)</f>
        <v>Vigencia Anterior</v>
      </c>
      <c r="C53" s="204">
        <f>+ENERO!C53</f>
        <v>0</v>
      </c>
      <c r="D53" s="205">
        <f>NOVIEMBRE!D53+DICIEMBRE!P53</f>
        <v>0</v>
      </c>
      <c r="E53" s="205">
        <f>NOVIEMBRE!E53+DICIEMBRE!Q53</f>
        <v>0</v>
      </c>
      <c r="F53" s="205">
        <f>SUM(C53:E53)</f>
        <v>0</v>
      </c>
      <c r="G53" s="205">
        <f>NOVIEMBRE!I53</f>
        <v>15371803</v>
      </c>
      <c r="H53" s="208">
        <v>0</v>
      </c>
      <c r="I53" s="680">
        <f>SUM(G53:H53)</f>
        <v>15371803</v>
      </c>
      <c r="J53" s="680">
        <f>NOVIEMBRE!L53</f>
        <v>15371803</v>
      </c>
      <c r="K53" s="208">
        <v>0</v>
      </c>
      <c r="L53" s="680">
        <f>SUM(J53:K53)</f>
        <v>15371803</v>
      </c>
      <c r="M53" s="205">
        <f>F53-I53</f>
        <v>-15371803</v>
      </c>
      <c r="N53" s="206">
        <f>F53-L53</f>
        <v>-15371803</v>
      </c>
      <c r="O53" s="67"/>
      <c r="P53" s="204">
        <v>0</v>
      </c>
      <c r="Q53" s="210">
        <v>0</v>
      </c>
      <c r="R53" s="101"/>
      <c r="S53" s="311" t="str">
        <f>+IF(NOVIEMBRE!S53=0,"",NOVIEMBRE!S53)</f>
        <v>2.1.1.01.02.005</v>
      </c>
      <c r="T53" s="312" t="str">
        <f>+IF(NOVIEMBRE!T53=0,"",NOVIEMBRE!T53)</f>
        <v>Aporte a ARL. - recursos propios</v>
      </c>
      <c r="U53" s="373">
        <f>+ENERO!U53</f>
        <v>159115892.79599997</v>
      </c>
      <c r="V53" s="220">
        <f>NOVIEMBRE!V53+DICIEMBRE!AL53</f>
        <v>-60000000</v>
      </c>
      <c r="W53" s="220">
        <f>NOVIEMBRE!W53+DICIEMBRE!AM53</f>
        <v>0</v>
      </c>
      <c r="X53" s="271">
        <f t="shared" si="54"/>
        <v>99115892.795999974</v>
      </c>
      <c r="Y53" s="270">
        <f>NOVIEMBRE!AA53</f>
        <v>86389300</v>
      </c>
      <c r="Z53" s="1186">
        <v>7047900</v>
      </c>
      <c r="AA53" s="271">
        <f t="shared" si="55"/>
        <v>93437200</v>
      </c>
      <c r="AB53" s="270">
        <f>NOVIEMBRE!AD53</f>
        <v>86389300</v>
      </c>
      <c r="AC53" s="1186">
        <v>7047900</v>
      </c>
      <c r="AD53" s="271">
        <f t="shared" si="56"/>
        <v>93437200</v>
      </c>
      <c r="AE53" s="270">
        <f>NOVIEMBRE!AG53</f>
        <v>86389300</v>
      </c>
      <c r="AF53" s="1186">
        <v>7047900</v>
      </c>
      <c r="AG53" s="271">
        <f t="shared" si="57"/>
        <v>93437200</v>
      </c>
      <c r="AH53" s="270">
        <f t="shared" si="58"/>
        <v>5678692.795999974</v>
      </c>
      <c r="AI53" s="220">
        <f t="shared" si="59"/>
        <v>5678692.795999974</v>
      </c>
      <c r="AJ53" s="269">
        <f t="shared" si="60"/>
        <v>5678692.795999974</v>
      </c>
      <c r="AK53" s="101"/>
      <c r="AL53" s="204">
        <v>-60000000</v>
      </c>
      <c r="AM53" s="210">
        <v>0</v>
      </c>
    </row>
    <row r="54" spans="1:39" ht="24.75" customHeight="1">
      <c r="A54" s="286" t="str">
        <f>+IF(NOVIEMBRE!A54=0,"",NOVIEMBRE!A54)</f>
        <v>1.1.02.05.001.09.02.17</v>
      </c>
      <c r="B54" s="319" t="str">
        <f>+IF(NOVIEMBRE!B54=0,"",NOVIEMBRE!B54)</f>
        <v>EMPRESAS MEDICINA PREPAGADA</v>
      </c>
      <c r="C54" s="288">
        <f t="shared" ref="C54:N54" si="62">SUM(C55:C56)</f>
        <v>968592.84788797423</v>
      </c>
      <c r="D54" s="320">
        <f t="shared" si="62"/>
        <v>0</v>
      </c>
      <c r="E54" s="320">
        <f t="shared" si="62"/>
        <v>0</v>
      </c>
      <c r="F54" s="320">
        <f t="shared" si="62"/>
        <v>968592.84788797423</v>
      </c>
      <c r="G54" s="320">
        <f t="shared" si="62"/>
        <v>15662038</v>
      </c>
      <c r="H54" s="320">
        <f t="shared" si="62"/>
        <v>0</v>
      </c>
      <c r="I54" s="679">
        <f t="shared" si="62"/>
        <v>15662038</v>
      </c>
      <c r="J54" s="679">
        <f t="shared" si="62"/>
        <v>11142773</v>
      </c>
      <c r="K54" s="320">
        <f t="shared" si="62"/>
        <v>366891</v>
      </c>
      <c r="L54" s="679">
        <f t="shared" si="62"/>
        <v>11509664</v>
      </c>
      <c r="M54" s="320">
        <f t="shared" si="62"/>
        <v>-14693445.152112026</v>
      </c>
      <c r="N54" s="289">
        <f t="shared" si="62"/>
        <v>-10541071.152112026</v>
      </c>
      <c r="O54" s="67"/>
      <c r="P54" s="288">
        <f>SUM(P55:P56)</f>
        <v>0</v>
      </c>
      <c r="Q54" s="289">
        <f>SUM(Q55:Q56)</f>
        <v>0</v>
      </c>
      <c r="R54" s="101"/>
      <c r="S54" s="311" t="str">
        <f>+IF(NOVIEMBRE!S54=0,"",NOVIEMBRE!S54)</f>
        <v>2.1.1.01.02.004</v>
      </c>
      <c r="T54" s="312" t="str">
        <f>+IF(NOVIEMBRE!T54=0,"",NOVIEMBRE!T54)</f>
        <v>Aporte a Caja Compensación Familiar</v>
      </c>
      <c r="U54" s="373">
        <f>+ENERO!U54</f>
        <v>261274044</v>
      </c>
      <c r="V54" s="220">
        <f>NOVIEMBRE!V54+DICIEMBRE!AL54</f>
        <v>0</v>
      </c>
      <c r="W54" s="220">
        <f>NOVIEMBRE!W54+DICIEMBRE!AM54</f>
        <v>0</v>
      </c>
      <c r="X54" s="271">
        <f t="shared" si="54"/>
        <v>261274044</v>
      </c>
      <c r="Y54" s="270">
        <f>NOVIEMBRE!AA54</f>
        <v>212476200</v>
      </c>
      <c r="Z54" s="1186">
        <v>19953100</v>
      </c>
      <c r="AA54" s="271">
        <f t="shared" si="55"/>
        <v>232429300</v>
      </c>
      <c r="AB54" s="270">
        <f>NOVIEMBRE!AD54</f>
        <v>212476200</v>
      </c>
      <c r="AC54" s="1186">
        <v>19953100</v>
      </c>
      <c r="AD54" s="271">
        <f t="shared" si="56"/>
        <v>232429300</v>
      </c>
      <c r="AE54" s="270">
        <f>NOVIEMBRE!AG54</f>
        <v>212476200</v>
      </c>
      <c r="AF54" s="1186">
        <v>19953100</v>
      </c>
      <c r="AG54" s="271">
        <f t="shared" si="57"/>
        <v>232429300</v>
      </c>
      <c r="AH54" s="270">
        <f t="shared" si="58"/>
        <v>28844744</v>
      </c>
      <c r="AI54" s="220">
        <f t="shared" si="59"/>
        <v>28844744</v>
      </c>
      <c r="AJ54" s="269">
        <f t="shared" si="60"/>
        <v>28844744</v>
      </c>
      <c r="AK54" s="101"/>
      <c r="AL54" s="204"/>
      <c r="AM54" s="210">
        <v>0</v>
      </c>
    </row>
    <row r="55" spans="1:39" ht="24.75" customHeight="1">
      <c r="A55" s="202" t="str">
        <f>+IF(NOVIEMBRE!A55=0,"",NOVIEMBRE!A55)</f>
        <v>1.1.02.05.001.09.02.17</v>
      </c>
      <c r="B55" s="331" t="str">
        <f>+CONCATENATE("Vigencia ",INSTRUCCIONES!$F$3)</f>
        <v>Vigencia 2025</v>
      </c>
      <c r="C55" s="204">
        <f>+ENERO!C55</f>
        <v>968592.84788797423</v>
      </c>
      <c r="D55" s="205">
        <f>NOVIEMBRE!D55+DICIEMBRE!P55</f>
        <v>0</v>
      </c>
      <c r="E55" s="205">
        <f>NOVIEMBRE!E55+DICIEMBRE!Q55</f>
        <v>0</v>
      </c>
      <c r="F55" s="205">
        <f>SUM(C55:E55)</f>
        <v>968592.84788797423</v>
      </c>
      <c r="G55" s="205">
        <f>NOVIEMBRE!I55</f>
        <v>5321129</v>
      </c>
      <c r="H55" s="208">
        <v>0</v>
      </c>
      <c r="I55" s="680">
        <f>SUM(G55:H55)</f>
        <v>5321129</v>
      </c>
      <c r="J55" s="680">
        <f>NOVIEMBRE!L55</f>
        <v>801864</v>
      </c>
      <c r="K55" s="208">
        <v>366891</v>
      </c>
      <c r="L55" s="680">
        <f>SUM(J55:K55)</f>
        <v>1168755</v>
      </c>
      <c r="M55" s="205">
        <f>F55-I55</f>
        <v>-4352536.1521120258</v>
      </c>
      <c r="N55" s="206">
        <f>F55-L55</f>
        <v>-200162.15211202577</v>
      </c>
      <c r="O55" s="67"/>
      <c r="P55" s="204">
        <v>0</v>
      </c>
      <c r="Q55" s="210">
        <v>0</v>
      </c>
      <c r="R55" s="101"/>
      <c r="S55" s="266" t="str">
        <f>+IF(NOVIEMBRE!S55=0,"",NOVIEMBRE!S55)</f>
        <v>2.1.1.01.02.003.99</v>
      </c>
      <c r="T55" s="267" t="str">
        <f>+IF(NOVIEMBRE!T55=0,"",NOVIEMBRE!T55)</f>
        <v>Vigencias Anteriores</v>
      </c>
      <c r="U55" s="373">
        <f>+ENERO!U55</f>
        <v>502141089.6665011</v>
      </c>
      <c r="V55" s="220">
        <f>NOVIEMBRE!V55+DICIEMBRE!AL55</f>
        <v>30000000</v>
      </c>
      <c r="W55" s="220">
        <f>NOVIEMBRE!W55+DICIEMBRE!AM55</f>
        <v>0</v>
      </c>
      <c r="X55" s="271">
        <f t="shared" si="54"/>
        <v>532141089.6665011</v>
      </c>
      <c r="Y55" s="270">
        <f>NOVIEMBRE!AA55</f>
        <v>524307634</v>
      </c>
      <c r="Z55" s="208"/>
      <c r="AA55" s="271">
        <f t="shared" si="55"/>
        <v>524307634</v>
      </c>
      <c r="AB55" s="270">
        <f>NOVIEMBRE!AD55</f>
        <v>524307634</v>
      </c>
      <c r="AC55" s="208"/>
      <c r="AD55" s="271">
        <f t="shared" si="56"/>
        <v>524307634</v>
      </c>
      <c r="AE55" s="270">
        <f>NOVIEMBRE!AG55</f>
        <v>524307634</v>
      </c>
      <c r="AF55" s="208"/>
      <c r="AG55" s="271">
        <f t="shared" si="57"/>
        <v>524307634</v>
      </c>
      <c r="AH55" s="270">
        <f t="shared" si="58"/>
        <v>7833455.6665011048</v>
      </c>
      <c r="AI55" s="220">
        <f t="shared" si="59"/>
        <v>7833455.6665011048</v>
      </c>
      <c r="AJ55" s="269">
        <f t="shared" si="60"/>
        <v>7833455.6665011048</v>
      </c>
      <c r="AK55" s="101"/>
      <c r="AL55" s="204"/>
      <c r="AM55" s="210">
        <v>0</v>
      </c>
    </row>
    <row r="56" spans="1:39" ht="24.75" customHeight="1">
      <c r="A56" s="202" t="str">
        <f>+IF(NOVIEMBRE!A56=0,"",NOVIEMBRE!A56)</f>
        <v>1.1.02.05.001.09.02.17.99</v>
      </c>
      <c r="B56" s="331" t="str">
        <f>+IF(NOVIEMBRE!B56=0,"",NOVIEMBRE!B56)</f>
        <v>Vigencia Anterior</v>
      </c>
      <c r="C56" s="204">
        <f>+ENERO!C56</f>
        <v>0</v>
      </c>
      <c r="D56" s="205">
        <f>NOVIEMBRE!D56+DICIEMBRE!P56</f>
        <v>0</v>
      </c>
      <c r="E56" s="205">
        <f>NOVIEMBRE!E56+DICIEMBRE!Q56</f>
        <v>0</v>
      </c>
      <c r="F56" s="205">
        <f>SUM(C56:E56)</f>
        <v>0</v>
      </c>
      <c r="G56" s="205">
        <f>NOVIEMBRE!I56</f>
        <v>10340909</v>
      </c>
      <c r="H56" s="208">
        <v>0</v>
      </c>
      <c r="I56" s="680">
        <f>SUM(G56:H56)</f>
        <v>10340909</v>
      </c>
      <c r="J56" s="680">
        <f>NOVIEMBRE!L56</f>
        <v>10340909</v>
      </c>
      <c r="K56" s="208">
        <v>0</v>
      </c>
      <c r="L56" s="680">
        <f>SUM(J56:K56)</f>
        <v>10340909</v>
      </c>
      <c r="M56" s="205">
        <f>F56-I56</f>
        <v>-10340909</v>
      </c>
      <c r="N56" s="206">
        <f>F56-L56</f>
        <v>-10340909</v>
      </c>
      <c r="O56" s="67"/>
      <c r="P56" s="204">
        <v>0</v>
      </c>
      <c r="Q56" s="210">
        <v>0</v>
      </c>
      <c r="R56" s="101"/>
      <c r="S56" s="189">
        <f>+IF(NOVIEMBRE!S56=0,"",NOVIEMBRE!S56)</f>
        <v>10340904</v>
      </c>
      <c r="T56" s="488" t="str">
        <f>+IF(NOVIEMBRE!T56=0,"",NOVIEMBRE!T56)</f>
        <v/>
      </c>
      <c r="U56" s="191"/>
      <c r="V56" s="191"/>
      <c r="W56" s="191"/>
      <c r="X56" s="191"/>
      <c r="Y56" s="191"/>
      <c r="Z56" s="191"/>
      <c r="AA56" s="191"/>
      <c r="AB56" s="191"/>
      <c r="AC56" s="191"/>
      <c r="AD56" s="191"/>
      <c r="AE56" s="191"/>
      <c r="AF56" s="191"/>
      <c r="AG56" s="191"/>
      <c r="AH56" s="191"/>
      <c r="AI56" s="191"/>
      <c r="AJ56" s="192"/>
      <c r="AK56" s="101"/>
      <c r="AL56" s="370"/>
      <c r="AM56" s="371"/>
    </row>
    <row r="57" spans="1:39" ht="24.75" customHeight="1">
      <c r="A57" s="286" t="str">
        <f>+IF(NOVIEMBRE!A57=0,"",NOVIEMBRE!A57)</f>
        <v>1.1.02.05.001.09.02.09</v>
      </c>
      <c r="B57" s="319" t="str">
        <f>+IF(NOVIEMBRE!B57=0,"",NOVIEMBRE!B57)</f>
        <v>IPS PRIVADAS</v>
      </c>
      <c r="C57" s="288">
        <f t="shared" ref="C57:N57" si="63">SUM(C58:C59)</f>
        <v>8042608</v>
      </c>
      <c r="D57" s="320">
        <f t="shared" si="63"/>
        <v>0</v>
      </c>
      <c r="E57" s="320">
        <f t="shared" si="63"/>
        <v>0</v>
      </c>
      <c r="F57" s="320">
        <f t="shared" si="63"/>
        <v>8042608</v>
      </c>
      <c r="G57" s="320">
        <f t="shared" si="63"/>
        <v>0</v>
      </c>
      <c r="H57" s="320">
        <f t="shared" si="63"/>
        <v>86675018</v>
      </c>
      <c r="I57" s="679">
        <f t="shared" si="63"/>
        <v>86675018</v>
      </c>
      <c r="J57" s="679">
        <f t="shared" si="63"/>
        <v>0</v>
      </c>
      <c r="K57" s="320">
        <f t="shared" si="63"/>
        <v>0</v>
      </c>
      <c r="L57" s="679">
        <f t="shared" si="63"/>
        <v>0</v>
      </c>
      <c r="M57" s="320">
        <f t="shared" si="63"/>
        <v>-78632410</v>
      </c>
      <c r="N57" s="289">
        <f t="shared" si="63"/>
        <v>8042608</v>
      </c>
      <c r="O57" s="67"/>
      <c r="P57" s="288">
        <f>SUM(P58:P59)</f>
        <v>0</v>
      </c>
      <c r="Q57" s="289">
        <f>SUM(Q58:Q59)</f>
        <v>0</v>
      </c>
      <c r="R57" s="101"/>
      <c r="S57" s="257">
        <f>+IF(NOVIEMBRE!S57=0,"",NOVIEMBRE!S57)</f>
        <v>1010400</v>
      </c>
      <c r="T57" s="546" t="str">
        <f>+IF(NOVIEMBRE!T57=0,"",NOVIEMBRE!T57)</f>
        <v>Contribuciones Inherentes nómina del Sector Publico</v>
      </c>
      <c r="U57" s="230">
        <f t="shared" ref="U57:AJ57" si="64">U58+U61</f>
        <v>326592555</v>
      </c>
      <c r="V57" s="231">
        <f t="shared" si="64"/>
        <v>0</v>
      </c>
      <c r="W57" s="231">
        <f t="shared" si="64"/>
        <v>0</v>
      </c>
      <c r="X57" s="234">
        <f t="shared" si="64"/>
        <v>326592555</v>
      </c>
      <c r="Y57" s="233">
        <f t="shared" si="64"/>
        <v>265656800</v>
      </c>
      <c r="Z57" s="231">
        <f t="shared" si="64"/>
        <v>24948100</v>
      </c>
      <c r="AA57" s="234">
        <f t="shared" si="64"/>
        <v>290604900</v>
      </c>
      <c r="AB57" s="233">
        <f t="shared" si="64"/>
        <v>265656800</v>
      </c>
      <c r="AC57" s="231">
        <f t="shared" si="64"/>
        <v>24948100</v>
      </c>
      <c r="AD57" s="234">
        <f t="shared" si="64"/>
        <v>290604900</v>
      </c>
      <c r="AE57" s="233">
        <f t="shared" si="64"/>
        <v>265656800</v>
      </c>
      <c r="AF57" s="231">
        <f t="shared" si="64"/>
        <v>24948100</v>
      </c>
      <c r="AG57" s="234">
        <f t="shared" si="64"/>
        <v>290604900</v>
      </c>
      <c r="AH57" s="233">
        <f t="shared" si="64"/>
        <v>35987655</v>
      </c>
      <c r="AI57" s="231">
        <f t="shared" si="64"/>
        <v>35987655</v>
      </c>
      <c r="AJ57" s="232">
        <f t="shared" si="64"/>
        <v>35987655</v>
      </c>
      <c r="AK57" s="101"/>
      <c r="AL57" s="233">
        <f>AL58+AL61</f>
        <v>0</v>
      </c>
      <c r="AM57" s="232">
        <f>AM58+AM61</f>
        <v>0</v>
      </c>
    </row>
    <row r="58" spans="1:39" ht="24.75" customHeight="1">
      <c r="A58" s="202" t="str">
        <f>+IF(NOVIEMBRE!A58=0,"",NOVIEMBRE!A58)</f>
        <v>1.1.02.05.001.09.02.09</v>
      </c>
      <c r="B58" s="331" t="str">
        <f>+CONCATENATE("Vigencia ",INSTRUCCIONES!$F$3)</f>
        <v>Vigencia 2025</v>
      </c>
      <c r="C58" s="204">
        <f>+ENERO!C58</f>
        <v>8042608</v>
      </c>
      <c r="D58" s="205">
        <f>NOVIEMBRE!D58+DICIEMBRE!P58</f>
        <v>0</v>
      </c>
      <c r="E58" s="205">
        <f>NOVIEMBRE!E58+DICIEMBRE!Q58</f>
        <v>0</v>
      </c>
      <c r="F58" s="205">
        <f>SUM(C58:E58)</f>
        <v>8042608</v>
      </c>
      <c r="G58" s="205">
        <f>NOVIEMBRE!I58</f>
        <v>0</v>
      </c>
      <c r="H58" s="208">
        <v>86675018</v>
      </c>
      <c r="I58" s="680">
        <f>SUM(G58:H58)</f>
        <v>86675018</v>
      </c>
      <c r="J58" s="680">
        <f>NOVIEMBRE!L58</f>
        <v>0</v>
      </c>
      <c r="K58" s="208">
        <v>0</v>
      </c>
      <c r="L58" s="680">
        <f>SUM(J58:K58)</f>
        <v>0</v>
      </c>
      <c r="M58" s="205">
        <f>F58-I58</f>
        <v>-78632410</v>
      </c>
      <c r="N58" s="206">
        <f>F58-L58</f>
        <v>8042608</v>
      </c>
      <c r="O58" s="67"/>
      <c r="P58" s="204">
        <v>0</v>
      </c>
      <c r="Q58" s="210">
        <v>0</v>
      </c>
      <c r="R58" s="101"/>
      <c r="S58" s="266">
        <f>+IF(NOVIEMBRE!S58=0,"",NOVIEMBRE!S58)</f>
        <v>1010402</v>
      </c>
      <c r="T58" s="267" t="str">
        <f>+IF(NOVIEMBRE!T58=0,"",NOVIEMBRE!T58)</f>
        <v>Contribuciones - Otros</v>
      </c>
      <c r="U58" s="373">
        <f t="shared" ref="U58:AJ58" si="65">SUM(U59:U60)</f>
        <v>326592555</v>
      </c>
      <c r="V58" s="220">
        <f t="shared" si="65"/>
        <v>0</v>
      </c>
      <c r="W58" s="220">
        <f t="shared" si="65"/>
        <v>0</v>
      </c>
      <c r="X58" s="271">
        <f t="shared" si="65"/>
        <v>326592555</v>
      </c>
      <c r="Y58" s="270">
        <f t="shared" si="65"/>
        <v>265656800</v>
      </c>
      <c r="Z58" s="300">
        <f t="shared" si="65"/>
        <v>24948100</v>
      </c>
      <c r="AA58" s="271">
        <f t="shared" si="65"/>
        <v>290604900</v>
      </c>
      <c r="AB58" s="270">
        <f t="shared" si="65"/>
        <v>265656800</v>
      </c>
      <c r="AC58" s="300">
        <f t="shared" si="65"/>
        <v>24948100</v>
      </c>
      <c r="AD58" s="271">
        <f t="shared" si="65"/>
        <v>290604900</v>
      </c>
      <c r="AE58" s="270">
        <f t="shared" si="65"/>
        <v>265656800</v>
      </c>
      <c r="AF58" s="300">
        <f t="shared" si="65"/>
        <v>24948100</v>
      </c>
      <c r="AG58" s="271">
        <f t="shared" si="65"/>
        <v>290604900</v>
      </c>
      <c r="AH58" s="270">
        <f t="shared" si="65"/>
        <v>35987655</v>
      </c>
      <c r="AI58" s="220">
        <f t="shared" si="65"/>
        <v>35987655</v>
      </c>
      <c r="AJ58" s="269">
        <f t="shared" si="65"/>
        <v>35987655</v>
      </c>
      <c r="AK58" s="101"/>
      <c r="AL58" s="301">
        <f>SUM(AL59:AL60)</f>
        <v>0</v>
      </c>
      <c r="AM58" s="302">
        <f>SUM(AM59:AM60)</f>
        <v>0</v>
      </c>
    </row>
    <row r="59" spans="1:39" ht="24.75" customHeight="1">
      <c r="A59" s="202" t="str">
        <f>+IF(NOVIEMBRE!A59=0,"",NOVIEMBRE!A59)</f>
        <v>1.1.02.05.001.09.02.09.99</v>
      </c>
      <c r="B59" s="331" t="str">
        <f>+IF(NOVIEMBRE!B59=0,"",NOVIEMBRE!B59)</f>
        <v>Vigencia Anterior</v>
      </c>
      <c r="C59" s="204">
        <f>+ENERO!C59</f>
        <v>0</v>
      </c>
      <c r="D59" s="205">
        <f>NOVIEMBRE!D59+DICIEMBRE!P59</f>
        <v>0</v>
      </c>
      <c r="E59" s="205">
        <f>NOVIEMBRE!E59+DICIEMBRE!Q59</f>
        <v>0</v>
      </c>
      <c r="F59" s="205">
        <f>SUM(C59:E59)</f>
        <v>0</v>
      </c>
      <c r="G59" s="205">
        <f>NOVIEMBRE!I59</f>
        <v>0</v>
      </c>
      <c r="H59" s="208">
        <v>0</v>
      </c>
      <c r="I59" s="680">
        <f>SUM(G59:H59)</f>
        <v>0</v>
      </c>
      <c r="J59" s="680">
        <f>NOVIEMBRE!L59</f>
        <v>0</v>
      </c>
      <c r="K59" s="208">
        <v>0</v>
      </c>
      <c r="L59" s="680">
        <f>SUM(J59:K59)</f>
        <v>0</v>
      </c>
      <c r="M59" s="205">
        <f>F59-I59</f>
        <v>0</v>
      </c>
      <c r="N59" s="206">
        <f>F59-L59</f>
        <v>0</v>
      </c>
      <c r="O59" s="67"/>
      <c r="P59" s="204">
        <v>0</v>
      </c>
      <c r="Q59" s="210">
        <v>0</v>
      </c>
      <c r="R59" s="101"/>
      <c r="S59" s="311" t="str">
        <f>+IF(NOVIEMBRE!S59=0,"",NOVIEMBRE!S59)</f>
        <v>2.1.1.01.02.006</v>
      </c>
      <c r="T59" s="312" t="str">
        <f>+IF(NOVIEMBRE!T59=0,"",NOVIEMBRE!T59)</f>
        <v>I.C.B.F.</v>
      </c>
      <c r="U59" s="373">
        <f>+ENERO!U59</f>
        <v>195955533</v>
      </c>
      <c r="V59" s="220">
        <f>NOVIEMBRE!V59+DICIEMBRE!AL59</f>
        <v>0</v>
      </c>
      <c r="W59" s="220">
        <f>NOVIEMBRE!W59+DICIEMBRE!AM59</f>
        <v>0</v>
      </c>
      <c r="X59" s="271">
        <f>SUM(U59:W59)</f>
        <v>195955533</v>
      </c>
      <c r="Y59" s="270">
        <f>NOVIEMBRE!AA59</f>
        <v>159377800</v>
      </c>
      <c r="Z59" s="1186">
        <v>14967200</v>
      </c>
      <c r="AA59" s="271">
        <f>SUM(Y59:Z59)</f>
        <v>174345000</v>
      </c>
      <c r="AB59" s="270">
        <f>NOVIEMBRE!AD59</f>
        <v>159377800</v>
      </c>
      <c r="AC59" s="1186">
        <v>14967200</v>
      </c>
      <c r="AD59" s="271">
        <f>SUM(AB59:AC59)</f>
        <v>174345000</v>
      </c>
      <c r="AE59" s="270">
        <f>NOVIEMBRE!AG59</f>
        <v>159377800</v>
      </c>
      <c r="AF59" s="1186">
        <v>14967200</v>
      </c>
      <c r="AG59" s="271">
        <f>SUM(AE59:AF59)</f>
        <v>174345000</v>
      </c>
      <c r="AH59" s="270">
        <f>X59-AA59</f>
        <v>21610533</v>
      </c>
      <c r="AI59" s="220">
        <f>X59-AD59</f>
        <v>21610533</v>
      </c>
      <c r="AJ59" s="269">
        <f>X59-AG59</f>
        <v>21610533</v>
      </c>
      <c r="AK59" s="101"/>
      <c r="AL59" s="204"/>
      <c r="AM59" s="210">
        <v>0</v>
      </c>
    </row>
    <row r="60" spans="1:39" ht="24.75" customHeight="1">
      <c r="A60" s="286" t="str">
        <f>+IF(NOVIEMBRE!A60=0,"",NOVIEMBRE!A60)</f>
        <v>1.1.02.05.001.09.02.10</v>
      </c>
      <c r="B60" s="319" t="str">
        <f>+IF(NOVIEMBRE!B60=0,"",NOVIEMBRE!B60)</f>
        <v>IPS PUBLICAS</v>
      </c>
      <c r="C60" s="288">
        <f t="shared" ref="C60:N60" si="66">SUM(C61:C62)</f>
        <v>46623238</v>
      </c>
      <c r="D60" s="320">
        <f t="shared" si="66"/>
        <v>0</v>
      </c>
      <c r="E60" s="320">
        <f t="shared" si="66"/>
        <v>0</v>
      </c>
      <c r="F60" s="320">
        <f t="shared" si="66"/>
        <v>46623238</v>
      </c>
      <c r="G60" s="320">
        <f t="shared" si="66"/>
        <v>105645944</v>
      </c>
      <c r="H60" s="320">
        <f t="shared" si="66"/>
        <v>13900029</v>
      </c>
      <c r="I60" s="679">
        <f t="shared" si="66"/>
        <v>119545973</v>
      </c>
      <c r="J60" s="679">
        <f t="shared" si="66"/>
        <v>16480886</v>
      </c>
      <c r="K60" s="320">
        <f t="shared" si="66"/>
        <v>50628000</v>
      </c>
      <c r="L60" s="679">
        <f t="shared" si="66"/>
        <v>67108886</v>
      </c>
      <c r="M60" s="320">
        <f t="shared" si="66"/>
        <v>-72922735</v>
      </c>
      <c r="N60" s="289">
        <f t="shared" si="66"/>
        <v>-20485648</v>
      </c>
      <c r="O60" s="67"/>
      <c r="P60" s="288">
        <f>SUM(P61:P62)</f>
        <v>0</v>
      </c>
      <c r="Q60" s="289">
        <f>SUM(Q61:Q62)</f>
        <v>0</v>
      </c>
      <c r="R60" s="101"/>
      <c r="S60" s="311" t="str">
        <f>+IF(NOVIEMBRE!S60=0,"",NOVIEMBRE!S60)</f>
        <v>2.1.1.01.02.007</v>
      </c>
      <c r="T60" s="312" t="str">
        <f>+IF(NOVIEMBRE!T60=0,"",NOVIEMBRE!T60)</f>
        <v>SENA</v>
      </c>
      <c r="U60" s="373">
        <f>+ENERO!U60</f>
        <v>130637022</v>
      </c>
      <c r="V60" s="220">
        <f>NOVIEMBRE!V60+DICIEMBRE!AL60</f>
        <v>0</v>
      </c>
      <c r="W60" s="220">
        <f>NOVIEMBRE!W60+DICIEMBRE!AM60</f>
        <v>0</v>
      </c>
      <c r="X60" s="271">
        <f>SUM(U60:W60)</f>
        <v>130637022</v>
      </c>
      <c r="Y60" s="270">
        <f>NOVIEMBRE!AA60</f>
        <v>106279000</v>
      </c>
      <c r="Z60" s="1186">
        <v>9980900</v>
      </c>
      <c r="AA60" s="271">
        <f>SUM(Y60:Z60)</f>
        <v>116259900</v>
      </c>
      <c r="AB60" s="270">
        <f>NOVIEMBRE!AD60</f>
        <v>106279000</v>
      </c>
      <c r="AC60" s="1186">
        <v>9980900</v>
      </c>
      <c r="AD60" s="271">
        <f>SUM(AB60:AC60)</f>
        <v>116259900</v>
      </c>
      <c r="AE60" s="270">
        <f>NOVIEMBRE!AG60</f>
        <v>106279000</v>
      </c>
      <c r="AF60" s="1186">
        <v>9980900</v>
      </c>
      <c r="AG60" s="271">
        <f>SUM(AE60:AF60)</f>
        <v>116259900</v>
      </c>
      <c r="AH60" s="270">
        <f>X60-AA60</f>
        <v>14377122</v>
      </c>
      <c r="AI60" s="220">
        <f>X60-AD60</f>
        <v>14377122</v>
      </c>
      <c r="AJ60" s="269">
        <f>X60-AG60</f>
        <v>14377122</v>
      </c>
      <c r="AK60" s="101"/>
      <c r="AL60" s="204"/>
      <c r="AM60" s="210">
        <v>0</v>
      </c>
    </row>
    <row r="61" spans="1:39" ht="24.75" customHeight="1">
      <c r="A61" s="202" t="str">
        <f>+IF(NOVIEMBRE!A61=0,"",NOVIEMBRE!A61)</f>
        <v>1.1.02.05.001.09.02.10</v>
      </c>
      <c r="B61" s="331" t="str">
        <f>+CONCATENATE("Vigencia ",INSTRUCCIONES!$F$3)</f>
        <v>Vigencia 2025</v>
      </c>
      <c r="C61" s="204">
        <f>+ENERO!C61</f>
        <v>46623238</v>
      </c>
      <c r="D61" s="205">
        <f>NOVIEMBRE!D61+DICIEMBRE!P61</f>
        <v>0</v>
      </c>
      <c r="E61" s="205">
        <f>NOVIEMBRE!E61+DICIEMBRE!Q61</f>
        <v>0</v>
      </c>
      <c r="F61" s="205">
        <f>SUM(C61:E61)</f>
        <v>46623238</v>
      </c>
      <c r="G61" s="205">
        <f>NOVIEMBRE!I61</f>
        <v>95503083</v>
      </c>
      <c r="H61" s="208">
        <v>13900029</v>
      </c>
      <c r="I61" s="680">
        <f>SUM(G61:H61)</f>
        <v>109403112</v>
      </c>
      <c r="J61" s="680">
        <f>NOVIEMBRE!L61</f>
        <v>6338025</v>
      </c>
      <c r="K61" s="208">
        <v>50628000</v>
      </c>
      <c r="L61" s="680">
        <f>SUM(J61:K61)</f>
        <v>56966025</v>
      </c>
      <c r="M61" s="205">
        <f>F61-I61</f>
        <v>-62779874</v>
      </c>
      <c r="N61" s="206">
        <f>F61-L61</f>
        <v>-10342787</v>
      </c>
      <c r="O61" s="67"/>
      <c r="P61" s="204">
        <v>0</v>
      </c>
      <c r="Q61" s="210">
        <v>0</v>
      </c>
      <c r="R61" s="101"/>
      <c r="S61" s="266">
        <f>+IF(NOVIEMBRE!S61=0,"",NOVIEMBRE!S61)</f>
        <v>1010499</v>
      </c>
      <c r="T61" s="267" t="str">
        <f>+IF(NOVIEMBRE!T61=0,"",NOVIEMBRE!T61)</f>
        <v>Vigencias Anteriores</v>
      </c>
      <c r="U61" s="373">
        <f>+ENERO!U61</f>
        <v>0</v>
      </c>
      <c r="V61" s="220">
        <f>NOVIEMBRE!V61+DICIEMBRE!AL61</f>
        <v>0</v>
      </c>
      <c r="W61" s="220">
        <f>NOVIEMBRE!W61+DICIEMBRE!AM61</f>
        <v>0</v>
      </c>
      <c r="X61" s="271">
        <f>SUM(U61:W61)</f>
        <v>0</v>
      </c>
      <c r="Y61" s="270">
        <f>NOVIEMBRE!AA61</f>
        <v>0</v>
      </c>
      <c r="Z61" s="208"/>
      <c r="AA61" s="271">
        <f>SUM(Y61:Z61)</f>
        <v>0</v>
      </c>
      <c r="AB61" s="270">
        <f>NOVIEMBRE!AD61</f>
        <v>0</v>
      </c>
      <c r="AC61" s="208"/>
      <c r="AD61" s="271">
        <f>SUM(AB61:AC61)</f>
        <v>0</v>
      </c>
      <c r="AE61" s="270">
        <f>NOVIEMBRE!AG61</f>
        <v>0</v>
      </c>
      <c r="AF61" s="208"/>
      <c r="AG61" s="271">
        <f>SUM(AE61:AF61)</f>
        <v>0</v>
      </c>
      <c r="AH61" s="270">
        <f>X61-AA61</f>
        <v>0</v>
      </c>
      <c r="AI61" s="220">
        <f>X61-AD61</f>
        <v>0</v>
      </c>
      <c r="AJ61" s="269">
        <f>X61-AG61</f>
        <v>0</v>
      </c>
      <c r="AK61" s="101"/>
      <c r="AL61" s="204"/>
      <c r="AM61" s="210">
        <v>0</v>
      </c>
    </row>
    <row r="62" spans="1:39" ht="24.75" customHeight="1">
      <c r="A62" s="202" t="str">
        <f>+IF(NOVIEMBRE!A62=0,"",NOVIEMBRE!A62)</f>
        <v>1.1.02.05.001.09.02.10.99</v>
      </c>
      <c r="B62" s="331" t="str">
        <f>+IF(NOVIEMBRE!B62=0,"",NOVIEMBRE!B62)</f>
        <v>Vigencia Anterior</v>
      </c>
      <c r="C62" s="204">
        <f>+ENERO!C62</f>
        <v>0</v>
      </c>
      <c r="D62" s="205">
        <f>NOVIEMBRE!D62+DICIEMBRE!P62</f>
        <v>0</v>
      </c>
      <c r="E62" s="205">
        <f>NOVIEMBRE!E62+DICIEMBRE!Q62</f>
        <v>0</v>
      </c>
      <c r="F62" s="205">
        <f>SUM(C62:E62)</f>
        <v>0</v>
      </c>
      <c r="G62" s="205">
        <f>NOVIEMBRE!I62</f>
        <v>10142861</v>
      </c>
      <c r="H62" s="208">
        <v>0</v>
      </c>
      <c r="I62" s="680">
        <f>SUM(G62:H62)</f>
        <v>10142861</v>
      </c>
      <c r="J62" s="680">
        <f>NOVIEMBRE!L62</f>
        <v>10142861</v>
      </c>
      <c r="K62" s="208">
        <v>0</v>
      </c>
      <c r="L62" s="680">
        <f>SUM(J62:K62)</f>
        <v>10142861</v>
      </c>
      <c r="M62" s="205">
        <f>F62-I62</f>
        <v>-10142861</v>
      </c>
      <c r="N62" s="206">
        <f>F62-L62</f>
        <v>-10142861</v>
      </c>
      <c r="O62" s="67"/>
      <c r="P62" s="204">
        <v>0</v>
      </c>
      <c r="Q62" s="210">
        <v>0</v>
      </c>
      <c r="R62" s="101"/>
      <c r="S62" s="189">
        <f>+IF(NOVIEMBRE!S62=0,"",NOVIEMBRE!S62)</f>
        <v>1174808</v>
      </c>
      <c r="T62" s="488" t="str">
        <f>+IF(NOVIEMBRE!T62=0,"",NOVIEMBRE!T62)</f>
        <v/>
      </c>
      <c r="U62" s="191"/>
      <c r="V62" s="191"/>
      <c r="W62" s="191"/>
      <c r="X62" s="191"/>
      <c r="Y62" s="191"/>
      <c r="Z62" s="191"/>
      <c r="AA62" s="191"/>
      <c r="AB62" s="191"/>
      <c r="AC62" s="191"/>
      <c r="AD62" s="191"/>
      <c r="AE62" s="191"/>
      <c r="AF62" s="191"/>
      <c r="AG62" s="191"/>
      <c r="AH62" s="191"/>
      <c r="AI62" s="191"/>
      <c r="AJ62" s="192"/>
      <c r="AK62" s="101"/>
      <c r="AL62" s="370"/>
      <c r="AM62" s="371"/>
    </row>
    <row r="63" spans="1:39" ht="24.75" customHeight="1">
      <c r="A63" s="286" t="str">
        <f>+IF(NOVIEMBRE!A63=0,"",NOVIEMBRE!A63)</f>
        <v>1.1.02.05.001.09.02.90.01</v>
      </c>
      <c r="B63" s="319" t="str">
        <f>+IF(NOVIEMBRE!B63=0,"",NOVIEMBRE!B63)</f>
        <v>COMPAÑIAS DE SEGUROS  - ACCIDENTES DE TRANSITO (SOAT)</v>
      </c>
      <c r="C63" s="288">
        <f t="shared" ref="C63:N63" si="67">SUM(C64:C65)</f>
        <v>2461795617.04175</v>
      </c>
      <c r="D63" s="320">
        <f t="shared" si="67"/>
        <v>0</v>
      </c>
      <c r="E63" s="320">
        <f t="shared" si="67"/>
        <v>0</v>
      </c>
      <c r="F63" s="320">
        <f t="shared" si="67"/>
        <v>2461795617.04175</v>
      </c>
      <c r="G63" s="320">
        <f t="shared" si="67"/>
        <v>1985658137</v>
      </c>
      <c r="H63" s="320">
        <f t="shared" si="67"/>
        <v>143613433</v>
      </c>
      <c r="I63" s="679">
        <f t="shared" si="67"/>
        <v>2129271570</v>
      </c>
      <c r="J63" s="679">
        <f t="shared" si="67"/>
        <v>1252490830</v>
      </c>
      <c r="K63" s="320">
        <f t="shared" si="67"/>
        <v>93231788</v>
      </c>
      <c r="L63" s="679">
        <f t="shared" si="67"/>
        <v>1345722618</v>
      </c>
      <c r="M63" s="320">
        <f t="shared" si="67"/>
        <v>332524047.04174984</v>
      </c>
      <c r="N63" s="289">
        <f t="shared" si="67"/>
        <v>1116072999.04175</v>
      </c>
      <c r="O63" s="67"/>
      <c r="P63" s="288">
        <f>SUM(P64:P65)</f>
        <v>0</v>
      </c>
      <c r="Q63" s="289">
        <f>SUM(Q64:Q65)</f>
        <v>0</v>
      </c>
      <c r="R63" s="101"/>
      <c r="S63" s="228">
        <f>+IF(NOVIEMBRE!S63=0,"",NOVIEMBRE!S63)</f>
        <v>1020010</v>
      </c>
      <c r="T63" s="229" t="str">
        <f>+IF(NOVIEMBRE!T63=0,"",NOVIEMBRE!T63)</f>
        <v>Gastos de Operación</v>
      </c>
      <c r="U63" s="230">
        <f t="shared" ref="U63:AJ63" si="68">U65+U83+U90+U104</f>
        <v>64518803470</v>
      </c>
      <c r="V63" s="231">
        <f t="shared" si="68"/>
        <v>-904000000</v>
      </c>
      <c r="W63" s="231">
        <f t="shared" si="68"/>
        <v>7490635160</v>
      </c>
      <c r="X63" s="234">
        <f t="shared" si="68"/>
        <v>71105438630</v>
      </c>
      <c r="Y63" s="233">
        <f t="shared" si="68"/>
        <v>71100820644</v>
      </c>
      <c r="Z63" s="231">
        <f t="shared" si="68"/>
        <v>-644433716</v>
      </c>
      <c r="AA63" s="234">
        <f t="shared" si="68"/>
        <v>70456386928</v>
      </c>
      <c r="AB63" s="233">
        <f t="shared" si="68"/>
        <v>65605339445</v>
      </c>
      <c r="AC63" s="231">
        <f t="shared" si="68"/>
        <v>4851047483</v>
      </c>
      <c r="AD63" s="234">
        <f t="shared" si="68"/>
        <v>70456386928</v>
      </c>
      <c r="AE63" s="233">
        <f t="shared" si="68"/>
        <v>49937533752</v>
      </c>
      <c r="AF63" s="231">
        <f t="shared" si="68"/>
        <v>3850170450</v>
      </c>
      <c r="AG63" s="234">
        <f t="shared" si="68"/>
        <v>53787704202</v>
      </c>
      <c r="AH63" s="233">
        <f t="shared" si="68"/>
        <v>649051702</v>
      </c>
      <c r="AI63" s="231">
        <f t="shared" si="68"/>
        <v>649051702</v>
      </c>
      <c r="AJ63" s="232">
        <f t="shared" si="68"/>
        <v>17317734428</v>
      </c>
      <c r="AK63" s="101"/>
      <c r="AL63" s="233">
        <f>AL65+AL83+AL90+AL104</f>
        <v>0</v>
      </c>
      <c r="AM63" s="232">
        <f>AM65+AM83+AM90+AM104</f>
        <v>0</v>
      </c>
    </row>
    <row r="64" spans="1:39" ht="24.75" customHeight="1">
      <c r="A64" s="202" t="str">
        <f>+IF(NOVIEMBRE!A64=0,"",NOVIEMBRE!A64)</f>
        <v>1.1.02.05.001.09.02.90.01</v>
      </c>
      <c r="B64" s="331" t="str">
        <f>+CONCATENATE("Vigencia ",INSTRUCCIONES!$F$3)</f>
        <v>Vigencia 2025</v>
      </c>
      <c r="C64" s="204">
        <f>+ENERO!C64</f>
        <v>2137731076.9417498</v>
      </c>
      <c r="D64" s="205">
        <f>NOVIEMBRE!D64+DICIEMBRE!P64</f>
        <v>0</v>
      </c>
      <c r="E64" s="205">
        <f>NOVIEMBRE!E64+DICIEMBRE!Q64</f>
        <v>0</v>
      </c>
      <c r="F64" s="205">
        <f>SUM(C64:E64)</f>
        <v>2137731076.9417498</v>
      </c>
      <c r="G64" s="205">
        <f>NOVIEMBRE!I64</f>
        <v>1589268179</v>
      </c>
      <c r="H64" s="208">
        <v>142053207</v>
      </c>
      <c r="I64" s="680">
        <f>SUM(G64:H64)</f>
        <v>1731321386</v>
      </c>
      <c r="J64" s="680">
        <f>NOVIEMBRE!L64</f>
        <v>856100872</v>
      </c>
      <c r="K64" s="208">
        <v>91671562</v>
      </c>
      <c r="L64" s="680">
        <f>SUM(J64:K64)</f>
        <v>947772434</v>
      </c>
      <c r="M64" s="205">
        <f>F64-I64</f>
        <v>406409690.94174981</v>
      </c>
      <c r="N64" s="206">
        <f>F64-L64</f>
        <v>1189958642.9417498</v>
      </c>
      <c r="O64" s="67"/>
      <c r="P64" s="204">
        <v>0</v>
      </c>
      <c r="Q64" s="210">
        <v>0</v>
      </c>
      <c r="R64" s="101"/>
      <c r="S64" s="189">
        <f>+IF(NOVIEMBRE!S64=0,"",NOVIEMBRE!S64)</f>
        <v>2290826</v>
      </c>
      <c r="T64" s="488" t="str">
        <f>+IF(NOVIEMBRE!T64=0,"",NOVIEMBRE!T64)</f>
        <v/>
      </c>
      <c r="U64" s="191"/>
      <c r="V64" s="191"/>
      <c r="W64" s="191"/>
      <c r="X64" s="191"/>
      <c r="Y64" s="191"/>
      <c r="Z64" s="191"/>
      <c r="AA64" s="191"/>
      <c r="AB64" s="191"/>
      <c r="AC64" s="191"/>
      <c r="AD64" s="191"/>
      <c r="AE64" s="191"/>
      <c r="AF64" s="191"/>
      <c r="AG64" s="191"/>
      <c r="AH64" s="191"/>
      <c r="AI64" s="191"/>
      <c r="AJ64" s="192"/>
      <c r="AK64" s="101"/>
      <c r="AL64" s="249"/>
      <c r="AM64" s="250"/>
    </row>
    <row r="65" spans="1:39" ht="24.75" customHeight="1">
      <c r="A65" s="202" t="str">
        <f>+IF(NOVIEMBRE!A65=0,"",NOVIEMBRE!A65)</f>
        <v>1.1.02.05.001.09.02.90.01.99</v>
      </c>
      <c r="B65" s="331" t="str">
        <f>+IF(NOVIEMBRE!B65=0,"",NOVIEMBRE!B65)</f>
        <v>Vigencia Anterior</v>
      </c>
      <c r="C65" s="204">
        <f>+ENERO!C65</f>
        <v>324064540.10000002</v>
      </c>
      <c r="D65" s="205">
        <f>NOVIEMBRE!D65+DICIEMBRE!P65</f>
        <v>0</v>
      </c>
      <c r="E65" s="205">
        <f>NOVIEMBRE!E65+DICIEMBRE!Q65</f>
        <v>0</v>
      </c>
      <c r="F65" s="205">
        <f>SUM(C65:E65)</f>
        <v>324064540.10000002</v>
      </c>
      <c r="G65" s="205">
        <f>NOVIEMBRE!I65</f>
        <v>396389958</v>
      </c>
      <c r="H65" s="208">
        <v>1560226</v>
      </c>
      <c r="I65" s="680">
        <f>SUM(G65:H65)</f>
        <v>397950184</v>
      </c>
      <c r="J65" s="680">
        <f>NOVIEMBRE!L65</f>
        <v>396389958</v>
      </c>
      <c r="K65" s="208">
        <v>1560226</v>
      </c>
      <c r="L65" s="680">
        <f>SUM(J65:K65)</f>
        <v>397950184</v>
      </c>
      <c r="M65" s="205">
        <f>F65-I65</f>
        <v>-73885643.899999976</v>
      </c>
      <c r="N65" s="206">
        <f>F65-L65</f>
        <v>-73885643.899999976</v>
      </c>
      <c r="O65" s="67"/>
      <c r="P65" s="204">
        <v>0</v>
      </c>
      <c r="Q65" s="210">
        <v>0</v>
      </c>
      <c r="R65" s="101"/>
      <c r="S65" s="257" t="str">
        <f>+IF(NOVIEMBRE!S65=0,"",NOVIEMBRE!S65)</f>
        <v>2.1.1.01.01-1</v>
      </c>
      <c r="T65" s="546" t="str">
        <f>+IF(NOVIEMBRE!T65=0,"",NOVIEMBRE!T65)</f>
        <v>Servicios Personales Asociados a Nómina</v>
      </c>
      <c r="U65" s="230">
        <f t="shared" ref="U65:AJ65" si="69">SUM(U66:U69)+U81</f>
        <v>0</v>
      </c>
      <c r="V65" s="231">
        <f t="shared" si="69"/>
        <v>0</v>
      </c>
      <c r="W65" s="231">
        <f t="shared" si="69"/>
        <v>0</v>
      </c>
      <c r="X65" s="234">
        <f t="shared" si="69"/>
        <v>0</v>
      </c>
      <c r="Y65" s="233">
        <f t="shared" si="69"/>
        <v>0</v>
      </c>
      <c r="Z65" s="231">
        <f t="shared" si="69"/>
        <v>0</v>
      </c>
      <c r="AA65" s="234">
        <f t="shared" si="69"/>
        <v>0</v>
      </c>
      <c r="AB65" s="233">
        <f t="shared" si="69"/>
        <v>0</v>
      </c>
      <c r="AC65" s="231">
        <f t="shared" si="69"/>
        <v>0</v>
      </c>
      <c r="AD65" s="234">
        <f t="shared" si="69"/>
        <v>0</v>
      </c>
      <c r="AE65" s="233">
        <f t="shared" si="69"/>
        <v>0</v>
      </c>
      <c r="AF65" s="231">
        <f t="shared" si="69"/>
        <v>0</v>
      </c>
      <c r="AG65" s="234">
        <f t="shared" si="69"/>
        <v>0</v>
      </c>
      <c r="AH65" s="233">
        <f t="shared" si="69"/>
        <v>0</v>
      </c>
      <c r="AI65" s="231">
        <f t="shared" si="69"/>
        <v>0</v>
      </c>
      <c r="AJ65" s="232">
        <f t="shared" si="69"/>
        <v>0</v>
      </c>
      <c r="AK65" s="101"/>
      <c r="AL65" s="233">
        <f>SUM(AL66:AL69)+AL81</f>
        <v>0</v>
      </c>
      <c r="AM65" s="232">
        <f>SUM(AM66:AM69)+AM81</f>
        <v>0</v>
      </c>
    </row>
    <row r="66" spans="1:39" ht="24.75" customHeight="1">
      <c r="A66" s="286" t="str">
        <f>+IF(NOVIEMBRE!A66=0,"",NOVIEMBRE!A66)</f>
        <v>1.1.02.05.001.09.02.18.01</v>
      </c>
      <c r="B66" s="319" t="str">
        <f>+IF(NOVIEMBRE!B66=0,"",NOVIEMBRE!B66)</f>
        <v xml:space="preserve">COMPAÑIAS DE SEGUROS  - PLANES DE SALUD </v>
      </c>
      <c r="C66" s="288">
        <f t="shared" ref="C66:N66" si="70">SUM(C67:C68)</f>
        <v>185631948</v>
      </c>
      <c r="D66" s="320">
        <f t="shared" si="70"/>
        <v>0</v>
      </c>
      <c r="E66" s="320">
        <f t="shared" si="70"/>
        <v>0</v>
      </c>
      <c r="F66" s="320">
        <f t="shared" si="70"/>
        <v>185631948</v>
      </c>
      <c r="G66" s="320">
        <f t="shared" si="70"/>
        <v>122233730</v>
      </c>
      <c r="H66" s="320">
        <f t="shared" si="70"/>
        <v>152317</v>
      </c>
      <c r="I66" s="679">
        <f t="shared" si="70"/>
        <v>122386047</v>
      </c>
      <c r="J66" s="679">
        <f t="shared" si="70"/>
        <v>37649878</v>
      </c>
      <c r="K66" s="320">
        <f t="shared" si="70"/>
        <v>7847117</v>
      </c>
      <c r="L66" s="679">
        <f t="shared" si="70"/>
        <v>45496995</v>
      </c>
      <c r="M66" s="320">
        <f t="shared" si="70"/>
        <v>63245901</v>
      </c>
      <c r="N66" s="289">
        <f t="shared" si="70"/>
        <v>140134953</v>
      </c>
      <c r="O66" s="67"/>
      <c r="P66" s="288">
        <f>SUM(P67:P68)</f>
        <v>0</v>
      </c>
      <c r="Q66" s="289">
        <f>SUM(Q67:Q68)</f>
        <v>0</v>
      </c>
      <c r="R66" s="101"/>
      <c r="S66" s="266" t="str">
        <f>+IF(NOVIEMBRE!S66=0,"",NOVIEMBRE!S66)</f>
        <v>2.1.1.01.01.001.01-1</v>
      </c>
      <c r="T66" s="267" t="str">
        <f>+IF(NOVIEMBRE!T66=0,"",NOVIEMBRE!T66)</f>
        <v>Sueldos del Personal de nómina</v>
      </c>
      <c r="U66" s="373">
        <f>+ENERO!U66</f>
        <v>0</v>
      </c>
      <c r="V66" s="220">
        <f>NOVIEMBRE!V66+DICIEMBRE!AL66</f>
        <v>0</v>
      </c>
      <c r="W66" s="220">
        <f>NOVIEMBRE!W66+DICIEMBRE!AM66</f>
        <v>0</v>
      </c>
      <c r="X66" s="271">
        <f>SUM(U66:W66)</f>
        <v>0</v>
      </c>
      <c r="Y66" s="270">
        <f>NOVIEMBRE!AA66</f>
        <v>0</v>
      </c>
      <c r="Z66" s="208"/>
      <c r="AA66" s="271">
        <f>SUM(Y66:Z66)</f>
        <v>0</v>
      </c>
      <c r="AB66" s="270">
        <f>NOVIEMBRE!AD66</f>
        <v>0</v>
      </c>
      <c r="AC66" s="208"/>
      <c r="AD66" s="271">
        <f>SUM(AB66:AC66)</f>
        <v>0</v>
      </c>
      <c r="AE66" s="270">
        <f>NOVIEMBRE!AG66</f>
        <v>0</v>
      </c>
      <c r="AF66" s="208"/>
      <c r="AG66" s="271">
        <f>SUM(AE66:AF66)</f>
        <v>0</v>
      </c>
      <c r="AH66" s="270">
        <f>X66-AA66</f>
        <v>0</v>
      </c>
      <c r="AI66" s="220">
        <f>X66-AD66</f>
        <v>0</v>
      </c>
      <c r="AJ66" s="269">
        <f>X66-AG66</f>
        <v>0</v>
      </c>
      <c r="AK66" s="101"/>
      <c r="AL66" s="204"/>
      <c r="AM66" s="210">
        <v>0</v>
      </c>
    </row>
    <row r="67" spans="1:39" ht="24.75" customHeight="1">
      <c r="A67" s="202" t="str">
        <f>+IF(NOVIEMBRE!A67=0,"",NOVIEMBRE!A67)</f>
        <v>1.1.02.05.001.09.02.18.01</v>
      </c>
      <c r="B67" s="331" t="str">
        <f>+CONCATENATE("Vigencia ",INSTRUCCIONES!$F$3)</f>
        <v>Vigencia 2025</v>
      </c>
      <c r="C67" s="204">
        <f>+ENERO!C67</f>
        <v>111911928</v>
      </c>
      <c r="D67" s="205">
        <f>NOVIEMBRE!D67+DICIEMBRE!P67</f>
        <v>0</v>
      </c>
      <c r="E67" s="205">
        <f>NOVIEMBRE!E67+DICIEMBRE!Q67</f>
        <v>0</v>
      </c>
      <c r="F67" s="205">
        <f>SUM(C67:E67)</f>
        <v>111911928</v>
      </c>
      <c r="G67" s="205">
        <f>NOVIEMBRE!I67</f>
        <v>110320885</v>
      </c>
      <c r="H67" s="208">
        <v>152317</v>
      </c>
      <c r="I67" s="680">
        <f>SUM(G67:H67)</f>
        <v>110473202</v>
      </c>
      <c r="J67" s="680">
        <f>NOVIEMBRE!L67</f>
        <v>25737033</v>
      </c>
      <c r="K67" s="208">
        <v>7847117</v>
      </c>
      <c r="L67" s="680">
        <f>SUM(J67:K67)</f>
        <v>33584150</v>
      </c>
      <c r="M67" s="205">
        <f>F67-I67</f>
        <v>1438726</v>
      </c>
      <c r="N67" s="206">
        <f>F67-L67</f>
        <v>78327778</v>
      </c>
      <c r="O67" s="67"/>
      <c r="P67" s="204">
        <v>0</v>
      </c>
      <c r="Q67" s="210">
        <v>0</v>
      </c>
      <c r="R67" s="101"/>
      <c r="S67" s="266" t="str">
        <f>+IF(NOVIEMBRE!S67=0,"",NOVIEMBRE!S67)</f>
        <v>2.1.1.01.01.001.02-1</v>
      </c>
      <c r="T67" s="267" t="str">
        <f>+IF(NOVIEMBRE!T67=0,"",NOVIEMBRE!T67)</f>
        <v>Horas Extras,Dominic.,Festivos y Rec. Nocturnos</v>
      </c>
      <c r="U67" s="373">
        <f>+ENERO!U67</f>
        <v>0</v>
      </c>
      <c r="V67" s="220">
        <f>NOVIEMBRE!V67+DICIEMBRE!AL67</f>
        <v>0</v>
      </c>
      <c r="W67" s="220">
        <f>NOVIEMBRE!W67+DICIEMBRE!AM67</f>
        <v>0</v>
      </c>
      <c r="X67" s="271">
        <f>SUM(U67:W67)</f>
        <v>0</v>
      </c>
      <c r="Y67" s="270">
        <f>NOVIEMBRE!AA67</f>
        <v>0</v>
      </c>
      <c r="Z67" s="208"/>
      <c r="AA67" s="271">
        <f>SUM(Y67:Z67)</f>
        <v>0</v>
      </c>
      <c r="AB67" s="270">
        <f>NOVIEMBRE!AD67</f>
        <v>0</v>
      </c>
      <c r="AC67" s="208"/>
      <c r="AD67" s="271">
        <f>SUM(AB67:AC67)</f>
        <v>0</v>
      </c>
      <c r="AE67" s="270">
        <f>NOVIEMBRE!AG67</f>
        <v>0</v>
      </c>
      <c r="AF67" s="208"/>
      <c r="AG67" s="271">
        <f>SUM(AE67:AF67)</f>
        <v>0</v>
      </c>
      <c r="AH67" s="270">
        <f>X67-AA67</f>
        <v>0</v>
      </c>
      <c r="AI67" s="220">
        <f>X67-AD67</f>
        <v>0</v>
      </c>
      <c r="AJ67" s="269">
        <f>X67-AG67</f>
        <v>0</v>
      </c>
      <c r="AK67" s="101"/>
      <c r="AL67" s="204"/>
      <c r="AM67" s="210">
        <v>0</v>
      </c>
    </row>
    <row r="68" spans="1:39" ht="24.75" customHeight="1">
      <c r="A68" s="202" t="str">
        <f>+IF(NOVIEMBRE!A68=0,"",NOVIEMBRE!A68)</f>
        <v>1.1.02.05.001.09.02.18.01.99</v>
      </c>
      <c r="B68" s="331" t="str">
        <f>+IF(NOVIEMBRE!B68=0,"",NOVIEMBRE!B68)</f>
        <v>Vigencia Anterior</v>
      </c>
      <c r="C68" s="204">
        <f>+ENERO!C68</f>
        <v>73720020</v>
      </c>
      <c r="D68" s="205">
        <f>NOVIEMBRE!D68+DICIEMBRE!P68</f>
        <v>0</v>
      </c>
      <c r="E68" s="205">
        <f>NOVIEMBRE!E68+DICIEMBRE!Q68</f>
        <v>0</v>
      </c>
      <c r="F68" s="205">
        <f>SUM(C68:E68)</f>
        <v>73720020</v>
      </c>
      <c r="G68" s="205">
        <f>NOVIEMBRE!I68</f>
        <v>11912845</v>
      </c>
      <c r="H68" s="208">
        <v>0</v>
      </c>
      <c r="I68" s="680">
        <f>SUM(G68:H68)</f>
        <v>11912845</v>
      </c>
      <c r="J68" s="680">
        <f>NOVIEMBRE!L68</f>
        <v>11912845</v>
      </c>
      <c r="K68" s="208">
        <v>0</v>
      </c>
      <c r="L68" s="680">
        <f>SUM(J68:K68)</f>
        <v>11912845</v>
      </c>
      <c r="M68" s="205">
        <f>F68-I68</f>
        <v>61807175</v>
      </c>
      <c r="N68" s="206">
        <f>F68-L68</f>
        <v>61807175</v>
      </c>
      <c r="O68" s="67"/>
      <c r="P68" s="204">
        <v>0</v>
      </c>
      <c r="Q68" s="210">
        <v>0</v>
      </c>
      <c r="R68" s="101"/>
      <c r="S68" s="266">
        <f>+IF(NOVIEMBRE!S68=0,"",NOVIEMBRE!S68)</f>
        <v>1010103</v>
      </c>
      <c r="T68" s="267" t="str">
        <f>+IF(NOVIEMBRE!T68=0,"",NOVIEMBRE!T68)</f>
        <v>Prima Técnica</v>
      </c>
      <c r="U68" s="373">
        <f>+ENERO!U68</f>
        <v>0</v>
      </c>
      <c r="V68" s="220">
        <f>NOVIEMBRE!V68+DICIEMBRE!AL68</f>
        <v>0</v>
      </c>
      <c r="W68" s="220">
        <f>NOVIEMBRE!W68+DICIEMBRE!AM68</f>
        <v>0</v>
      </c>
      <c r="X68" s="271">
        <f>SUM(U68:W68)</f>
        <v>0</v>
      </c>
      <c r="Y68" s="270">
        <f>NOVIEMBRE!AA68</f>
        <v>0</v>
      </c>
      <c r="Z68" s="208"/>
      <c r="AA68" s="271">
        <f>SUM(Y68:Z68)</f>
        <v>0</v>
      </c>
      <c r="AB68" s="270">
        <f>NOVIEMBRE!AD68</f>
        <v>0</v>
      </c>
      <c r="AC68" s="208"/>
      <c r="AD68" s="271">
        <f>SUM(AB68:AC68)</f>
        <v>0</v>
      </c>
      <c r="AE68" s="270">
        <f>NOVIEMBRE!AG68</f>
        <v>0</v>
      </c>
      <c r="AF68" s="208"/>
      <c r="AG68" s="271">
        <f>SUM(AE68:AF68)</f>
        <v>0</v>
      </c>
      <c r="AH68" s="270">
        <f>X68-AA68</f>
        <v>0</v>
      </c>
      <c r="AI68" s="220">
        <f>X68-AD68</f>
        <v>0</v>
      </c>
      <c r="AJ68" s="269">
        <f>X68-AG68</f>
        <v>0</v>
      </c>
      <c r="AK68" s="101"/>
      <c r="AL68" s="204"/>
      <c r="AM68" s="210">
        <v>0</v>
      </c>
    </row>
    <row r="69" spans="1:39" ht="24.75" customHeight="1">
      <c r="A69" s="286" t="str">
        <f>+IF(NOVIEMBRE!A69=0,"",NOVIEMBRE!A69)</f>
        <v>1.1.02.05.001.09.02.90.02</v>
      </c>
      <c r="B69" s="319" t="str">
        <f>+IF(NOVIEMBRE!B69=0,"",NOVIEMBRE!B69)</f>
        <v>ENTIDADES DE REGIMEN ESPECIAL (Magisterio, Fuerza Pca.)</v>
      </c>
      <c r="C69" s="288">
        <f t="shared" ref="C69:N69" si="71">SUM(C70:C71)</f>
        <v>1378696551</v>
      </c>
      <c r="D69" s="320">
        <f t="shared" si="71"/>
        <v>0</v>
      </c>
      <c r="E69" s="320">
        <f t="shared" si="71"/>
        <v>0</v>
      </c>
      <c r="F69" s="320">
        <f t="shared" si="71"/>
        <v>1378696551</v>
      </c>
      <c r="G69" s="320">
        <f t="shared" si="71"/>
        <v>2239575557</v>
      </c>
      <c r="H69" s="320">
        <f t="shared" si="71"/>
        <v>0</v>
      </c>
      <c r="I69" s="679">
        <f t="shared" si="71"/>
        <v>2239575557</v>
      </c>
      <c r="J69" s="679">
        <f t="shared" si="71"/>
        <v>1065592290</v>
      </c>
      <c r="K69" s="320">
        <f t="shared" si="71"/>
        <v>135387914</v>
      </c>
      <c r="L69" s="679">
        <f t="shared" si="71"/>
        <v>1200980204</v>
      </c>
      <c r="M69" s="320">
        <f t="shared" si="71"/>
        <v>-860879006</v>
      </c>
      <c r="N69" s="289">
        <f t="shared" si="71"/>
        <v>177716347</v>
      </c>
      <c r="O69" s="67"/>
      <c r="P69" s="288">
        <f>SUM(P70:P71)</f>
        <v>0</v>
      </c>
      <c r="Q69" s="289">
        <f>SUM(Q70:Q71)</f>
        <v>0</v>
      </c>
      <c r="R69" s="101"/>
      <c r="S69" s="266">
        <f>+IF(NOVIEMBRE!S69=0,"",NOVIEMBRE!S69)</f>
        <v>1010104</v>
      </c>
      <c r="T69" s="267" t="str">
        <f>+IF(NOVIEMBRE!T69=0,"",NOVIEMBRE!T69)</f>
        <v>Otros</v>
      </c>
      <c r="U69" s="373">
        <f t="shared" ref="U69:AJ69" si="72">SUM(U70:U80)</f>
        <v>0</v>
      </c>
      <c r="V69" s="220">
        <f t="shared" si="72"/>
        <v>0</v>
      </c>
      <c r="W69" s="220">
        <f t="shared" si="72"/>
        <v>0</v>
      </c>
      <c r="X69" s="271">
        <f t="shared" si="72"/>
        <v>0</v>
      </c>
      <c r="Y69" s="270">
        <f t="shared" si="72"/>
        <v>0</v>
      </c>
      <c r="Z69" s="300">
        <f t="shared" si="72"/>
        <v>0</v>
      </c>
      <c r="AA69" s="271">
        <f t="shared" si="72"/>
        <v>0</v>
      </c>
      <c r="AB69" s="270">
        <f t="shared" si="72"/>
        <v>0</v>
      </c>
      <c r="AC69" s="300">
        <f t="shared" si="72"/>
        <v>0</v>
      </c>
      <c r="AD69" s="271">
        <f t="shared" si="72"/>
        <v>0</v>
      </c>
      <c r="AE69" s="270">
        <f t="shared" si="72"/>
        <v>0</v>
      </c>
      <c r="AF69" s="300">
        <f t="shared" si="72"/>
        <v>0</v>
      </c>
      <c r="AG69" s="271">
        <f t="shared" si="72"/>
        <v>0</v>
      </c>
      <c r="AH69" s="270">
        <f t="shared" si="72"/>
        <v>0</v>
      </c>
      <c r="AI69" s="220">
        <f t="shared" si="72"/>
        <v>0</v>
      </c>
      <c r="AJ69" s="269">
        <f t="shared" si="72"/>
        <v>0</v>
      </c>
      <c r="AK69" s="101"/>
      <c r="AL69" s="301">
        <f>SUM(AL70:AL80)</f>
        <v>0</v>
      </c>
      <c r="AM69" s="302">
        <f>SUM(AM70:AM80)</f>
        <v>0</v>
      </c>
    </row>
    <row r="70" spans="1:39" ht="24.75" customHeight="1">
      <c r="A70" s="202" t="str">
        <f>+IF(NOVIEMBRE!A70=0,"",NOVIEMBRE!A70)</f>
        <v>1.1.02.05.001.09.02.90.02</v>
      </c>
      <c r="B70" s="331" t="str">
        <f>+CONCATENATE("Vigencia ",INSTRUCCIONES!$F$3)</f>
        <v>Vigencia 2025</v>
      </c>
      <c r="C70" s="204">
        <f>+ENERO!C70</f>
        <v>898696551</v>
      </c>
      <c r="D70" s="205">
        <f>NOVIEMBRE!D70+DICIEMBRE!P70</f>
        <v>0</v>
      </c>
      <c r="E70" s="205">
        <f>NOVIEMBRE!E70+DICIEMBRE!Q70</f>
        <v>0</v>
      </c>
      <c r="F70" s="205">
        <f>SUM(C70:E70)</f>
        <v>898696551</v>
      </c>
      <c r="G70" s="205">
        <f>NOVIEMBRE!I70</f>
        <v>1396399401</v>
      </c>
      <c r="H70" s="208">
        <v>0</v>
      </c>
      <c r="I70" s="680">
        <f>SUM(G70:H70)</f>
        <v>1396399401</v>
      </c>
      <c r="J70" s="680">
        <f>NOVIEMBRE!L70</f>
        <v>222416134</v>
      </c>
      <c r="K70" s="208">
        <v>135387914</v>
      </c>
      <c r="L70" s="680">
        <f>SUM(J70:K70)</f>
        <v>357804048</v>
      </c>
      <c r="M70" s="205">
        <f>F70-I70</f>
        <v>-497702850</v>
      </c>
      <c r="N70" s="206">
        <f>F70-L70</f>
        <v>540892503</v>
      </c>
      <c r="O70" s="67"/>
      <c r="P70" s="204">
        <v>0</v>
      </c>
      <c r="Q70" s="210">
        <v>0</v>
      </c>
      <c r="R70" s="101"/>
      <c r="S70" s="311" t="str">
        <f>+IF(NOVIEMBRE!S70=0,"",NOVIEMBRE!S70)</f>
        <v>2.1.1.01.01.001.08.01-1</v>
      </c>
      <c r="T70" s="312" t="str">
        <f>+IF(NOVIEMBRE!T70=0,"",NOVIEMBRE!T70)</f>
        <v xml:space="preserve">Prima de Navidad </v>
      </c>
      <c r="U70" s="373">
        <f>+ENERO!U70</f>
        <v>0</v>
      </c>
      <c r="V70" s="220">
        <f>NOVIEMBRE!V70+DICIEMBRE!AL70</f>
        <v>0</v>
      </c>
      <c r="W70" s="220">
        <f>NOVIEMBRE!W70+DICIEMBRE!AM70</f>
        <v>0</v>
      </c>
      <c r="X70" s="271">
        <f t="shared" ref="X70:X81" si="73">SUM(U70:W70)</f>
        <v>0</v>
      </c>
      <c r="Y70" s="270">
        <f>NOVIEMBRE!AA70</f>
        <v>0</v>
      </c>
      <c r="Z70" s="208"/>
      <c r="AA70" s="271">
        <f t="shared" ref="AA70:AA81" si="74">SUM(Y70:Z70)</f>
        <v>0</v>
      </c>
      <c r="AB70" s="270">
        <f>NOVIEMBRE!AD70</f>
        <v>0</v>
      </c>
      <c r="AC70" s="208"/>
      <c r="AD70" s="271">
        <f t="shared" ref="AD70:AD81" si="75">SUM(AB70:AC70)</f>
        <v>0</v>
      </c>
      <c r="AE70" s="270">
        <f>NOVIEMBRE!AG70</f>
        <v>0</v>
      </c>
      <c r="AF70" s="208"/>
      <c r="AG70" s="271">
        <f t="shared" ref="AG70:AG81" si="76">SUM(AE70:AF70)</f>
        <v>0</v>
      </c>
      <c r="AH70" s="270">
        <f t="shared" ref="AH70:AH81" si="77">X70-AA70</f>
        <v>0</v>
      </c>
      <c r="AI70" s="220">
        <f t="shared" ref="AI70:AI81" si="78">X70-AD70</f>
        <v>0</v>
      </c>
      <c r="AJ70" s="269">
        <f t="shared" ref="AJ70:AJ81" si="79">X70-AG70</f>
        <v>0</v>
      </c>
      <c r="AK70" s="101"/>
      <c r="AL70" s="204"/>
      <c r="AM70" s="210">
        <v>0</v>
      </c>
    </row>
    <row r="71" spans="1:39" ht="24.75" customHeight="1">
      <c r="A71" s="202" t="str">
        <f>+IF(NOVIEMBRE!A71=0,"",NOVIEMBRE!A71)</f>
        <v>1.1.02.05.001.09.02.90.02.99</v>
      </c>
      <c r="B71" s="331" t="str">
        <f>+IF(NOVIEMBRE!B71=0,"",NOVIEMBRE!B71)</f>
        <v>Vigencia Anterior</v>
      </c>
      <c r="C71" s="204">
        <f>+ENERO!C71</f>
        <v>480000000</v>
      </c>
      <c r="D71" s="205">
        <f>NOVIEMBRE!D71+DICIEMBRE!P71</f>
        <v>0</v>
      </c>
      <c r="E71" s="205">
        <f>NOVIEMBRE!E71+DICIEMBRE!Q71</f>
        <v>0</v>
      </c>
      <c r="F71" s="205">
        <f>SUM(C71:E71)</f>
        <v>480000000</v>
      </c>
      <c r="G71" s="205">
        <f>NOVIEMBRE!I71</f>
        <v>843176156</v>
      </c>
      <c r="H71" s="208">
        <v>0</v>
      </c>
      <c r="I71" s="680">
        <f>SUM(G71:H71)</f>
        <v>843176156</v>
      </c>
      <c r="J71" s="680">
        <f>NOVIEMBRE!L71</f>
        <v>843176156</v>
      </c>
      <c r="K71" s="208">
        <v>0</v>
      </c>
      <c r="L71" s="680">
        <f>SUM(J71:K71)</f>
        <v>843176156</v>
      </c>
      <c r="M71" s="205">
        <f>F71-I71</f>
        <v>-363176156</v>
      </c>
      <c r="N71" s="206">
        <f>F71-L71</f>
        <v>-363176156</v>
      </c>
      <c r="O71" s="67"/>
      <c r="P71" s="204">
        <v>0</v>
      </c>
      <c r="Q71" s="210">
        <v>0</v>
      </c>
      <c r="R71" s="101"/>
      <c r="S71" s="311" t="str">
        <f>+IF(NOVIEMBRE!S71=0,"",NOVIEMBRE!S71)</f>
        <v>2.1.1.01.01.001.08.02-1</v>
      </c>
      <c r="T71" s="312" t="str">
        <f>+IF(NOVIEMBRE!T71=0,"",NOVIEMBRE!T71)</f>
        <v>Prima de Vacaciones</v>
      </c>
      <c r="U71" s="373">
        <f>+ENERO!U71</f>
        <v>0</v>
      </c>
      <c r="V71" s="220">
        <f>NOVIEMBRE!V71+DICIEMBRE!AL71</f>
        <v>0</v>
      </c>
      <c r="W71" s="220">
        <f>NOVIEMBRE!W71+DICIEMBRE!AM71</f>
        <v>0</v>
      </c>
      <c r="X71" s="271">
        <f t="shared" si="73"/>
        <v>0</v>
      </c>
      <c r="Y71" s="270">
        <f>NOVIEMBRE!AA71</f>
        <v>0</v>
      </c>
      <c r="Z71" s="208"/>
      <c r="AA71" s="271">
        <f t="shared" si="74"/>
        <v>0</v>
      </c>
      <c r="AB71" s="270">
        <f>NOVIEMBRE!AD71</f>
        <v>0</v>
      </c>
      <c r="AC71" s="208"/>
      <c r="AD71" s="271">
        <f t="shared" si="75"/>
        <v>0</v>
      </c>
      <c r="AE71" s="270">
        <f>NOVIEMBRE!AG71</f>
        <v>0</v>
      </c>
      <c r="AF71" s="208"/>
      <c r="AG71" s="271">
        <f t="shared" si="76"/>
        <v>0</v>
      </c>
      <c r="AH71" s="270">
        <f t="shared" si="77"/>
        <v>0</v>
      </c>
      <c r="AI71" s="220">
        <f t="shared" si="78"/>
        <v>0</v>
      </c>
      <c r="AJ71" s="269">
        <f t="shared" si="79"/>
        <v>0</v>
      </c>
      <c r="AK71" s="101"/>
      <c r="AL71" s="204"/>
      <c r="AM71" s="210">
        <v>0</v>
      </c>
    </row>
    <row r="72" spans="1:39" ht="24.75" customHeight="1">
      <c r="A72" s="286" t="str">
        <f>+IF(NOVIEMBRE!A72=0,"",NOVIEMBRE!A72)</f>
        <v>1.1.02.05.001.09.02.06</v>
      </c>
      <c r="B72" s="319" t="str">
        <f>+IF(NOVIEMBRE!B72=0,"",NOVIEMBRE!B72)</f>
        <v>ADMINISTRADORAS DE RIESGOS LABORALES</v>
      </c>
      <c r="C72" s="288">
        <f t="shared" ref="C72:N72" si="80">SUM(C73:C74)</f>
        <v>374950682</v>
      </c>
      <c r="D72" s="320">
        <f t="shared" si="80"/>
        <v>0</v>
      </c>
      <c r="E72" s="320">
        <f t="shared" si="80"/>
        <v>0</v>
      </c>
      <c r="F72" s="320">
        <f t="shared" si="80"/>
        <v>374950682</v>
      </c>
      <c r="G72" s="320">
        <f t="shared" si="80"/>
        <v>377318620</v>
      </c>
      <c r="H72" s="320">
        <f t="shared" si="80"/>
        <v>30928271</v>
      </c>
      <c r="I72" s="679">
        <f t="shared" si="80"/>
        <v>408246891</v>
      </c>
      <c r="J72" s="679">
        <f t="shared" si="80"/>
        <v>316529051</v>
      </c>
      <c r="K72" s="320">
        <f t="shared" si="80"/>
        <v>19354407</v>
      </c>
      <c r="L72" s="679">
        <f t="shared" si="80"/>
        <v>335883458</v>
      </c>
      <c r="M72" s="320">
        <f t="shared" si="80"/>
        <v>-33296209</v>
      </c>
      <c r="N72" s="289">
        <f t="shared" si="80"/>
        <v>39067224</v>
      </c>
      <c r="O72" s="67"/>
      <c r="P72" s="288">
        <f>SUM(P73:P74)</f>
        <v>0</v>
      </c>
      <c r="Q72" s="289">
        <f>SUM(Q73:Q74)</f>
        <v>0</v>
      </c>
      <c r="R72" s="101"/>
      <c r="S72" s="311" t="str">
        <f>+IF(NOVIEMBRE!S72=0,"",NOVIEMBRE!S72)</f>
        <v>2.1.1.01.01.001.07-1</v>
      </c>
      <c r="T72" s="312" t="str">
        <f>+IF(NOVIEMBRE!T72=0,"",NOVIEMBRE!T72)</f>
        <v>Bonificación  por servicios prestados</v>
      </c>
      <c r="U72" s="373">
        <f>+ENERO!U72</f>
        <v>0</v>
      </c>
      <c r="V72" s="220">
        <f>NOVIEMBRE!V72+DICIEMBRE!AL72</f>
        <v>0</v>
      </c>
      <c r="W72" s="220">
        <f>NOVIEMBRE!W72+DICIEMBRE!AM72</f>
        <v>0</v>
      </c>
      <c r="X72" s="271">
        <f t="shared" si="73"/>
        <v>0</v>
      </c>
      <c r="Y72" s="270">
        <f>NOVIEMBRE!AA72</f>
        <v>0</v>
      </c>
      <c r="Z72" s="208"/>
      <c r="AA72" s="271">
        <f t="shared" si="74"/>
        <v>0</v>
      </c>
      <c r="AB72" s="270">
        <f>NOVIEMBRE!AD72</f>
        <v>0</v>
      </c>
      <c r="AC72" s="208"/>
      <c r="AD72" s="271">
        <f t="shared" si="75"/>
        <v>0</v>
      </c>
      <c r="AE72" s="270">
        <f>NOVIEMBRE!AG72</f>
        <v>0</v>
      </c>
      <c r="AF72" s="208"/>
      <c r="AG72" s="271">
        <f t="shared" si="76"/>
        <v>0</v>
      </c>
      <c r="AH72" s="270">
        <f t="shared" si="77"/>
        <v>0</v>
      </c>
      <c r="AI72" s="220">
        <f t="shared" si="78"/>
        <v>0</v>
      </c>
      <c r="AJ72" s="269">
        <f t="shared" si="79"/>
        <v>0</v>
      </c>
      <c r="AK72" s="101"/>
      <c r="AL72" s="204"/>
      <c r="AM72" s="210">
        <v>0</v>
      </c>
    </row>
    <row r="73" spans="1:39" ht="24.75" customHeight="1">
      <c r="A73" s="202" t="str">
        <f>+IF(NOVIEMBRE!A73=0,"",NOVIEMBRE!A73)</f>
        <v>1.1.02.05.001.09.02.06</v>
      </c>
      <c r="B73" s="331" t="str">
        <f>+CONCATENATE("Vigencia ",INSTRUCCIONES!$F$3)</f>
        <v>Vigencia 2025</v>
      </c>
      <c r="C73" s="204">
        <f>+ENERO!C73</f>
        <v>337999834</v>
      </c>
      <c r="D73" s="205">
        <f>NOVIEMBRE!D73+DICIEMBRE!P73</f>
        <v>0</v>
      </c>
      <c r="E73" s="205">
        <f>NOVIEMBRE!E73+DICIEMBRE!Q73</f>
        <v>0</v>
      </c>
      <c r="F73" s="205">
        <f>SUM(C73:E73)</f>
        <v>337999834</v>
      </c>
      <c r="G73" s="205">
        <f>NOVIEMBRE!I73</f>
        <v>320665114</v>
      </c>
      <c r="H73" s="208">
        <v>30928271</v>
      </c>
      <c r="I73" s="680">
        <f>SUM(G73:H73)</f>
        <v>351593385</v>
      </c>
      <c r="J73" s="680">
        <f>NOVIEMBRE!L73</f>
        <v>259875545</v>
      </c>
      <c r="K73" s="208">
        <v>19354407</v>
      </c>
      <c r="L73" s="680">
        <f>SUM(J73:K73)</f>
        <v>279229952</v>
      </c>
      <c r="M73" s="205">
        <f>F73-I73</f>
        <v>-13593551</v>
      </c>
      <c r="N73" s="206">
        <f>F73-L73</f>
        <v>58769882</v>
      </c>
      <c r="O73" s="67"/>
      <c r="P73" s="204">
        <v>0</v>
      </c>
      <c r="Q73" s="210">
        <v>0</v>
      </c>
      <c r="R73" s="101"/>
      <c r="S73" s="311" t="str">
        <f>+IF(NOVIEMBRE!S73=0,"",NOVIEMBRE!S73)</f>
        <v>2.1.1.01.01.001.06-1</v>
      </c>
      <c r="T73" s="312" t="str">
        <f>+IF(NOVIEMBRE!T73=0,"",NOVIEMBRE!T73)</f>
        <v>Prima de Servicios</v>
      </c>
      <c r="U73" s="373">
        <f>+ENERO!U73</f>
        <v>0</v>
      </c>
      <c r="V73" s="220">
        <f>NOVIEMBRE!V73+DICIEMBRE!AL73</f>
        <v>0</v>
      </c>
      <c r="W73" s="220">
        <f>NOVIEMBRE!W73+DICIEMBRE!AM73</f>
        <v>0</v>
      </c>
      <c r="X73" s="271">
        <f t="shared" si="73"/>
        <v>0</v>
      </c>
      <c r="Y73" s="270">
        <f>NOVIEMBRE!AA73</f>
        <v>0</v>
      </c>
      <c r="Z73" s="208"/>
      <c r="AA73" s="271">
        <f t="shared" si="74"/>
        <v>0</v>
      </c>
      <c r="AB73" s="270">
        <f>NOVIEMBRE!AD73</f>
        <v>0</v>
      </c>
      <c r="AC73" s="208"/>
      <c r="AD73" s="271">
        <f t="shared" si="75"/>
        <v>0</v>
      </c>
      <c r="AE73" s="270">
        <f>NOVIEMBRE!AG73</f>
        <v>0</v>
      </c>
      <c r="AF73" s="208"/>
      <c r="AG73" s="271">
        <f t="shared" si="76"/>
        <v>0</v>
      </c>
      <c r="AH73" s="270">
        <f t="shared" si="77"/>
        <v>0</v>
      </c>
      <c r="AI73" s="220">
        <f t="shared" si="78"/>
        <v>0</v>
      </c>
      <c r="AJ73" s="269">
        <f t="shared" si="79"/>
        <v>0</v>
      </c>
      <c r="AK73" s="101"/>
      <c r="AL73" s="204"/>
      <c r="AM73" s="210">
        <v>0</v>
      </c>
    </row>
    <row r="74" spans="1:39" ht="24.75" customHeight="1">
      <c r="A74" s="202" t="str">
        <f>+IF(NOVIEMBRE!A74=0,"",NOVIEMBRE!A74)</f>
        <v>1.1.02.05.001.09.02.06.99</v>
      </c>
      <c r="B74" s="331" t="str">
        <f>+IF(NOVIEMBRE!B74=0,"",NOVIEMBRE!B74)</f>
        <v>Vigencia Anterior</v>
      </c>
      <c r="C74" s="204">
        <f>+ENERO!C74</f>
        <v>36950848</v>
      </c>
      <c r="D74" s="205">
        <f>NOVIEMBRE!D74+DICIEMBRE!P74</f>
        <v>0</v>
      </c>
      <c r="E74" s="205">
        <f>NOVIEMBRE!E74+DICIEMBRE!Q74</f>
        <v>0</v>
      </c>
      <c r="F74" s="205">
        <f>SUM(C74:E74)</f>
        <v>36950848</v>
      </c>
      <c r="G74" s="205">
        <f>NOVIEMBRE!I74</f>
        <v>56653506</v>
      </c>
      <c r="H74" s="208">
        <v>0</v>
      </c>
      <c r="I74" s="680">
        <f>SUM(G74:H74)</f>
        <v>56653506</v>
      </c>
      <c r="J74" s="680">
        <f>NOVIEMBRE!L74</f>
        <v>56653506</v>
      </c>
      <c r="K74" s="208">
        <v>0</v>
      </c>
      <c r="L74" s="680">
        <f>SUM(J74:K74)</f>
        <v>56653506</v>
      </c>
      <c r="M74" s="205">
        <f>F74-I74</f>
        <v>-19702658</v>
      </c>
      <c r="N74" s="206">
        <f>F74-L74</f>
        <v>-19702658</v>
      </c>
      <c r="O74" s="67"/>
      <c r="P74" s="204">
        <v>0</v>
      </c>
      <c r="Q74" s="210">
        <v>0</v>
      </c>
      <c r="R74" s="101"/>
      <c r="S74" s="311" t="str">
        <f>+IF(NOVIEMBRE!S74=0,"",NOVIEMBRE!S74)</f>
        <v>1010104-5</v>
      </c>
      <c r="T74" s="312" t="str">
        <f>+IF(NOVIEMBRE!T74=0,"",NOVIEMBRE!T74)</f>
        <v>Bonificación Convencional</v>
      </c>
      <c r="U74" s="373">
        <f>+ENERO!U74</f>
        <v>0</v>
      </c>
      <c r="V74" s="220">
        <f>NOVIEMBRE!V74+DICIEMBRE!AL74</f>
        <v>0</v>
      </c>
      <c r="W74" s="220">
        <f>NOVIEMBRE!W74+DICIEMBRE!AM74</f>
        <v>0</v>
      </c>
      <c r="X74" s="271">
        <f t="shared" si="73"/>
        <v>0</v>
      </c>
      <c r="Y74" s="270">
        <f>NOVIEMBRE!AA74</f>
        <v>0</v>
      </c>
      <c r="Z74" s="208"/>
      <c r="AA74" s="271">
        <f t="shared" si="74"/>
        <v>0</v>
      </c>
      <c r="AB74" s="270">
        <f>NOVIEMBRE!AD74</f>
        <v>0</v>
      </c>
      <c r="AC74" s="208"/>
      <c r="AD74" s="271">
        <f t="shared" si="75"/>
        <v>0</v>
      </c>
      <c r="AE74" s="270">
        <f>NOVIEMBRE!AG74</f>
        <v>0</v>
      </c>
      <c r="AF74" s="208"/>
      <c r="AG74" s="271">
        <f t="shared" si="76"/>
        <v>0</v>
      </c>
      <c r="AH74" s="270">
        <f t="shared" si="77"/>
        <v>0</v>
      </c>
      <c r="AI74" s="220">
        <f t="shared" si="78"/>
        <v>0</v>
      </c>
      <c r="AJ74" s="269">
        <f t="shared" si="79"/>
        <v>0</v>
      </c>
      <c r="AK74" s="101"/>
      <c r="AL74" s="204"/>
      <c r="AM74" s="210">
        <v>0</v>
      </c>
    </row>
    <row r="75" spans="1:39" ht="24.75" customHeight="1">
      <c r="A75" s="286" t="str">
        <f>+IF(NOVIEMBRE!A75=0,"",NOVIEMBRE!A75)</f>
        <v>1.1.02.05.001.09.02.07</v>
      </c>
      <c r="B75" s="319" t="str">
        <f>+IF(NOVIEMBRE!B75=0,"",NOVIEMBRE!B75)</f>
        <v>FUERZAS MILITARES</v>
      </c>
      <c r="C75" s="288">
        <f t="shared" ref="C75:N75" si="81">SUM(C76:C77)</f>
        <v>448721976</v>
      </c>
      <c r="D75" s="320">
        <f t="shared" si="81"/>
        <v>0</v>
      </c>
      <c r="E75" s="320">
        <f t="shared" si="81"/>
        <v>0</v>
      </c>
      <c r="F75" s="320">
        <f t="shared" si="81"/>
        <v>448721976</v>
      </c>
      <c r="G75" s="320">
        <f t="shared" si="81"/>
        <v>412728449</v>
      </c>
      <c r="H75" s="320">
        <f t="shared" si="81"/>
        <v>4270499</v>
      </c>
      <c r="I75" s="679">
        <f t="shared" si="81"/>
        <v>416998948</v>
      </c>
      <c r="J75" s="679">
        <f t="shared" si="81"/>
        <v>271633088</v>
      </c>
      <c r="K75" s="320">
        <f>SUM(K76:K77)</f>
        <v>0</v>
      </c>
      <c r="L75" s="679">
        <f t="shared" si="81"/>
        <v>271633088</v>
      </c>
      <c r="M75" s="320">
        <f t="shared" si="81"/>
        <v>31723028</v>
      </c>
      <c r="N75" s="289">
        <f t="shared" si="81"/>
        <v>177088888</v>
      </c>
      <c r="O75" s="67"/>
      <c r="P75" s="288">
        <f>SUM(P76:P77)</f>
        <v>0</v>
      </c>
      <c r="Q75" s="289">
        <f>SUM(Q76:Q77)</f>
        <v>0</v>
      </c>
      <c r="R75" s="101"/>
      <c r="S75" s="311" t="str">
        <f>+IF(NOVIEMBRE!S75=0,"",NOVIEMBRE!S75)</f>
        <v>2.1.1.01.01.001.05-1</v>
      </c>
      <c r="T75" s="312" t="str">
        <f>+IF(NOVIEMBRE!T75=0,"",NOVIEMBRE!T75)</f>
        <v>Auxilio de Transporte</v>
      </c>
      <c r="U75" s="373">
        <f>+ENERO!U75</f>
        <v>0</v>
      </c>
      <c r="V75" s="220">
        <f>NOVIEMBRE!V75+DICIEMBRE!AL75</f>
        <v>0</v>
      </c>
      <c r="W75" s="220">
        <f>NOVIEMBRE!W75+DICIEMBRE!AM75</f>
        <v>0</v>
      </c>
      <c r="X75" s="271">
        <f t="shared" si="73"/>
        <v>0</v>
      </c>
      <c r="Y75" s="270">
        <f>NOVIEMBRE!AA75</f>
        <v>0</v>
      </c>
      <c r="Z75" s="208"/>
      <c r="AA75" s="271">
        <f t="shared" si="74"/>
        <v>0</v>
      </c>
      <c r="AB75" s="270">
        <f>NOVIEMBRE!AD75</f>
        <v>0</v>
      </c>
      <c r="AC75" s="208"/>
      <c r="AD75" s="271">
        <f t="shared" si="75"/>
        <v>0</v>
      </c>
      <c r="AE75" s="270">
        <f>NOVIEMBRE!AG75</f>
        <v>0</v>
      </c>
      <c r="AF75" s="208"/>
      <c r="AG75" s="271">
        <f t="shared" si="76"/>
        <v>0</v>
      </c>
      <c r="AH75" s="270">
        <f t="shared" si="77"/>
        <v>0</v>
      </c>
      <c r="AI75" s="220">
        <f t="shared" si="78"/>
        <v>0</v>
      </c>
      <c r="AJ75" s="269">
        <f t="shared" si="79"/>
        <v>0</v>
      </c>
      <c r="AK75" s="101"/>
      <c r="AL75" s="204"/>
      <c r="AM75" s="210">
        <v>0</v>
      </c>
    </row>
    <row r="76" spans="1:39" ht="24.75" customHeight="1">
      <c r="A76" s="202" t="str">
        <f>+IF(NOVIEMBRE!A76=0,"",NOVIEMBRE!A76)</f>
        <v>1.1.02.05.001.09.02.07</v>
      </c>
      <c r="B76" s="331" t="str">
        <f>+CONCATENATE("Vigencia ",INSTRUCCIONES!$F$3)</f>
        <v>Vigencia 2025</v>
      </c>
      <c r="C76" s="204">
        <f>+ENERO!C76</f>
        <v>341067989</v>
      </c>
      <c r="D76" s="205">
        <f>NOVIEMBRE!D76+DICIEMBRE!P76</f>
        <v>0</v>
      </c>
      <c r="E76" s="205">
        <f>NOVIEMBRE!E76+DICIEMBRE!Q76</f>
        <v>0</v>
      </c>
      <c r="F76" s="205">
        <f>SUM(C76:E76)</f>
        <v>341067989</v>
      </c>
      <c r="G76" s="205">
        <f>NOVIEMBRE!I76</f>
        <v>141551451</v>
      </c>
      <c r="H76" s="208">
        <v>4270499</v>
      </c>
      <c r="I76" s="680">
        <f>SUM(G76:H76)</f>
        <v>145821950</v>
      </c>
      <c r="J76" s="680">
        <f>NOVIEMBRE!L76</f>
        <v>456090</v>
      </c>
      <c r="K76" s="208">
        <v>0</v>
      </c>
      <c r="L76" s="680">
        <f>SUM(J76:K76)</f>
        <v>456090</v>
      </c>
      <c r="M76" s="205">
        <f>F76-I76</f>
        <v>195246039</v>
      </c>
      <c r="N76" s="206">
        <f>F76-L76</f>
        <v>340611899</v>
      </c>
      <c r="O76" s="67"/>
      <c r="P76" s="204">
        <v>0</v>
      </c>
      <c r="Q76" s="210">
        <v>0</v>
      </c>
      <c r="R76" s="101"/>
      <c r="S76" s="311" t="str">
        <f>+IF(NOVIEMBRE!S76=0,"",NOVIEMBRE!S76)</f>
        <v>2.1.1.01.01.001.04-1</v>
      </c>
      <c r="T76" s="312" t="str">
        <f>+IF(NOVIEMBRE!T76=0,"",NOVIEMBRE!T76)</f>
        <v>Auxilio de Alimentación</v>
      </c>
      <c r="U76" s="373">
        <f>+ENERO!U76</f>
        <v>0</v>
      </c>
      <c r="V76" s="220">
        <f>NOVIEMBRE!V76+DICIEMBRE!AL76</f>
        <v>0</v>
      </c>
      <c r="W76" s="220">
        <f>NOVIEMBRE!W76+DICIEMBRE!AM76</f>
        <v>0</v>
      </c>
      <c r="X76" s="271">
        <f t="shared" si="73"/>
        <v>0</v>
      </c>
      <c r="Y76" s="270">
        <f>NOVIEMBRE!AA76</f>
        <v>0</v>
      </c>
      <c r="Z76" s="208"/>
      <c r="AA76" s="271">
        <f t="shared" si="74"/>
        <v>0</v>
      </c>
      <c r="AB76" s="270">
        <f>NOVIEMBRE!AD76</f>
        <v>0</v>
      </c>
      <c r="AC76" s="208"/>
      <c r="AD76" s="271">
        <f t="shared" si="75"/>
        <v>0</v>
      </c>
      <c r="AE76" s="270">
        <f>NOVIEMBRE!AG76</f>
        <v>0</v>
      </c>
      <c r="AF76" s="208"/>
      <c r="AG76" s="271">
        <f t="shared" si="76"/>
        <v>0</v>
      </c>
      <c r="AH76" s="270">
        <f t="shared" si="77"/>
        <v>0</v>
      </c>
      <c r="AI76" s="220">
        <f t="shared" si="78"/>
        <v>0</v>
      </c>
      <c r="AJ76" s="269">
        <f t="shared" si="79"/>
        <v>0</v>
      </c>
      <c r="AK76" s="101"/>
      <c r="AL76" s="204"/>
      <c r="AM76" s="210">
        <v>0</v>
      </c>
    </row>
    <row r="77" spans="1:39" ht="24.75" customHeight="1">
      <c r="A77" s="202" t="str">
        <f>+IF(NOVIEMBRE!A77=0,"",NOVIEMBRE!A77)</f>
        <v>1.1.02.05.001.09.02.07.99</v>
      </c>
      <c r="B77" s="331" t="str">
        <f>+IF(NOVIEMBRE!B77=0,"",NOVIEMBRE!B77)</f>
        <v>Vigencia Anterior</v>
      </c>
      <c r="C77" s="204">
        <f>+ENERO!C77</f>
        <v>107653987</v>
      </c>
      <c r="D77" s="205">
        <f>NOVIEMBRE!D77+DICIEMBRE!P77</f>
        <v>0</v>
      </c>
      <c r="E77" s="205">
        <f>NOVIEMBRE!E77+DICIEMBRE!Q77</f>
        <v>0</v>
      </c>
      <c r="F77" s="205">
        <f>SUM(C77:E77)</f>
        <v>107653987</v>
      </c>
      <c r="G77" s="205">
        <f>NOVIEMBRE!I77</f>
        <v>271176998</v>
      </c>
      <c r="H77" s="208">
        <v>0</v>
      </c>
      <c r="I77" s="680">
        <f>SUM(G77:H77)</f>
        <v>271176998</v>
      </c>
      <c r="J77" s="680">
        <f>NOVIEMBRE!L77</f>
        <v>271176998</v>
      </c>
      <c r="K77" s="208">
        <v>0</v>
      </c>
      <c r="L77" s="680">
        <f>SUM(J77:K77)</f>
        <v>271176998</v>
      </c>
      <c r="M77" s="205">
        <f>F77-I77</f>
        <v>-163523011</v>
      </c>
      <c r="N77" s="206">
        <f>F77-L77</f>
        <v>-163523011</v>
      </c>
      <c r="O77" s="67"/>
      <c r="P77" s="204">
        <v>0</v>
      </c>
      <c r="Q77" s="210">
        <v>0</v>
      </c>
      <c r="R77" s="101"/>
      <c r="S77" s="311" t="str">
        <f>+IF(NOVIEMBRE!S77=0,"",NOVIEMBRE!S77)</f>
        <v>1010104-8</v>
      </c>
      <c r="T77" s="312" t="str">
        <f>+IF(NOVIEMBRE!T77=0,"",NOVIEMBRE!T77)</f>
        <v>Indemnizaciones por Vacaciones o Supresión de Cargos por Reestructuración</v>
      </c>
      <c r="U77" s="373">
        <f>+ENERO!U77</f>
        <v>0</v>
      </c>
      <c r="V77" s="220">
        <f>NOVIEMBRE!V77+DICIEMBRE!AL77</f>
        <v>0</v>
      </c>
      <c r="W77" s="220">
        <f>NOVIEMBRE!W77+DICIEMBRE!AM77</f>
        <v>0</v>
      </c>
      <c r="X77" s="271">
        <f t="shared" si="73"/>
        <v>0</v>
      </c>
      <c r="Y77" s="270">
        <f>NOVIEMBRE!AA77</f>
        <v>0</v>
      </c>
      <c r="Z77" s="208"/>
      <c r="AA77" s="271">
        <f t="shared" si="74"/>
        <v>0</v>
      </c>
      <c r="AB77" s="270">
        <f>NOVIEMBRE!AD77</f>
        <v>0</v>
      </c>
      <c r="AC77" s="208"/>
      <c r="AD77" s="271">
        <f t="shared" si="75"/>
        <v>0</v>
      </c>
      <c r="AE77" s="270">
        <f>NOVIEMBRE!AG77</f>
        <v>0</v>
      </c>
      <c r="AF77" s="208"/>
      <c r="AG77" s="271">
        <f t="shared" si="76"/>
        <v>0</v>
      </c>
      <c r="AH77" s="270">
        <f t="shared" si="77"/>
        <v>0</v>
      </c>
      <c r="AI77" s="220">
        <f t="shared" si="78"/>
        <v>0</v>
      </c>
      <c r="AJ77" s="269">
        <f t="shared" si="79"/>
        <v>0</v>
      </c>
      <c r="AK77" s="101"/>
      <c r="AL77" s="204"/>
      <c r="AM77" s="210">
        <v>0</v>
      </c>
    </row>
    <row r="78" spans="1:39" ht="24.75" customHeight="1">
      <c r="A78" s="286" t="str">
        <f>+IF(NOVIEMBRE!A78=0,"",NOVIEMBRE!A78)</f>
        <v>1.1.02.05.001.09.02.13-1</v>
      </c>
      <c r="B78" s="319" t="str">
        <f>+IF(NOVIEMBRE!B78=0,"",NOVIEMBRE!B78)</f>
        <v>PARTICULARES   (Venta de Contado)</v>
      </c>
      <c r="C78" s="288">
        <f>SUM(C79:C80)</f>
        <v>681131551</v>
      </c>
      <c r="D78" s="320">
        <f>SUM(D79:D80)</f>
        <v>0</v>
      </c>
      <c r="E78" s="320">
        <f>SUM(E79:E80)</f>
        <v>0</v>
      </c>
      <c r="F78" s="320">
        <f>SUM(C78:E78)</f>
        <v>681131551</v>
      </c>
      <c r="G78" s="320">
        <f>SUM(G79:G80)</f>
        <v>264407239</v>
      </c>
      <c r="H78" s="320">
        <f>SUM(H79:H80)</f>
        <v>5962000</v>
      </c>
      <c r="I78" s="679">
        <f>SUM(G78:H78)</f>
        <v>270369239</v>
      </c>
      <c r="J78" s="679">
        <f>SUM(J79:J80)</f>
        <v>122942184</v>
      </c>
      <c r="K78" s="320">
        <f>SUM(K79:K80)</f>
        <v>10122716</v>
      </c>
      <c r="L78" s="679">
        <f>SUM(J78:K78)</f>
        <v>133064900</v>
      </c>
      <c r="M78" s="320">
        <f>F78-I78</f>
        <v>410762312</v>
      </c>
      <c r="N78" s="289">
        <f>F78-L78</f>
        <v>548066651</v>
      </c>
      <c r="O78" s="67"/>
      <c r="P78" s="288">
        <f>SUM(P79:P80)</f>
        <v>0</v>
      </c>
      <c r="Q78" s="289">
        <f>SUM(Q79:Q80)</f>
        <v>0</v>
      </c>
      <c r="R78" s="101"/>
      <c r="S78" s="311" t="str">
        <f>+IF(NOVIEMBRE!S78=0,"",NOVIEMBRE!S78)</f>
        <v>1010104-9</v>
      </c>
      <c r="T78" s="312" t="str">
        <f>+IF(NOVIEMBRE!T78=0,"",NOVIEMBRE!T78)</f>
        <v/>
      </c>
      <c r="U78" s="373">
        <f>+ENERO!U78</f>
        <v>0</v>
      </c>
      <c r="V78" s="220">
        <f>NOVIEMBRE!V78+DICIEMBRE!AL78</f>
        <v>0</v>
      </c>
      <c r="W78" s="220">
        <f>NOVIEMBRE!W78+DICIEMBRE!AM78</f>
        <v>0</v>
      </c>
      <c r="X78" s="271">
        <f t="shared" si="73"/>
        <v>0</v>
      </c>
      <c r="Y78" s="270">
        <f>NOVIEMBRE!AA78</f>
        <v>0</v>
      </c>
      <c r="Z78" s="208"/>
      <c r="AA78" s="271">
        <f t="shared" si="74"/>
        <v>0</v>
      </c>
      <c r="AB78" s="270">
        <f>NOVIEMBRE!AD78</f>
        <v>0</v>
      </c>
      <c r="AC78" s="208"/>
      <c r="AD78" s="271">
        <f t="shared" si="75"/>
        <v>0</v>
      </c>
      <c r="AE78" s="270">
        <f>NOVIEMBRE!AG78</f>
        <v>0</v>
      </c>
      <c r="AF78" s="208"/>
      <c r="AG78" s="271">
        <f t="shared" si="76"/>
        <v>0</v>
      </c>
      <c r="AH78" s="270">
        <f t="shared" si="77"/>
        <v>0</v>
      </c>
      <c r="AI78" s="220">
        <f t="shared" si="78"/>
        <v>0</v>
      </c>
      <c r="AJ78" s="269">
        <f t="shared" si="79"/>
        <v>0</v>
      </c>
      <c r="AK78" s="101"/>
      <c r="AL78" s="204"/>
      <c r="AM78" s="210">
        <v>0</v>
      </c>
    </row>
    <row r="79" spans="1:39" ht="24.75" customHeight="1">
      <c r="A79" s="202" t="str">
        <f>+IF(NOVIEMBRE!A79=0,"",NOVIEMBRE!A79)</f>
        <v>1.1.02.05.001.09.02.13-1</v>
      </c>
      <c r="B79" s="331" t="str">
        <f>+CONCATENATE("Vigencia ",INSTRUCCIONES!$F$3)</f>
        <v>Vigencia 2025</v>
      </c>
      <c r="C79" s="204">
        <f>+ENERO!C79</f>
        <v>531131551</v>
      </c>
      <c r="D79" s="205">
        <f>NOVIEMBRE!D79+DICIEMBRE!P79</f>
        <v>0</v>
      </c>
      <c r="E79" s="205">
        <f>NOVIEMBRE!E79+DICIEMBRE!Q79</f>
        <v>0</v>
      </c>
      <c r="F79" s="205">
        <f>SUM(C79:E79)</f>
        <v>531131551</v>
      </c>
      <c r="G79" s="205">
        <f>NOVIEMBRE!I79</f>
        <v>229950939</v>
      </c>
      <c r="H79" s="208">
        <v>0</v>
      </c>
      <c r="I79" s="680">
        <f>SUM(G79:H79)</f>
        <v>229950939</v>
      </c>
      <c r="J79" s="680">
        <f>NOVIEMBRE!L79</f>
        <v>88485884</v>
      </c>
      <c r="K79" s="208">
        <f>7900616-3739900</f>
        <v>4160716</v>
      </c>
      <c r="L79" s="680">
        <f>SUM(J79:K79)</f>
        <v>92646600</v>
      </c>
      <c r="M79" s="205">
        <f>F79-I79</f>
        <v>301180612</v>
      </c>
      <c r="N79" s="206">
        <f>F79-L79</f>
        <v>438484951</v>
      </c>
      <c r="O79" s="67"/>
      <c r="P79" s="204">
        <v>0</v>
      </c>
      <c r="Q79" s="210">
        <v>0</v>
      </c>
      <c r="R79" s="101"/>
      <c r="S79" s="311" t="str">
        <f>+IF(NOVIEMBRE!S79=0,"",NOVIEMBRE!S79)</f>
        <v>2.1.1.01.03.001.03-1</v>
      </c>
      <c r="T79" s="312" t="str">
        <f>+IF(NOVIEMBRE!T79=0,"",NOVIEMBRE!T79)</f>
        <v>Bonificación Especial por Recreación</v>
      </c>
      <c r="U79" s="373">
        <f>+ENERO!U79</f>
        <v>0</v>
      </c>
      <c r="V79" s="220">
        <f>NOVIEMBRE!V79+DICIEMBRE!AL79</f>
        <v>0</v>
      </c>
      <c r="W79" s="220">
        <f>NOVIEMBRE!W79+DICIEMBRE!AM79</f>
        <v>0</v>
      </c>
      <c r="X79" s="271">
        <f t="shared" si="73"/>
        <v>0</v>
      </c>
      <c r="Y79" s="270">
        <f>NOVIEMBRE!AA79</f>
        <v>0</v>
      </c>
      <c r="Z79" s="208"/>
      <c r="AA79" s="271">
        <f t="shared" si="74"/>
        <v>0</v>
      </c>
      <c r="AB79" s="270">
        <f>NOVIEMBRE!AD79</f>
        <v>0</v>
      </c>
      <c r="AC79" s="208"/>
      <c r="AD79" s="271">
        <f t="shared" si="75"/>
        <v>0</v>
      </c>
      <c r="AE79" s="270">
        <f>NOVIEMBRE!AG79</f>
        <v>0</v>
      </c>
      <c r="AF79" s="208"/>
      <c r="AG79" s="271">
        <f t="shared" si="76"/>
        <v>0</v>
      </c>
      <c r="AH79" s="270">
        <f t="shared" si="77"/>
        <v>0</v>
      </c>
      <c r="AI79" s="220">
        <f t="shared" si="78"/>
        <v>0</v>
      </c>
      <c r="AJ79" s="269">
        <f t="shared" si="79"/>
        <v>0</v>
      </c>
      <c r="AK79" s="101"/>
      <c r="AL79" s="204"/>
      <c r="AM79" s="210">
        <v>0</v>
      </c>
    </row>
    <row r="80" spans="1:39" ht="24.75" customHeight="1">
      <c r="A80" s="202" t="str">
        <f>+IF(NOVIEMBRE!A80=0,"",NOVIEMBRE!A80)</f>
        <v>1.1.02.05.001.09.02.13.99-1</v>
      </c>
      <c r="B80" s="331" t="str">
        <f>+IF(NOVIEMBRE!B80=0,"",NOVIEMBRE!B80)</f>
        <v>Vigencia Anterior</v>
      </c>
      <c r="C80" s="204">
        <f>+ENERO!C80</f>
        <v>150000000</v>
      </c>
      <c r="D80" s="205">
        <f>NOVIEMBRE!D80+DICIEMBRE!P80</f>
        <v>0</v>
      </c>
      <c r="E80" s="205">
        <f>NOVIEMBRE!E80+DICIEMBRE!Q80</f>
        <v>0</v>
      </c>
      <c r="F80" s="205">
        <f>SUM(C80:E80)</f>
        <v>150000000</v>
      </c>
      <c r="G80" s="205">
        <f>NOVIEMBRE!I80</f>
        <v>34456300</v>
      </c>
      <c r="H80" s="208">
        <f>5962000</f>
        <v>5962000</v>
      </c>
      <c r="I80" s="680">
        <f>SUM(G80:H80)</f>
        <v>40418300</v>
      </c>
      <c r="J80" s="680">
        <f>NOVIEMBRE!L80</f>
        <v>34456300</v>
      </c>
      <c r="K80" s="208">
        <v>5962000</v>
      </c>
      <c r="L80" s="680">
        <f>SUM(J80:K80)</f>
        <v>40418300</v>
      </c>
      <c r="M80" s="205">
        <f>F80-I80</f>
        <v>109581700</v>
      </c>
      <c r="N80" s="206">
        <f>F80-L80</f>
        <v>109581700</v>
      </c>
      <c r="O80" s="67"/>
      <c r="P80" s="204">
        <v>0</v>
      </c>
      <c r="Q80" s="210">
        <v>0</v>
      </c>
      <c r="R80" s="101"/>
      <c r="S80" s="311" t="str">
        <f>+IF(NOVIEMBRE!S80=0,"",NOVIEMBRE!S80)</f>
        <v>2.1.1.01.03.001.01-1</v>
      </c>
      <c r="T80" s="312" t="str">
        <f>+IF(NOVIEMBRE!T80=0,"",NOVIEMBRE!T80)</f>
        <v>Vacaciones</v>
      </c>
      <c r="U80" s="373">
        <f>+ENERO!U80</f>
        <v>0</v>
      </c>
      <c r="V80" s="220">
        <f>NOVIEMBRE!V80+DICIEMBRE!AL80</f>
        <v>0</v>
      </c>
      <c r="W80" s="220">
        <f>NOVIEMBRE!W80+DICIEMBRE!AM80</f>
        <v>0</v>
      </c>
      <c r="X80" s="271">
        <f t="shared" si="73"/>
        <v>0</v>
      </c>
      <c r="Y80" s="270">
        <f>NOVIEMBRE!AA80</f>
        <v>0</v>
      </c>
      <c r="Z80" s="208"/>
      <c r="AA80" s="271">
        <f t="shared" si="74"/>
        <v>0</v>
      </c>
      <c r="AB80" s="270">
        <f>NOVIEMBRE!AD80</f>
        <v>0</v>
      </c>
      <c r="AC80" s="208"/>
      <c r="AD80" s="271">
        <f t="shared" si="75"/>
        <v>0</v>
      </c>
      <c r="AE80" s="270">
        <f>NOVIEMBRE!AG80</f>
        <v>0</v>
      </c>
      <c r="AF80" s="208"/>
      <c r="AG80" s="271">
        <f t="shared" si="76"/>
        <v>0</v>
      </c>
      <c r="AH80" s="270">
        <f t="shared" si="77"/>
        <v>0</v>
      </c>
      <c r="AI80" s="220">
        <f t="shared" si="78"/>
        <v>0</v>
      </c>
      <c r="AJ80" s="269">
        <f t="shared" si="79"/>
        <v>0</v>
      </c>
      <c r="AK80" s="101"/>
      <c r="AL80" s="204"/>
      <c r="AM80" s="210">
        <v>0</v>
      </c>
    </row>
    <row r="81" spans="1:40" ht="24.75" customHeight="1">
      <c r="A81" s="286" t="str">
        <f>+IF(NOVIEMBRE!A81=0,"",NOVIEMBRE!A81)</f>
        <v>1.1.02.05.001.09.02.08</v>
      </c>
      <c r="B81" s="319" t="str">
        <f>+IF(NOVIEMBRE!B81=0,"",NOVIEMBRE!B81)</f>
        <v>POLICIA NACIONAL</v>
      </c>
      <c r="C81" s="288">
        <f t="shared" ref="C81:N81" si="82">SUM(C82:C83)</f>
        <v>386698320</v>
      </c>
      <c r="D81" s="320">
        <f t="shared" si="82"/>
        <v>0</v>
      </c>
      <c r="E81" s="320">
        <f t="shared" si="82"/>
        <v>0</v>
      </c>
      <c r="F81" s="320">
        <f t="shared" si="82"/>
        <v>386698320</v>
      </c>
      <c r="G81" s="320">
        <f t="shared" si="82"/>
        <v>361953632</v>
      </c>
      <c r="H81" s="320">
        <f t="shared" si="82"/>
        <v>70532317</v>
      </c>
      <c r="I81" s="679">
        <f t="shared" si="82"/>
        <v>432485949</v>
      </c>
      <c r="J81" s="679">
        <f t="shared" si="82"/>
        <v>282993578</v>
      </c>
      <c r="K81" s="320">
        <f t="shared" si="82"/>
        <v>50731048</v>
      </c>
      <c r="L81" s="679">
        <f t="shared" si="82"/>
        <v>333724626</v>
      </c>
      <c r="M81" s="320">
        <f t="shared" si="82"/>
        <v>-45787629</v>
      </c>
      <c r="N81" s="289">
        <f t="shared" si="82"/>
        <v>52973694</v>
      </c>
      <c r="O81" s="67"/>
      <c r="P81" s="288">
        <f>SUM(P82:P83)</f>
        <v>0</v>
      </c>
      <c r="Q81" s="289">
        <f>SUM(Q82:Q83)</f>
        <v>0</v>
      </c>
      <c r="R81" s="101"/>
      <c r="S81" s="266" t="str">
        <f>+IF(NOVIEMBRE!S81=0,"",NOVIEMBRE!S81)</f>
        <v>2.1.2.02.02.009.902.99</v>
      </c>
      <c r="T81" s="267" t="str">
        <f>+IF(NOVIEMBRE!T81=0,"",NOVIEMBRE!T81)</f>
        <v>Vigencias Anteriores</v>
      </c>
      <c r="U81" s="373">
        <f>+ENERO!U81</f>
        <v>0</v>
      </c>
      <c r="V81" s="220">
        <f>NOVIEMBRE!V81+DICIEMBRE!AL81</f>
        <v>0</v>
      </c>
      <c r="W81" s="220">
        <f>NOVIEMBRE!W81+DICIEMBRE!AM81</f>
        <v>0</v>
      </c>
      <c r="X81" s="271">
        <f t="shared" si="73"/>
        <v>0</v>
      </c>
      <c r="Y81" s="270">
        <f>NOVIEMBRE!AA81</f>
        <v>0</v>
      </c>
      <c r="Z81" s="208"/>
      <c r="AA81" s="271">
        <f t="shared" si="74"/>
        <v>0</v>
      </c>
      <c r="AB81" s="270">
        <f>NOVIEMBRE!AD81</f>
        <v>0</v>
      </c>
      <c r="AC81" s="208"/>
      <c r="AD81" s="271">
        <f t="shared" si="75"/>
        <v>0</v>
      </c>
      <c r="AE81" s="270">
        <f>NOVIEMBRE!AG81</f>
        <v>0</v>
      </c>
      <c r="AF81" s="208"/>
      <c r="AG81" s="271">
        <f t="shared" si="76"/>
        <v>0</v>
      </c>
      <c r="AH81" s="270">
        <f t="shared" si="77"/>
        <v>0</v>
      </c>
      <c r="AI81" s="220">
        <f t="shared" si="78"/>
        <v>0</v>
      </c>
      <c r="AJ81" s="269">
        <f t="shared" si="79"/>
        <v>0</v>
      </c>
      <c r="AK81" s="101"/>
      <c r="AL81" s="204"/>
      <c r="AM81" s="210">
        <v>0</v>
      </c>
    </row>
    <row r="82" spans="1:40" ht="24.75" customHeight="1">
      <c r="A82" s="202" t="str">
        <f>+IF(NOVIEMBRE!A82=0,"",NOVIEMBRE!A82)</f>
        <v>1.1.02.05.001.09.02.08</v>
      </c>
      <c r="B82" s="331" t="str">
        <f>+CONCATENATE("Vigencia ",INSTRUCCIONES!$F$3)</f>
        <v>Vigencia 2025</v>
      </c>
      <c r="C82" s="204">
        <f>+ENERO!C82</f>
        <v>376911385</v>
      </c>
      <c r="D82" s="205">
        <f>NOVIEMBRE!D82+DICIEMBRE!P82</f>
        <v>0</v>
      </c>
      <c r="E82" s="205">
        <f>NOVIEMBRE!E82+DICIEMBRE!Q82</f>
        <v>0</v>
      </c>
      <c r="F82" s="205">
        <f>SUM(C82:E82)</f>
        <v>376911385</v>
      </c>
      <c r="G82" s="205">
        <f>NOVIEMBRE!I82</f>
        <v>218606923</v>
      </c>
      <c r="H82" s="208">
        <v>30979576</v>
      </c>
      <c r="I82" s="680">
        <f>SUM(G82:H82)</f>
        <v>249586499</v>
      </c>
      <c r="J82" s="680">
        <f>NOVIEMBRE!L82</f>
        <v>139646869</v>
      </c>
      <c r="K82" s="208">
        <v>11178307</v>
      </c>
      <c r="L82" s="680">
        <f>SUM(J82:K82)</f>
        <v>150825176</v>
      </c>
      <c r="M82" s="205">
        <f>F82-I82</f>
        <v>127324886</v>
      </c>
      <c r="N82" s="206">
        <f>F82-L82</f>
        <v>226086209</v>
      </c>
      <c r="O82" s="67"/>
      <c r="P82" s="204">
        <v>0</v>
      </c>
      <c r="Q82" s="210">
        <v>0</v>
      </c>
      <c r="R82" s="101"/>
      <c r="S82" s="189" t="str">
        <f>+IF(NOVIEMBRE!S82=0,"",NOVIEMBRE!S82)</f>
        <v/>
      </c>
      <c r="T82" s="488" t="str">
        <f>+IF(NOVIEMBRE!T82=0,"",NOVIEMBRE!T82)</f>
        <v/>
      </c>
      <c r="U82" s="191"/>
      <c r="V82" s="191"/>
      <c r="W82" s="191"/>
      <c r="X82" s="191"/>
      <c r="Y82" s="191"/>
      <c r="Z82" s="191"/>
      <c r="AA82" s="191"/>
      <c r="AB82" s="191"/>
      <c r="AC82" s="191"/>
      <c r="AD82" s="191"/>
      <c r="AE82" s="191"/>
      <c r="AF82" s="191"/>
      <c r="AG82" s="191"/>
      <c r="AH82" s="191"/>
      <c r="AI82" s="191"/>
      <c r="AJ82" s="192"/>
      <c r="AK82" s="101"/>
      <c r="AL82" s="370"/>
      <c r="AM82" s="371"/>
    </row>
    <row r="83" spans="1:40" s="1210" customFormat="1" ht="24.75" customHeight="1" thickBot="1">
      <c r="A83" s="1191" t="str">
        <f>+IF(NOVIEMBRE!A83=0,"",NOVIEMBRE!A83)</f>
        <v>1.1.02.05.001.09.02.08,99</v>
      </c>
      <c r="B83" s="1227" t="str">
        <f>+IF(NOVIEMBRE!B83=0,"",NOVIEMBRE!B83)</f>
        <v>Vigencia Anterior</v>
      </c>
      <c r="C83" s="1228">
        <f>+ENERO!C83</f>
        <v>9786935</v>
      </c>
      <c r="D83" s="1157">
        <f>NOVIEMBRE!D83+DICIEMBRE!P83</f>
        <v>0</v>
      </c>
      <c r="E83" s="1157">
        <f>NOVIEMBRE!E83+DICIEMBRE!Q83</f>
        <v>0</v>
      </c>
      <c r="F83" s="1157">
        <f>SUM(C83:E83)</f>
        <v>9786935</v>
      </c>
      <c r="G83" s="1157">
        <f>NOVIEMBRE!I83</f>
        <v>143346709</v>
      </c>
      <c r="H83" s="1229">
        <v>39552741</v>
      </c>
      <c r="I83" s="1157">
        <f>SUM(G83:H83)</f>
        <v>182899450</v>
      </c>
      <c r="J83" s="1157">
        <f>NOVIEMBRE!L83</f>
        <v>143346709</v>
      </c>
      <c r="K83" s="1229">
        <v>39552741</v>
      </c>
      <c r="L83" s="1157">
        <f>SUM(J83:K83)</f>
        <v>182899450</v>
      </c>
      <c r="M83" s="1157">
        <f>F83-I83</f>
        <v>-173112515</v>
      </c>
      <c r="N83" s="980">
        <f>F83-L83</f>
        <v>-173112515</v>
      </c>
      <c r="O83" s="1208"/>
      <c r="P83" s="1193">
        <v>0</v>
      </c>
      <c r="Q83" s="1196">
        <v>0</v>
      </c>
      <c r="R83" s="1195"/>
      <c r="S83" s="1213">
        <f>+IF(NOVIEMBRE!S83=0,"",NOVIEMBRE!S83)</f>
        <v>1020200</v>
      </c>
      <c r="T83" s="1214" t="str">
        <f>+IF(NOVIEMBRE!T83=0,"",NOVIEMBRE!T83)</f>
        <v>Servicios Personales Indirectos</v>
      </c>
      <c r="U83" s="1215">
        <f t="shared" ref="U83:AJ83" si="83">SUM(U84:U88)</f>
        <v>64518803470</v>
      </c>
      <c r="V83" s="1216">
        <f t="shared" si="83"/>
        <v>-904000000</v>
      </c>
      <c r="W83" s="1216">
        <f t="shared" si="83"/>
        <v>7470635160</v>
      </c>
      <c r="X83" s="1217">
        <f t="shared" si="83"/>
        <v>71085438630</v>
      </c>
      <c r="Y83" s="1218">
        <f t="shared" si="83"/>
        <v>71082559073</v>
      </c>
      <c r="Z83" s="1216">
        <f t="shared" si="83"/>
        <v>-644433716</v>
      </c>
      <c r="AA83" s="1217">
        <f t="shared" si="83"/>
        <v>70438125357</v>
      </c>
      <c r="AB83" s="1218">
        <f t="shared" si="83"/>
        <v>65587077874</v>
      </c>
      <c r="AC83" s="1216">
        <f t="shared" si="83"/>
        <v>4851047483</v>
      </c>
      <c r="AD83" s="1217">
        <f t="shared" si="83"/>
        <v>70438125357</v>
      </c>
      <c r="AE83" s="1218">
        <f t="shared" si="83"/>
        <v>49919272181</v>
      </c>
      <c r="AF83" s="1216">
        <f t="shared" si="83"/>
        <v>3850170450</v>
      </c>
      <c r="AG83" s="1217">
        <f t="shared" si="83"/>
        <v>53769442631</v>
      </c>
      <c r="AH83" s="1218">
        <f t="shared" si="83"/>
        <v>647313273</v>
      </c>
      <c r="AI83" s="1216">
        <f t="shared" si="83"/>
        <v>647313273</v>
      </c>
      <c r="AJ83" s="1219">
        <f t="shared" si="83"/>
        <v>17315995999</v>
      </c>
      <c r="AK83" s="1195"/>
      <c r="AL83" s="1218">
        <f>SUM(AL84:AL88)</f>
        <v>0</v>
      </c>
      <c r="AM83" s="1219">
        <f>SUM(AM84:AM88)</f>
        <v>0</v>
      </c>
      <c r="AN83" s="1195">
        <f>+AK83-SEPTIEMBRE!AK83</f>
        <v>0</v>
      </c>
    </row>
    <row r="84" spans="1:40" ht="24.75" customHeight="1" thickBot="1">
      <c r="A84" s="378" t="str">
        <f>+IF(NOVIEMBRE!A84=0,"",NOVIEMBRE!A84)</f>
        <v/>
      </c>
      <c r="B84" s="379" t="str">
        <f>+IF(NOVIEMBRE!B84=0,"",NOVIEMBRE!B84)</f>
        <v/>
      </c>
      <c r="C84" s="67"/>
      <c r="D84" s="67"/>
      <c r="E84" s="67"/>
      <c r="F84" s="67"/>
      <c r="G84" s="67"/>
      <c r="H84" s="67"/>
      <c r="I84" s="649"/>
      <c r="J84" s="649"/>
      <c r="K84" s="67"/>
      <c r="L84" s="649"/>
      <c r="M84" s="67"/>
      <c r="N84" s="283"/>
      <c r="O84" s="369"/>
      <c r="P84" s="380"/>
      <c r="Q84" s="254"/>
      <c r="R84" s="101"/>
      <c r="S84" s="266" t="str">
        <f>+IF(NOVIEMBRE!S84=0,"",NOVIEMBRE!S84)</f>
        <v>2.1.2.02.02.009.902</v>
      </c>
      <c r="T84" s="267" t="str">
        <f>+IF(NOVIEMBRE!T84=0,"",NOVIEMBRE!T84)</f>
        <v>Servicios Personales (Personal Asistencial)</v>
      </c>
      <c r="U84" s="373">
        <f>+ENERO!U84</f>
        <v>55683487770</v>
      </c>
      <c r="V84" s="220">
        <f>NOVIEMBRE!V84+DICIEMBRE!AL84</f>
        <v>-2966698533</v>
      </c>
      <c r="W84" s="220">
        <f>NOVIEMBRE!W84+DICIEMBRE!AM84</f>
        <v>4562452399</v>
      </c>
      <c r="X84" s="271">
        <f>SUM(U84:W84)</f>
        <v>57279241636</v>
      </c>
      <c r="Y84" s="270">
        <f>NOVIEMBRE!AA84</f>
        <v>57279043623</v>
      </c>
      <c r="Z84" s="1186">
        <v>-644433716</v>
      </c>
      <c r="AA84" s="271">
        <f>SUM(Y84:Z84)</f>
        <v>56634609907</v>
      </c>
      <c r="AB84" s="270">
        <f>NOVIEMBRE!AD84</f>
        <v>51783562424</v>
      </c>
      <c r="AC84" s="1186">
        <v>4851047483</v>
      </c>
      <c r="AD84" s="271">
        <f>SUM(AB84:AC84)</f>
        <v>56634609907</v>
      </c>
      <c r="AE84" s="270">
        <f>NOVIEMBRE!AG84</f>
        <v>36115756731</v>
      </c>
      <c r="AF84" s="1186">
        <v>3850170450</v>
      </c>
      <c r="AG84" s="271">
        <f>SUM(AE84:AF84)</f>
        <v>39965927181</v>
      </c>
      <c r="AH84" s="270">
        <f>X84-AA84</f>
        <v>644631729</v>
      </c>
      <c r="AI84" s="220">
        <f>X84-AD84</f>
        <v>644631729</v>
      </c>
      <c r="AJ84" s="269">
        <f>X84-AG84</f>
        <v>17313314455</v>
      </c>
      <c r="AK84" s="1195">
        <f>+AA84</f>
        <v>56634609907</v>
      </c>
      <c r="AL84" s="1218">
        <f>SUM(AL85:AL89)</f>
        <v>0</v>
      </c>
      <c r="AM84" s="1219">
        <f>SUM(AM85:AM89)</f>
        <v>0</v>
      </c>
      <c r="AN84" s="1195">
        <f>+AK84-SEPTIEMBRE!AK84</f>
        <v>8019858957</v>
      </c>
    </row>
    <row r="85" spans="1:40" ht="24.75" customHeight="1">
      <c r="A85" s="381" t="str">
        <f>+IF(NOVIEMBRE!A85=0,"",NOVIEMBRE!A85)</f>
        <v>1.1.02.05.001.09.02.90</v>
      </c>
      <c r="B85" s="382" t="str">
        <f>+IF(NOVIEMBRE!B85=0,"",NOVIEMBRE!B85)</f>
        <v>Otras Ventas de Servicios de Salud</v>
      </c>
      <c r="C85" s="383">
        <f t="shared" ref="C85:N85" si="84">SUM(C86:C92)</f>
        <v>0</v>
      </c>
      <c r="D85" s="384">
        <f t="shared" si="84"/>
        <v>0</v>
      </c>
      <c r="E85" s="384">
        <f t="shared" si="84"/>
        <v>22059199574</v>
      </c>
      <c r="F85" s="384">
        <f t="shared" si="84"/>
        <v>22059199574</v>
      </c>
      <c r="G85" s="384">
        <f t="shared" si="84"/>
        <v>22414450385</v>
      </c>
      <c r="H85" s="384">
        <f t="shared" si="84"/>
        <v>-478369644</v>
      </c>
      <c r="I85" s="683">
        <f t="shared" si="84"/>
        <v>21936080741</v>
      </c>
      <c r="J85" s="683">
        <f t="shared" si="84"/>
        <v>15179481492</v>
      </c>
      <c r="K85" s="384">
        <f t="shared" si="84"/>
        <v>2100690413</v>
      </c>
      <c r="L85" s="683">
        <f t="shared" si="84"/>
        <v>17280171905</v>
      </c>
      <c r="M85" s="384">
        <f t="shared" si="84"/>
        <v>123118833</v>
      </c>
      <c r="N85" s="385">
        <f t="shared" si="84"/>
        <v>4779027669</v>
      </c>
      <c r="O85" s="67"/>
      <c r="P85" s="288">
        <f>SUM(P86:P92)</f>
        <v>0</v>
      </c>
      <c r="Q85" s="289">
        <f>SUM(Q86:Q92)</f>
        <v>229634453</v>
      </c>
      <c r="R85" s="101"/>
      <c r="S85" s="266" t="str">
        <f>+IF(NOVIEMBRE!S85=0,"",NOVIEMBRE!S85)</f>
        <v>1020200-2</v>
      </c>
      <c r="T85" s="267" t="str">
        <f>+IF(NOVIEMBRE!T85=0,"",NOVIEMBRE!T85)</f>
        <v>Personal Supernumerario</v>
      </c>
      <c r="U85" s="373">
        <f>+ENERO!U85</f>
        <v>0</v>
      </c>
      <c r="V85" s="220">
        <f>NOVIEMBRE!V85+DICIEMBRE!AL85</f>
        <v>0</v>
      </c>
      <c r="W85" s="220">
        <f>NOVIEMBRE!W85+DICIEMBRE!AM85</f>
        <v>0</v>
      </c>
      <c r="X85" s="271">
        <f>SUM(U85:W85)</f>
        <v>0</v>
      </c>
      <c r="Y85" s="270">
        <f>NOVIEMBRE!AA85</f>
        <v>0</v>
      </c>
      <c r="Z85" s="208"/>
      <c r="AA85" s="271">
        <f>SUM(Y85:Z85)</f>
        <v>0</v>
      </c>
      <c r="AB85" s="270">
        <f>NOVIEMBRE!AD85</f>
        <v>0</v>
      </c>
      <c r="AC85" s="208"/>
      <c r="AD85" s="271">
        <f>SUM(AB85:AC85)</f>
        <v>0</v>
      </c>
      <c r="AE85" s="270">
        <f>NOVIEMBRE!AG85</f>
        <v>0</v>
      </c>
      <c r="AF85" s="208"/>
      <c r="AG85" s="271">
        <f>SUM(AE85:AF85)</f>
        <v>0</v>
      </c>
      <c r="AH85" s="270">
        <f>X85-AA85</f>
        <v>0</v>
      </c>
      <c r="AI85" s="220">
        <f>X85-AD85</f>
        <v>0</v>
      </c>
      <c r="AJ85" s="269">
        <f>X85-AG85</f>
        <v>0</v>
      </c>
      <c r="AK85" s="101"/>
      <c r="AL85" s="204"/>
      <c r="AM85" s="210">
        <v>0</v>
      </c>
      <c r="AN85" s="1190">
        <f>+AN84+AN39+AN38+AN40+AN37+AN36+AN35</f>
        <v>10665556462</v>
      </c>
    </row>
    <row r="86" spans="1:40" ht="24.75" customHeight="1">
      <c r="A86" s="386" t="str">
        <f>+IF(NOVIEMBRE!A86=0,"",NOVIEMBRE!A86)</f>
        <v>1.1.02.05.001.09.02.90.05.99</v>
      </c>
      <c r="B86" s="387" t="str">
        <f>+IF(NOVIEMBRE!B86=0,"",NOVIEMBRE!B86)</f>
        <v>Agendamiento y aplicación de la vacuna COVID 19(Res.166/2021) INSTITUCIONAL</v>
      </c>
      <c r="C86" s="268">
        <f>+ENERO!C86</f>
        <v>0</v>
      </c>
      <c r="D86" s="205">
        <f>NOVIEMBRE!D86+DICIEMBRE!P86</f>
        <v>0</v>
      </c>
      <c r="E86" s="205">
        <f>NOVIEMBRE!E86+DICIEMBRE!Q86</f>
        <v>0</v>
      </c>
      <c r="F86" s="205">
        <f t="shared" ref="F86:F92" si="85">SUM(C86:E86)</f>
        <v>0</v>
      </c>
      <c r="G86" s="205">
        <f>NOVIEMBRE!I86</f>
        <v>0</v>
      </c>
      <c r="H86" s="208">
        <v>0</v>
      </c>
      <c r="I86" s="680">
        <f t="shared" ref="I86:I92" si="86">SUM(G86:H86)</f>
        <v>0</v>
      </c>
      <c r="J86" s="680">
        <f>NOVIEMBRE!L86</f>
        <v>0</v>
      </c>
      <c r="K86" s="208">
        <v>0</v>
      </c>
      <c r="L86" s="680">
        <f t="shared" ref="L86:L92" si="87">SUM(J86:K86)</f>
        <v>0</v>
      </c>
      <c r="M86" s="205">
        <f t="shared" ref="M86:M92" si="88">F86-I86</f>
        <v>0</v>
      </c>
      <c r="N86" s="206">
        <f t="shared" ref="N86:N92" si="89">F86-L86</f>
        <v>0</v>
      </c>
      <c r="O86" s="67"/>
      <c r="P86" s="204">
        <v>0</v>
      </c>
      <c r="Q86" s="210">
        <v>0</v>
      </c>
      <c r="R86" s="101"/>
      <c r="S86" s="266" t="str">
        <f>+IF(NOVIEMBRE!S86=0,"",NOVIEMBRE!S86)</f>
        <v>1020200-3</v>
      </c>
      <c r="T86" s="267" t="str">
        <f>+IF(NOVIEMBRE!T86=0,"",NOVIEMBRE!T86)</f>
        <v>Otros Honorarios</v>
      </c>
      <c r="U86" s="373">
        <f>+ENERO!U86</f>
        <v>0</v>
      </c>
      <c r="V86" s="220">
        <f>NOVIEMBRE!V86+DICIEMBRE!AL86</f>
        <v>0</v>
      </c>
      <c r="W86" s="220">
        <f>NOVIEMBRE!W86+DICIEMBRE!AM86</f>
        <v>0</v>
      </c>
      <c r="X86" s="271">
        <f>SUM(U86:W86)</f>
        <v>0</v>
      </c>
      <c r="Y86" s="270">
        <f>NOVIEMBRE!AA86</f>
        <v>0</v>
      </c>
      <c r="Z86" s="208"/>
      <c r="AA86" s="271">
        <f>SUM(Y86:Z86)</f>
        <v>0</v>
      </c>
      <c r="AB86" s="270">
        <f>NOVIEMBRE!AD86</f>
        <v>0</v>
      </c>
      <c r="AC86" s="208"/>
      <c r="AD86" s="271">
        <f>SUM(AB86:AC86)</f>
        <v>0</v>
      </c>
      <c r="AE86" s="270">
        <f>NOVIEMBRE!AG86</f>
        <v>0</v>
      </c>
      <c r="AF86" s="208"/>
      <c r="AG86" s="271">
        <f>SUM(AE86:AF86)</f>
        <v>0</v>
      </c>
      <c r="AH86" s="270">
        <f>X86-AA86</f>
        <v>0</v>
      </c>
      <c r="AI86" s="220">
        <f>X86-AD86</f>
        <v>0</v>
      </c>
      <c r="AJ86" s="269">
        <f>X86-AG86</f>
        <v>0</v>
      </c>
      <c r="AK86" s="101"/>
      <c r="AL86" s="204"/>
      <c r="AM86" s="210">
        <v>0</v>
      </c>
      <c r="AN86">
        <f>+'[4]Infome rubros 4 tte 2025'!$O$1</f>
        <v>8990577978</v>
      </c>
    </row>
    <row r="87" spans="1:40" ht="24.75" customHeight="1">
      <c r="A87" s="386">
        <f>+IF(NOVIEMBRE!A87=0,"",NOVIEMBRE!A87)</f>
        <v>1130202</v>
      </c>
      <c r="B87" s="387">
        <f>+IF(NOVIEMBRE!B87=0,"",NOVIEMBRE!B87)</f>
        <v>1130202</v>
      </c>
      <c r="C87" s="268">
        <f>+ENERO!C87</f>
        <v>0</v>
      </c>
      <c r="D87" s="205">
        <f>NOVIEMBRE!D87+DICIEMBRE!P87</f>
        <v>0</v>
      </c>
      <c r="E87" s="205">
        <f>NOVIEMBRE!E87+DICIEMBRE!Q87</f>
        <v>0</v>
      </c>
      <c r="F87" s="205">
        <f t="shared" si="85"/>
        <v>0</v>
      </c>
      <c r="G87" s="205">
        <f>NOVIEMBRE!I87</f>
        <v>0</v>
      </c>
      <c r="H87" s="208">
        <v>0</v>
      </c>
      <c r="I87" s="680">
        <f t="shared" si="86"/>
        <v>0</v>
      </c>
      <c r="J87" s="680">
        <f>NOVIEMBRE!L87</f>
        <v>0</v>
      </c>
      <c r="K87" s="208">
        <v>0</v>
      </c>
      <c r="L87" s="680">
        <f t="shared" si="87"/>
        <v>0</v>
      </c>
      <c r="M87" s="205">
        <f t="shared" si="88"/>
        <v>0</v>
      </c>
      <c r="N87" s="206">
        <f t="shared" si="89"/>
        <v>0</v>
      </c>
      <c r="O87" s="67"/>
      <c r="P87" s="204">
        <v>0</v>
      </c>
      <c r="Q87" s="210">
        <v>0</v>
      </c>
      <c r="R87" s="101"/>
      <c r="S87" s="266" t="str">
        <f>+IF(NOVIEMBRE!S87=0,"",NOVIEMBRE!S87)</f>
        <v>1020200-4</v>
      </c>
      <c r="T87" s="267" t="str">
        <f>+IF(NOVIEMBRE!T87=0,"",NOVIEMBRE!T87)</f>
        <v>Otros Honorarios</v>
      </c>
      <c r="U87" s="373">
        <f>+ENERO!U87</f>
        <v>0</v>
      </c>
      <c r="V87" s="220">
        <f>NOVIEMBRE!V87+DICIEMBRE!AL87</f>
        <v>0</v>
      </c>
      <c r="W87" s="220">
        <f>NOVIEMBRE!W87+DICIEMBRE!AM87</f>
        <v>0</v>
      </c>
      <c r="X87" s="271">
        <f>SUM(U87:W87)</f>
        <v>0</v>
      </c>
      <c r="Y87" s="270">
        <f>NOVIEMBRE!AA87</f>
        <v>0</v>
      </c>
      <c r="Z87" s="208"/>
      <c r="AA87" s="271">
        <f>SUM(Y87:Z87)</f>
        <v>0</v>
      </c>
      <c r="AB87" s="270">
        <f>NOVIEMBRE!AD87</f>
        <v>0</v>
      </c>
      <c r="AC87" s="208"/>
      <c r="AD87" s="271">
        <f>SUM(AB87:AC87)</f>
        <v>0</v>
      </c>
      <c r="AE87" s="270">
        <f>NOVIEMBRE!AG87</f>
        <v>0</v>
      </c>
      <c r="AF87" s="208"/>
      <c r="AG87" s="271">
        <f>SUM(AE87:AF87)</f>
        <v>0</v>
      </c>
      <c r="AH87" s="270">
        <f>X87-AA87</f>
        <v>0</v>
      </c>
      <c r="AI87" s="220">
        <f>X87-AD87</f>
        <v>0</v>
      </c>
      <c r="AJ87" s="269">
        <f>X87-AG87</f>
        <v>0</v>
      </c>
      <c r="AK87" s="101"/>
      <c r="AL87" s="204"/>
      <c r="AM87" s="210">
        <v>0</v>
      </c>
      <c r="AN87" s="1190">
        <f>+AN85-AN86</f>
        <v>1674978484</v>
      </c>
    </row>
    <row r="88" spans="1:40" ht="24.75" customHeight="1">
      <c r="A88" s="386" t="str">
        <f>+IF(NOVIEMBRE!A88=0,"",NOVIEMBRE!A88)</f>
        <v>1.1.02.05.001.08</v>
      </c>
      <c r="B88" s="388" t="str">
        <f>+IF(NOVIEMBRE!B88=0,"",NOVIEMBRE!B88)</f>
        <v>Servicios Prestados a las empresas y servicios de produccion</v>
      </c>
      <c r="C88" s="268">
        <f>+ENERO!C88</f>
        <v>0</v>
      </c>
      <c r="D88" s="205">
        <f>NOVIEMBRE!D88+DICIEMBRE!P88</f>
        <v>0</v>
      </c>
      <c r="E88" s="205">
        <f>NOVIEMBRE!E88+DICIEMBRE!Q88</f>
        <v>2337265046</v>
      </c>
      <c r="F88" s="205">
        <f t="shared" si="85"/>
        <v>2337265046</v>
      </c>
      <c r="G88" s="205">
        <f>NOVIEMBRE!I88</f>
        <v>2912385046</v>
      </c>
      <c r="H88" s="208">
        <v>-575120000</v>
      </c>
      <c r="I88" s="680">
        <f t="shared" si="86"/>
        <v>2337265046</v>
      </c>
      <c r="J88" s="680">
        <f>NOVIEMBRE!L88</f>
        <v>2278833420</v>
      </c>
      <c r="K88" s="208">
        <v>0</v>
      </c>
      <c r="L88" s="680">
        <f t="shared" si="87"/>
        <v>2278833420</v>
      </c>
      <c r="M88" s="205">
        <f t="shared" si="88"/>
        <v>0</v>
      </c>
      <c r="N88" s="206">
        <f t="shared" si="89"/>
        <v>58431626</v>
      </c>
      <c r="O88" s="67"/>
      <c r="P88" s="204">
        <v>0</v>
      </c>
      <c r="Q88" s="210">
        <v>0</v>
      </c>
      <c r="R88" s="101"/>
      <c r="S88" s="266" t="str">
        <f>+IF(NOVIEMBRE!S88=0,"",NOVIEMBRE!S88)</f>
        <v>2.1.2.02.02.009.99.01</v>
      </c>
      <c r="T88" s="267" t="str">
        <f>+IF(NOVIEMBRE!T88=0,"",NOVIEMBRE!T88)</f>
        <v>Vigencias Anteriores</v>
      </c>
      <c r="U88" s="373">
        <f>+ENERO!U88</f>
        <v>8835315700</v>
      </c>
      <c r="V88" s="220">
        <f>NOVIEMBRE!V88+DICIEMBRE!AL88</f>
        <v>2062698533</v>
      </c>
      <c r="W88" s="220">
        <f>NOVIEMBRE!W88+DICIEMBRE!AM88</f>
        <v>2908182761</v>
      </c>
      <c r="X88" s="271">
        <f>SUM(U88:W88)</f>
        <v>13806196994</v>
      </c>
      <c r="Y88" s="270">
        <f>NOVIEMBRE!AA88</f>
        <v>13803515450</v>
      </c>
      <c r="Z88" s="208"/>
      <c r="AA88" s="271">
        <f>SUM(Y88:Z88)</f>
        <v>13803515450</v>
      </c>
      <c r="AB88" s="270">
        <f>NOVIEMBRE!AD88</f>
        <v>13803515450</v>
      </c>
      <c r="AC88" s="208"/>
      <c r="AD88" s="271">
        <f>SUM(AB88:AC88)</f>
        <v>13803515450</v>
      </c>
      <c r="AE88" s="270">
        <f>NOVIEMBRE!AG88</f>
        <v>13803515450</v>
      </c>
      <c r="AF88" s="208"/>
      <c r="AG88" s="271">
        <f>SUM(AE88:AF88)</f>
        <v>13803515450</v>
      </c>
      <c r="AH88" s="270">
        <f>X88-AA88</f>
        <v>2681544</v>
      </c>
      <c r="AI88" s="220">
        <f>X88-AD88</f>
        <v>2681544</v>
      </c>
      <c r="AJ88" s="269">
        <f>X88-AG88</f>
        <v>2681544</v>
      </c>
      <c r="AK88" s="101"/>
      <c r="AL88" s="204"/>
      <c r="AM88" s="210">
        <v>0</v>
      </c>
    </row>
    <row r="89" spans="1:40" ht="24.75" customHeight="1">
      <c r="A89" s="386" t="str">
        <f>+IF(NOVIEMBRE!A89=0,"",NOVIEMBRE!A89)</f>
        <v>1.1.02.05.001.09.02.90.04</v>
      </c>
      <c r="B89" s="388" t="str">
        <f>+IF(NOVIEMBRE!B89=0,"",NOVIEMBRE!B89)</f>
        <v>CONVENIOS CON EL DEPARTAMENTO LIGADOS A LA VENTA SERVICIOS</v>
      </c>
      <c r="C89" s="268">
        <f>+ENERO!C89</f>
        <v>0</v>
      </c>
      <c r="D89" s="205">
        <f>NOVIEMBRE!D89+DICIEMBRE!P89</f>
        <v>0</v>
      </c>
      <c r="E89" s="205">
        <f>NOVIEMBRE!E89+DICIEMBRE!Q89</f>
        <v>9574697797</v>
      </c>
      <c r="F89" s="205">
        <f t="shared" si="85"/>
        <v>9574697797</v>
      </c>
      <c r="G89" s="205">
        <f>NOVIEMBRE!I89</f>
        <v>9333838697</v>
      </c>
      <c r="H89" s="208">
        <f>113246282+4493985</f>
        <v>117740267</v>
      </c>
      <c r="I89" s="680">
        <f t="shared" si="86"/>
        <v>9451578964</v>
      </c>
      <c r="J89" s="680">
        <f>NOVIEMBRE!L89</f>
        <v>9309117193</v>
      </c>
      <c r="K89" s="208">
        <v>142120264</v>
      </c>
      <c r="L89" s="680">
        <f t="shared" si="87"/>
        <v>9451237457</v>
      </c>
      <c r="M89" s="205">
        <f t="shared" si="88"/>
        <v>123118833</v>
      </c>
      <c r="N89" s="206">
        <f t="shared" si="89"/>
        <v>123460340</v>
      </c>
      <c r="O89" s="67"/>
      <c r="P89" s="204">
        <v>0</v>
      </c>
      <c r="Q89" s="210">
        <v>0</v>
      </c>
      <c r="R89" s="101"/>
      <c r="S89" s="189" t="str">
        <f>+IF(NOVIEMBRE!S89=0,"",NOVIEMBRE!S89)</f>
        <v/>
      </c>
      <c r="T89" s="488" t="str">
        <f>+IF(NOVIEMBRE!T89=0,"",NOVIEMBRE!T89)</f>
        <v/>
      </c>
      <c r="U89" s="191"/>
      <c r="V89" s="191"/>
      <c r="W89" s="191"/>
      <c r="X89" s="191"/>
      <c r="Y89" s="191"/>
      <c r="Z89" s="191"/>
      <c r="AA89" s="191"/>
      <c r="AB89" s="191"/>
      <c r="AC89" s="191"/>
      <c r="AD89" s="191"/>
      <c r="AE89" s="191"/>
      <c r="AF89" s="191"/>
      <c r="AG89" s="191"/>
      <c r="AH89" s="191"/>
      <c r="AI89" s="191"/>
      <c r="AJ89" s="192"/>
      <c r="AK89" s="101"/>
      <c r="AL89" s="370"/>
      <c r="AM89" s="371"/>
    </row>
    <row r="90" spans="1:40" ht="24.75" customHeight="1">
      <c r="A90" s="386" t="str">
        <f>+IF(NOVIEMBRE!A90=0,"",NOVIEMBRE!A90)</f>
        <v>1.1.02.05.001.09.02.18.03</v>
      </c>
      <c r="B90" s="388" t="str">
        <f>+IF(NOVIEMBRE!B90=0,"",NOVIEMBRE!B90)</f>
        <v xml:space="preserve">CONVENIOS CON EL MUNICIPIO LIGADOS A LA VENTA DE SERVICIOS </v>
      </c>
      <c r="C90" s="268">
        <f>+ENERO!C90</f>
        <v>0</v>
      </c>
      <c r="D90" s="205">
        <f>NOVIEMBRE!D90+DICIEMBRE!P90</f>
        <v>0</v>
      </c>
      <c r="E90" s="205">
        <f>NOVIEMBRE!E90+DICIEMBRE!Q90</f>
        <v>10147236731</v>
      </c>
      <c r="F90" s="205">
        <f t="shared" si="85"/>
        <v>10147236731</v>
      </c>
      <c r="G90" s="205">
        <f>NOVIEMBRE!I90</f>
        <v>10168226642</v>
      </c>
      <c r="H90" s="208">
        <v>-20989911</v>
      </c>
      <c r="I90" s="680">
        <f t="shared" si="86"/>
        <v>10147236731</v>
      </c>
      <c r="J90" s="680">
        <f>NOVIEMBRE!L90</f>
        <v>3591530879</v>
      </c>
      <c r="K90" s="208">
        <f>600000000+878800000+396436819+83333330</f>
        <v>1958570149</v>
      </c>
      <c r="L90" s="680">
        <f t="shared" si="87"/>
        <v>5550101028</v>
      </c>
      <c r="M90" s="205">
        <f t="shared" si="88"/>
        <v>0</v>
      </c>
      <c r="N90" s="206">
        <f t="shared" si="89"/>
        <v>4597135703</v>
      </c>
      <c r="O90" s="67"/>
      <c r="P90" s="204">
        <v>0</v>
      </c>
      <c r="Q90" s="210">
        <v>229634453</v>
      </c>
      <c r="R90" s="389"/>
      <c r="S90" s="257">
        <f>+IF(NOVIEMBRE!S90=0,"",NOVIEMBRE!S90)</f>
        <v>1020300</v>
      </c>
      <c r="T90" s="546" t="str">
        <f>+IF(NOVIEMBRE!T90=0,"",NOVIEMBRE!T90)</f>
        <v>Contribuciones Inherentes nómina al Sector Privado</v>
      </c>
      <c r="U90" s="230">
        <f t="shared" ref="U90:AJ90" si="90">U91+U96+U102</f>
        <v>0</v>
      </c>
      <c r="V90" s="231">
        <f t="shared" si="90"/>
        <v>0</v>
      </c>
      <c r="W90" s="231">
        <f t="shared" si="90"/>
        <v>0</v>
      </c>
      <c r="X90" s="234">
        <f t="shared" si="90"/>
        <v>0</v>
      </c>
      <c r="Y90" s="233">
        <f t="shared" si="90"/>
        <v>0</v>
      </c>
      <c r="Z90" s="231">
        <f t="shared" si="90"/>
        <v>0</v>
      </c>
      <c r="AA90" s="234">
        <f t="shared" si="90"/>
        <v>0</v>
      </c>
      <c r="AB90" s="233">
        <f t="shared" si="90"/>
        <v>0</v>
      </c>
      <c r="AC90" s="231">
        <f t="shared" si="90"/>
        <v>0</v>
      </c>
      <c r="AD90" s="234">
        <f t="shared" si="90"/>
        <v>0</v>
      </c>
      <c r="AE90" s="233">
        <f t="shared" si="90"/>
        <v>0</v>
      </c>
      <c r="AF90" s="231">
        <f t="shared" si="90"/>
        <v>0</v>
      </c>
      <c r="AG90" s="234">
        <f t="shared" si="90"/>
        <v>0</v>
      </c>
      <c r="AH90" s="233">
        <f t="shared" si="90"/>
        <v>0</v>
      </c>
      <c r="AI90" s="231">
        <f t="shared" si="90"/>
        <v>0</v>
      </c>
      <c r="AJ90" s="232">
        <f t="shared" si="90"/>
        <v>0</v>
      </c>
      <c r="AK90" s="101"/>
      <c r="AL90" s="233">
        <f>AL91+AL96+AL102</f>
        <v>0</v>
      </c>
      <c r="AM90" s="232">
        <f>AM91+AM96+AM102</f>
        <v>0</v>
      </c>
    </row>
    <row r="91" spans="1:40" ht="24.75" customHeight="1">
      <c r="A91" s="386">
        <f>+IF(NOVIEMBRE!A91=0,"",NOVIEMBRE!A91)</f>
        <v>1130206</v>
      </c>
      <c r="B91" s="388" t="str">
        <f>+IF(NOVIEMBRE!B91=0,"",NOVIEMBRE!B91)</f>
        <v>OTROS CONVENIOS LIGADOS A LA VENTA DE SERVICIOS</v>
      </c>
      <c r="C91" s="268">
        <f>+ENERO!C91</f>
        <v>0</v>
      </c>
      <c r="D91" s="205">
        <f>NOVIEMBRE!D91+DICIEMBRE!P91</f>
        <v>0</v>
      </c>
      <c r="E91" s="205">
        <f>NOVIEMBRE!E91+DICIEMBRE!Q91</f>
        <v>0</v>
      </c>
      <c r="F91" s="205">
        <f t="shared" si="85"/>
        <v>0</v>
      </c>
      <c r="G91" s="205">
        <f>NOVIEMBRE!I91</f>
        <v>0</v>
      </c>
      <c r="H91" s="208">
        <v>0</v>
      </c>
      <c r="I91" s="680">
        <f t="shared" si="86"/>
        <v>0</v>
      </c>
      <c r="J91" s="680">
        <f>NOVIEMBRE!L91</f>
        <v>0</v>
      </c>
      <c r="K91" s="208">
        <v>0</v>
      </c>
      <c r="L91" s="680">
        <f t="shared" si="87"/>
        <v>0</v>
      </c>
      <c r="M91" s="205">
        <f t="shared" si="88"/>
        <v>0</v>
      </c>
      <c r="N91" s="206">
        <f t="shared" si="89"/>
        <v>0</v>
      </c>
      <c r="O91" s="67"/>
      <c r="P91" s="204">
        <v>0</v>
      </c>
      <c r="Q91" s="210">
        <v>0</v>
      </c>
      <c r="R91" s="389"/>
      <c r="S91" s="266">
        <f>+IF(NOVIEMBRE!S91=0,"",NOVIEMBRE!S91)</f>
        <v>1020301</v>
      </c>
      <c r="T91" s="267" t="str">
        <f>+IF(NOVIEMBRE!T91=0,"",NOVIEMBRE!T91)</f>
        <v>Contribuciones - SGP - Aportes Patronales - Cuenta Maestra</v>
      </c>
      <c r="U91" s="373">
        <f t="shared" ref="U91:AJ91" si="91">SUM(U92:U95)</f>
        <v>0</v>
      </c>
      <c r="V91" s="220">
        <f t="shared" si="91"/>
        <v>0</v>
      </c>
      <c r="W91" s="220">
        <f t="shared" si="91"/>
        <v>0</v>
      </c>
      <c r="X91" s="271">
        <f t="shared" si="91"/>
        <v>0</v>
      </c>
      <c r="Y91" s="270">
        <f t="shared" si="91"/>
        <v>0</v>
      </c>
      <c r="Z91" s="300">
        <f t="shared" si="91"/>
        <v>0</v>
      </c>
      <c r="AA91" s="271">
        <f t="shared" si="91"/>
        <v>0</v>
      </c>
      <c r="AB91" s="270">
        <f t="shared" si="91"/>
        <v>0</v>
      </c>
      <c r="AC91" s="300">
        <f t="shared" si="91"/>
        <v>0</v>
      </c>
      <c r="AD91" s="271">
        <f t="shared" si="91"/>
        <v>0</v>
      </c>
      <c r="AE91" s="270">
        <f t="shared" si="91"/>
        <v>0</v>
      </c>
      <c r="AF91" s="300">
        <f t="shared" si="91"/>
        <v>0</v>
      </c>
      <c r="AG91" s="271">
        <f t="shared" si="91"/>
        <v>0</v>
      </c>
      <c r="AH91" s="270">
        <f t="shared" si="91"/>
        <v>0</v>
      </c>
      <c r="AI91" s="220">
        <f t="shared" si="91"/>
        <v>0</v>
      </c>
      <c r="AJ91" s="269">
        <f t="shared" si="91"/>
        <v>0</v>
      </c>
      <c r="AK91" s="101"/>
      <c r="AL91" s="301">
        <f>SUM(AL92:AL95)</f>
        <v>0</v>
      </c>
      <c r="AM91" s="302">
        <f>SUM(AM92:AM95)</f>
        <v>0</v>
      </c>
    </row>
    <row r="92" spans="1:40" ht="24.75" customHeight="1" thickBot="1">
      <c r="A92" s="386" t="str">
        <f>+IF(NOVIEMBRE!A92=0,"",NOVIEMBRE!A92)</f>
        <v>1.1.02.05.001.09.02.90.05.99</v>
      </c>
      <c r="B92" s="390" t="str">
        <f>+IF(NOVIEMBRE!B92=0,"",NOVIEMBRE!B92)</f>
        <v>Vigencia Anterior de Otros Convenios de Salud Nacionales (vacunacion covid-19 agendamiento y aplicación)</v>
      </c>
      <c r="C92" s="391">
        <f>+ENERO!C92</f>
        <v>0</v>
      </c>
      <c r="D92" s="243">
        <f>NOVIEMBRE!D92+DICIEMBRE!P92</f>
        <v>0</v>
      </c>
      <c r="E92" s="243">
        <f>NOVIEMBRE!E92+DICIEMBRE!Q92</f>
        <v>0</v>
      </c>
      <c r="F92" s="243">
        <f t="shared" si="85"/>
        <v>0</v>
      </c>
      <c r="G92" s="243">
        <f>NOVIEMBRE!I92</f>
        <v>0</v>
      </c>
      <c r="H92" s="246">
        <v>0</v>
      </c>
      <c r="I92" s="682">
        <f t="shared" si="86"/>
        <v>0</v>
      </c>
      <c r="J92" s="682">
        <f>NOVIEMBRE!L92</f>
        <v>0</v>
      </c>
      <c r="K92" s="246">
        <v>0</v>
      </c>
      <c r="L92" s="682">
        <f t="shared" si="87"/>
        <v>0</v>
      </c>
      <c r="M92" s="243">
        <f t="shared" si="88"/>
        <v>0</v>
      </c>
      <c r="N92" s="244">
        <f t="shared" si="89"/>
        <v>0</v>
      </c>
      <c r="O92" s="67"/>
      <c r="P92" s="204">
        <v>0</v>
      </c>
      <c r="Q92" s="210">
        <v>0</v>
      </c>
      <c r="R92" s="389"/>
      <c r="S92" s="311" t="str">
        <f>+IF(NOVIEMBRE!S92=0,"",NOVIEMBRE!S92)</f>
        <v>1020301-1</v>
      </c>
      <c r="T92" s="312" t="str">
        <f>+IF(NOVIEMBRE!T92=0,"",NOVIEMBRE!T92)</f>
        <v>E.P.S. - Aportes cuenta maestra</v>
      </c>
      <c r="U92" s="373">
        <f>+ENERO!U92</f>
        <v>0</v>
      </c>
      <c r="V92" s="220">
        <f>NOVIEMBRE!V92+DICIEMBRE!AL92</f>
        <v>0</v>
      </c>
      <c r="W92" s="220">
        <f>NOVIEMBRE!W92+DICIEMBRE!AM92</f>
        <v>0</v>
      </c>
      <c r="X92" s="271">
        <f>SUM(U92:W92)</f>
        <v>0</v>
      </c>
      <c r="Y92" s="270">
        <f>NOVIEMBRE!AA92</f>
        <v>0</v>
      </c>
      <c r="Z92" s="208"/>
      <c r="AA92" s="271">
        <f>SUM(Y92:Z92)</f>
        <v>0</v>
      </c>
      <c r="AB92" s="270">
        <f>NOVIEMBRE!AD92</f>
        <v>0</v>
      </c>
      <c r="AC92" s="208"/>
      <c r="AD92" s="271">
        <f>SUM(AB92:AC92)</f>
        <v>0</v>
      </c>
      <c r="AE92" s="270">
        <f>NOVIEMBRE!AG92</f>
        <v>0</v>
      </c>
      <c r="AF92" s="208"/>
      <c r="AG92" s="271">
        <f>SUM(AE92:AF92)</f>
        <v>0</v>
      </c>
      <c r="AH92" s="270">
        <f>X92-AA92</f>
        <v>0</v>
      </c>
      <c r="AI92" s="220">
        <f>X92-AD92</f>
        <v>0</v>
      </c>
      <c r="AJ92" s="269">
        <f>X92-AG92</f>
        <v>0</v>
      </c>
      <c r="AK92" s="101"/>
      <c r="AL92" s="204"/>
      <c r="AM92" s="210">
        <v>0</v>
      </c>
    </row>
    <row r="93" spans="1:40" ht="24.75" customHeight="1" thickBot="1">
      <c r="A93" s="378" t="str">
        <f>+IF(NOVIEMBRE!A93=0,"",NOVIEMBRE!A93)</f>
        <v/>
      </c>
      <c r="B93" s="379" t="str">
        <f>+IF(NOVIEMBRE!B93=0,"",NOVIEMBRE!B93)</f>
        <v/>
      </c>
      <c r="C93" s="67"/>
      <c r="D93" s="67"/>
      <c r="E93" s="67"/>
      <c r="F93" s="67"/>
      <c r="G93" s="67"/>
      <c r="H93" s="67"/>
      <c r="I93" s="649"/>
      <c r="J93" s="649"/>
      <c r="K93" s="67"/>
      <c r="L93" s="649"/>
      <c r="M93" s="67"/>
      <c r="N93" s="283"/>
      <c r="O93" s="369"/>
      <c r="P93" s="380"/>
      <c r="Q93" s="254"/>
      <c r="R93" s="389"/>
      <c r="S93" s="311" t="str">
        <f>+IF(NOVIEMBRE!S93=0,"",NOVIEMBRE!S93)</f>
        <v>1020301-2</v>
      </c>
      <c r="T93" s="312" t="str">
        <f>+IF(NOVIEMBRE!T93=0,"",NOVIEMBRE!T93)</f>
        <v>Fondos pensionales - Aportes cuenta maestra</v>
      </c>
      <c r="U93" s="373">
        <f>+ENERO!U93</f>
        <v>0</v>
      </c>
      <c r="V93" s="220">
        <f>NOVIEMBRE!V93+DICIEMBRE!AL93</f>
        <v>0</v>
      </c>
      <c r="W93" s="220">
        <f>NOVIEMBRE!W93+DICIEMBRE!AM93</f>
        <v>0</v>
      </c>
      <c r="X93" s="271">
        <f>SUM(U93:W93)</f>
        <v>0</v>
      </c>
      <c r="Y93" s="270">
        <f>NOVIEMBRE!AA93</f>
        <v>0</v>
      </c>
      <c r="Z93" s="208"/>
      <c r="AA93" s="271">
        <f>SUM(Y93:Z93)</f>
        <v>0</v>
      </c>
      <c r="AB93" s="270">
        <f>NOVIEMBRE!AD93</f>
        <v>0</v>
      </c>
      <c r="AC93" s="208"/>
      <c r="AD93" s="271">
        <f>SUM(AB93:AC93)</f>
        <v>0</v>
      </c>
      <c r="AE93" s="270">
        <f>NOVIEMBRE!AG93</f>
        <v>0</v>
      </c>
      <c r="AF93" s="208"/>
      <c r="AG93" s="271">
        <f>SUM(AE93:AF93)</f>
        <v>0</v>
      </c>
      <c r="AH93" s="270">
        <f>X93-AA93</f>
        <v>0</v>
      </c>
      <c r="AI93" s="220">
        <f>X93-AD93</f>
        <v>0</v>
      </c>
      <c r="AJ93" s="269">
        <f>X93-AG93</f>
        <v>0</v>
      </c>
      <c r="AK93" s="101"/>
      <c r="AL93" s="204"/>
      <c r="AM93" s="210">
        <v>0</v>
      </c>
    </row>
    <row r="94" spans="1:40" ht="24.75" customHeight="1">
      <c r="A94" s="392" t="str">
        <f>+IF(NOVIEMBRE!A94=0,"",NOVIEMBRE!A94)</f>
        <v>1.1.02.06.006.06</v>
      </c>
      <c r="B94" s="393" t="str">
        <f>+IF(NOVIEMBRE!B94=0,"",NOVIEMBRE!B94)</f>
        <v>Aportes (No ligados a la venta de servicios de salud)</v>
      </c>
      <c r="C94" s="383">
        <f t="shared" ref="C94:N94" si="92">SUM(C95:C102)</f>
        <v>650000000</v>
      </c>
      <c r="D94" s="384">
        <f t="shared" si="92"/>
        <v>0</v>
      </c>
      <c r="E94" s="384">
        <f t="shared" si="92"/>
        <v>17163660693</v>
      </c>
      <c r="F94" s="384">
        <f t="shared" si="92"/>
        <v>17813660693</v>
      </c>
      <c r="G94" s="384">
        <f t="shared" si="92"/>
        <v>4727334303</v>
      </c>
      <c r="H94" s="384">
        <f t="shared" si="92"/>
        <v>3738838350</v>
      </c>
      <c r="I94" s="683">
        <f t="shared" si="92"/>
        <v>8466172653</v>
      </c>
      <c r="J94" s="683">
        <f t="shared" si="92"/>
        <v>3420701895</v>
      </c>
      <c r="K94" s="384">
        <f t="shared" si="92"/>
        <v>4762346299</v>
      </c>
      <c r="L94" s="683">
        <f t="shared" si="92"/>
        <v>8183048194</v>
      </c>
      <c r="M94" s="384">
        <f t="shared" si="92"/>
        <v>9347488040</v>
      </c>
      <c r="N94" s="385">
        <f t="shared" si="92"/>
        <v>9630612499</v>
      </c>
      <c r="O94" s="67"/>
      <c r="P94" s="288">
        <f>SUM(P95:P102)</f>
        <v>0</v>
      </c>
      <c r="Q94" s="289">
        <f>SUM(Q95:Q102)</f>
        <v>248094261</v>
      </c>
      <c r="R94" s="389"/>
      <c r="S94" s="311" t="str">
        <f>+IF(NOVIEMBRE!S94=0,"",NOVIEMBRE!S94)</f>
        <v>1020301-3</v>
      </c>
      <c r="T94" s="312" t="str">
        <f>+IF(NOVIEMBRE!T94=0,"",NOVIEMBRE!T94)</f>
        <v>Fondos de cesantías - Aportes cuenta maestra</v>
      </c>
      <c r="U94" s="373">
        <f>+ENERO!U94</f>
        <v>0</v>
      </c>
      <c r="V94" s="220">
        <f>NOVIEMBRE!V94+DICIEMBRE!AL94</f>
        <v>0</v>
      </c>
      <c r="W94" s="220">
        <f>NOVIEMBRE!W94+DICIEMBRE!AM94</f>
        <v>0</v>
      </c>
      <c r="X94" s="271">
        <f>SUM(U94:W94)</f>
        <v>0</v>
      </c>
      <c r="Y94" s="270">
        <f>NOVIEMBRE!AA94</f>
        <v>0</v>
      </c>
      <c r="Z94" s="208"/>
      <c r="AA94" s="271">
        <f>SUM(Y94:Z94)</f>
        <v>0</v>
      </c>
      <c r="AB94" s="270">
        <f>NOVIEMBRE!AD94</f>
        <v>0</v>
      </c>
      <c r="AC94" s="208"/>
      <c r="AD94" s="271">
        <f>SUM(AB94:AC94)</f>
        <v>0</v>
      </c>
      <c r="AE94" s="270">
        <f>NOVIEMBRE!AG94</f>
        <v>0</v>
      </c>
      <c r="AF94" s="208"/>
      <c r="AG94" s="271">
        <f>SUM(AE94:AF94)</f>
        <v>0</v>
      </c>
      <c r="AH94" s="270">
        <f>X94-AA94</f>
        <v>0</v>
      </c>
      <c r="AI94" s="220">
        <f>X94-AD94</f>
        <v>0</v>
      </c>
      <c r="AJ94" s="269">
        <f>X94-AG94</f>
        <v>0</v>
      </c>
      <c r="AK94" s="101"/>
      <c r="AL94" s="204"/>
      <c r="AM94" s="210">
        <v>0</v>
      </c>
    </row>
    <row r="95" spans="1:40" ht="24.75" customHeight="1">
      <c r="A95" s="394" t="str">
        <f>+IF(NOVIEMBRE!A95=0,"",NOVIEMBRE!A95)</f>
        <v>1.2.08.06.002</v>
      </c>
      <c r="B95" s="397" t="str">
        <f>+IF(NOVIEMBRE!B95=0,"",NOVIEMBRE!B95)</f>
        <v>Condicionadas a la adquisicion de un activo</v>
      </c>
      <c r="C95" s="268">
        <f>+ENERO!C95</f>
        <v>0</v>
      </c>
      <c r="D95" s="205">
        <f>NOVIEMBRE!D95+DICIEMBRE!P95</f>
        <v>0</v>
      </c>
      <c r="E95" s="205">
        <f>NOVIEMBRE!E95+DICIEMBRE!Q95</f>
        <v>0</v>
      </c>
      <c r="F95" s="205">
        <f t="shared" ref="F95:F102" si="93">SUM(C95:E95)</f>
        <v>0</v>
      </c>
      <c r="G95" s="205">
        <f>NOVIEMBRE!I95</f>
        <v>0</v>
      </c>
      <c r="H95" s="208">
        <v>0</v>
      </c>
      <c r="I95" s="680">
        <f t="shared" ref="I95:I102" si="94">SUM(G95:H95)</f>
        <v>0</v>
      </c>
      <c r="J95" s="680">
        <f>NOVIEMBRE!L95</f>
        <v>0</v>
      </c>
      <c r="K95" s="208">
        <v>0</v>
      </c>
      <c r="L95" s="680">
        <f t="shared" ref="L95:L102" si="95">SUM(J95:K95)</f>
        <v>0</v>
      </c>
      <c r="M95" s="205">
        <f t="shared" ref="M95:M102" si="96">F95-I95</f>
        <v>0</v>
      </c>
      <c r="N95" s="206">
        <f t="shared" ref="N95:N102" si="97">F95-L95</f>
        <v>0</v>
      </c>
      <c r="O95" s="67"/>
      <c r="P95" s="204">
        <v>0</v>
      </c>
      <c r="Q95" s="210">
        <v>0</v>
      </c>
      <c r="R95" s="389"/>
      <c r="S95" s="311" t="str">
        <f>+IF(NOVIEMBRE!S95=0,"",NOVIEMBRE!S95)</f>
        <v>1020301-4</v>
      </c>
      <c r="T95" s="312" t="str">
        <f>+IF(NOVIEMBRE!T95=0,"",NOVIEMBRE!T95)</f>
        <v>Riesgos laborales - Aportes cuenta maestra</v>
      </c>
      <c r="U95" s="373">
        <f>+ENERO!U95</f>
        <v>0</v>
      </c>
      <c r="V95" s="220">
        <f>NOVIEMBRE!V95+DICIEMBRE!AL95</f>
        <v>0</v>
      </c>
      <c r="W95" s="220">
        <f>NOVIEMBRE!W95+DICIEMBRE!AM95</f>
        <v>0</v>
      </c>
      <c r="X95" s="271">
        <f>SUM(U95:W95)</f>
        <v>0</v>
      </c>
      <c r="Y95" s="270">
        <f>NOVIEMBRE!AA95</f>
        <v>0</v>
      </c>
      <c r="Z95" s="208"/>
      <c r="AA95" s="271">
        <f>SUM(Y95:Z95)</f>
        <v>0</v>
      </c>
      <c r="AB95" s="270">
        <f>NOVIEMBRE!AD95</f>
        <v>0</v>
      </c>
      <c r="AC95" s="208"/>
      <c r="AD95" s="271">
        <f>SUM(AB95:AC95)</f>
        <v>0</v>
      </c>
      <c r="AE95" s="270">
        <f>NOVIEMBRE!AG95</f>
        <v>0</v>
      </c>
      <c r="AF95" s="208"/>
      <c r="AG95" s="271">
        <f>SUM(AE95:AF95)</f>
        <v>0</v>
      </c>
      <c r="AH95" s="270">
        <f>X95-AA95</f>
        <v>0</v>
      </c>
      <c r="AI95" s="220">
        <f>X95-AD95</f>
        <v>0</v>
      </c>
      <c r="AJ95" s="269">
        <f>X95-AG95</f>
        <v>0</v>
      </c>
      <c r="AK95" s="101"/>
      <c r="AL95" s="204"/>
      <c r="AM95" s="210">
        <v>0</v>
      </c>
    </row>
    <row r="96" spans="1:40" ht="24.75" customHeight="1">
      <c r="A96" s="394" t="str">
        <f>+IF(NOVIEMBRE!A96=0,"",NOVIEMBRE!A96)</f>
        <v>1.2.08.06.002</v>
      </c>
      <c r="B96" s="397" t="str">
        <f>+IF(NOVIEMBRE!B96=0,"",NOVIEMBRE!B96)</f>
        <v>Condicionados a la adquisición de un activo (DSSA)</v>
      </c>
      <c r="C96" s="268">
        <f>+ENERO!C96</f>
        <v>0</v>
      </c>
      <c r="D96" s="205">
        <f>NOVIEMBRE!D96+DICIEMBRE!P96</f>
        <v>0</v>
      </c>
      <c r="E96" s="205">
        <f>NOVIEMBRE!E96+DICIEMBRE!Q96</f>
        <v>0</v>
      </c>
      <c r="F96" s="205">
        <f t="shared" si="93"/>
        <v>0</v>
      </c>
      <c r="G96" s="205">
        <f>NOVIEMBRE!I96</f>
        <v>0</v>
      </c>
      <c r="H96" s="208">
        <v>0</v>
      </c>
      <c r="I96" s="680">
        <f t="shared" si="94"/>
        <v>0</v>
      </c>
      <c r="J96" s="680">
        <f>NOVIEMBRE!L96</f>
        <v>0</v>
      </c>
      <c r="K96" s="208">
        <v>0</v>
      </c>
      <c r="L96" s="680">
        <f t="shared" si="95"/>
        <v>0</v>
      </c>
      <c r="M96" s="205">
        <f t="shared" si="96"/>
        <v>0</v>
      </c>
      <c r="N96" s="206">
        <f t="shared" si="97"/>
        <v>0</v>
      </c>
      <c r="O96" s="67"/>
      <c r="P96" s="204">
        <v>0</v>
      </c>
      <c r="Q96" s="210">
        <v>0</v>
      </c>
      <c r="R96" s="389"/>
      <c r="S96" s="266">
        <f>+IF(NOVIEMBRE!S96=0,"",NOVIEMBRE!S96)</f>
        <v>1020302</v>
      </c>
      <c r="T96" s="267" t="str">
        <f>+IF(NOVIEMBRE!T96=0,"",NOVIEMBRE!T96)</f>
        <v>Contribuciones - Otros</v>
      </c>
      <c r="U96" s="373">
        <f t="shared" ref="U96:AJ96" si="98">SUM(U97:U101)</f>
        <v>0</v>
      </c>
      <c r="V96" s="220">
        <f t="shared" si="98"/>
        <v>0</v>
      </c>
      <c r="W96" s="220">
        <f t="shared" si="98"/>
        <v>0</v>
      </c>
      <c r="X96" s="271">
        <f t="shared" si="98"/>
        <v>0</v>
      </c>
      <c r="Y96" s="270">
        <f t="shared" si="98"/>
        <v>0</v>
      </c>
      <c r="Z96" s="300">
        <f t="shared" si="98"/>
        <v>0</v>
      </c>
      <c r="AA96" s="271">
        <f t="shared" si="98"/>
        <v>0</v>
      </c>
      <c r="AB96" s="270">
        <f t="shared" si="98"/>
        <v>0</v>
      </c>
      <c r="AC96" s="300">
        <f t="shared" si="98"/>
        <v>0</v>
      </c>
      <c r="AD96" s="271">
        <f t="shared" si="98"/>
        <v>0</v>
      </c>
      <c r="AE96" s="270">
        <f t="shared" si="98"/>
        <v>0</v>
      </c>
      <c r="AF96" s="300">
        <f t="shared" si="98"/>
        <v>0</v>
      </c>
      <c r="AG96" s="271">
        <f t="shared" si="98"/>
        <v>0</v>
      </c>
      <c r="AH96" s="270">
        <f t="shared" si="98"/>
        <v>0</v>
      </c>
      <c r="AI96" s="220">
        <f t="shared" si="98"/>
        <v>0</v>
      </c>
      <c r="AJ96" s="269">
        <f t="shared" si="98"/>
        <v>0</v>
      </c>
      <c r="AK96" s="101"/>
      <c r="AL96" s="395">
        <f>SUM(AL97:AL101)</f>
        <v>0</v>
      </c>
      <c r="AM96" s="396">
        <f>SUM(AM97:AM101)</f>
        <v>0</v>
      </c>
    </row>
    <row r="97" spans="1:39" ht="24.75" customHeight="1">
      <c r="A97" s="394" t="str">
        <f>+IF(NOVIEMBRE!A97=0,"",NOVIEMBRE!A97)</f>
        <v>1.2.08.02</v>
      </c>
      <c r="B97" s="397" t="str">
        <f>+IF(NOVIEMBRE!B97=0,"",NOVIEMBRE!B97)</f>
        <v>Indemnizaciones Relacionadas con seguros No de vida</v>
      </c>
      <c r="C97" s="268">
        <f>+ENERO!C97</f>
        <v>0</v>
      </c>
      <c r="D97" s="205">
        <f>NOVIEMBRE!D97+DICIEMBRE!P97</f>
        <v>0</v>
      </c>
      <c r="E97" s="205">
        <f>NOVIEMBRE!E97+DICIEMBRE!Q97</f>
        <v>0</v>
      </c>
      <c r="F97" s="205">
        <f t="shared" si="93"/>
        <v>0</v>
      </c>
      <c r="G97" s="205">
        <f>NOVIEMBRE!I97</f>
        <v>0</v>
      </c>
      <c r="H97" s="208">
        <v>0</v>
      </c>
      <c r="I97" s="680">
        <f t="shared" si="94"/>
        <v>0</v>
      </c>
      <c r="J97" s="680">
        <f>NOVIEMBRE!L97</f>
        <v>0</v>
      </c>
      <c r="K97" s="208">
        <v>0</v>
      </c>
      <c r="L97" s="680">
        <f t="shared" si="95"/>
        <v>0</v>
      </c>
      <c r="M97" s="205">
        <f t="shared" si="96"/>
        <v>0</v>
      </c>
      <c r="N97" s="206">
        <f t="shared" si="97"/>
        <v>0</v>
      </c>
      <c r="O97" s="67"/>
      <c r="P97" s="204">
        <v>0</v>
      </c>
      <c r="Q97" s="210">
        <v>0</v>
      </c>
      <c r="R97" s="389"/>
      <c r="S97" s="311" t="str">
        <f>+IF(NOVIEMBRE!S97=0,"",NOVIEMBRE!S97)</f>
        <v>2.1.1.01.02.002-1</v>
      </c>
      <c r="T97" s="312" t="str">
        <f>+IF(NOVIEMBRE!T97=0,"",NOVIEMBRE!T97)</f>
        <v>Aportes a E.P.S. - recursos propios</v>
      </c>
      <c r="U97" s="373">
        <f>+ENERO!U97</f>
        <v>0</v>
      </c>
      <c r="V97" s="220">
        <f>NOVIEMBRE!V97+DICIEMBRE!AL97</f>
        <v>0</v>
      </c>
      <c r="W97" s="220">
        <f>NOVIEMBRE!W97+DICIEMBRE!AM97</f>
        <v>0</v>
      </c>
      <c r="X97" s="271">
        <f t="shared" ref="X97:X102" si="99">SUM(U97:W97)</f>
        <v>0</v>
      </c>
      <c r="Y97" s="270">
        <f>NOVIEMBRE!AA97</f>
        <v>0</v>
      </c>
      <c r="Z97" s="208"/>
      <c r="AA97" s="271">
        <f t="shared" ref="AA97:AA102" si="100">SUM(Y97:Z97)</f>
        <v>0</v>
      </c>
      <c r="AB97" s="270">
        <f>NOVIEMBRE!AD97</f>
        <v>0</v>
      </c>
      <c r="AC97" s="208"/>
      <c r="AD97" s="271">
        <f t="shared" ref="AD97:AD102" si="101">SUM(AB97:AC97)</f>
        <v>0</v>
      </c>
      <c r="AE97" s="270">
        <f>NOVIEMBRE!AG97</f>
        <v>0</v>
      </c>
      <c r="AF97" s="208"/>
      <c r="AG97" s="271">
        <f t="shared" ref="AG97:AG102" si="102">SUM(AE97:AF97)</f>
        <v>0</v>
      </c>
      <c r="AH97" s="270">
        <f t="shared" ref="AH97:AH102" si="103">X97-AA97</f>
        <v>0</v>
      </c>
      <c r="AI97" s="220">
        <f t="shared" ref="AI97:AI102" si="104">X97-AD97</f>
        <v>0</v>
      </c>
      <c r="AJ97" s="269">
        <f t="shared" ref="AJ97:AJ102" si="105">X97-AG97</f>
        <v>0</v>
      </c>
      <c r="AK97" s="101"/>
      <c r="AL97" s="204"/>
      <c r="AM97" s="210">
        <v>0</v>
      </c>
    </row>
    <row r="98" spans="1:39" ht="24.75" customHeight="1">
      <c r="A98" s="394" t="str">
        <f>+IF(NOVIEMBRE!A98=0,"",NOVIEMBRE!A98)</f>
        <v>1.1.02.06.007.02.08</v>
      </c>
      <c r="B98" s="397" t="str">
        <f>+IF(NOVIEMBRE!B98=0,"",NOVIEMBRE!B98)</f>
        <v>Transferencias para las Empresas Sociales del Estado</v>
      </c>
      <c r="C98" s="268">
        <f>+ENERO!C98</f>
        <v>0</v>
      </c>
      <c r="D98" s="205">
        <f>NOVIEMBRE!D98+DICIEMBRE!P98</f>
        <v>0</v>
      </c>
      <c r="E98" s="205">
        <f>NOVIEMBRE!E98+DICIEMBRE!Q98</f>
        <v>16709239795</v>
      </c>
      <c r="F98" s="205">
        <f t="shared" si="93"/>
        <v>16709239795</v>
      </c>
      <c r="G98" s="205">
        <f>NOVIEMBRE!I98</f>
        <v>3871007666</v>
      </c>
      <c r="H98" s="208">
        <f>1389161557+1486332117+54508415+560742000</f>
        <v>3490744089</v>
      </c>
      <c r="I98" s="680">
        <f t="shared" si="94"/>
        <v>7361751755</v>
      </c>
      <c r="J98" s="680">
        <f>NOVIEMBRE!L98</f>
        <v>2564375258</v>
      </c>
      <c r="K98" s="208">
        <f>3953510038+560742000</f>
        <v>4514252038</v>
      </c>
      <c r="L98" s="680">
        <f t="shared" si="95"/>
        <v>7078627296</v>
      </c>
      <c r="M98" s="205">
        <f t="shared" si="96"/>
        <v>9347488040</v>
      </c>
      <c r="N98" s="206">
        <f t="shared" si="97"/>
        <v>9630612499</v>
      </c>
      <c r="O98" s="67"/>
      <c r="P98" s="204">
        <v>0</v>
      </c>
      <c r="Q98" s="210">
        <v>0</v>
      </c>
      <c r="R98" s="389"/>
      <c r="S98" s="311" t="str">
        <f>+IF(NOVIEMBRE!S98=0,"",NOVIEMBRE!S98)</f>
        <v>2.1.1.01.02.001-1</v>
      </c>
      <c r="T98" s="312" t="str">
        <f>+IF(NOVIEMBRE!T98=0,"",NOVIEMBRE!T98)</f>
        <v>Aportes Fondos Pensionales - recursos propios</v>
      </c>
      <c r="U98" s="373">
        <f>+ENERO!U98</f>
        <v>0</v>
      </c>
      <c r="V98" s="220">
        <f>NOVIEMBRE!V98+DICIEMBRE!AL98</f>
        <v>0</v>
      </c>
      <c r="W98" s="220">
        <f>NOVIEMBRE!W98+DICIEMBRE!AM98</f>
        <v>0</v>
      </c>
      <c r="X98" s="271">
        <f t="shared" si="99"/>
        <v>0</v>
      </c>
      <c r="Y98" s="270">
        <f>NOVIEMBRE!AA98</f>
        <v>0</v>
      </c>
      <c r="Z98" s="208"/>
      <c r="AA98" s="271">
        <f t="shared" si="100"/>
        <v>0</v>
      </c>
      <c r="AB98" s="270">
        <f>NOVIEMBRE!AD98</f>
        <v>0</v>
      </c>
      <c r="AC98" s="208"/>
      <c r="AD98" s="271">
        <f t="shared" si="101"/>
        <v>0</v>
      </c>
      <c r="AE98" s="270">
        <f>NOVIEMBRE!AG98</f>
        <v>0</v>
      </c>
      <c r="AF98" s="208"/>
      <c r="AG98" s="271">
        <f t="shared" si="102"/>
        <v>0</v>
      </c>
      <c r="AH98" s="270">
        <f t="shared" si="103"/>
        <v>0</v>
      </c>
      <c r="AI98" s="220">
        <f t="shared" si="104"/>
        <v>0</v>
      </c>
      <c r="AJ98" s="269">
        <f t="shared" si="105"/>
        <v>0</v>
      </c>
      <c r="AK98" s="101"/>
      <c r="AL98" s="204"/>
      <c r="AM98" s="210">
        <v>0</v>
      </c>
    </row>
    <row r="99" spans="1:39" ht="24.75" customHeight="1">
      <c r="A99" s="394" t="str">
        <f>+IF(NOVIEMBRE!A99=0,"",NOVIEMBRE!A99)</f>
        <v>11303-5</v>
      </c>
      <c r="B99" s="397" t="str">
        <f>+IF(NOVIEMBRE!B99=0,"",NOVIEMBRE!B99)</f>
        <v>RECURSOS PARA PROGRAMA DE SANEAMIENTO FINANCIERO</v>
      </c>
      <c r="C99" s="268">
        <f>+ENERO!C99</f>
        <v>0</v>
      </c>
      <c r="D99" s="205">
        <f>NOVIEMBRE!D99+DICIEMBRE!P99</f>
        <v>0</v>
      </c>
      <c r="E99" s="205">
        <f>NOVIEMBRE!E99+DICIEMBRE!Q99</f>
        <v>0</v>
      </c>
      <c r="F99" s="205">
        <f t="shared" si="93"/>
        <v>0</v>
      </c>
      <c r="G99" s="205">
        <f>NOVIEMBRE!I99</f>
        <v>0</v>
      </c>
      <c r="H99" s="208">
        <v>0</v>
      </c>
      <c r="I99" s="680">
        <f t="shared" si="94"/>
        <v>0</v>
      </c>
      <c r="J99" s="680">
        <f>NOVIEMBRE!L99</f>
        <v>0</v>
      </c>
      <c r="K99" s="208">
        <v>0</v>
      </c>
      <c r="L99" s="680">
        <f t="shared" si="95"/>
        <v>0</v>
      </c>
      <c r="M99" s="205">
        <f t="shared" si="96"/>
        <v>0</v>
      </c>
      <c r="N99" s="206">
        <f t="shared" si="97"/>
        <v>0</v>
      </c>
      <c r="O99" s="67"/>
      <c r="P99" s="204">
        <v>0</v>
      </c>
      <c r="Q99" s="210">
        <v>0</v>
      </c>
      <c r="R99" s="389"/>
      <c r="S99" s="311" t="str">
        <f>+IF(NOVIEMBRE!S99=0,"",NOVIEMBRE!S99)</f>
        <v>2.1.1.01.02.003-1</v>
      </c>
      <c r="T99" s="312" t="str">
        <f>+IF(NOVIEMBRE!T99=0,"",NOVIEMBRE!T99)</f>
        <v>Aportes a Fondos de Cesantia - recursos propios</v>
      </c>
      <c r="U99" s="373">
        <f>+ENERO!U99</f>
        <v>0</v>
      </c>
      <c r="V99" s="220">
        <f>NOVIEMBRE!V99+DICIEMBRE!AL99</f>
        <v>0</v>
      </c>
      <c r="W99" s="220">
        <f>NOVIEMBRE!W99+DICIEMBRE!AM99</f>
        <v>0</v>
      </c>
      <c r="X99" s="271">
        <f t="shared" si="99"/>
        <v>0</v>
      </c>
      <c r="Y99" s="270">
        <f>NOVIEMBRE!AA99</f>
        <v>0</v>
      </c>
      <c r="Z99" s="208"/>
      <c r="AA99" s="271">
        <f t="shared" si="100"/>
        <v>0</v>
      </c>
      <c r="AB99" s="270">
        <f>NOVIEMBRE!AD99</f>
        <v>0</v>
      </c>
      <c r="AC99" s="208"/>
      <c r="AD99" s="271">
        <f t="shared" si="101"/>
        <v>0</v>
      </c>
      <c r="AE99" s="270">
        <f>NOVIEMBRE!AG99</f>
        <v>0</v>
      </c>
      <c r="AF99" s="208"/>
      <c r="AG99" s="271">
        <f t="shared" si="102"/>
        <v>0</v>
      </c>
      <c r="AH99" s="270">
        <f t="shared" si="103"/>
        <v>0</v>
      </c>
      <c r="AI99" s="220">
        <f t="shared" si="104"/>
        <v>0</v>
      </c>
      <c r="AJ99" s="269">
        <f t="shared" si="105"/>
        <v>0</v>
      </c>
      <c r="AK99" s="101"/>
      <c r="AL99" s="204"/>
      <c r="AM99" s="210">
        <v>0</v>
      </c>
    </row>
    <row r="100" spans="1:39" ht="24.75" customHeight="1">
      <c r="A100" s="394" t="str">
        <f>+IF(NOVIEMBRE!A100=0,"",NOVIEMBRE!A100)</f>
        <v>1.1.02.06.006.07</v>
      </c>
      <c r="B100" s="397" t="str">
        <f>+IF(NOVIEMBRE!B100=0,"",NOVIEMBRE!B100)</f>
        <v>ESTAMPILLA PROHOSPITALES</v>
      </c>
      <c r="C100" s="268">
        <f>+ENERO!C100</f>
        <v>650000000</v>
      </c>
      <c r="D100" s="205">
        <f>NOVIEMBRE!D100+DICIEMBRE!P100</f>
        <v>0</v>
      </c>
      <c r="E100" s="205">
        <f>NOVIEMBRE!E100+DICIEMBRE!Q100</f>
        <v>454420898</v>
      </c>
      <c r="F100" s="205">
        <f t="shared" si="93"/>
        <v>1104420898</v>
      </c>
      <c r="G100" s="205">
        <f>NOVIEMBRE!I100</f>
        <v>856326637</v>
      </c>
      <c r="H100" s="208">
        <v>248094261</v>
      </c>
      <c r="I100" s="680">
        <f t="shared" si="94"/>
        <v>1104420898</v>
      </c>
      <c r="J100" s="680">
        <f>NOVIEMBRE!L100</f>
        <v>856326637</v>
      </c>
      <c r="K100" s="208">
        <v>248094261</v>
      </c>
      <c r="L100" s="680">
        <f t="shared" si="95"/>
        <v>1104420898</v>
      </c>
      <c r="M100" s="205">
        <f t="shared" si="96"/>
        <v>0</v>
      </c>
      <c r="N100" s="206">
        <f t="shared" si="97"/>
        <v>0</v>
      </c>
      <c r="O100" s="67"/>
      <c r="P100" s="204">
        <v>0</v>
      </c>
      <c r="Q100" s="210">
        <v>248094261</v>
      </c>
      <c r="R100" s="101"/>
      <c r="S100" s="311" t="str">
        <f>+IF(NOVIEMBRE!S100=0,"",NOVIEMBRE!S100)</f>
        <v>2.1.1.01.02.005-1</v>
      </c>
      <c r="T100" s="312" t="str">
        <f>+IF(NOVIEMBRE!T100=0,"",NOVIEMBRE!T100)</f>
        <v>Aporte a ARL. - recursos propios</v>
      </c>
      <c r="U100" s="373">
        <f>+ENERO!U100</f>
        <v>0</v>
      </c>
      <c r="V100" s="220">
        <f>NOVIEMBRE!V100+DICIEMBRE!AL100</f>
        <v>0</v>
      </c>
      <c r="W100" s="220">
        <f>NOVIEMBRE!W100+DICIEMBRE!AM100</f>
        <v>0</v>
      </c>
      <c r="X100" s="271">
        <f t="shared" si="99"/>
        <v>0</v>
      </c>
      <c r="Y100" s="270">
        <f>NOVIEMBRE!AA100</f>
        <v>0</v>
      </c>
      <c r="Z100" s="208"/>
      <c r="AA100" s="271">
        <f t="shared" si="100"/>
        <v>0</v>
      </c>
      <c r="AB100" s="270">
        <f>NOVIEMBRE!AD100</f>
        <v>0</v>
      </c>
      <c r="AC100" s="208"/>
      <c r="AD100" s="271">
        <f t="shared" si="101"/>
        <v>0</v>
      </c>
      <c r="AE100" s="270">
        <f>NOVIEMBRE!AG100</f>
        <v>0</v>
      </c>
      <c r="AF100" s="208"/>
      <c r="AG100" s="271">
        <f t="shared" si="102"/>
        <v>0</v>
      </c>
      <c r="AH100" s="270">
        <f t="shared" si="103"/>
        <v>0</v>
      </c>
      <c r="AI100" s="220">
        <f t="shared" si="104"/>
        <v>0</v>
      </c>
      <c r="AJ100" s="269">
        <f t="shared" si="105"/>
        <v>0</v>
      </c>
      <c r="AK100" s="101"/>
      <c r="AL100" s="204"/>
      <c r="AM100" s="210">
        <v>0</v>
      </c>
    </row>
    <row r="101" spans="1:39" ht="24.75" customHeight="1">
      <c r="A101" s="394" t="str">
        <f>+IF(NOVIEMBRE!A101=0,"",NOVIEMBRE!A101)</f>
        <v>11303-7</v>
      </c>
      <c r="B101" s="397" t="str">
        <f>+IF(NOVIEMBRE!B101=0,"",NOVIEMBRE!B101)</f>
        <v>SUBSIDIO A LA OFERTA (ART. 2.4.2.6 DECRETO 268 DE 2020)</v>
      </c>
      <c r="C101" s="268">
        <f>+ENERO!C101</f>
        <v>0</v>
      </c>
      <c r="D101" s="205">
        <f>NOVIEMBRE!D101+DICIEMBRE!P101</f>
        <v>0</v>
      </c>
      <c r="E101" s="205">
        <f>NOVIEMBRE!E101+DICIEMBRE!Q101</f>
        <v>0</v>
      </c>
      <c r="F101" s="205">
        <f t="shared" si="93"/>
        <v>0</v>
      </c>
      <c r="G101" s="205">
        <f>NOVIEMBRE!I101</f>
        <v>0</v>
      </c>
      <c r="H101" s="208">
        <v>0</v>
      </c>
      <c r="I101" s="680">
        <f t="shared" si="94"/>
        <v>0</v>
      </c>
      <c r="J101" s="680">
        <f>NOVIEMBRE!L101</f>
        <v>0</v>
      </c>
      <c r="K101" s="208">
        <v>0</v>
      </c>
      <c r="L101" s="680">
        <f t="shared" si="95"/>
        <v>0</v>
      </c>
      <c r="M101" s="205">
        <f t="shared" si="96"/>
        <v>0</v>
      </c>
      <c r="N101" s="206">
        <f t="shared" si="97"/>
        <v>0</v>
      </c>
      <c r="O101" s="67"/>
      <c r="P101" s="204">
        <v>0</v>
      </c>
      <c r="Q101" s="210">
        <v>0</v>
      </c>
      <c r="R101" s="101"/>
      <c r="S101" s="311" t="str">
        <f>+IF(NOVIEMBRE!S101=0,"",NOVIEMBRE!S101)</f>
        <v>2.1.1.01.02.004-1</v>
      </c>
      <c r="T101" s="312" t="str">
        <f>+IF(NOVIEMBRE!T101=0,"",NOVIEMBRE!T101)</f>
        <v>Aporte a Caja Compensación Familiar</v>
      </c>
      <c r="U101" s="373">
        <f>+ENERO!U101</f>
        <v>0</v>
      </c>
      <c r="V101" s="220">
        <f>NOVIEMBRE!V101+DICIEMBRE!AL101</f>
        <v>0</v>
      </c>
      <c r="W101" s="220">
        <f>NOVIEMBRE!W101+DICIEMBRE!AM101</f>
        <v>0</v>
      </c>
      <c r="X101" s="271">
        <f t="shared" si="99"/>
        <v>0</v>
      </c>
      <c r="Y101" s="270">
        <f>NOVIEMBRE!AA101</f>
        <v>0</v>
      </c>
      <c r="Z101" s="208"/>
      <c r="AA101" s="271">
        <f t="shared" si="100"/>
        <v>0</v>
      </c>
      <c r="AB101" s="270">
        <f>NOVIEMBRE!AD101</f>
        <v>0</v>
      </c>
      <c r="AC101" s="208"/>
      <c r="AD101" s="271">
        <f t="shared" si="101"/>
        <v>0</v>
      </c>
      <c r="AE101" s="270">
        <f>NOVIEMBRE!AG101</f>
        <v>0</v>
      </c>
      <c r="AF101" s="208"/>
      <c r="AG101" s="271">
        <f t="shared" si="102"/>
        <v>0</v>
      </c>
      <c r="AH101" s="270">
        <f t="shared" si="103"/>
        <v>0</v>
      </c>
      <c r="AI101" s="220">
        <f t="shared" si="104"/>
        <v>0</v>
      </c>
      <c r="AJ101" s="269">
        <f t="shared" si="105"/>
        <v>0</v>
      </c>
      <c r="AK101" s="101"/>
      <c r="AL101" s="204"/>
      <c r="AM101" s="210">
        <v>0</v>
      </c>
    </row>
    <row r="102" spans="1:39" ht="24.75" customHeight="1" thickBot="1">
      <c r="A102" s="394" t="str">
        <f>+IF(NOVIEMBRE!A102=0,"",NOVIEMBRE!A102)</f>
        <v>1.1.02.06.006.07.99</v>
      </c>
      <c r="B102" s="390" t="str">
        <f>+IF(NOVIEMBRE!B102=0,"",NOVIEMBRE!B102)</f>
        <v>Vigencia Anterior estampilla</v>
      </c>
      <c r="C102" s="391">
        <f>+ENERO!C102</f>
        <v>0</v>
      </c>
      <c r="D102" s="243">
        <f>NOVIEMBRE!D102+DICIEMBRE!P102</f>
        <v>0</v>
      </c>
      <c r="E102" s="243">
        <f>NOVIEMBRE!E102+DICIEMBRE!Q102</f>
        <v>0</v>
      </c>
      <c r="F102" s="243">
        <f t="shared" si="93"/>
        <v>0</v>
      </c>
      <c r="G102" s="243">
        <f>NOVIEMBRE!I102</f>
        <v>0</v>
      </c>
      <c r="H102" s="246">
        <v>0</v>
      </c>
      <c r="I102" s="682">
        <f t="shared" si="94"/>
        <v>0</v>
      </c>
      <c r="J102" s="682">
        <f>NOVIEMBRE!L102</f>
        <v>0</v>
      </c>
      <c r="K102" s="246">
        <v>0</v>
      </c>
      <c r="L102" s="682">
        <f t="shared" si="95"/>
        <v>0</v>
      </c>
      <c r="M102" s="243">
        <f t="shared" si="96"/>
        <v>0</v>
      </c>
      <c r="N102" s="244">
        <f t="shared" si="97"/>
        <v>0</v>
      </c>
      <c r="O102" s="67"/>
      <c r="P102" s="204">
        <v>0</v>
      </c>
      <c r="Q102" s="210">
        <v>0</v>
      </c>
      <c r="R102" s="101"/>
      <c r="S102" s="266">
        <f>+IF(NOVIEMBRE!S102=0,"",NOVIEMBRE!S102)</f>
        <v>1020399</v>
      </c>
      <c r="T102" s="267" t="str">
        <f>+IF(NOVIEMBRE!T102=0,"",NOVIEMBRE!T102)</f>
        <v>Vigencias Anteriores</v>
      </c>
      <c r="U102" s="373">
        <f>+ENERO!U102</f>
        <v>0</v>
      </c>
      <c r="V102" s="220">
        <f>NOVIEMBRE!V102+DICIEMBRE!AL102</f>
        <v>0</v>
      </c>
      <c r="W102" s="220">
        <f>NOVIEMBRE!W102+DICIEMBRE!AM102</f>
        <v>0</v>
      </c>
      <c r="X102" s="271">
        <f t="shared" si="99"/>
        <v>0</v>
      </c>
      <c r="Y102" s="270">
        <f>NOVIEMBRE!AA102</f>
        <v>0</v>
      </c>
      <c r="Z102" s="208"/>
      <c r="AA102" s="271">
        <f t="shared" si="100"/>
        <v>0</v>
      </c>
      <c r="AB102" s="270">
        <f>NOVIEMBRE!AD102</f>
        <v>0</v>
      </c>
      <c r="AC102" s="208"/>
      <c r="AD102" s="271">
        <f t="shared" si="101"/>
        <v>0</v>
      </c>
      <c r="AE102" s="270">
        <f>NOVIEMBRE!AG102</f>
        <v>0</v>
      </c>
      <c r="AF102" s="208"/>
      <c r="AG102" s="271">
        <f t="shared" si="102"/>
        <v>0</v>
      </c>
      <c r="AH102" s="270">
        <f t="shared" si="103"/>
        <v>0</v>
      </c>
      <c r="AI102" s="220">
        <f t="shared" si="104"/>
        <v>0</v>
      </c>
      <c r="AJ102" s="269">
        <f t="shared" si="105"/>
        <v>0</v>
      </c>
      <c r="AK102" s="101"/>
      <c r="AL102" s="204"/>
      <c r="AM102" s="210">
        <v>0</v>
      </c>
    </row>
    <row r="103" spans="1:39" ht="24.75" customHeight="1" thickBot="1">
      <c r="A103" s="398" t="str">
        <f>+IF(NOVIEMBRE!A103=0,"",NOVIEMBRE!A103)</f>
        <v/>
      </c>
      <c r="B103" s="399" t="str">
        <f>+IF(NOVIEMBRE!B103=0,"",NOVIEMBRE!B103)</f>
        <v/>
      </c>
      <c r="C103" s="400"/>
      <c r="D103" s="400"/>
      <c r="E103" s="400"/>
      <c r="F103" s="400"/>
      <c r="G103" s="400"/>
      <c r="H103" s="400"/>
      <c r="I103" s="684"/>
      <c r="J103" s="684"/>
      <c r="K103" s="400"/>
      <c r="L103" s="684"/>
      <c r="M103" s="400"/>
      <c r="N103" s="401"/>
      <c r="O103" s="67"/>
      <c r="P103" s="402"/>
      <c r="Q103" s="401"/>
      <c r="R103" s="101"/>
      <c r="S103" s="189" t="str">
        <f>+IF(NOVIEMBRE!S103=0,"",NOVIEMBRE!S103)</f>
        <v/>
      </c>
      <c r="T103" s="488" t="str">
        <f>+IF(NOVIEMBRE!T103=0,"",NOVIEMBRE!T103)</f>
        <v/>
      </c>
      <c r="U103" s="191"/>
      <c r="V103" s="191"/>
      <c r="W103" s="191"/>
      <c r="X103" s="191"/>
      <c r="Y103" s="191"/>
      <c r="Z103" s="191"/>
      <c r="AA103" s="191"/>
      <c r="AB103" s="191"/>
      <c r="AC103" s="191"/>
      <c r="AD103" s="191"/>
      <c r="AE103" s="191"/>
      <c r="AF103" s="191"/>
      <c r="AG103" s="191"/>
      <c r="AH103" s="191"/>
      <c r="AI103" s="191"/>
      <c r="AJ103" s="192"/>
      <c r="AK103" s="101"/>
      <c r="AL103" s="370"/>
      <c r="AM103" s="371"/>
    </row>
    <row r="104" spans="1:39" ht="24.75" customHeight="1">
      <c r="A104" s="392">
        <f>+IF(NOVIEMBRE!A104=0,"",NOVIEMBRE!A104)</f>
        <v>11304</v>
      </c>
      <c r="B104" s="393" t="str">
        <f>+IF(NOVIEMBRE!B104=0,"",NOVIEMBRE!B104)</f>
        <v>Otros ingresos corrientes</v>
      </c>
      <c r="C104" s="383">
        <f t="shared" ref="C104:N104" si="106">SUM(C105:C111)</f>
        <v>235000000</v>
      </c>
      <c r="D104" s="384">
        <f t="shared" si="106"/>
        <v>0</v>
      </c>
      <c r="E104" s="384">
        <f t="shared" si="106"/>
        <v>46961679</v>
      </c>
      <c r="F104" s="384">
        <f t="shared" si="106"/>
        <v>281961679</v>
      </c>
      <c r="G104" s="384">
        <f t="shared" si="106"/>
        <v>413712344</v>
      </c>
      <c r="H104" s="384">
        <f t="shared" si="106"/>
        <v>29323301</v>
      </c>
      <c r="I104" s="683">
        <f t="shared" si="106"/>
        <v>443035645</v>
      </c>
      <c r="J104" s="683">
        <f t="shared" si="106"/>
        <v>364516886</v>
      </c>
      <c r="K104" s="384">
        <f t="shared" si="106"/>
        <v>54819029</v>
      </c>
      <c r="L104" s="683">
        <f t="shared" si="106"/>
        <v>419335915</v>
      </c>
      <c r="M104" s="384">
        <f t="shared" si="106"/>
        <v>-161073966</v>
      </c>
      <c r="N104" s="385">
        <f t="shared" si="106"/>
        <v>-137374236</v>
      </c>
      <c r="O104" s="67"/>
      <c r="P104" s="288">
        <f>SUM(P105:P111)</f>
        <v>0</v>
      </c>
      <c r="Q104" s="289">
        <f>SUM(Q105:Q111)</f>
        <v>0</v>
      </c>
      <c r="R104" s="101"/>
      <c r="S104" s="257">
        <f>+IF(NOVIEMBRE!S104=0,"",NOVIEMBRE!S104)</f>
        <v>1020400</v>
      </c>
      <c r="T104" s="546" t="str">
        <f>+IF(NOVIEMBRE!T104=0,"",NOVIEMBRE!T104)</f>
        <v>Contribuciones Inherentes nómina del Sector Publico</v>
      </c>
      <c r="U104" s="230">
        <f t="shared" ref="U104:AJ104" si="107">U105+U108</f>
        <v>0</v>
      </c>
      <c r="V104" s="231">
        <f t="shared" si="107"/>
        <v>0</v>
      </c>
      <c r="W104" s="231">
        <f t="shared" si="107"/>
        <v>20000000</v>
      </c>
      <c r="X104" s="234">
        <f t="shared" si="107"/>
        <v>20000000</v>
      </c>
      <c r="Y104" s="233">
        <f t="shared" si="107"/>
        <v>18261571</v>
      </c>
      <c r="Z104" s="231">
        <f t="shared" si="107"/>
        <v>0</v>
      </c>
      <c r="AA104" s="234">
        <f t="shared" si="107"/>
        <v>18261571</v>
      </c>
      <c r="AB104" s="233">
        <f t="shared" si="107"/>
        <v>18261571</v>
      </c>
      <c r="AC104" s="231">
        <f t="shared" si="107"/>
        <v>0</v>
      </c>
      <c r="AD104" s="234">
        <f t="shared" si="107"/>
        <v>18261571</v>
      </c>
      <c r="AE104" s="233">
        <f t="shared" si="107"/>
        <v>18261571</v>
      </c>
      <c r="AF104" s="231">
        <f t="shared" si="107"/>
        <v>0</v>
      </c>
      <c r="AG104" s="234">
        <f t="shared" si="107"/>
        <v>18261571</v>
      </c>
      <c r="AH104" s="233">
        <f t="shared" si="107"/>
        <v>1738429</v>
      </c>
      <c r="AI104" s="231">
        <f t="shared" si="107"/>
        <v>1738429</v>
      </c>
      <c r="AJ104" s="232">
        <f t="shared" si="107"/>
        <v>1738429</v>
      </c>
      <c r="AK104" s="101"/>
      <c r="AL104" s="233">
        <f>AL105+AL108</f>
        <v>0</v>
      </c>
      <c r="AM104" s="232">
        <f>AM105+AM108</f>
        <v>0</v>
      </c>
    </row>
    <row r="105" spans="1:39" ht="24.75" customHeight="1" thickBot="1">
      <c r="A105" s="394" t="str">
        <f>+IF(NOVIEMBRE!A105=0,"",NOVIEMBRE!A105)</f>
        <v>1.1.02.05.002.07</v>
      </c>
      <c r="B105" s="397" t="str">
        <f>+IF(NOVIEMBRE!B105=0,"",NOVIEMBRE!B105)</f>
        <v>Servicios financieros y servicios conexos, servicios inmobiliarios y servicios de leasing (ARRENDAMIENTOS)</v>
      </c>
      <c r="C105" s="268">
        <f>+ENERO!C105</f>
        <v>235000000</v>
      </c>
      <c r="D105" s="205">
        <f>NOVIEMBRE!D105+DICIEMBRE!P105</f>
        <v>0</v>
      </c>
      <c r="E105" s="205">
        <f>NOVIEMBRE!E105+DICIEMBRE!Q105</f>
        <v>0</v>
      </c>
      <c r="F105" s="205">
        <f t="shared" ref="F105:F111" si="108">SUM(C105:E105)</f>
        <v>235000000</v>
      </c>
      <c r="G105" s="205">
        <f>NOVIEMBRE!I105</f>
        <v>305038759</v>
      </c>
      <c r="H105" s="246">
        <v>28361311</v>
      </c>
      <c r="I105" s="680">
        <f t="shared" ref="I105:I111" si="109">SUM(G105:H105)</f>
        <v>333400070</v>
      </c>
      <c r="J105" s="680">
        <f>NOVIEMBRE!L105</f>
        <v>265790210</v>
      </c>
      <c r="K105" s="246">
        <v>53005504</v>
      </c>
      <c r="L105" s="680">
        <f t="shared" ref="L105:L111" si="110">SUM(J105:K105)</f>
        <v>318795714</v>
      </c>
      <c r="M105" s="205">
        <f t="shared" ref="M105:M111" si="111">F105-I105</f>
        <v>-98400070</v>
      </c>
      <c r="N105" s="206">
        <f t="shared" ref="N105:N111" si="112">F105-L105</f>
        <v>-83795714</v>
      </c>
      <c r="O105" s="67"/>
      <c r="P105" s="204">
        <v>0</v>
      </c>
      <c r="Q105" s="210">
        <v>0</v>
      </c>
      <c r="R105" s="101"/>
      <c r="S105" s="266">
        <f>+IF(NOVIEMBRE!S105=0,"",NOVIEMBRE!S105)</f>
        <v>1020402</v>
      </c>
      <c r="T105" s="267" t="str">
        <f>+IF(NOVIEMBRE!T105=0,"",NOVIEMBRE!T105)</f>
        <v>Contribuciones - Otros</v>
      </c>
      <c r="U105" s="373">
        <f t="shared" ref="U105:AJ105" si="113">SUM(U106:U107)</f>
        <v>0</v>
      </c>
      <c r="V105" s="220">
        <f t="shared" si="113"/>
        <v>0</v>
      </c>
      <c r="W105" s="220">
        <f t="shared" si="113"/>
        <v>0</v>
      </c>
      <c r="X105" s="271">
        <f t="shared" si="113"/>
        <v>0</v>
      </c>
      <c r="Y105" s="270">
        <f t="shared" si="113"/>
        <v>0</v>
      </c>
      <c r="Z105" s="300">
        <f t="shared" si="113"/>
        <v>0</v>
      </c>
      <c r="AA105" s="271">
        <f t="shared" si="113"/>
        <v>0</v>
      </c>
      <c r="AB105" s="270">
        <f t="shared" si="113"/>
        <v>0</v>
      </c>
      <c r="AC105" s="300">
        <f t="shared" si="113"/>
        <v>0</v>
      </c>
      <c r="AD105" s="271">
        <f t="shared" si="113"/>
        <v>0</v>
      </c>
      <c r="AE105" s="270">
        <f t="shared" si="113"/>
        <v>0</v>
      </c>
      <c r="AF105" s="300">
        <f t="shared" si="113"/>
        <v>0</v>
      </c>
      <c r="AG105" s="271">
        <f t="shared" si="113"/>
        <v>0</v>
      </c>
      <c r="AH105" s="270">
        <f t="shared" si="113"/>
        <v>0</v>
      </c>
      <c r="AI105" s="220">
        <f t="shared" si="113"/>
        <v>0</v>
      </c>
      <c r="AJ105" s="269">
        <f t="shared" si="113"/>
        <v>0</v>
      </c>
      <c r="AK105" s="101"/>
      <c r="AL105" s="301">
        <f>SUM(AL106:AL107)</f>
        <v>0</v>
      </c>
      <c r="AM105" s="302">
        <f>SUM(AM106:AM107)</f>
        <v>0</v>
      </c>
    </row>
    <row r="106" spans="1:39" ht="24.75" customHeight="1">
      <c r="A106" s="394">
        <f>+IF(NOVIEMBRE!A106=0,"",NOVIEMBRE!A106)</f>
        <v>1020402</v>
      </c>
      <c r="B106" s="403" t="str">
        <f>+IF(NOVIEMBRE!B106=0,"",NOVIEMBRE!B106)</f>
        <v/>
      </c>
      <c r="C106" s="268">
        <f>+ENERO!C106</f>
        <v>0</v>
      </c>
      <c r="D106" s="205">
        <f>NOVIEMBRE!D106+DICIEMBRE!P106</f>
        <v>0</v>
      </c>
      <c r="E106" s="205">
        <f>NOVIEMBRE!E106+DICIEMBRE!Q106</f>
        <v>0</v>
      </c>
      <c r="F106" s="205">
        <f t="shared" si="108"/>
        <v>0</v>
      </c>
      <c r="G106" s="205">
        <f>NOVIEMBRE!I106</f>
        <v>0</v>
      </c>
      <c r="H106" s="208">
        <v>0</v>
      </c>
      <c r="I106" s="680">
        <f t="shared" si="109"/>
        <v>0</v>
      </c>
      <c r="J106" s="680">
        <f>NOVIEMBRE!L106</f>
        <v>0</v>
      </c>
      <c r="K106" s="208">
        <v>0</v>
      </c>
      <c r="L106" s="680">
        <f t="shared" si="110"/>
        <v>0</v>
      </c>
      <c r="M106" s="205">
        <f t="shared" si="111"/>
        <v>0</v>
      </c>
      <c r="N106" s="206">
        <f t="shared" si="112"/>
        <v>0</v>
      </c>
      <c r="O106" s="67"/>
      <c r="P106" s="204">
        <v>0</v>
      </c>
      <c r="Q106" s="210">
        <v>0</v>
      </c>
      <c r="R106" s="101"/>
      <c r="S106" s="311" t="str">
        <f>+IF(NOVIEMBRE!S106=0,"",NOVIEMBRE!S106)</f>
        <v>2.1.1.01.02.007-1</v>
      </c>
      <c r="T106" s="312" t="str">
        <f>+IF(NOVIEMBRE!T106=0,"",NOVIEMBRE!T106)</f>
        <v>S.E.N.A.</v>
      </c>
      <c r="U106" s="373">
        <f>+ENERO!U106</f>
        <v>0</v>
      </c>
      <c r="V106" s="220">
        <f>NOVIEMBRE!V106+DICIEMBRE!AL106</f>
        <v>0</v>
      </c>
      <c r="W106" s="220">
        <f>NOVIEMBRE!W106+DICIEMBRE!AM106</f>
        <v>0</v>
      </c>
      <c r="X106" s="271">
        <f>SUM(U106:W106)</f>
        <v>0</v>
      </c>
      <c r="Y106" s="270">
        <f>NOVIEMBRE!AA106</f>
        <v>0</v>
      </c>
      <c r="Z106" s="208"/>
      <c r="AA106" s="271">
        <f>SUM(Y106:Z106)</f>
        <v>0</v>
      </c>
      <c r="AB106" s="270">
        <f>NOVIEMBRE!AD106</f>
        <v>0</v>
      </c>
      <c r="AC106" s="208"/>
      <c r="AD106" s="271">
        <f>SUM(AB106:AC106)</f>
        <v>0</v>
      </c>
      <c r="AE106" s="270">
        <f>NOVIEMBRE!AG106</f>
        <v>0</v>
      </c>
      <c r="AF106" s="208"/>
      <c r="AG106" s="271">
        <f>SUM(AE106:AF106)</f>
        <v>0</v>
      </c>
      <c r="AH106" s="270">
        <f>X106-AA106</f>
        <v>0</v>
      </c>
      <c r="AI106" s="220">
        <f>X106-AD106</f>
        <v>0</v>
      </c>
      <c r="AJ106" s="269">
        <f>X106-AG106</f>
        <v>0</v>
      </c>
      <c r="AK106" s="101"/>
      <c r="AL106" s="204"/>
      <c r="AM106" s="210">
        <v>0</v>
      </c>
    </row>
    <row r="107" spans="1:39" ht="24.75" customHeight="1">
      <c r="A107" s="394" t="str">
        <f>+IF(NOVIEMBRE!A107=0,"",NOVIEMBRE!A107)</f>
        <v/>
      </c>
      <c r="B107" s="397" t="str">
        <f>+IF(NOVIEMBRE!B107=0,"",NOVIEMBRE!B107)</f>
        <v/>
      </c>
      <c r="C107" s="268">
        <f>+ENERO!C107</f>
        <v>0</v>
      </c>
      <c r="D107" s="205">
        <f>NOVIEMBRE!D107+DICIEMBRE!P107</f>
        <v>0</v>
      </c>
      <c r="E107" s="205">
        <f>NOVIEMBRE!E107+DICIEMBRE!Q107</f>
        <v>0</v>
      </c>
      <c r="F107" s="205">
        <f t="shared" si="108"/>
        <v>0</v>
      </c>
      <c r="G107" s="205">
        <f>NOVIEMBRE!I107</f>
        <v>0</v>
      </c>
      <c r="H107" s="208">
        <v>0</v>
      </c>
      <c r="I107" s="680">
        <f t="shared" si="109"/>
        <v>0</v>
      </c>
      <c r="J107" s="680">
        <f>NOVIEMBRE!L107</f>
        <v>0</v>
      </c>
      <c r="K107" s="208">
        <v>0</v>
      </c>
      <c r="L107" s="680">
        <f t="shared" si="110"/>
        <v>0</v>
      </c>
      <c r="M107" s="205">
        <f t="shared" si="111"/>
        <v>0</v>
      </c>
      <c r="N107" s="206">
        <f t="shared" si="112"/>
        <v>0</v>
      </c>
      <c r="O107" s="67"/>
      <c r="P107" s="204">
        <v>0</v>
      </c>
      <c r="Q107" s="210">
        <v>0</v>
      </c>
      <c r="R107" s="101"/>
      <c r="S107" s="311" t="str">
        <f>+IF(NOVIEMBRE!S107=0,"",NOVIEMBRE!S107)</f>
        <v>2.1.1.01.02.006-1</v>
      </c>
      <c r="T107" s="312" t="str">
        <f>+IF(NOVIEMBRE!T107=0,"",NOVIEMBRE!T107)</f>
        <v>I.C.B.F.</v>
      </c>
      <c r="U107" s="373">
        <f>+ENERO!U107</f>
        <v>0</v>
      </c>
      <c r="V107" s="220">
        <f>NOVIEMBRE!V107+DICIEMBRE!AL107</f>
        <v>0</v>
      </c>
      <c r="W107" s="220">
        <f>NOVIEMBRE!W107+DICIEMBRE!AM107</f>
        <v>0</v>
      </c>
      <c r="X107" s="271">
        <f>SUM(U107:W107)</f>
        <v>0</v>
      </c>
      <c r="Y107" s="270">
        <f>NOVIEMBRE!AA107</f>
        <v>0</v>
      </c>
      <c r="Z107" s="208"/>
      <c r="AA107" s="271">
        <f>SUM(Y107:Z107)</f>
        <v>0</v>
      </c>
      <c r="AB107" s="270">
        <f>NOVIEMBRE!AD107</f>
        <v>0</v>
      </c>
      <c r="AC107" s="208"/>
      <c r="AD107" s="271">
        <f>SUM(AB107:AC107)</f>
        <v>0</v>
      </c>
      <c r="AE107" s="270">
        <f>NOVIEMBRE!AG107</f>
        <v>0</v>
      </c>
      <c r="AF107" s="208"/>
      <c r="AG107" s="271">
        <f>SUM(AE107:AF107)</f>
        <v>0</v>
      </c>
      <c r="AH107" s="270">
        <f>X107-AA107</f>
        <v>0</v>
      </c>
      <c r="AI107" s="220">
        <f>X107-AD107</f>
        <v>0</v>
      </c>
      <c r="AJ107" s="269">
        <f>X107-AG107</f>
        <v>0</v>
      </c>
      <c r="AK107" s="101"/>
      <c r="AL107" s="204"/>
      <c r="AM107" s="210">
        <v>0</v>
      </c>
    </row>
    <row r="108" spans="1:39" ht="24.75" customHeight="1">
      <c r="A108" s="394" t="str">
        <f>+IF(NOVIEMBRE!A108=0,"",NOVIEMBRE!A108)</f>
        <v/>
      </c>
      <c r="B108" s="397" t="str">
        <f>+IF(NOVIEMBRE!B108=0,"",NOVIEMBRE!B108)</f>
        <v/>
      </c>
      <c r="C108" s="268">
        <f>+ENERO!C108</f>
        <v>0</v>
      </c>
      <c r="D108" s="205">
        <f>NOVIEMBRE!D108+DICIEMBRE!P108</f>
        <v>0</v>
      </c>
      <c r="E108" s="205">
        <f>NOVIEMBRE!E108+DICIEMBRE!Q108</f>
        <v>0</v>
      </c>
      <c r="F108" s="205">
        <f t="shared" si="108"/>
        <v>0</v>
      </c>
      <c r="G108" s="205">
        <f>NOVIEMBRE!I108</f>
        <v>0</v>
      </c>
      <c r="H108" s="208">
        <v>0</v>
      </c>
      <c r="I108" s="680">
        <f t="shared" si="109"/>
        <v>0</v>
      </c>
      <c r="J108" s="680">
        <f>NOVIEMBRE!L108</f>
        <v>0</v>
      </c>
      <c r="K108" s="208">
        <v>0</v>
      </c>
      <c r="L108" s="680">
        <f t="shared" si="110"/>
        <v>0</v>
      </c>
      <c r="M108" s="205">
        <f t="shared" si="111"/>
        <v>0</v>
      </c>
      <c r="N108" s="206">
        <f t="shared" si="112"/>
        <v>0</v>
      </c>
      <c r="O108" s="67"/>
      <c r="P108" s="204">
        <v>0</v>
      </c>
      <c r="Q108" s="210">
        <v>0</v>
      </c>
      <c r="R108" s="101"/>
      <c r="S108" s="266" t="str">
        <f>+IF(NOVIEMBRE!S108=0,"",NOVIEMBRE!S108)</f>
        <v>2.1.2.02.02.008.99.04</v>
      </c>
      <c r="T108" s="267" t="str">
        <f>+IF(NOVIEMBRE!T108=0,"",NOVIEMBRE!T108)</f>
        <v>Vigencias Anteriores Servicios personales administrativos</v>
      </c>
      <c r="U108" s="373">
        <f>+ENERO!U108</f>
        <v>0</v>
      </c>
      <c r="V108" s="220">
        <f>NOVIEMBRE!V108+DICIEMBRE!AL108</f>
        <v>0</v>
      </c>
      <c r="W108" s="220">
        <f>NOVIEMBRE!W108+DICIEMBRE!AM108</f>
        <v>20000000</v>
      </c>
      <c r="X108" s="271">
        <f>SUM(U108:W108)</f>
        <v>20000000</v>
      </c>
      <c r="Y108" s="270">
        <f>NOVIEMBRE!AA108</f>
        <v>18261571</v>
      </c>
      <c r="Z108" s="208"/>
      <c r="AA108" s="271">
        <f>SUM(Y108:Z108)</f>
        <v>18261571</v>
      </c>
      <c r="AB108" s="270">
        <f>NOVIEMBRE!AD108</f>
        <v>18261571</v>
      </c>
      <c r="AC108" s="208"/>
      <c r="AD108" s="271">
        <f>SUM(AB108:AC108)</f>
        <v>18261571</v>
      </c>
      <c r="AE108" s="270">
        <f>NOVIEMBRE!AG108</f>
        <v>18261571</v>
      </c>
      <c r="AF108" s="208"/>
      <c r="AG108" s="271">
        <f>SUM(AE108:AF108)</f>
        <v>18261571</v>
      </c>
      <c r="AH108" s="270">
        <f>X108-AA108</f>
        <v>1738429</v>
      </c>
      <c r="AI108" s="220">
        <f>X108-AD108</f>
        <v>1738429</v>
      </c>
      <c r="AJ108" s="269">
        <f>X108-AG108</f>
        <v>1738429</v>
      </c>
      <c r="AK108" s="101"/>
      <c r="AL108" s="204"/>
      <c r="AM108" s="210">
        <v>0</v>
      </c>
    </row>
    <row r="109" spans="1:39" ht="24.75" customHeight="1">
      <c r="A109" s="394" t="str">
        <f>+IF(NOVIEMBRE!A109=0,"",NOVIEMBRE!A109)</f>
        <v>1.1.02.05.002.08</v>
      </c>
      <c r="B109" s="397" t="str">
        <f>+IF(NOVIEMBRE!B109=0,"",NOVIEMBRE!B109)</f>
        <v>Servicios prestados a las empresas y servicios de producción(APROVECHAMIENTOS)</v>
      </c>
      <c r="C109" s="268">
        <f>+ENERO!C109</f>
        <v>0</v>
      </c>
      <c r="D109" s="205">
        <f>NOVIEMBRE!D109+DICIEMBRE!P109</f>
        <v>0</v>
      </c>
      <c r="E109" s="205">
        <f>NOVIEMBRE!E109+DICIEMBRE!Q109</f>
        <v>27224890</v>
      </c>
      <c r="F109" s="205">
        <f t="shared" si="108"/>
        <v>27224890</v>
      </c>
      <c r="G109" s="205">
        <f>NOVIEMBRE!I109</f>
        <v>88936796</v>
      </c>
      <c r="H109" s="208">
        <v>961990</v>
      </c>
      <c r="I109" s="680">
        <f t="shared" si="109"/>
        <v>89898786</v>
      </c>
      <c r="J109" s="680">
        <f>NOVIEMBRE!L109</f>
        <v>78989887</v>
      </c>
      <c r="K109" s="208">
        <v>1813525</v>
      </c>
      <c r="L109" s="680">
        <f t="shared" si="110"/>
        <v>80803412</v>
      </c>
      <c r="M109" s="205">
        <f t="shared" si="111"/>
        <v>-62673896</v>
      </c>
      <c r="N109" s="206">
        <f t="shared" si="112"/>
        <v>-53578522</v>
      </c>
      <c r="O109" s="67"/>
      <c r="P109" s="204">
        <v>0</v>
      </c>
      <c r="Q109" s="210">
        <v>0</v>
      </c>
      <c r="R109" s="101"/>
      <c r="S109" s="189">
        <f>+IF(NOVIEMBRE!S109=0,"",NOVIEMBRE!S109)</f>
        <v>23625024</v>
      </c>
      <c r="T109" s="488" t="str">
        <f>+IF(NOVIEMBRE!T109=0,"",NOVIEMBRE!T109)</f>
        <v/>
      </c>
      <c r="U109" s="191"/>
      <c r="V109" s="191"/>
      <c r="W109" s="191"/>
      <c r="X109" s="191"/>
      <c r="Y109" s="191"/>
      <c r="Z109" s="191"/>
      <c r="AA109" s="191"/>
      <c r="AB109" s="191"/>
      <c r="AC109" s="191"/>
      <c r="AD109" s="191"/>
      <c r="AE109" s="191"/>
      <c r="AF109" s="191"/>
      <c r="AG109" s="191"/>
      <c r="AH109" s="191"/>
      <c r="AI109" s="191"/>
      <c r="AJ109" s="192"/>
      <c r="AK109" s="101"/>
      <c r="AL109" s="370"/>
      <c r="AM109" s="371"/>
    </row>
    <row r="110" spans="1:39" ht="24.75" customHeight="1">
      <c r="A110" s="394" t="str">
        <f>+IF(NOVIEMBRE!A110=0,"",NOVIEMBRE!A110)</f>
        <v>1.1.02.05.002.09</v>
      </c>
      <c r="B110" s="397" t="str">
        <f>+IF(NOVIEMBRE!B110=0,"",NOVIEMBRE!B110)</f>
        <v>Convenio Docencia Servicio</v>
      </c>
      <c r="C110" s="268">
        <f>+ENERO!C110</f>
        <v>0</v>
      </c>
      <c r="D110" s="205">
        <f>NOVIEMBRE!D110+DICIEMBRE!P110</f>
        <v>0</v>
      </c>
      <c r="E110" s="205">
        <f>NOVIEMBRE!E110+DICIEMBRE!Q110</f>
        <v>0</v>
      </c>
      <c r="F110" s="205">
        <f t="shared" si="108"/>
        <v>0</v>
      </c>
      <c r="G110" s="205">
        <f>NOVIEMBRE!I110</f>
        <v>0</v>
      </c>
      <c r="H110" s="208">
        <v>0</v>
      </c>
      <c r="I110" s="680">
        <f t="shared" si="109"/>
        <v>0</v>
      </c>
      <c r="J110" s="680">
        <f>NOVIEMBRE!L110</f>
        <v>0</v>
      </c>
      <c r="K110" s="208">
        <v>0</v>
      </c>
      <c r="L110" s="680">
        <f t="shared" si="110"/>
        <v>0</v>
      </c>
      <c r="M110" s="205">
        <f t="shared" si="111"/>
        <v>0</v>
      </c>
      <c r="N110" s="206">
        <f t="shared" si="112"/>
        <v>0</v>
      </c>
      <c r="O110" s="67"/>
      <c r="P110" s="204">
        <v>0</v>
      </c>
      <c r="Q110" s="210">
        <v>0</v>
      </c>
      <c r="R110" s="101"/>
      <c r="S110" s="228">
        <f>+IF(NOVIEMBRE!S110=0,"",NOVIEMBRE!S110)</f>
        <v>2000000</v>
      </c>
      <c r="T110" s="404" t="str">
        <f>+IF(NOVIEMBRE!T110=0,"",NOVIEMBRE!T110)</f>
        <v>GASTOS GENERALES</v>
      </c>
      <c r="U110" s="405">
        <f t="shared" ref="U110:AJ110" si="114">U112+U145</f>
        <v>21968169670.620834</v>
      </c>
      <c r="V110" s="406">
        <f t="shared" si="114"/>
        <v>-1735429125</v>
      </c>
      <c r="W110" s="406">
        <f t="shared" si="114"/>
        <v>1593508020</v>
      </c>
      <c r="X110" s="407">
        <f t="shared" si="114"/>
        <v>21826248565.620831</v>
      </c>
      <c r="Y110" s="217">
        <f t="shared" si="114"/>
        <v>16315047726</v>
      </c>
      <c r="Z110" s="406">
        <f t="shared" si="114"/>
        <v>337680046</v>
      </c>
      <c r="AA110" s="407">
        <f t="shared" si="114"/>
        <v>16652727772</v>
      </c>
      <c r="AB110" s="217">
        <f t="shared" si="114"/>
        <v>14866120427</v>
      </c>
      <c r="AC110" s="406">
        <f t="shared" si="114"/>
        <v>1786607345</v>
      </c>
      <c r="AD110" s="407">
        <f t="shared" si="114"/>
        <v>16652727772</v>
      </c>
      <c r="AE110" s="217">
        <f t="shared" si="114"/>
        <v>11141711141</v>
      </c>
      <c r="AF110" s="406">
        <f t="shared" si="114"/>
        <v>1527415620</v>
      </c>
      <c r="AG110" s="407">
        <f t="shared" si="114"/>
        <v>12669126761</v>
      </c>
      <c r="AH110" s="217">
        <f t="shared" si="114"/>
        <v>5173520793.6208324</v>
      </c>
      <c r="AI110" s="406">
        <f t="shared" si="114"/>
        <v>5173520793.6208324</v>
      </c>
      <c r="AJ110" s="218">
        <f t="shared" si="114"/>
        <v>9157121804.6208324</v>
      </c>
      <c r="AK110" s="101"/>
      <c r="AL110" s="233">
        <f>AL112+AL145</f>
        <v>114092760</v>
      </c>
      <c r="AM110" s="232">
        <f>AM112+AM145</f>
        <v>0</v>
      </c>
    </row>
    <row r="111" spans="1:39" ht="24.75" customHeight="1" thickBot="1">
      <c r="A111" s="394" t="str">
        <f>+IF(NOVIEMBRE!A111=0,"",NOVIEMBRE!A111)</f>
        <v>1.1.02.05.002.07.99</v>
      </c>
      <c r="B111" s="408" t="str">
        <f>+IF(NOVIEMBRE!B111=0,"",NOVIEMBRE!B111)</f>
        <v>Vigencia anterior Servicios financieros y servicios conexos, servicios inmobiliarios y servicios de leasing (ARRENDAMIENTOS)</v>
      </c>
      <c r="C111" s="391">
        <f>+ENERO!C111</f>
        <v>0</v>
      </c>
      <c r="D111" s="243">
        <f>NOVIEMBRE!D111+DICIEMBRE!P111</f>
        <v>0</v>
      </c>
      <c r="E111" s="243">
        <f>NOVIEMBRE!E111+DICIEMBRE!Q111</f>
        <v>19736789</v>
      </c>
      <c r="F111" s="243">
        <f t="shared" si="108"/>
        <v>19736789</v>
      </c>
      <c r="G111" s="243">
        <f>NOVIEMBRE!I111</f>
        <v>19736789</v>
      </c>
      <c r="H111" s="246">
        <v>0</v>
      </c>
      <c r="I111" s="682">
        <f t="shared" si="109"/>
        <v>19736789</v>
      </c>
      <c r="J111" s="682">
        <f>NOVIEMBRE!L111</f>
        <v>19736789</v>
      </c>
      <c r="K111" s="246">
        <v>0</v>
      </c>
      <c r="L111" s="682">
        <f t="shared" si="110"/>
        <v>19736789</v>
      </c>
      <c r="M111" s="243">
        <f t="shared" si="111"/>
        <v>0</v>
      </c>
      <c r="N111" s="244">
        <f t="shared" si="112"/>
        <v>0</v>
      </c>
      <c r="O111" s="67"/>
      <c r="P111" s="204">
        <v>0</v>
      </c>
      <c r="Q111" s="210">
        <v>0</v>
      </c>
      <c r="R111" s="101"/>
      <c r="S111" s="189">
        <f>+IF(NOVIEMBRE!S111=0,"",NOVIEMBRE!S111)</f>
        <v>18355520</v>
      </c>
      <c r="T111" s="488" t="str">
        <f>+IF(NOVIEMBRE!T111=0,"",NOVIEMBRE!T111)</f>
        <v/>
      </c>
      <c r="U111" s="191"/>
      <c r="V111" s="191"/>
      <c r="W111" s="191"/>
      <c r="X111" s="191"/>
      <c r="Y111" s="191"/>
      <c r="Z111" s="191"/>
      <c r="AA111" s="191"/>
      <c r="AB111" s="191"/>
      <c r="AC111" s="191"/>
      <c r="AD111" s="191"/>
      <c r="AE111" s="191"/>
      <c r="AF111" s="191"/>
      <c r="AG111" s="191"/>
      <c r="AH111" s="191"/>
      <c r="AI111" s="191"/>
      <c r="AJ111" s="192"/>
      <c r="AK111" s="101"/>
      <c r="AL111" s="194"/>
      <c r="AM111" s="195"/>
    </row>
    <row r="112" spans="1:39" ht="24.75" customHeight="1" thickBot="1">
      <c r="A112" s="398" t="str">
        <f>+IF(NOVIEMBRE!A112=0,"",NOVIEMBRE!A112)</f>
        <v/>
      </c>
      <c r="B112" s="399" t="str">
        <f>+IF(NOVIEMBRE!B112=0,"",NOVIEMBRE!B112)</f>
        <v/>
      </c>
      <c r="C112" s="400"/>
      <c r="D112" s="400"/>
      <c r="E112" s="400"/>
      <c r="F112" s="400"/>
      <c r="G112" s="400"/>
      <c r="H112" s="400"/>
      <c r="I112" s="684"/>
      <c r="J112" s="684"/>
      <c r="K112" s="400"/>
      <c r="L112" s="684"/>
      <c r="M112" s="400"/>
      <c r="N112" s="401"/>
      <c r="O112" s="67"/>
      <c r="P112" s="402"/>
      <c r="Q112" s="401"/>
      <c r="R112" s="101"/>
      <c r="S112" s="228">
        <f>+IF(NOVIEMBRE!S112=0,"",NOVIEMBRE!S112)</f>
        <v>2010000</v>
      </c>
      <c r="T112" s="229" t="str">
        <f>+IF(NOVIEMBRE!T112=0,"",NOVIEMBRE!T112)</f>
        <v>Gastos de Administración</v>
      </c>
      <c r="U112" s="230">
        <f t="shared" ref="U112:AJ112" si="115">U114+U123+U141</f>
        <v>10075238362.444445</v>
      </c>
      <c r="V112" s="231">
        <f t="shared" si="115"/>
        <v>-2429125</v>
      </c>
      <c r="W112" s="231">
        <f t="shared" si="115"/>
        <v>169879991</v>
      </c>
      <c r="X112" s="234">
        <f>X114+X123+X141</f>
        <v>10242689228.444443</v>
      </c>
      <c r="Y112" s="233">
        <f t="shared" si="115"/>
        <v>8826837849</v>
      </c>
      <c r="Z112" s="231">
        <f t="shared" si="115"/>
        <v>445871804</v>
      </c>
      <c r="AA112" s="234">
        <f t="shared" si="115"/>
        <v>9272709653</v>
      </c>
      <c r="AB112" s="233">
        <f t="shared" si="115"/>
        <v>8237437831</v>
      </c>
      <c r="AC112" s="231">
        <f t="shared" si="115"/>
        <v>1035271822</v>
      </c>
      <c r="AD112" s="234">
        <f t="shared" si="115"/>
        <v>9272709653</v>
      </c>
      <c r="AE112" s="233">
        <f t="shared" si="115"/>
        <v>7256146427</v>
      </c>
      <c r="AF112" s="231">
        <f t="shared" si="115"/>
        <v>991531239</v>
      </c>
      <c r="AG112" s="234">
        <f t="shared" si="115"/>
        <v>8247677666</v>
      </c>
      <c r="AH112" s="233">
        <f t="shared" si="115"/>
        <v>969979575.44444418</v>
      </c>
      <c r="AI112" s="231">
        <f t="shared" si="115"/>
        <v>969979575.44444418</v>
      </c>
      <c r="AJ112" s="232">
        <f t="shared" si="115"/>
        <v>1995011562.4444442</v>
      </c>
      <c r="AK112" s="101"/>
      <c r="AL112" s="233">
        <f>AL114+AL123+AL141</f>
        <v>91092760</v>
      </c>
      <c r="AM112" s="232">
        <f>AM114+AM123+AM141</f>
        <v>0</v>
      </c>
    </row>
    <row r="113" spans="1:39" ht="24.75" customHeight="1" thickBot="1">
      <c r="A113" s="123">
        <f>+IF(NOVIEMBRE!A113=0,"",NOVIEMBRE!A113)</f>
        <v>2000</v>
      </c>
      <c r="B113" s="265" t="str">
        <f>+IF(NOVIEMBRE!B113=0,"",NOVIEMBRE!B113)</f>
        <v>INGRESOS DE CAPITAL</v>
      </c>
      <c r="C113" s="409">
        <f t="shared" ref="C113:N113" si="116">SUM(C115:C124)</f>
        <v>0</v>
      </c>
      <c r="D113" s="410">
        <f t="shared" si="116"/>
        <v>0</v>
      </c>
      <c r="E113" s="410">
        <f t="shared" si="116"/>
        <v>0</v>
      </c>
      <c r="F113" s="410">
        <f t="shared" si="116"/>
        <v>0</v>
      </c>
      <c r="G113" s="410">
        <f t="shared" si="116"/>
        <v>0</v>
      </c>
      <c r="H113" s="410">
        <f t="shared" si="116"/>
        <v>0</v>
      </c>
      <c r="I113" s="685">
        <f t="shared" si="116"/>
        <v>0</v>
      </c>
      <c r="J113" s="685">
        <f t="shared" si="116"/>
        <v>0</v>
      </c>
      <c r="K113" s="410">
        <f t="shared" si="116"/>
        <v>0</v>
      </c>
      <c r="L113" s="685">
        <f t="shared" si="116"/>
        <v>0</v>
      </c>
      <c r="M113" s="410">
        <f t="shared" si="116"/>
        <v>0</v>
      </c>
      <c r="N113" s="411">
        <f t="shared" si="116"/>
        <v>0</v>
      </c>
      <c r="O113" s="369"/>
      <c r="P113" s="171">
        <f>SUM(P115:P124)</f>
        <v>0</v>
      </c>
      <c r="Q113" s="173">
        <f>SUM(Q115:Q124)</f>
        <v>0</v>
      </c>
      <c r="R113" s="101"/>
      <c r="S113" s="189" t="str">
        <f>+IF(NOVIEMBRE!S113=0,"",NOVIEMBRE!S113)</f>
        <v/>
      </c>
      <c r="T113" s="488" t="str">
        <f>+IF(NOVIEMBRE!T113=0,"",NOVIEMBRE!T113)</f>
        <v/>
      </c>
      <c r="U113" s="191"/>
      <c r="V113" s="191"/>
      <c r="W113" s="191"/>
      <c r="X113" s="191"/>
      <c r="Y113" s="191"/>
      <c r="Z113" s="191"/>
      <c r="AA113" s="191"/>
      <c r="AB113" s="191"/>
      <c r="AC113" s="191"/>
      <c r="AD113" s="191"/>
      <c r="AE113" s="191"/>
      <c r="AF113" s="191"/>
      <c r="AG113" s="191"/>
      <c r="AH113" s="191"/>
      <c r="AI113" s="191"/>
      <c r="AJ113" s="192"/>
      <c r="AK113" s="101"/>
      <c r="AL113" s="194"/>
      <c r="AM113" s="195"/>
    </row>
    <row r="114" spans="1:39" ht="24.75" customHeight="1" thickBot="1">
      <c r="A114" s="398" t="str">
        <f>+IF(NOVIEMBRE!A114=0,"",NOVIEMBRE!A114)</f>
        <v/>
      </c>
      <c r="B114" s="399" t="str">
        <f>+IF(NOVIEMBRE!B114=0,"",NOVIEMBRE!B114)</f>
        <v/>
      </c>
      <c r="C114" s="400"/>
      <c r="D114" s="400"/>
      <c r="E114" s="400"/>
      <c r="F114" s="400"/>
      <c r="G114" s="400"/>
      <c r="H114" s="400"/>
      <c r="I114" s="684"/>
      <c r="J114" s="684"/>
      <c r="K114" s="400"/>
      <c r="L114" s="684"/>
      <c r="M114" s="400"/>
      <c r="N114" s="401"/>
      <c r="O114" s="67"/>
      <c r="P114" s="402"/>
      <c r="Q114" s="401"/>
      <c r="R114" s="101"/>
      <c r="S114" s="257">
        <f>+IF(NOVIEMBRE!S114=0,"",NOVIEMBRE!S114)</f>
        <v>2010100</v>
      </c>
      <c r="T114" s="546" t="str">
        <f>+IF(NOVIEMBRE!T114=0,"",NOVIEMBRE!T114)</f>
        <v>Adquisición de bienes</v>
      </c>
      <c r="U114" s="230">
        <f t="shared" ref="U114:AJ114" si="117">SUM(U115:U121)</f>
        <v>1246863273.1666665</v>
      </c>
      <c r="V114" s="231">
        <f t="shared" si="117"/>
        <v>-37000000</v>
      </c>
      <c r="W114" s="231">
        <f t="shared" si="117"/>
        <v>0</v>
      </c>
      <c r="X114" s="234">
        <f t="shared" si="117"/>
        <v>1209863273.1666665</v>
      </c>
      <c r="Y114" s="233">
        <f t="shared" si="117"/>
        <v>480845499</v>
      </c>
      <c r="Z114" s="231">
        <f t="shared" si="117"/>
        <v>-23904981</v>
      </c>
      <c r="AA114" s="234">
        <f t="shared" si="117"/>
        <v>456940518</v>
      </c>
      <c r="AB114" s="233">
        <f t="shared" si="117"/>
        <v>429797883</v>
      </c>
      <c r="AC114" s="231">
        <f t="shared" si="117"/>
        <v>27142635</v>
      </c>
      <c r="AD114" s="234">
        <f t="shared" si="117"/>
        <v>456940518</v>
      </c>
      <c r="AE114" s="233">
        <f t="shared" si="117"/>
        <v>335760174</v>
      </c>
      <c r="AF114" s="231">
        <f t="shared" si="117"/>
        <v>36077474</v>
      </c>
      <c r="AG114" s="234">
        <f t="shared" si="117"/>
        <v>371837648</v>
      </c>
      <c r="AH114" s="233">
        <f t="shared" si="117"/>
        <v>752922755.16666663</v>
      </c>
      <c r="AI114" s="231">
        <f t="shared" si="117"/>
        <v>752922755.16666663</v>
      </c>
      <c r="AJ114" s="232">
        <f t="shared" si="117"/>
        <v>838025625.16666663</v>
      </c>
      <c r="AK114" s="101"/>
      <c r="AL114" s="233">
        <f>SUM(AL115:AL121)</f>
        <v>-10000000</v>
      </c>
      <c r="AM114" s="232">
        <f>SUM(AM115:AM121)</f>
        <v>0</v>
      </c>
    </row>
    <row r="115" spans="1:39" ht="24.75" customHeight="1">
      <c r="A115" s="412">
        <f>+IF(NOVIEMBRE!A115=0,"",NOVIEMBRE!A115)</f>
        <v>2100</v>
      </c>
      <c r="B115" s="387" t="str">
        <f>+IF(NOVIEMBRE!B115=0,"",NOVIEMBRE!B115)</f>
        <v>CREDITO INTERNO</v>
      </c>
      <c r="C115" s="204">
        <f>+ENERO!C115</f>
        <v>0</v>
      </c>
      <c r="D115" s="413">
        <f>NOVIEMBRE!D115+DICIEMBRE!P115</f>
        <v>0</v>
      </c>
      <c r="E115" s="413">
        <f>NOVIEMBRE!E115+DICIEMBRE!Q115</f>
        <v>0</v>
      </c>
      <c r="F115" s="414">
        <f t="shared" ref="F115:F124" si="118">SUM(C115:E115)</f>
        <v>0</v>
      </c>
      <c r="G115" s="415">
        <f>NOVIEMBRE!I115</f>
        <v>0</v>
      </c>
      <c r="H115" s="208">
        <v>0</v>
      </c>
      <c r="I115" s="686">
        <f t="shared" ref="I115:I124" si="119">SUM(G115:H115)</f>
        <v>0</v>
      </c>
      <c r="J115" s="687">
        <f>NOVIEMBRE!L115</f>
        <v>0</v>
      </c>
      <c r="K115" s="208">
        <v>0</v>
      </c>
      <c r="L115" s="694">
        <f t="shared" ref="L115:L124" si="120">SUM(J115:K115)</f>
        <v>0</v>
      </c>
      <c r="M115" s="417">
        <f t="shared" ref="M115:M124" si="121">F115-I115</f>
        <v>0</v>
      </c>
      <c r="N115" s="416">
        <f t="shared" ref="N115:N124" si="122">F115-L115</f>
        <v>0</v>
      </c>
      <c r="O115" s="369"/>
      <c r="P115" s="204">
        <v>0</v>
      </c>
      <c r="Q115" s="210">
        <v>0</v>
      </c>
      <c r="R115" s="101"/>
      <c r="S115" s="266" t="str">
        <f>+IF(NOVIEMBRE!S115=0,"",NOVIEMBRE!S115)</f>
        <v>2.1.2.02.01.003.302</v>
      </c>
      <c r="T115" s="267" t="str">
        <f>+IF(NOVIEMBRE!T115=0,"",NOVIEMBRE!T115)</f>
        <v>Papeleria</v>
      </c>
      <c r="U115" s="373">
        <f>+ENERO!U115</f>
        <v>252782338.5</v>
      </c>
      <c r="V115" s="220">
        <f>NOVIEMBRE!V115+DICIEMBRE!AL115</f>
        <v>-10000000</v>
      </c>
      <c r="W115" s="220">
        <f>NOVIEMBRE!W115+DICIEMBRE!AM115</f>
        <v>0</v>
      </c>
      <c r="X115" s="271">
        <f t="shared" ref="X115:X121" si="123">SUM(U115:W115)</f>
        <v>242782338.5</v>
      </c>
      <c r="Y115" s="270">
        <f>NOVIEMBRE!AA115</f>
        <v>235214568</v>
      </c>
      <c r="Z115" s="1186">
        <v>-4029342</v>
      </c>
      <c r="AA115" s="271">
        <f t="shared" ref="AA115:AA121" si="124">SUM(Y115:Z115)</f>
        <v>231185226</v>
      </c>
      <c r="AB115" s="270">
        <f>NOVIEMBRE!AD115</f>
        <v>208563187</v>
      </c>
      <c r="AC115" s="1186">
        <v>22622039</v>
      </c>
      <c r="AD115" s="271">
        <f t="shared" ref="AD115:AD121" si="125">SUM(AB115:AC115)</f>
        <v>231185226</v>
      </c>
      <c r="AE115" s="270">
        <f>NOVIEMBRE!AG115</f>
        <v>133342481</v>
      </c>
      <c r="AF115" s="1186">
        <v>32666299</v>
      </c>
      <c r="AG115" s="271">
        <f t="shared" ref="AG115:AG121" si="126">SUM(AE115:AF115)</f>
        <v>166008780</v>
      </c>
      <c r="AH115" s="270">
        <f t="shared" ref="AH115:AH121" si="127">X115-AA115</f>
        <v>11597112.5</v>
      </c>
      <c r="AI115" s="220">
        <f t="shared" ref="AI115:AI121" si="128">X115-AD115</f>
        <v>11597112.5</v>
      </c>
      <c r="AJ115" s="269">
        <f t="shared" ref="AJ115:AJ121" si="129">X115-AG115</f>
        <v>76773558.5</v>
      </c>
      <c r="AK115" s="101"/>
      <c r="AL115" s="204">
        <v>-10000000</v>
      </c>
      <c r="AM115" s="210">
        <v>0</v>
      </c>
    </row>
    <row r="116" spans="1:39" ht="24.75" customHeight="1">
      <c r="A116" s="412" t="str">
        <f>+IF(NOVIEMBRE!A116=0,"",NOVIEMBRE!A116)</f>
        <v>2100-1</v>
      </c>
      <c r="B116" s="388" t="str">
        <f>+IF(NOVIEMBRE!B116=0,"",NOVIEMBRE!B116)</f>
        <v>Vigencia Anterior</v>
      </c>
      <c r="C116" s="204">
        <f>+ENERO!C116</f>
        <v>0</v>
      </c>
      <c r="D116" s="413">
        <f>NOVIEMBRE!D116+DICIEMBRE!P116</f>
        <v>0</v>
      </c>
      <c r="E116" s="413">
        <f>NOVIEMBRE!E116+DICIEMBRE!Q116</f>
        <v>0</v>
      </c>
      <c r="F116" s="414">
        <f t="shared" si="118"/>
        <v>0</v>
      </c>
      <c r="G116" s="415">
        <f>NOVIEMBRE!I116</f>
        <v>0</v>
      </c>
      <c r="H116" s="208">
        <v>0</v>
      </c>
      <c r="I116" s="686">
        <f t="shared" si="119"/>
        <v>0</v>
      </c>
      <c r="J116" s="687">
        <f>NOVIEMBRE!L116</f>
        <v>0</v>
      </c>
      <c r="K116" s="208">
        <v>0</v>
      </c>
      <c r="L116" s="694">
        <f t="shared" si="120"/>
        <v>0</v>
      </c>
      <c r="M116" s="417">
        <f t="shared" si="121"/>
        <v>0</v>
      </c>
      <c r="N116" s="416">
        <f t="shared" si="122"/>
        <v>0</v>
      </c>
      <c r="O116" s="369"/>
      <c r="P116" s="204">
        <v>0</v>
      </c>
      <c r="Q116" s="210">
        <v>0</v>
      </c>
      <c r="R116" s="101"/>
      <c r="S116" s="266" t="str">
        <f>+IF(NOVIEMBRE!S116=0,"",NOVIEMBRE!S116)</f>
        <v>2.1.2.02.01.003.301</v>
      </c>
      <c r="T116" s="267" t="str">
        <f>+IF(NOVIEMBRE!T116=0,"",NOVIEMBRE!T116)</f>
        <v>Combustible</v>
      </c>
      <c r="U116" s="373">
        <f>+ENERO!U116</f>
        <v>77916666.666666657</v>
      </c>
      <c r="V116" s="220">
        <f>NOVIEMBRE!V116+DICIEMBRE!AL116</f>
        <v>-17000000</v>
      </c>
      <c r="W116" s="220">
        <f>NOVIEMBRE!W116+DICIEMBRE!AM116</f>
        <v>0</v>
      </c>
      <c r="X116" s="271">
        <f t="shared" si="123"/>
        <v>60916666.666666657</v>
      </c>
      <c r="Y116" s="270">
        <f>NOVIEMBRE!AA116</f>
        <v>60000000</v>
      </c>
      <c r="Z116" s="1186">
        <v>-19875639</v>
      </c>
      <c r="AA116" s="271">
        <f t="shared" si="124"/>
        <v>40124361</v>
      </c>
      <c r="AB116" s="270">
        <f>NOVIEMBRE!AD116</f>
        <v>35603765</v>
      </c>
      <c r="AC116" s="1186">
        <v>4520596</v>
      </c>
      <c r="AD116" s="271">
        <f t="shared" si="125"/>
        <v>40124361</v>
      </c>
      <c r="AE116" s="270">
        <f>NOVIEMBRE!AG116</f>
        <v>27864267</v>
      </c>
      <c r="AF116" s="1186">
        <v>3125575</v>
      </c>
      <c r="AG116" s="271">
        <f t="shared" si="126"/>
        <v>30989842</v>
      </c>
      <c r="AH116" s="270">
        <f t="shared" si="127"/>
        <v>20792305.666666657</v>
      </c>
      <c r="AI116" s="220">
        <f t="shared" si="128"/>
        <v>20792305.666666657</v>
      </c>
      <c r="AJ116" s="269">
        <f t="shared" si="129"/>
        <v>29926824.666666657</v>
      </c>
      <c r="AK116" s="101"/>
      <c r="AL116" s="204"/>
      <c r="AM116" s="210">
        <v>0</v>
      </c>
    </row>
    <row r="117" spans="1:39" ht="24.75" customHeight="1">
      <c r="A117" s="412">
        <f>+IF(NOVIEMBRE!A117=0,"",NOVIEMBRE!A117)</f>
        <v>2200</v>
      </c>
      <c r="B117" s="387" t="str">
        <f>+IF(NOVIEMBRE!B117=0,"",NOVIEMBRE!B117)</f>
        <v>CREDITO EXTERNO</v>
      </c>
      <c r="C117" s="204">
        <f>+ENERO!C117</f>
        <v>0</v>
      </c>
      <c r="D117" s="413">
        <f>NOVIEMBRE!D117+DICIEMBRE!P117</f>
        <v>0</v>
      </c>
      <c r="E117" s="413">
        <f>NOVIEMBRE!E117+DICIEMBRE!Q117</f>
        <v>0</v>
      </c>
      <c r="F117" s="414">
        <f t="shared" si="118"/>
        <v>0</v>
      </c>
      <c r="G117" s="415">
        <f>NOVIEMBRE!I117</f>
        <v>0</v>
      </c>
      <c r="H117" s="208">
        <v>0</v>
      </c>
      <c r="I117" s="686">
        <f t="shared" si="119"/>
        <v>0</v>
      </c>
      <c r="J117" s="687">
        <f>NOVIEMBRE!L117</f>
        <v>0</v>
      </c>
      <c r="K117" s="208">
        <v>0</v>
      </c>
      <c r="L117" s="694">
        <f t="shared" si="120"/>
        <v>0</v>
      </c>
      <c r="M117" s="417">
        <f t="shared" si="121"/>
        <v>0</v>
      </c>
      <c r="N117" s="416">
        <f t="shared" si="122"/>
        <v>0</v>
      </c>
      <c r="O117" s="369"/>
      <c r="P117" s="204">
        <v>0</v>
      </c>
      <c r="Q117" s="210">
        <v>0</v>
      </c>
      <c r="R117" s="101"/>
      <c r="S117" s="266" t="str">
        <f>+IF(NOVIEMBRE!S117=0,"",NOVIEMBRE!S117)</f>
        <v>2.1.3.07.02.031</v>
      </c>
      <c r="T117" s="267" t="str">
        <f>+IF(NOVIEMBRE!T117=0,"",NOVIEMBRE!T117)</f>
        <v>Programa de Salud Ocupacional</v>
      </c>
      <c r="U117" s="373">
        <f>+ENERO!U117</f>
        <v>20000000</v>
      </c>
      <c r="V117" s="220">
        <f>NOVIEMBRE!V117+DICIEMBRE!AL117</f>
        <v>-10000000</v>
      </c>
      <c r="W117" s="220">
        <f>NOVIEMBRE!W117+DICIEMBRE!AM117</f>
        <v>0</v>
      </c>
      <c r="X117" s="271">
        <f t="shared" si="123"/>
        <v>10000000</v>
      </c>
      <c r="Y117" s="270">
        <f>NOVIEMBRE!AA117</f>
        <v>4278050</v>
      </c>
      <c r="Z117" s="208"/>
      <c r="AA117" s="271">
        <f t="shared" si="124"/>
        <v>4278050</v>
      </c>
      <c r="AB117" s="270">
        <f>NOVIEMBRE!AD117</f>
        <v>4278050</v>
      </c>
      <c r="AC117" s="208"/>
      <c r="AD117" s="271">
        <f t="shared" si="125"/>
        <v>4278050</v>
      </c>
      <c r="AE117" s="270">
        <f>NOVIEMBRE!AG117</f>
        <v>842520</v>
      </c>
      <c r="AF117" s="208"/>
      <c r="AG117" s="271">
        <f t="shared" si="126"/>
        <v>842520</v>
      </c>
      <c r="AH117" s="270">
        <f t="shared" si="127"/>
        <v>5721950</v>
      </c>
      <c r="AI117" s="220">
        <f t="shared" si="128"/>
        <v>5721950</v>
      </c>
      <c r="AJ117" s="269">
        <f t="shared" si="129"/>
        <v>9157480</v>
      </c>
      <c r="AK117" s="101"/>
      <c r="AL117" s="204"/>
      <c r="AM117" s="210">
        <v>0</v>
      </c>
    </row>
    <row r="118" spans="1:39" ht="24.75" customHeight="1">
      <c r="A118" s="412" t="str">
        <f>+IF(NOVIEMBRE!A118=0,"",NOVIEMBRE!A118)</f>
        <v>2200-1</v>
      </c>
      <c r="B118" s="388" t="str">
        <f>+IF(NOVIEMBRE!B118=0,"",NOVIEMBRE!B118)</f>
        <v>Vigencia Anterior</v>
      </c>
      <c r="C118" s="204">
        <f>+ENERO!C118</f>
        <v>0</v>
      </c>
      <c r="D118" s="413">
        <f>NOVIEMBRE!D118+DICIEMBRE!P118</f>
        <v>0</v>
      </c>
      <c r="E118" s="413">
        <f>NOVIEMBRE!E118+DICIEMBRE!Q118</f>
        <v>0</v>
      </c>
      <c r="F118" s="414">
        <f t="shared" si="118"/>
        <v>0</v>
      </c>
      <c r="G118" s="415">
        <f>NOVIEMBRE!I118</f>
        <v>0</v>
      </c>
      <c r="H118" s="208">
        <v>0</v>
      </c>
      <c r="I118" s="686">
        <f t="shared" si="119"/>
        <v>0</v>
      </c>
      <c r="J118" s="687">
        <f>NOVIEMBRE!L118</f>
        <v>0</v>
      </c>
      <c r="K118" s="208">
        <v>0</v>
      </c>
      <c r="L118" s="694">
        <f t="shared" si="120"/>
        <v>0</v>
      </c>
      <c r="M118" s="417">
        <f t="shared" si="121"/>
        <v>0</v>
      </c>
      <c r="N118" s="416">
        <f t="shared" si="122"/>
        <v>0</v>
      </c>
      <c r="O118" s="369"/>
      <c r="P118" s="204">
        <v>0</v>
      </c>
      <c r="Q118" s="210">
        <v>0</v>
      </c>
      <c r="R118" s="101"/>
      <c r="S118" s="266" t="str">
        <f>+IF(NOVIEMBRE!S118=0,"",NOVIEMBRE!S118)</f>
        <v>2.1.2.02.01.003.307</v>
      </c>
      <c r="T118" s="267" t="str">
        <f>+IF(NOVIEMBRE!T118=0,"",NOVIEMBRE!T118)</f>
        <v>Mantenimiento - Bienes Ambiental y Sanitaria</v>
      </c>
      <c r="U118" s="373">
        <f>+ENERO!U118</f>
        <v>15180000</v>
      </c>
      <c r="V118" s="220">
        <f>NOVIEMBRE!V118+DICIEMBRE!AL118</f>
        <v>0</v>
      </c>
      <c r="W118" s="220">
        <f>NOVIEMBRE!W118+DICIEMBRE!AM118</f>
        <v>0</v>
      </c>
      <c r="X118" s="271">
        <f t="shared" si="123"/>
        <v>15180000</v>
      </c>
      <c r="Y118" s="270">
        <f>NOVIEMBRE!AA118</f>
        <v>7641975</v>
      </c>
      <c r="Z118" s="208"/>
      <c r="AA118" s="271">
        <f t="shared" si="124"/>
        <v>7641975</v>
      </c>
      <c r="AB118" s="270">
        <f>NOVIEMBRE!AD118</f>
        <v>7641975</v>
      </c>
      <c r="AC118" s="208"/>
      <c r="AD118" s="271">
        <f t="shared" si="125"/>
        <v>7641975</v>
      </c>
      <c r="AE118" s="270">
        <f>NOVIEMBRE!AG118</f>
        <v>0</v>
      </c>
      <c r="AF118" s="1186">
        <v>285600</v>
      </c>
      <c r="AG118" s="271">
        <f t="shared" si="126"/>
        <v>285600</v>
      </c>
      <c r="AH118" s="270">
        <f t="shared" si="127"/>
        <v>7538025</v>
      </c>
      <c r="AI118" s="220">
        <f t="shared" si="128"/>
        <v>7538025</v>
      </c>
      <c r="AJ118" s="269">
        <f t="shared" si="129"/>
        <v>14894400</v>
      </c>
      <c r="AK118" s="101"/>
      <c r="AL118" s="204"/>
      <c r="AM118" s="210">
        <v>0</v>
      </c>
    </row>
    <row r="119" spans="1:39" ht="24.75" customHeight="1">
      <c r="A119" s="412" t="str">
        <f>+IF(NOVIEMBRE!A119=0,"",NOVIEMBRE!A119)</f>
        <v>1.2.05.02</v>
      </c>
      <c r="B119" s="387" t="str">
        <f>+IF(NOVIEMBRE!B119=0,"",NOVIEMBRE!B119)</f>
        <v>Depositos (RENDIMIENTOS FINANCIEROS)</v>
      </c>
      <c r="C119" s="204">
        <f>+ENERO!C119</f>
        <v>0</v>
      </c>
      <c r="D119" s="413">
        <f>NOVIEMBRE!D119+DICIEMBRE!P119</f>
        <v>0</v>
      </c>
      <c r="E119" s="413">
        <f>NOVIEMBRE!E119+DICIEMBRE!Q119</f>
        <v>0</v>
      </c>
      <c r="F119" s="414">
        <f t="shared" si="118"/>
        <v>0</v>
      </c>
      <c r="G119" s="207">
        <f>NOVIEMBRE!I119</f>
        <v>0</v>
      </c>
      <c r="H119" s="208">
        <v>0</v>
      </c>
      <c r="I119" s="688">
        <f t="shared" si="119"/>
        <v>0</v>
      </c>
      <c r="J119" s="672">
        <f>NOVIEMBRE!L119</f>
        <v>0</v>
      </c>
      <c r="K119" s="208">
        <v>0</v>
      </c>
      <c r="L119" s="671">
        <f t="shared" si="120"/>
        <v>0</v>
      </c>
      <c r="M119" s="420">
        <f t="shared" si="121"/>
        <v>0</v>
      </c>
      <c r="N119" s="206">
        <f t="shared" si="122"/>
        <v>0</v>
      </c>
      <c r="O119" s="369"/>
      <c r="P119" s="204">
        <v>0</v>
      </c>
      <c r="Q119" s="210">
        <v>0</v>
      </c>
      <c r="R119" s="101"/>
      <c r="S119" s="266" t="str">
        <f>+IF(NOVIEMBRE!S119=0,"",NOVIEMBRE!S119)</f>
        <v>2.1.2.02.01.003.305</v>
      </c>
      <c r="T119" s="267" t="str">
        <f>+IF(NOVIEMBRE!T119=0,"",NOVIEMBRE!T119)</f>
        <v>Mantenimiento -  Partes, accesorios, herramientas</v>
      </c>
      <c r="U119" s="373">
        <f>+ENERO!U119</f>
        <v>0</v>
      </c>
      <c r="V119" s="220">
        <f>NOVIEMBRE!V119+DICIEMBRE!AL119</f>
        <v>0</v>
      </c>
      <c r="W119" s="220">
        <f>NOVIEMBRE!W119+DICIEMBRE!AM119</f>
        <v>0</v>
      </c>
      <c r="X119" s="271">
        <f t="shared" si="123"/>
        <v>0</v>
      </c>
      <c r="Y119" s="270">
        <f>NOVIEMBRE!AA119</f>
        <v>0</v>
      </c>
      <c r="Z119" s="208"/>
      <c r="AA119" s="271">
        <f t="shared" si="124"/>
        <v>0</v>
      </c>
      <c r="AB119" s="270">
        <f>NOVIEMBRE!AD119</f>
        <v>0</v>
      </c>
      <c r="AC119" s="208"/>
      <c r="AD119" s="271">
        <f t="shared" si="125"/>
        <v>0</v>
      </c>
      <c r="AE119" s="270">
        <f>NOVIEMBRE!AG119</f>
        <v>0</v>
      </c>
      <c r="AF119" s="208"/>
      <c r="AG119" s="271">
        <f t="shared" si="126"/>
        <v>0</v>
      </c>
      <c r="AH119" s="270">
        <f t="shared" si="127"/>
        <v>0</v>
      </c>
      <c r="AI119" s="220">
        <f t="shared" si="128"/>
        <v>0</v>
      </c>
      <c r="AJ119" s="269">
        <f t="shared" si="129"/>
        <v>0</v>
      </c>
      <c r="AK119" s="101"/>
      <c r="AL119" s="204"/>
      <c r="AM119" s="210">
        <v>0</v>
      </c>
    </row>
    <row r="120" spans="1:39" ht="24.75" customHeight="1">
      <c r="A120" s="421">
        <f>+IF(NOVIEMBRE!A120=0,"",NOVIEMBRE!A120)</f>
        <v>2400</v>
      </c>
      <c r="B120" s="388" t="str">
        <f>+IF(NOVIEMBRE!B120=0,"",NOVIEMBRE!B120)</f>
        <v>VENTA DE ACTIVOS</v>
      </c>
      <c r="C120" s="204">
        <f>+ENERO!C120</f>
        <v>0</v>
      </c>
      <c r="D120" s="413">
        <f>NOVIEMBRE!D120+DICIEMBRE!P120</f>
        <v>0</v>
      </c>
      <c r="E120" s="413">
        <f>NOVIEMBRE!E120+DICIEMBRE!Q120</f>
        <v>0</v>
      </c>
      <c r="F120" s="414">
        <f t="shared" si="118"/>
        <v>0</v>
      </c>
      <c r="G120" s="207">
        <f>NOVIEMBRE!I120</f>
        <v>0</v>
      </c>
      <c r="H120" s="208">
        <v>0</v>
      </c>
      <c r="I120" s="688">
        <f t="shared" si="119"/>
        <v>0</v>
      </c>
      <c r="J120" s="672">
        <f>NOVIEMBRE!L120</f>
        <v>0</v>
      </c>
      <c r="K120" s="208">
        <v>0</v>
      </c>
      <c r="L120" s="671">
        <f t="shared" si="120"/>
        <v>0</v>
      </c>
      <c r="M120" s="420">
        <f t="shared" si="121"/>
        <v>0</v>
      </c>
      <c r="N120" s="206">
        <f t="shared" si="122"/>
        <v>0</v>
      </c>
      <c r="O120" s="67"/>
      <c r="P120" s="204">
        <v>0</v>
      </c>
      <c r="Q120" s="210">
        <v>0</v>
      </c>
      <c r="R120" s="101"/>
      <c r="S120" s="266" t="str">
        <f>+IF(NOVIEMBRE!S120=0,"",NOVIEMBRE!S120)</f>
        <v>2.1.2.02.01.003.308</v>
      </c>
      <c r="T120" s="267" t="str">
        <f>+IF(NOVIEMBRE!T120=0,"",NOVIEMBRE!T120)</f>
        <v>Mantenimiento - Bienes Adecuaciones locativas</v>
      </c>
      <c r="U120" s="373">
        <f>+ENERO!U120</f>
        <v>704984268</v>
      </c>
      <c r="V120" s="220">
        <f>NOVIEMBRE!V120+DICIEMBRE!AL120</f>
        <v>0</v>
      </c>
      <c r="W120" s="220">
        <f>NOVIEMBRE!W120+DICIEMBRE!AM120</f>
        <v>0</v>
      </c>
      <c r="X120" s="271">
        <f t="shared" si="123"/>
        <v>704984268</v>
      </c>
      <c r="Y120" s="270">
        <f>NOVIEMBRE!AA120</f>
        <v>0</v>
      </c>
      <c r="Z120" s="208"/>
      <c r="AA120" s="271">
        <f t="shared" si="124"/>
        <v>0</v>
      </c>
      <c r="AB120" s="270">
        <f>NOVIEMBRE!AD120</f>
        <v>0</v>
      </c>
      <c r="AC120" s="208"/>
      <c r="AD120" s="271">
        <f t="shared" si="125"/>
        <v>0</v>
      </c>
      <c r="AE120" s="270">
        <f>NOVIEMBRE!AG120</f>
        <v>0</v>
      </c>
      <c r="AF120" s="208"/>
      <c r="AG120" s="271">
        <f t="shared" si="126"/>
        <v>0</v>
      </c>
      <c r="AH120" s="270">
        <f t="shared" si="127"/>
        <v>704984268</v>
      </c>
      <c r="AI120" s="220">
        <f t="shared" si="128"/>
        <v>704984268</v>
      </c>
      <c r="AJ120" s="269">
        <f t="shared" si="129"/>
        <v>704984268</v>
      </c>
      <c r="AK120" s="101"/>
      <c r="AL120" s="204"/>
      <c r="AM120" s="210">
        <v>0</v>
      </c>
    </row>
    <row r="121" spans="1:39" ht="24.75" customHeight="1">
      <c r="A121" s="421">
        <f>+IF(NOVIEMBRE!A121=0,"",NOVIEMBRE!A121)</f>
        <v>2500</v>
      </c>
      <c r="B121" s="388" t="str">
        <f>+IF(NOVIEMBRE!B121=0,"",NOVIEMBRE!B121)</f>
        <v>DONACIONES</v>
      </c>
      <c r="C121" s="204">
        <f>+ENERO!C121</f>
        <v>0</v>
      </c>
      <c r="D121" s="413">
        <f>NOVIEMBRE!D121+DICIEMBRE!P121</f>
        <v>0</v>
      </c>
      <c r="E121" s="413">
        <f>NOVIEMBRE!E121+DICIEMBRE!Q121</f>
        <v>0</v>
      </c>
      <c r="F121" s="414">
        <f t="shared" si="118"/>
        <v>0</v>
      </c>
      <c r="G121" s="207">
        <f>NOVIEMBRE!I121</f>
        <v>0</v>
      </c>
      <c r="H121" s="208">
        <v>0</v>
      </c>
      <c r="I121" s="688">
        <f t="shared" si="119"/>
        <v>0</v>
      </c>
      <c r="J121" s="672">
        <f>NOVIEMBRE!L121</f>
        <v>0</v>
      </c>
      <c r="K121" s="208">
        <v>0</v>
      </c>
      <c r="L121" s="671">
        <f t="shared" si="120"/>
        <v>0</v>
      </c>
      <c r="M121" s="420">
        <f t="shared" si="121"/>
        <v>0</v>
      </c>
      <c r="N121" s="206">
        <f t="shared" si="122"/>
        <v>0</v>
      </c>
      <c r="O121" s="67"/>
      <c r="P121" s="204">
        <v>0</v>
      </c>
      <c r="Q121" s="210">
        <v>0</v>
      </c>
      <c r="R121" s="101"/>
      <c r="S121" s="266" t="str">
        <f>+IF(NOVIEMBRE!S121=0,"",NOVIEMBRE!S121)</f>
        <v>2.1.2.02.02.008.99.02</v>
      </c>
      <c r="T121" s="267" t="str">
        <f>+IF(NOVIEMBRE!T121=0,"",NOVIEMBRE!T121)</f>
        <v>Vigencias Anteriores</v>
      </c>
      <c r="U121" s="373">
        <f>+ENERO!U121</f>
        <v>176000000</v>
      </c>
      <c r="V121" s="220">
        <f>NOVIEMBRE!V121+DICIEMBRE!AL121</f>
        <v>0</v>
      </c>
      <c r="W121" s="220">
        <f>NOVIEMBRE!W121+DICIEMBRE!AM121</f>
        <v>0</v>
      </c>
      <c r="X121" s="271">
        <f t="shared" si="123"/>
        <v>176000000</v>
      </c>
      <c r="Y121" s="270">
        <f>NOVIEMBRE!AA121</f>
        <v>173710906</v>
      </c>
      <c r="Z121" s="208"/>
      <c r="AA121" s="271">
        <f t="shared" si="124"/>
        <v>173710906</v>
      </c>
      <c r="AB121" s="270">
        <f>NOVIEMBRE!AD121</f>
        <v>173710906</v>
      </c>
      <c r="AC121" s="208"/>
      <c r="AD121" s="271">
        <f t="shared" si="125"/>
        <v>173710906</v>
      </c>
      <c r="AE121" s="270">
        <f>NOVIEMBRE!AG121</f>
        <v>173710906</v>
      </c>
      <c r="AF121" s="208"/>
      <c r="AG121" s="271">
        <f t="shared" si="126"/>
        <v>173710906</v>
      </c>
      <c r="AH121" s="270">
        <f t="shared" si="127"/>
        <v>2289094</v>
      </c>
      <c r="AI121" s="220">
        <f t="shared" si="128"/>
        <v>2289094</v>
      </c>
      <c r="AJ121" s="269">
        <f t="shared" si="129"/>
        <v>2289094</v>
      </c>
      <c r="AK121" s="101"/>
      <c r="AL121" s="204"/>
      <c r="AM121" s="210">
        <v>0</v>
      </c>
    </row>
    <row r="122" spans="1:39" ht="24.75" customHeight="1">
      <c r="A122" s="421">
        <f>+IF(NOVIEMBRE!A122=0,"",NOVIEMBRE!A122)</f>
        <v>2600</v>
      </c>
      <c r="B122" s="388" t="str">
        <f>+IF(NOVIEMBRE!B122=0,"",NOVIEMBRE!B122)</f>
        <v>RECUPERACIÓN DE CARTERA (AÑO 2023 Y ANTERIORES)</v>
      </c>
      <c r="C122" s="204">
        <f>+ENERO!C122</f>
        <v>0</v>
      </c>
      <c r="D122" s="413">
        <f>NOVIEMBRE!D122+DICIEMBRE!P122</f>
        <v>0</v>
      </c>
      <c r="E122" s="413">
        <f>NOVIEMBRE!E122+DICIEMBRE!Q122</f>
        <v>0</v>
      </c>
      <c r="F122" s="414">
        <f t="shared" si="118"/>
        <v>0</v>
      </c>
      <c r="G122" s="207">
        <f>NOVIEMBRE!I122</f>
        <v>0</v>
      </c>
      <c r="H122" s="208">
        <v>0</v>
      </c>
      <c r="I122" s="688">
        <f t="shared" si="119"/>
        <v>0</v>
      </c>
      <c r="J122" s="672">
        <f>NOVIEMBRE!L122</f>
        <v>0</v>
      </c>
      <c r="K122" s="208">
        <v>0</v>
      </c>
      <c r="L122" s="671">
        <f t="shared" si="120"/>
        <v>0</v>
      </c>
      <c r="M122" s="420">
        <f t="shared" si="121"/>
        <v>0</v>
      </c>
      <c r="N122" s="206">
        <f t="shared" si="122"/>
        <v>0</v>
      </c>
      <c r="O122" s="67"/>
      <c r="P122" s="204">
        <v>0</v>
      </c>
      <c r="Q122" s="210">
        <v>0</v>
      </c>
      <c r="R122" s="101"/>
      <c r="S122" s="189" t="str">
        <f>+IF(NOVIEMBRE!S122=0,"",NOVIEMBRE!S122)</f>
        <v/>
      </c>
      <c r="T122" s="488" t="str">
        <f>+IF(NOVIEMBRE!T122=0,"",NOVIEMBRE!T122)</f>
        <v/>
      </c>
      <c r="U122" s="191"/>
      <c r="V122" s="191"/>
      <c r="W122" s="191"/>
      <c r="X122" s="191"/>
      <c r="Y122" s="191"/>
      <c r="Z122" s="191"/>
      <c r="AA122" s="191"/>
      <c r="AB122" s="191"/>
      <c r="AC122" s="191"/>
      <c r="AD122" s="191"/>
      <c r="AE122" s="191"/>
      <c r="AF122" s="191"/>
      <c r="AG122" s="191"/>
      <c r="AH122" s="191"/>
      <c r="AI122" s="191"/>
      <c r="AJ122" s="192"/>
      <c r="AK122" s="101"/>
      <c r="AL122" s="370"/>
      <c r="AM122" s="371"/>
    </row>
    <row r="123" spans="1:39" ht="24.75" customHeight="1">
      <c r="A123" s="421">
        <f>+IF(NOVIEMBRE!A123=0,"",NOVIEMBRE!A123)</f>
        <v>2700</v>
      </c>
      <c r="B123" s="388" t="str">
        <f>+IF(NOVIEMBRE!B123=0,"",NOVIEMBRE!B123)</f>
        <v>OTROS INGRESOS DE CAPITAL</v>
      </c>
      <c r="C123" s="204">
        <f>+ENERO!C123</f>
        <v>0</v>
      </c>
      <c r="D123" s="413">
        <f>NOVIEMBRE!D123+DICIEMBRE!P123</f>
        <v>0</v>
      </c>
      <c r="E123" s="413">
        <f>NOVIEMBRE!E123+DICIEMBRE!Q123</f>
        <v>0</v>
      </c>
      <c r="F123" s="414">
        <f t="shared" si="118"/>
        <v>0</v>
      </c>
      <c r="G123" s="207">
        <f>NOVIEMBRE!I123</f>
        <v>0</v>
      </c>
      <c r="H123" s="208">
        <v>0</v>
      </c>
      <c r="I123" s="688">
        <f t="shared" si="119"/>
        <v>0</v>
      </c>
      <c r="J123" s="672">
        <f>NOVIEMBRE!L123</f>
        <v>0</v>
      </c>
      <c r="K123" s="208">
        <v>0</v>
      </c>
      <c r="L123" s="671">
        <f t="shared" si="120"/>
        <v>0</v>
      </c>
      <c r="M123" s="420">
        <f t="shared" si="121"/>
        <v>0</v>
      </c>
      <c r="N123" s="206">
        <f t="shared" si="122"/>
        <v>0</v>
      </c>
      <c r="O123" s="67"/>
      <c r="P123" s="204">
        <v>0</v>
      </c>
      <c r="Q123" s="210">
        <v>0</v>
      </c>
      <c r="R123" s="101"/>
      <c r="S123" s="257">
        <f>+IF(NOVIEMBRE!S123=0,"",NOVIEMBRE!S123)</f>
        <v>2010200</v>
      </c>
      <c r="T123" s="546" t="str">
        <f>+IF(NOVIEMBRE!T123=0,"",NOVIEMBRE!T123)</f>
        <v>Adquisición de Servicios</v>
      </c>
      <c r="U123" s="230">
        <f t="shared" ref="U123:AJ123" si="130">SUM(U124:U139)</f>
        <v>8280375089.2777777</v>
      </c>
      <c r="V123" s="231">
        <f t="shared" si="130"/>
        <v>-55429125</v>
      </c>
      <c r="W123" s="231">
        <f t="shared" si="130"/>
        <v>169879991</v>
      </c>
      <c r="X123" s="234">
        <f t="shared" si="130"/>
        <v>8394825955.2777767</v>
      </c>
      <c r="Y123" s="233">
        <f t="shared" si="130"/>
        <v>7912429050</v>
      </c>
      <c r="Z123" s="231">
        <f t="shared" si="130"/>
        <v>344579040</v>
      </c>
      <c r="AA123" s="234">
        <f t="shared" si="130"/>
        <v>8257008090</v>
      </c>
      <c r="AB123" s="233">
        <f t="shared" si="130"/>
        <v>7374076648</v>
      </c>
      <c r="AC123" s="231">
        <f t="shared" si="130"/>
        <v>882931442</v>
      </c>
      <c r="AD123" s="234">
        <f t="shared" si="130"/>
        <v>8257008090</v>
      </c>
      <c r="AE123" s="233">
        <f t="shared" si="130"/>
        <v>6486822953</v>
      </c>
      <c r="AF123" s="231">
        <f t="shared" si="130"/>
        <v>846572415</v>
      </c>
      <c r="AG123" s="234">
        <f t="shared" si="130"/>
        <v>7333395368</v>
      </c>
      <c r="AH123" s="233">
        <f t="shared" si="130"/>
        <v>137817865.27777749</v>
      </c>
      <c r="AI123" s="231">
        <f t="shared" si="130"/>
        <v>137817865.27777749</v>
      </c>
      <c r="AJ123" s="232">
        <f t="shared" si="130"/>
        <v>1061430587.2777774</v>
      </c>
      <c r="AK123" s="101"/>
      <c r="AL123" s="233">
        <f>SUM(AL124:AL139)</f>
        <v>101092760</v>
      </c>
      <c r="AM123" s="232">
        <f>SUM(AM124:AM139)</f>
        <v>0</v>
      </c>
    </row>
    <row r="124" spans="1:39" ht="24.75" customHeight="1" thickBot="1">
      <c r="A124" s="428">
        <f>+IF(NOVIEMBRE!A124=0,"",NOVIEMBRE!A124)</f>
        <v>2800</v>
      </c>
      <c r="B124" s="390" t="str">
        <f>+IF(NOVIEMBRE!B124=0,"",NOVIEMBRE!B124)</f>
        <v/>
      </c>
      <c r="C124" s="242">
        <f>+ENERO!C124</f>
        <v>0</v>
      </c>
      <c r="D124" s="429">
        <f>NOVIEMBRE!D124+DICIEMBRE!P124</f>
        <v>0</v>
      </c>
      <c r="E124" s="429">
        <f>NOVIEMBRE!E124+DICIEMBRE!Q124</f>
        <v>0</v>
      </c>
      <c r="F124" s="430">
        <f t="shared" si="118"/>
        <v>0</v>
      </c>
      <c r="G124" s="245">
        <f>NOVIEMBRE!I124</f>
        <v>0</v>
      </c>
      <c r="H124" s="246">
        <v>0</v>
      </c>
      <c r="I124" s="689">
        <f t="shared" si="119"/>
        <v>0</v>
      </c>
      <c r="J124" s="674">
        <f>NOVIEMBRE!L124</f>
        <v>0</v>
      </c>
      <c r="K124" s="246">
        <v>0</v>
      </c>
      <c r="L124" s="673">
        <f t="shared" si="120"/>
        <v>0</v>
      </c>
      <c r="M124" s="432">
        <f t="shared" si="121"/>
        <v>0</v>
      </c>
      <c r="N124" s="244">
        <f t="shared" si="122"/>
        <v>0</v>
      </c>
      <c r="O124" s="67"/>
      <c r="P124" s="242">
        <v>0</v>
      </c>
      <c r="Q124" s="248">
        <v>0</v>
      </c>
      <c r="R124" s="101"/>
      <c r="S124" s="266" t="str">
        <f>+IF(NOVIEMBRE!S124=0,"",NOVIEMBRE!S124)</f>
        <v>2.1.2.02.02.007.702</v>
      </c>
      <c r="T124" s="267" t="str">
        <f>+IF(NOVIEMBRE!T124=0,"",NOVIEMBRE!T124)</f>
        <v>Seguros</v>
      </c>
      <c r="U124" s="373">
        <f>+ENERO!U124</f>
        <v>1040000000</v>
      </c>
      <c r="V124" s="220">
        <f>NOVIEMBRE!V124+DICIEMBRE!AL124</f>
        <v>-125000000</v>
      </c>
      <c r="W124" s="220">
        <f>NOVIEMBRE!W124+DICIEMBRE!AM124</f>
        <v>0</v>
      </c>
      <c r="X124" s="271">
        <f t="shared" ref="X124:X139" si="131">SUM(U124:W124)</f>
        <v>915000000</v>
      </c>
      <c r="Y124" s="270">
        <f>NOVIEMBRE!AA124</f>
        <v>903766949</v>
      </c>
      <c r="Z124" s="1186">
        <v>53660</v>
      </c>
      <c r="AA124" s="271">
        <f t="shared" ref="AA124:AA139" si="132">SUM(Y124:Z124)</f>
        <v>903820609</v>
      </c>
      <c r="AB124" s="270">
        <f>NOVIEMBRE!AD124</f>
        <v>903632944</v>
      </c>
      <c r="AC124" s="1186">
        <v>187665</v>
      </c>
      <c r="AD124" s="271">
        <f t="shared" ref="AD124:AD139" si="133">SUM(AB124:AC124)</f>
        <v>903820609</v>
      </c>
      <c r="AE124" s="270">
        <f>NOVIEMBRE!AG124</f>
        <v>901902566</v>
      </c>
      <c r="AF124" s="208"/>
      <c r="AG124" s="271">
        <f t="shared" ref="AG124:AG139" si="134">SUM(AE124:AF124)</f>
        <v>901902566</v>
      </c>
      <c r="AH124" s="270">
        <f t="shared" ref="AH124:AH139" si="135">X124-AA124</f>
        <v>11179391</v>
      </c>
      <c r="AI124" s="220">
        <f t="shared" ref="AI124:AI139" si="136">X124-AD124</f>
        <v>11179391</v>
      </c>
      <c r="AJ124" s="269">
        <f t="shared" ref="AJ124:AJ139" si="137">X124-AG124</f>
        <v>13097434</v>
      </c>
      <c r="AK124" s="101"/>
      <c r="AL124" s="204"/>
      <c r="AM124" s="210">
        <v>0</v>
      </c>
    </row>
    <row r="125" spans="1:39" ht="24.75" customHeight="1" thickBot="1">
      <c r="A125" s="398"/>
      <c r="B125" s="399"/>
      <c r="C125" s="400"/>
      <c r="D125" s="400"/>
      <c r="E125" s="400"/>
      <c r="F125" s="400"/>
      <c r="G125" s="400"/>
      <c r="H125" s="400"/>
      <c r="I125" s="684"/>
      <c r="J125" s="684"/>
      <c r="K125" s="400"/>
      <c r="L125" s="684"/>
      <c r="M125" s="400"/>
      <c r="N125" s="401"/>
      <c r="O125" s="67"/>
      <c r="P125" s="402"/>
      <c r="Q125" s="401"/>
      <c r="R125" s="101"/>
      <c r="S125" s="266" t="str">
        <f>+IF(NOVIEMBRE!S125=0,"",NOVIEMBRE!S125)</f>
        <v>2.1.2.02.02.007.703</v>
      </c>
      <c r="T125" s="267" t="str">
        <f>+IF(NOVIEMBRE!T125=0,"",NOVIEMBRE!T125)</f>
        <v>Arrendamientos</v>
      </c>
      <c r="U125" s="373">
        <f>+ENERO!U125</f>
        <v>75000000</v>
      </c>
      <c r="V125" s="220">
        <f>NOVIEMBRE!V125+DICIEMBRE!AL125</f>
        <v>10000000</v>
      </c>
      <c r="W125" s="220">
        <f>NOVIEMBRE!W125+DICIEMBRE!AM125</f>
        <v>0</v>
      </c>
      <c r="X125" s="271">
        <f t="shared" si="131"/>
        <v>85000000</v>
      </c>
      <c r="Y125" s="270">
        <f>NOVIEMBRE!AA125</f>
        <v>80000000</v>
      </c>
      <c r="Z125" s="1186">
        <v>-9890100</v>
      </c>
      <c r="AA125" s="271">
        <f t="shared" si="132"/>
        <v>70109900</v>
      </c>
      <c r="AB125" s="270">
        <f>NOVIEMBRE!AD125</f>
        <v>60109900</v>
      </c>
      <c r="AC125" s="1186">
        <v>10000000</v>
      </c>
      <c r="AD125" s="271">
        <f t="shared" si="133"/>
        <v>70109900</v>
      </c>
      <c r="AE125" s="270">
        <f>NOVIEMBRE!AG125</f>
        <v>45000000</v>
      </c>
      <c r="AF125" s="208"/>
      <c r="AG125" s="271">
        <f t="shared" si="134"/>
        <v>45000000</v>
      </c>
      <c r="AH125" s="270">
        <f t="shared" si="135"/>
        <v>14890100</v>
      </c>
      <c r="AI125" s="220">
        <f t="shared" si="136"/>
        <v>14890100</v>
      </c>
      <c r="AJ125" s="269">
        <f t="shared" si="137"/>
        <v>40000000</v>
      </c>
      <c r="AK125" s="101"/>
      <c r="AL125" s="204"/>
      <c r="AM125" s="210">
        <v>0</v>
      </c>
    </row>
    <row r="126" spans="1:39" ht="24.75" customHeight="1" thickBot="1">
      <c r="A126" s="433" t="s">
        <v>278</v>
      </c>
      <c r="B126" s="434"/>
      <c r="C126" s="435">
        <f t="shared" ref="C126:N126" si="138">C8-C128</f>
        <v>138960268668.37653</v>
      </c>
      <c r="D126" s="435">
        <f t="shared" si="138"/>
        <v>0</v>
      </c>
      <c r="E126" s="435">
        <f t="shared" si="138"/>
        <v>40429562422</v>
      </c>
      <c r="F126" s="435">
        <f t="shared" si="138"/>
        <v>179389831090.37653</v>
      </c>
      <c r="G126" s="435">
        <f t="shared" si="138"/>
        <v>171596049969</v>
      </c>
      <c r="H126" s="435">
        <f t="shared" si="138"/>
        <v>16687864105</v>
      </c>
      <c r="I126" s="690">
        <f t="shared" si="138"/>
        <v>188264177285</v>
      </c>
      <c r="J126" s="690">
        <f t="shared" si="138"/>
        <v>86685637346</v>
      </c>
      <c r="K126" s="435">
        <f t="shared" si="138"/>
        <v>16828135394</v>
      </c>
      <c r="L126" s="690">
        <f t="shared" si="138"/>
        <v>103494035951</v>
      </c>
      <c r="M126" s="435">
        <f t="shared" si="138"/>
        <v>-8874346194.6234875</v>
      </c>
      <c r="N126" s="436">
        <f t="shared" si="138"/>
        <v>75895795139.376495</v>
      </c>
      <c r="O126" s="67"/>
      <c r="P126" s="437">
        <f>P8-P128</f>
        <v>0</v>
      </c>
      <c r="Q126" s="438">
        <f>Q8-Q128</f>
        <v>477728714</v>
      </c>
      <c r="R126" s="101"/>
      <c r="S126" s="266" t="str">
        <f>+IF(NOVIEMBRE!S126=0,"",NOVIEMBRE!S126)</f>
        <v>2.1.2.02.02.008.801</v>
      </c>
      <c r="T126" s="267" t="str">
        <f>+IF(NOVIEMBRE!T126=0,"",NOVIEMBRE!T126)</f>
        <v>Servicios Publicos (energia, Gas, Agua, Internet, Telefonia Fija y Movil)</v>
      </c>
      <c r="U126" s="373">
        <f>+ENERO!U126</f>
        <v>2804022659</v>
      </c>
      <c r="V126" s="220">
        <f>NOVIEMBRE!V126+DICIEMBRE!AL126</f>
        <v>748000000</v>
      </c>
      <c r="W126" s="220">
        <f>NOVIEMBRE!W126+DICIEMBRE!AM126</f>
        <v>0</v>
      </c>
      <c r="X126" s="271">
        <f t="shared" si="131"/>
        <v>3552022659</v>
      </c>
      <c r="Y126" s="270">
        <f>NOVIEMBRE!AA126</f>
        <v>3228251104</v>
      </c>
      <c r="Z126" s="1186">
        <v>302159785</v>
      </c>
      <c r="AA126" s="271">
        <f t="shared" si="132"/>
        <v>3530410889</v>
      </c>
      <c r="AB126" s="270">
        <f>NOVIEMBRE!AD126</f>
        <v>3000658672</v>
      </c>
      <c r="AC126" s="1186">
        <v>529752217</v>
      </c>
      <c r="AD126" s="271">
        <f t="shared" si="133"/>
        <v>3530410889</v>
      </c>
      <c r="AE126" s="270">
        <f>NOVIEMBRE!AG126</f>
        <v>2934982939</v>
      </c>
      <c r="AF126" s="1186">
        <v>357361914</v>
      </c>
      <c r="AG126" s="271">
        <f>SUM(AE126:AF126)</f>
        <v>3292344853</v>
      </c>
      <c r="AH126" s="270">
        <f t="shared" si="135"/>
        <v>21611770</v>
      </c>
      <c r="AI126" s="220">
        <f t="shared" si="136"/>
        <v>21611770</v>
      </c>
      <c r="AJ126" s="269">
        <f t="shared" si="137"/>
        <v>259677806</v>
      </c>
      <c r="AK126" s="101"/>
      <c r="AL126" s="204">
        <f>13000000+82000000</f>
        <v>95000000</v>
      </c>
      <c r="AM126" s="210">
        <v>0</v>
      </c>
    </row>
    <row r="127" spans="1:39" ht="24.75" customHeight="1" thickBot="1">
      <c r="A127" s="556"/>
      <c r="B127" s="399"/>
      <c r="C127" s="400"/>
      <c r="D127" s="400"/>
      <c r="E127" s="400"/>
      <c r="F127" s="400"/>
      <c r="G127" s="400"/>
      <c r="H127" s="400"/>
      <c r="I127" s="684"/>
      <c r="J127" s="684"/>
      <c r="K127" s="400"/>
      <c r="L127" s="684"/>
      <c r="M127" s="400"/>
      <c r="N127" s="401"/>
      <c r="O127" s="67"/>
      <c r="P127" s="402"/>
      <c r="Q127" s="401"/>
      <c r="R127" s="101"/>
      <c r="S127" s="266" t="str">
        <f>+IF(NOVIEMBRE!S127=0,"",NOVIEMBRE!S127)</f>
        <v>2.1.2.02.02.006.603</v>
      </c>
      <c r="T127" s="267" t="str">
        <f>+IF(NOVIEMBRE!T127=0,"",NOVIEMBRE!T127)</f>
        <v>Comunicaciones y Transportes</v>
      </c>
      <c r="U127" s="373">
        <f>+ENERO!U127</f>
        <v>341244561.11111116</v>
      </c>
      <c r="V127" s="220">
        <f>NOVIEMBRE!V127+DICIEMBRE!AL127</f>
        <v>-140000000</v>
      </c>
      <c r="W127" s="220">
        <f>NOVIEMBRE!W127+DICIEMBRE!AM127</f>
        <v>0</v>
      </c>
      <c r="X127" s="271">
        <f t="shared" si="131"/>
        <v>201244561.11111116</v>
      </c>
      <c r="Y127" s="270">
        <f>NOVIEMBRE!AA127</f>
        <v>196790754</v>
      </c>
      <c r="Z127" s="1186">
        <v>-18868336</v>
      </c>
      <c r="AA127" s="271">
        <f t="shared" si="132"/>
        <v>177922418</v>
      </c>
      <c r="AB127" s="270">
        <f>NOVIEMBRE!AD127</f>
        <v>164286743</v>
      </c>
      <c r="AC127" s="1186">
        <v>13635675</v>
      </c>
      <c r="AD127" s="271">
        <f>SUM(AB127:AC127)</f>
        <v>177922418</v>
      </c>
      <c r="AE127" s="270">
        <f>NOVIEMBRE!AG127</f>
        <v>133957529</v>
      </c>
      <c r="AF127" s="1186">
        <v>22923533</v>
      </c>
      <c r="AG127" s="271">
        <f t="shared" si="134"/>
        <v>156881062</v>
      </c>
      <c r="AH127" s="270">
        <f t="shared" si="135"/>
        <v>23322143.111111164</v>
      </c>
      <c r="AI127" s="220">
        <f t="shared" si="136"/>
        <v>23322143.111111164</v>
      </c>
      <c r="AJ127" s="269">
        <f t="shared" si="137"/>
        <v>44363499.111111164</v>
      </c>
      <c r="AK127" s="101"/>
      <c r="AL127" s="204"/>
      <c r="AM127" s="210">
        <v>0</v>
      </c>
    </row>
    <row r="128" spans="1:39" ht="24.75" customHeight="1" thickBot="1">
      <c r="A128" s="439" t="s">
        <v>280</v>
      </c>
      <c r="B128" s="440"/>
      <c r="C128" s="876">
        <f>SUM(C124+C111+C102+C92+C83+C80+C77+C74+C71+C68+C65+C62+C59+C56+C53+C50+C47+C44+C37+C34+C31+C27+C24)</f>
        <v>19182884469.099998</v>
      </c>
      <c r="D128" s="876">
        <f>SUMIF($B8:$B$122,$B$24,D8:D122)+D122</f>
        <v>0</v>
      </c>
      <c r="E128" s="876">
        <f>SUM(E124+E111+E102+E92+E83+E80+E77+E74+E71+E68+E65+E62+E59+E56+E53+E50+E47+E44+E37+E34+E31+E27+E24)</f>
        <v>26177223554</v>
      </c>
      <c r="F128" s="876">
        <f>SUM(F124+F111+F102+F92+F83+F80+F77+F74+F71+F68+F65+F62+F59+F56+F53+F50+F47+F44+F37+F34+F31+F27+F24)</f>
        <v>45360108023.099998</v>
      </c>
      <c r="G128" s="876">
        <f>SUMIF($B8:$B$122,$B$24,G8:G122)+G122</f>
        <v>51503205880</v>
      </c>
      <c r="H128" s="876">
        <f>SUM(H124+H111+H102+H92+H83+H80+H77+H74+H71+H68+H65+H62+H59+H56+H53+H50+H47+H44+H37+H34+H31+H27+H24)</f>
        <v>230798443</v>
      </c>
      <c r="I128" s="876">
        <f>SUM(I124+I111+I102+I92+I83+I80+I77+I74+I71+I68+I65+I62+I59+I56+I53+I50+I47+I44+I37+I34+I31+I27+I24)</f>
        <v>51753741112</v>
      </c>
      <c r="J128" s="876">
        <f>SUMIF($B8:$B$122,$B$24,J8:J122)+J1211</f>
        <v>51503205880</v>
      </c>
      <c r="K128" s="876">
        <f>SUM(K124+K111+K102+K92+K83+K80+K77+K74+K71+K68+K65+K62+K59+K56+K53+K50+K47+K44+K37+K34+K31+K27+K24)</f>
        <v>230798443</v>
      </c>
      <c r="L128" s="876">
        <f>SUM(L124+L111+L102+L92+L83+L80+L77+L74+L71+L68+L65+L62+L59+L56+L53+L50+L47+L44+L37+L34+L31+L27+L24)</f>
        <v>51753741112</v>
      </c>
      <c r="M128" s="876">
        <f>SUMIF($B8:$B$122,$B$24,M8:M122)+M12</f>
        <v>-6393633088.8999996</v>
      </c>
      <c r="N128" s="442">
        <f>SUMIF($B8:$B$122,$B$24,N8:N122)+N122</f>
        <v>-6393633088.8999996</v>
      </c>
      <c r="O128" s="369"/>
      <c r="P128" s="441">
        <f>SUMIF($B8:$B$122,$B$24,P8:P122)+P122</f>
        <v>0</v>
      </c>
      <c r="Q128" s="443">
        <f>SUMIF($B8:$B$122,$B$24,Q8:Q122)+Q122</f>
        <v>0</v>
      </c>
      <c r="R128" s="101"/>
      <c r="S128" s="266" t="str">
        <f>+IF(NOVIEMBRE!S128=0,"",NOVIEMBRE!S128)</f>
        <v>2.1.2.02.02.006.604</v>
      </c>
      <c r="T128" s="267" t="str">
        <f>+IF(NOVIEMBRE!T128=0,"",NOVIEMBRE!T128)</f>
        <v>Impresos y Publicaciones</v>
      </c>
      <c r="U128" s="373">
        <f>+ENERO!U128</f>
        <v>327220927.08333331</v>
      </c>
      <c r="V128" s="220">
        <f>NOVIEMBRE!V128+DICIEMBRE!AL128</f>
        <v>105000000</v>
      </c>
      <c r="W128" s="220">
        <f>NOVIEMBRE!W128+DICIEMBRE!AM128</f>
        <v>0</v>
      </c>
      <c r="X128" s="271">
        <f t="shared" si="131"/>
        <v>432220927.08333331</v>
      </c>
      <c r="Y128" s="270">
        <f>NOVIEMBRE!AA128</f>
        <v>430783205</v>
      </c>
      <c r="Z128" s="1186">
        <v>-13576183</v>
      </c>
      <c r="AA128" s="271">
        <f t="shared" si="132"/>
        <v>417207022</v>
      </c>
      <c r="AB128" s="270">
        <f>NOVIEMBRE!AD128</f>
        <v>374411621</v>
      </c>
      <c r="AC128" s="1186">
        <v>42795401</v>
      </c>
      <c r="AD128" s="271">
        <f t="shared" si="133"/>
        <v>417207022</v>
      </c>
      <c r="AE128" s="270">
        <f>NOVIEMBRE!AG128</f>
        <v>194848445</v>
      </c>
      <c r="AF128" s="1186">
        <v>39049317</v>
      </c>
      <c r="AG128" s="271">
        <f t="shared" si="134"/>
        <v>233897762</v>
      </c>
      <c r="AH128" s="270">
        <f t="shared" si="135"/>
        <v>15013905.083333313</v>
      </c>
      <c r="AI128" s="220">
        <f t="shared" si="136"/>
        <v>15013905.083333313</v>
      </c>
      <c r="AJ128" s="269">
        <f t="shared" si="137"/>
        <v>198323165.08333331</v>
      </c>
      <c r="AK128" s="101"/>
      <c r="AL128" s="204"/>
      <c r="AM128" s="210">
        <v>0</v>
      </c>
    </row>
    <row r="129" spans="1:39" ht="24.75" customHeight="1" thickBot="1">
      <c r="A129" s="556"/>
      <c r="B129" s="399"/>
      <c r="C129" s="400"/>
      <c r="D129" s="400"/>
      <c r="E129" s="400"/>
      <c r="F129" s="400"/>
      <c r="G129" s="400"/>
      <c r="H129" s="400"/>
      <c r="I129" s="684"/>
      <c r="J129" s="684"/>
      <c r="K129" s="400"/>
      <c r="L129" s="684"/>
      <c r="M129" s="400"/>
      <c r="N129" s="401"/>
      <c r="O129" s="67"/>
      <c r="P129" s="402"/>
      <c r="Q129" s="401"/>
      <c r="R129" s="101"/>
      <c r="S129" s="266" t="str">
        <f>+IF(NOVIEMBRE!S129=0,"",NOVIEMBRE!S129)</f>
        <v>2.1.2.02.02.009.905</v>
      </c>
      <c r="T129" s="267" t="str">
        <f>+IF(NOVIEMBRE!T129=0,"",NOVIEMBRE!T129)</f>
        <v>Servicios de Capacitacion</v>
      </c>
      <c r="U129" s="373">
        <f>+ENERO!U129</f>
        <v>41029431.25</v>
      </c>
      <c r="V129" s="220">
        <f>NOVIEMBRE!V129+DICIEMBRE!AL129</f>
        <v>-20000000</v>
      </c>
      <c r="W129" s="220">
        <f>NOVIEMBRE!W129+DICIEMBRE!AM129</f>
        <v>0</v>
      </c>
      <c r="X129" s="271">
        <f t="shared" si="131"/>
        <v>21029431.25</v>
      </c>
      <c r="Y129" s="270">
        <f>NOVIEMBRE!AA129</f>
        <v>8356972</v>
      </c>
      <c r="Z129" s="1186">
        <v>1065602</v>
      </c>
      <c r="AA129" s="271">
        <f t="shared" si="132"/>
        <v>9422574</v>
      </c>
      <c r="AB129" s="270">
        <f>NOVIEMBRE!AD129</f>
        <v>8356972</v>
      </c>
      <c r="AC129" s="1186">
        <v>1065602</v>
      </c>
      <c r="AD129" s="271">
        <f t="shared" si="133"/>
        <v>9422574</v>
      </c>
      <c r="AE129" s="270">
        <f>NOVIEMBRE!AG129</f>
        <v>0</v>
      </c>
      <c r="AF129" s="208">
        <v>0</v>
      </c>
      <c r="AG129" s="271">
        <f t="shared" si="134"/>
        <v>0</v>
      </c>
      <c r="AH129" s="270">
        <f t="shared" si="135"/>
        <v>11606857.25</v>
      </c>
      <c r="AI129" s="220">
        <f t="shared" si="136"/>
        <v>11606857.25</v>
      </c>
      <c r="AJ129" s="269">
        <f t="shared" si="137"/>
        <v>21029431.25</v>
      </c>
      <c r="AK129" s="101"/>
      <c r="AL129" s="204"/>
      <c r="AM129" s="210">
        <v>0</v>
      </c>
    </row>
    <row r="130" spans="1:39" ht="24.75" customHeight="1" thickBot="1">
      <c r="A130" s="444" t="s">
        <v>282</v>
      </c>
      <c r="B130" s="445"/>
      <c r="C130" s="446">
        <f t="shared" ref="C130:N130" si="139">C128+C126</f>
        <v>158143153137.47653</v>
      </c>
      <c r="D130" s="447">
        <f t="shared" si="139"/>
        <v>0</v>
      </c>
      <c r="E130" s="447">
        <f t="shared" si="139"/>
        <v>66606785976</v>
      </c>
      <c r="F130" s="448">
        <f t="shared" si="139"/>
        <v>224749939113.47653</v>
      </c>
      <c r="G130" s="446">
        <f t="shared" si="139"/>
        <v>223099255849</v>
      </c>
      <c r="H130" s="447">
        <f t="shared" si="139"/>
        <v>16918662548</v>
      </c>
      <c r="I130" s="691">
        <f t="shared" si="139"/>
        <v>240017918397</v>
      </c>
      <c r="J130" s="692">
        <f t="shared" si="139"/>
        <v>138188843226</v>
      </c>
      <c r="K130" s="662">
        <f t="shared" si="139"/>
        <v>17058933837</v>
      </c>
      <c r="L130" s="691">
        <f t="shared" si="139"/>
        <v>155247777063</v>
      </c>
      <c r="M130" s="446">
        <f t="shared" si="139"/>
        <v>-15267979283.523487</v>
      </c>
      <c r="N130" s="448">
        <f t="shared" si="139"/>
        <v>69502162050.476501</v>
      </c>
      <c r="O130" s="67"/>
      <c r="P130" s="437">
        <f>P128+P126</f>
        <v>0</v>
      </c>
      <c r="Q130" s="438">
        <f>Q128+Q126</f>
        <v>477728714</v>
      </c>
      <c r="R130" s="101"/>
      <c r="S130" s="266" t="str">
        <f>+IF(NOVIEMBRE!S130=0,"",NOVIEMBRE!S130)</f>
        <v>2.1.2.02.02.008.804</v>
      </c>
      <c r="T130" s="267" t="str">
        <f>+IF(NOVIEMBRE!T130=0,"",NOVIEMBRE!T130)</f>
        <v xml:space="preserve">Vigilancia </v>
      </c>
      <c r="U130" s="373">
        <f>+ENERO!U130</f>
        <v>2929064955.833333</v>
      </c>
      <c r="V130" s="220">
        <f>NOVIEMBRE!V130+DICIEMBRE!AL130</f>
        <v>-581000000</v>
      </c>
      <c r="W130" s="220">
        <f>NOVIEMBRE!W130+DICIEMBRE!AM130</f>
        <v>0</v>
      </c>
      <c r="X130" s="271">
        <f t="shared" si="131"/>
        <v>2348064955.833333</v>
      </c>
      <c r="Y130" s="270">
        <f>NOVIEMBRE!AA130</f>
        <v>2342807002</v>
      </c>
      <c r="Z130" s="1186">
        <v>-228456</v>
      </c>
      <c r="AA130" s="271">
        <f t="shared" si="132"/>
        <v>2342578546</v>
      </c>
      <c r="AB130" s="270">
        <f>NOVIEMBRE!AD130</f>
        <v>2142132550</v>
      </c>
      <c r="AC130" s="1186">
        <v>200445996</v>
      </c>
      <c r="AD130" s="271">
        <f t="shared" si="133"/>
        <v>2342578546</v>
      </c>
      <c r="AE130" s="270">
        <f>NOVIEMBRE!AG130</f>
        <v>1734565513</v>
      </c>
      <c r="AF130" s="1186">
        <v>407567037</v>
      </c>
      <c r="AG130" s="271">
        <f t="shared" si="134"/>
        <v>2142132550</v>
      </c>
      <c r="AH130" s="270">
        <f t="shared" si="135"/>
        <v>5486409.8333330154</v>
      </c>
      <c r="AI130" s="220">
        <f t="shared" si="136"/>
        <v>5486409.8333330154</v>
      </c>
      <c r="AJ130" s="269">
        <f t="shared" si="137"/>
        <v>205932405.83333302</v>
      </c>
      <c r="AK130" s="101"/>
      <c r="AL130" s="204"/>
      <c r="AM130" s="210">
        <v>0</v>
      </c>
    </row>
    <row r="131" spans="1:39" ht="24.75" customHeight="1">
      <c r="A131" s="542"/>
      <c r="B131" s="453"/>
      <c r="C131" s="67"/>
      <c r="D131" s="67"/>
      <c r="E131" s="67"/>
      <c r="F131" s="67"/>
      <c r="G131" s="67"/>
      <c r="H131" s="67"/>
      <c r="I131" s="649"/>
      <c r="J131" s="649"/>
      <c r="K131" s="67"/>
      <c r="L131" s="649"/>
      <c r="M131" s="67"/>
      <c r="N131" s="101"/>
      <c r="O131" s="67"/>
      <c r="P131" s="67"/>
      <c r="Q131" s="67"/>
      <c r="R131" s="101"/>
      <c r="S131" s="266" t="str">
        <f>+IF(NOVIEMBRE!S131=0,"",NOVIEMBRE!S131)</f>
        <v>2.1.2.02.02.009.908</v>
      </c>
      <c r="T131" s="267" t="str">
        <f>+IF(NOVIEMBRE!T131=0,"",NOVIEMBRE!T131)</f>
        <v>Bienestar Social</v>
      </c>
      <c r="U131" s="373">
        <f>+ENERO!U131</f>
        <v>326592555</v>
      </c>
      <c r="V131" s="220">
        <f>NOVIEMBRE!V131+DICIEMBRE!AL131</f>
        <v>85570875</v>
      </c>
      <c r="W131" s="220">
        <f>NOVIEMBRE!W131+DICIEMBRE!AM131</f>
        <v>169879991</v>
      </c>
      <c r="X131" s="271">
        <f t="shared" si="131"/>
        <v>582043421</v>
      </c>
      <c r="Y131" s="270">
        <f>NOVIEMBRE!AA131</f>
        <v>479290308</v>
      </c>
      <c r="Z131" s="1186">
        <v>83863068</v>
      </c>
      <c r="AA131" s="271">
        <f t="shared" si="132"/>
        <v>563153376</v>
      </c>
      <c r="AB131" s="270">
        <f>NOVIEMBRE!AD131</f>
        <v>478790280</v>
      </c>
      <c r="AC131" s="1186">
        <v>84363096</v>
      </c>
      <c r="AD131" s="271">
        <f t="shared" si="133"/>
        <v>563153376</v>
      </c>
      <c r="AE131" s="270">
        <f>NOVIEMBRE!AG131</f>
        <v>299868995</v>
      </c>
      <c r="AF131" s="1186">
        <v>19670614</v>
      </c>
      <c r="AG131" s="271">
        <f t="shared" si="134"/>
        <v>319539609</v>
      </c>
      <c r="AH131" s="270">
        <f t="shared" si="135"/>
        <v>18890045</v>
      </c>
      <c r="AI131" s="220">
        <f t="shared" si="136"/>
        <v>18890045</v>
      </c>
      <c r="AJ131" s="269">
        <f t="shared" si="137"/>
        <v>262503812</v>
      </c>
      <c r="AK131" s="101"/>
      <c r="AL131" s="204">
        <f>3915764+2176996</f>
        <v>6092760</v>
      </c>
      <c r="AM131" s="210">
        <v>0</v>
      </c>
    </row>
    <row r="132" spans="1:39" ht="24.75" customHeight="1">
      <c r="A132" s="542"/>
      <c r="B132" s="453"/>
      <c r="C132" s="67"/>
      <c r="D132" s="67"/>
      <c r="E132" s="67"/>
      <c r="F132" s="67"/>
      <c r="G132" s="67"/>
      <c r="H132" s="67"/>
      <c r="I132" s="649"/>
      <c r="J132" s="649"/>
      <c r="K132" s="67"/>
      <c r="L132" s="649"/>
      <c r="M132" s="67"/>
      <c r="N132" s="101"/>
      <c r="O132" s="67"/>
      <c r="P132" s="67"/>
      <c r="Q132" s="67"/>
      <c r="R132" s="101"/>
      <c r="S132" s="266" t="str">
        <f>+IF(NOVIEMBRE!S132=0,"",NOVIEMBRE!S132)</f>
        <v>2.1.2.02.02.010</v>
      </c>
      <c r="T132" s="267" t="str">
        <f>+IF(NOVIEMBRE!T132=0,"",NOVIEMBRE!T132)</f>
        <v>Viáticos de los funcionarios en comisión</v>
      </c>
      <c r="U132" s="373">
        <f>+ENERO!U132</f>
        <v>3000000</v>
      </c>
      <c r="V132" s="220">
        <f>NOVIEMBRE!V132+DICIEMBRE!AL132</f>
        <v>10000000</v>
      </c>
      <c r="W132" s="220">
        <f>NOVIEMBRE!W132+DICIEMBRE!AM132</f>
        <v>0</v>
      </c>
      <c r="X132" s="271">
        <f t="shared" si="131"/>
        <v>13000000</v>
      </c>
      <c r="Y132" s="270">
        <f>NOVIEMBRE!AA132</f>
        <v>7938321</v>
      </c>
      <c r="Z132" s="208"/>
      <c r="AA132" s="271">
        <f t="shared" si="132"/>
        <v>7938321</v>
      </c>
      <c r="AB132" s="270">
        <f>NOVIEMBRE!AD132</f>
        <v>7252531</v>
      </c>
      <c r="AC132" s="1186">
        <v>685790</v>
      </c>
      <c r="AD132" s="271">
        <f t="shared" si="133"/>
        <v>7938321</v>
      </c>
      <c r="AE132" s="270">
        <f>NOVIEMBRE!AG132</f>
        <v>7252531</v>
      </c>
      <c r="AF132" s="208"/>
      <c r="AG132" s="271">
        <f t="shared" si="134"/>
        <v>7252531</v>
      </c>
      <c r="AH132" s="270">
        <f t="shared" si="135"/>
        <v>5061679</v>
      </c>
      <c r="AI132" s="220">
        <f t="shared" si="136"/>
        <v>5061679</v>
      </c>
      <c r="AJ132" s="269">
        <f t="shared" si="137"/>
        <v>5747469</v>
      </c>
      <c r="AK132" s="101"/>
      <c r="AL132" s="204"/>
      <c r="AM132" s="210">
        <v>0</v>
      </c>
    </row>
    <row r="133" spans="1:39" ht="24.75" customHeight="1">
      <c r="A133" s="542"/>
      <c r="B133" s="453"/>
      <c r="C133" s="67"/>
      <c r="D133" s="67"/>
      <c r="E133" s="67"/>
      <c r="F133" s="67"/>
      <c r="G133" s="67"/>
      <c r="H133" s="67"/>
      <c r="I133" s="649"/>
      <c r="J133" s="649"/>
      <c r="K133" s="67"/>
      <c r="L133" s="649"/>
      <c r="M133" s="67"/>
      <c r="N133" s="101"/>
      <c r="O133" s="67"/>
      <c r="P133" s="67"/>
      <c r="Q133" s="67"/>
      <c r="R133" s="101"/>
      <c r="S133" s="266" t="str">
        <f>+IF(NOVIEMBRE!S133=0,"",NOVIEMBRE!S133)</f>
        <v>2.1.2.02.02.009.903</v>
      </c>
      <c r="T133" s="267" t="str">
        <f>+IF(NOVIEMBRE!T133=0,"",NOVIEMBRE!T133)</f>
        <v>Servicios prestados por IPS</v>
      </c>
      <c r="U133" s="373">
        <f>+ENERO!U133</f>
        <v>5000000</v>
      </c>
      <c r="V133" s="220">
        <f>NOVIEMBRE!V133+DICIEMBRE!AL133</f>
        <v>0</v>
      </c>
      <c r="W133" s="220">
        <f>NOVIEMBRE!W133+DICIEMBRE!AM133</f>
        <v>0</v>
      </c>
      <c r="X133" s="271">
        <f t="shared" si="131"/>
        <v>5000000</v>
      </c>
      <c r="Y133" s="270">
        <f>NOVIEMBRE!AA133</f>
        <v>0</v>
      </c>
      <c r="Z133" s="208"/>
      <c r="AA133" s="271">
        <f t="shared" si="132"/>
        <v>0</v>
      </c>
      <c r="AB133" s="270">
        <f>NOVIEMBRE!AD133</f>
        <v>0</v>
      </c>
      <c r="AC133" s="208"/>
      <c r="AD133" s="271">
        <f t="shared" si="133"/>
        <v>0</v>
      </c>
      <c r="AE133" s="270">
        <f>NOVIEMBRE!AG133</f>
        <v>0</v>
      </c>
      <c r="AF133" s="208"/>
      <c r="AG133" s="271">
        <f t="shared" si="134"/>
        <v>0</v>
      </c>
      <c r="AH133" s="270">
        <f t="shared" si="135"/>
        <v>5000000</v>
      </c>
      <c r="AI133" s="220">
        <f t="shared" si="136"/>
        <v>5000000</v>
      </c>
      <c r="AJ133" s="269">
        <f t="shared" si="137"/>
        <v>5000000</v>
      </c>
      <c r="AK133" s="101"/>
      <c r="AL133" s="204"/>
      <c r="AM133" s="210">
        <v>0</v>
      </c>
    </row>
    <row r="134" spans="1:39" ht="24.75" customHeight="1">
      <c r="A134" s="542"/>
      <c r="B134" s="453"/>
      <c r="C134" s="67"/>
      <c r="D134" s="67"/>
      <c r="E134" s="67"/>
      <c r="F134" s="67"/>
      <c r="G134" s="67"/>
      <c r="H134" s="67"/>
      <c r="I134" s="649"/>
      <c r="J134" s="649"/>
      <c r="K134" s="67"/>
      <c r="L134" s="649"/>
      <c r="M134" s="67"/>
      <c r="N134" s="101"/>
      <c r="O134" s="67"/>
      <c r="P134" s="67"/>
      <c r="Q134" s="67"/>
      <c r="R134" s="101"/>
      <c r="S134" s="266" t="str">
        <f>+IF(NOVIEMBRE!S134=0,"",NOVIEMBRE!S134)</f>
        <v>2010200-11</v>
      </c>
      <c r="T134" s="267" t="str">
        <f>+IF(NOVIEMBRE!T134=0,"",NOVIEMBRE!T134)</f>
        <v>Gastos Bancarios</v>
      </c>
      <c r="U134" s="373">
        <f>+ENERO!U134</f>
        <v>0</v>
      </c>
      <c r="V134" s="220">
        <f>NOVIEMBRE!V134+DICIEMBRE!AL134</f>
        <v>0</v>
      </c>
      <c r="W134" s="220">
        <f>NOVIEMBRE!W134+DICIEMBRE!AM134</f>
        <v>0</v>
      </c>
      <c r="X134" s="271">
        <f t="shared" si="131"/>
        <v>0</v>
      </c>
      <c r="Y134" s="270">
        <f>NOVIEMBRE!AA134</f>
        <v>0</v>
      </c>
      <c r="Z134" s="208"/>
      <c r="AA134" s="271">
        <f t="shared" si="132"/>
        <v>0</v>
      </c>
      <c r="AB134" s="270">
        <f>NOVIEMBRE!AD134</f>
        <v>0</v>
      </c>
      <c r="AC134" s="208"/>
      <c r="AD134" s="271">
        <f t="shared" si="133"/>
        <v>0</v>
      </c>
      <c r="AE134" s="270">
        <f>NOVIEMBRE!AG134</f>
        <v>0</v>
      </c>
      <c r="AF134" s="208"/>
      <c r="AG134" s="271">
        <f t="shared" si="134"/>
        <v>0</v>
      </c>
      <c r="AH134" s="270">
        <f t="shared" si="135"/>
        <v>0</v>
      </c>
      <c r="AI134" s="220">
        <f t="shared" si="136"/>
        <v>0</v>
      </c>
      <c r="AJ134" s="269">
        <f t="shared" si="137"/>
        <v>0</v>
      </c>
      <c r="AK134" s="101"/>
      <c r="AL134" s="204"/>
      <c r="AM134" s="210">
        <v>0</v>
      </c>
    </row>
    <row r="135" spans="1:39" ht="24.75" customHeight="1">
      <c r="A135" s="542"/>
      <c r="B135" s="453"/>
      <c r="C135" s="67"/>
      <c r="D135" s="67"/>
      <c r="E135" s="67"/>
      <c r="F135" s="67"/>
      <c r="G135" s="67"/>
      <c r="H135" s="67"/>
      <c r="I135" s="649"/>
      <c r="J135" s="649"/>
      <c r="K135" s="67"/>
      <c r="L135" s="649"/>
      <c r="M135" s="67"/>
      <c r="N135" s="101"/>
      <c r="O135" s="67"/>
      <c r="P135" s="67"/>
      <c r="Q135" s="67"/>
      <c r="R135" s="101"/>
      <c r="S135" s="266" t="str">
        <f>+IF(NOVIEMBRE!S135=0,"",NOVIEMBRE!S135)</f>
        <v>2.1.2.02.02.009.909</v>
      </c>
      <c r="T135" s="267" t="str">
        <f>+IF(NOVIEMBRE!T135=0,"",NOVIEMBRE!T135)</f>
        <v>Convenio Docencia Servicios</v>
      </c>
      <c r="U135" s="373">
        <f>+ENERO!U135</f>
        <v>20000000</v>
      </c>
      <c r="V135" s="220">
        <f>NOVIEMBRE!V135+DICIEMBRE!AL135</f>
        <v>-15000000</v>
      </c>
      <c r="W135" s="220">
        <f>NOVIEMBRE!W135+DICIEMBRE!AM135</f>
        <v>0</v>
      </c>
      <c r="X135" s="271">
        <f t="shared" si="131"/>
        <v>5000000</v>
      </c>
      <c r="Y135" s="270">
        <f>NOVIEMBRE!AA135</f>
        <v>0</v>
      </c>
      <c r="Z135" s="208"/>
      <c r="AA135" s="271">
        <f t="shared" si="132"/>
        <v>0</v>
      </c>
      <c r="AB135" s="270">
        <f>NOVIEMBRE!AD135</f>
        <v>0</v>
      </c>
      <c r="AC135" s="208"/>
      <c r="AD135" s="271">
        <f t="shared" si="133"/>
        <v>0</v>
      </c>
      <c r="AE135" s="270">
        <f>NOVIEMBRE!AG135</f>
        <v>0</v>
      </c>
      <c r="AF135" s="208"/>
      <c r="AG135" s="271">
        <f t="shared" si="134"/>
        <v>0</v>
      </c>
      <c r="AH135" s="270">
        <f t="shared" si="135"/>
        <v>5000000</v>
      </c>
      <c r="AI135" s="220">
        <f t="shared" si="136"/>
        <v>5000000</v>
      </c>
      <c r="AJ135" s="269">
        <f t="shared" si="137"/>
        <v>5000000</v>
      </c>
      <c r="AK135" s="101"/>
      <c r="AL135" s="204"/>
      <c r="AM135" s="210">
        <v>0</v>
      </c>
    </row>
    <row r="136" spans="1:39" ht="24.75" customHeight="1">
      <c r="A136" s="542"/>
      <c r="B136" s="453"/>
      <c r="C136" s="67"/>
      <c r="D136" s="67"/>
      <c r="E136" s="67"/>
      <c r="F136" s="67"/>
      <c r="G136" s="67"/>
      <c r="H136" s="67"/>
      <c r="I136" s="649"/>
      <c r="J136" s="649"/>
      <c r="K136" s="67"/>
      <c r="L136" s="649"/>
      <c r="M136" s="67"/>
      <c r="N136" s="101"/>
      <c r="O136" s="67"/>
      <c r="P136" s="67"/>
      <c r="Q136" s="67"/>
      <c r="R136" s="101"/>
      <c r="S136" s="266" t="str">
        <f>+IF(NOVIEMBRE!S136=0,"",NOVIEMBRE!S136)</f>
        <v>2.1.2.02.02.008.809</v>
      </c>
      <c r="T136" s="267" t="str">
        <f>+IF(NOVIEMBRE!T136=0,"",NOVIEMBRE!T136)</f>
        <v>Publicidad</v>
      </c>
      <c r="U136" s="373">
        <f>+ENERO!U136</f>
        <v>0</v>
      </c>
      <c r="V136" s="220">
        <f>NOVIEMBRE!V136+DICIEMBRE!AL136</f>
        <v>0</v>
      </c>
      <c r="W136" s="220">
        <f>NOVIEMBRE!W136+DICIEMBRE!AM136</f>
        <v>0</v>
      </c>
      <c r="X136" s="271">
        <f t="shared" si="131"/>
        <v>0</v>
      </c>
      <c r="Y136" s="270">
        <f>NOVIEMBRE!AA136</f>
        <v>0</v>
      </c>
      <c r="Z136" s="208"/>
      <c r="AA136" s="271">
        <f t="shared" si="132"/>
        <v>0</v>
      </c>
      <c r="AB136" s="270">
        <f>NOVIEMBRE!AD136</f>
        <v>0</v>
      </c>
      <c r="AC136" s="208"/>
      <c r="AD136" s="271">
        <f t="shared" si="133"/>
        <v>0</v>
      </c>
      <c r="AE136" s="270">
        <f>NOVIEMBRE!AG136</f>
        <v>0</v>
      </c>
      <c r="AF136" s="208"/>
      <c r="AG136" s="271">
        <f t="shared" si="134"/>
        <v>0</v>
      </c>
      <c r="AH136" s="270">
        <f t="shared" si="135"/>
        <v>0</v>
      </c>
      <c r="AI136" s="220">
        <f t="shared" si="136"/>
        <v>0</v>
      </c>
      <c r="AJ136" s="269">
        <f t="shared" si="137"/>
        <v>0</v>
      </c>
      <c r="AK136" s="101"/>
      <c r="AL136" s="204"/>
      <c r="AM136" s="210">
        <v>0</v>
      </c>
    </row>
    <row r="137" spans="1:39" ht="24.75" customHeight="1">
      <c r="A137" s="542"/>
      <c r="B137" s="453"/>
      <c r="C137" s="67"/>
      <c r="D137" s="67"/>
      <c r="E137" s="67"/>
      <c r="F137" s="67"/>
      <c r="G137" s="67"/>
      <c r="H137" s="67"/>
      <c r="I137" s="649"/>
      <c r="J137" s="649"/>
      <c r="K137" s="67"/>
      <c r="L137" s="649"/>
      <c r="M137" s="67"/>
      <c r="N137" s="101"/>
      <c r="O137" s="67"/>
      <c r="P137" s="67"/>
      <c r="Q137" s="67"/>
      <c r="R137" s="101"/>
      <c r="S137" s="266" t="str">
        <f>+IF(NOVIEMBRE!S137=0,"",NOVIEMBRE!S137)</f>
        <v/>
      </c>
      <c r="T137" s="267" t="str">
        <f>+IF(NOVIEMBRE!T137=0,"",NOVIEMBRE!T137)</f>
        <v/>
      </c>
      <c r="U137" s="373">
        <f>+ENERO!U137</f>
        <v>0</v>
      </c>
      <c r="V137" s="220">
        <f>NOVIEMBRE!V137+DICIEMBRE!AL137</f>
        <v>0</v>
      </c>
      <c r="W137" s="220">
        <f>NOVIEMBRE!W137+DICIEMBRE!AM137</f>
        <v>0</v>
      </c>
      <c r="X137" s="271">
        <f t="shared" si="131"/>
        <v>0</v>
      </c>
      <c r="Y137" s="270">
        <f>NOVIEMBRE!AA137</f>
        <v>0</v>
      </c>
      <c r="Z137" s="208"/>
      <c r="AA137" s="271">
        <f t="shared" si="132"/>
        <v>0</v>
      </c>
      <c r="AB137" s="270">
        <f>NOVIEMBRE!AD137</f>
        <v>0</v>
      </c>
      <c r="AC137" s="208"/>
      <c r="AD137" s="271">
        <f t="shared" si="133"/>
        <v>0</v>
      </c>
      <c r="AE137" s="270">
        <f>NOVIEMBRE!AG137</f>
        <v>0</v>
      </c>
      <c r="AF137" s="208"/>
      <c r="AG137" s="271">
        <f t="shared" si="134"/>
        <v>0</v>
      </c>
      <c r="AH137" s="270">
        <f t="shared" si="135"/>
        <v>0</v>
      </c>
      <c r="AI137" s="220">
        <f t="shared" si="136"/>
        <v>0</v>
      </c>
      <c r="AJ137" s="269">
        <f t="shared" si="137"/>
        <v>0</v>
      </c>
      <c r="AK137" s="101"/>
      <c r="AL137" s="204"/>
      <c r="AM137" s="210">
        <v>0</v>
      </c>
    </row>
    <row r="138" spans="1:39" ht="24.75" customHeight="1">
      <c r="A138" s="542"/>
      <c r="B138" s="453"/>
      <c r="C138" s="67"/>
      <c r="D138" s="67"/>
      <c r="E138" s="67"/>
      <c r="F138" s="67"/>
      <c r="G138" s="67"/>
      <c r="H138" s="67"/>
      <c r="I138" s="649"/>
      <c r="J138" s="649"/>
      <c r="K138" s="67"/>
      <c r="L138" s="649"/>
      <c r="M138" s="67"/>
      <c r="N138" s="101"/>
      <c r="O138" s="67"/>
      <c r="P138" s="67"/>
      <c r="Q138" s="67"/>
      <c r="R138" s="101"/>
      <c r="S138" s="266" t="str">
        <f>+IF(NOVIEMBRE!S138=0,"",NOVIEMBRE!S138)</f>
        <v/>
      </c>
      <c r="T138" s="267" t="str">
        <f>+IF(NOVIEMBRE!T138=0,"",NOVIEMBRE!T138)</f>
        <v/>
      </c>
      <c r="U138" s="373">
        <f>+ENERO!U138</f>
        <v>0</v>
      </c>
      <c r="V138" s="220">
        <f>NOVIEMBRE!V138+DICIEMBRE!AL138</f>
        <v>0</v>
      </c>
      <c r="W138" s="220">
        <f>NOVIEMBRE!W138+DICIEMBRE!AM138</f>
        <v>0</v>
      </c>
      <c r="X138" s="271">
        <f t="shared" si="131"/>
        <v>0</v>
      </c>
      <c r="Y138" s="270">
        <f>NOVIEMBRE!AA138</f>
        <v>0</v>
      </c>
      <c r="Z138" s="208"/>
      <c r="AA138" s="271">
        <f t="shared" si="132"/>
        <v>0</v>
      </c>
      <c r="AB138" s="270">
        <f>NOVIEMBRE!AD138</f>
        <v>0</v>
      </c>
      <c r="AC138" s="208"/>
      <c r="AD138" s="271">
        <f t="shared" si="133"/>
        <v>0</v>
      </c>
      <c r="AE138" s="270">
        <f>NOVIEMBRE!AG138</f>
        <v>0</v>
      </c>
      <c r="AF138" s="208"/>
      <c r="AG138" s="271">
        <f t="shared" si="134"/>
        <v>0</v>
      </c>
      <c r="AH138" s="270">
        <f t="shared" si="135"/>
        <v>0</v>
      </c>
      <c r="AI138" s="220">
        <f t="shared" si="136"/>
        <v>0</v>
      </c>
      <c r="AJ138" s="269">
        <f t="shared" si="137"/>
        <v>0</v>
      </c>
      <c r="AK138" s="101"/>
      <c r="AL138" s="204"/>
      <c r="AM138" s="210">
        <v>0</v>
      </c>
    </row>
    <row r="139" spans="1:39" ht="24.75" customHeight="1">
      <c r="A139" s="542"/>
      <c r="B139" s="453"/>
      <c r="C139" s="67"/>
      <c r="D139" s="67"/>
      <c r="E139" s="67"/>
      <c r="F139" s="67"/>
      <c r="G139" s="67"/>
      <c r="H139" s="67"/>
      <c r="I139" s="649"/>
      <c r="J139" s="649"/>
      <c r="K139" s="67"/>
      <c r="L139" s="649"/>
      <c r="M139" s="67"/>
      <c r="N139" s="101"/>
      <c r="O139" s="67"/>
      <c r="P139" s="67"/>
      <c r="Q139" s="67"/>
      <c r="R139" s="101"/>
      <c r="S139" s="266" t="str">
        <f>+IF(NOVIEMBRE!S139=0,"",NOVIEMBRE!S139)</f>
        <v>2.1.2.02.02.008.99.01</v>
      </c>
      <c r="T139" s="267" t="str">
        <f>+IF(NOVIEMBRE!T139=0,"",NOVIEMBRE!T139)</f>
        <v>Vigencias Anteriores</v>
      </c>
      <c r="U139" s="373">
        <f>+ENERO!U139</f>
        <v>368200000</v>
      </c>
      <c r="V139" s="220">
        <f>NOVIEMBRE!V139+DICIEMBRE!AL139</f>
        <v>-133000000</v>
      </c>
      <c r="W139" s="220">
        <f>NOVIEMBRE!W139+DICIEMBRE!AM139</f>
        <v>0</v>
      </c>
      <c r="X139" s="271">
        <f t="shared" si="131"/>
        <v>235200000</v>
      </c>
      <c r="Y139" s="270">
        <f>NOVIEMBRE!AA139</f>
        <v>234444435</v>
      </c>
      <c r="Z139" s="208"/>
      <c r="AA139" s="271">
        <f t="shared" si="132"/>
        <v>234444435</v>
      </c>
      <c r="AB139" s="270">
        <f>NOVIEMBRE!AD139</f>
        <v>234444435</v>
      </c>
      <c r="AC139" s="208"/>
      <c r="AD139" s="271">
        <f t="shared" si="133"/>
        <v>234444435</v>
      </c>
      <c r="AE139" s="270">
        <f>NOVIEMBRE!AG139</f>
        <v>234444435</v>
      </c>
      <c r="AF139" s="208"/>
      <c r="AG139" s="271">
        <f t="shared" si="134"/>
        <v>234444435</v>
      </c>
      <c r="AH139" s="270">
        <f t="shared" si="135"/>
        <v>755565</v>
      </c>
      <c r="AI139" s="220">
        <f t="shared" si="136"/>
        <v>755565</v>
      </c>
      <c r="AJ139" s="269">
        <f t="shared" si="137"/>
        <v>755565</v>
      </c>
      <c r="AK139" s="101"/>
      <c r="AL139" s="204"/>
      <c r="AM139" s="210">
        <v>0</v>
      </c>
    </row>
    <row r="140" spans="1:39" ht="24.75" customHeight="1">
      <c r="A140" s="542"/>
      <c r="B140" s="453"/>
      <c r="C140" s="67"/>
      <c r="D140" s="67"/>
      <c r="E140" s="67"/>
      <c r="F140" s="67"/>
      <c r="G140" s="67"/>
      <c r="H140" s="67"/>
      <c r="I140" s="649"/>
      <c r="J140" s="649"/>
      <c r="K140" s="67"/>
      <c r="L140" s="649"/>
      <c r="M140" s="67"/>
      <c r="N140" s="101"/>
      <c r="O140" s="67"/>
      <c r="P140" s="67"/>
      <c r="Q140" s="67"/>
      <c r="R140" s="101"/>
      <c r="S140" s="189">
        <f>+IF(NOVIEMBRE!S140=0,"",NOVIEMBRE!S140)</f>
        <v>233459072</v>
      </c>
      <c r="T140" s="488" t="str">
        <f>+IF(NOVIEMBRE!T140=0,"",NOVIEMBRE!T140)</f>
        <v/>
      </c>
      <c r="U140" s="191"/>
      <c r="V140" s="191"/>
      <c r="W140" s="191"/>
      <c r="X140" s="191"/>
      <c r="Y140" s="191"/>
      <c r="Z140" s="191"/>
      <c r="AA140" s="191"/>
      <c r="AB140" s="191"/>
      <c r="AC140" s="191"/>
      <c r="AD140" s="191"/>
      <c r="AE140" s="191"/>
      <c r="AF140" s="191"/>
      <c r="AG140" s="191"/>
      <c r="AH140" s="191"/>
      <c r="AI140" s="191"/>
      <c r="AJ140" s="192"/>
      <c r="AK140" s="101"/>
      <c r="AL140" s="370"/>
      <c r="AM140" s="371"/>
    </row>
    <row r="141" spans="1:39" ht="24.75" customHeight="1">
      <c r="A141" s="542"/>
      <c r="B141" s="453"/>
      <c r="C141" s="67"/>
      <c r="D141" s="67"/>
      <c r="E141" s="67"/>
      <c r="F141" s="67"/>
      <c r="G141" s="67"/>
      <c r="H141" s="67"/>
      <c r="I141" s="649"/>
      <c r="J141" s="649"/>
      <c r="K141" s="67"/>
      <c r="L141" s="649"/>
      <c r="M141" s="67"/>
      <c r="N141" s="101"/>
      <c r="O141" s="67"/>
      <c r="P141" s="67"/>
      <c r="Q141" s="67"/>
      <c r="R141" s="101"/>
      <c r="S141" s="257" t="str">
        <f>+IF(NOVIEMBRE!S141=0,"",NOVIEMBRE!S141)</f>
        <v>2.1.8.01</v>
      </c>
      <c r="T141" s="546" t="str">
        <f>+IF(NOVIEMBRE!T141=0,"",NOVIEMBRE!T141)</f>
        <v>Impuestos y Multas</v>
      </c>
      <c r="U141" s="230">
        <f t="shared" ref="U141:AJ141" si="140">U142+U143</f>
        <v>548000000</v>
      </c>
      <c r="V141" s="231">
        <f t="shared" si="140"/>
        <v>90000000</v>
      </c>
      <c r="W141" s="231">
        <f t="shared" si="140"/>
        <v>0</v>
      </c>
      <c r="X141" s="234">
        <f t="shared" si="140"/>
        <v>638000000</v>
      </c>
      <c r="Y141" s="233">
        <f t="shared" si="140"/>
        <v>433563300</v>
      </c>
      <c r="Z141" s="231">
        <f t="shared" si="140"/>
        <v>125197745</v>
      </c>
      <c r="AA141" s="234">
        <f t="shared" si="140"/>
        <v>558761045</v>
      </c>
      <c r="AB141" s="233">
        <f t="shared" si="140"/>
        <v>433563300</v>
      </c>
      <c r="AC141" s="231">
        <f t="shared" si="140"/>
        <v>125197745</v>
      </c>
      <c r="AD141" s="234">
        <f t="shared" si="140"/>
        <v>558761045</v>
      </c>
      <c r="AE141" s="233">
        <f t="shared" si="140"/>
        <v>433563300</v>
      </c>
      <c r="AF141" s="231">
        <f t="shared" si="140"/>
        <v>108881350</v>
      </c>
      <c r="AG141" s="234">
        <f t="shared" si="140"/>
        <v>542444650</v>
      </c>
      <c r="AH141" s="233">
        <f t="shared" si="140"/>
        <v>79238955</v>
      </c>
      <c r="AI141" s="231">
        <f t="shared" si="140"/>
        <v>79238955</v>
      </c>
      <c r="AJ141" s="232">
        <f t="shared" si="140"/>
        <v>95555350</v>
      </c>
      <c r="AK141" s="101"/>
      <c r="AL141" s="233">
        <f>AL142+AL143</f>
        <v>0</v>
      </c>
      <c r="AM141" s="232">
        <f>AM142+AM143</f>
        <v>0</v>
      </c>
    </row>
    <row r="142" spans="1:39" ht="24.75" customHeight="1">
      <c r="A142" s="542"/>
      <c r="B142" s="453"/>
      <c r="C142" s="67"/>
      <c r="D142" s="67"/>
      <c r="E142" s="67"/>
      <c r="F142" s="67"/>
      <c r="G142" s="67"/>
      <c r="H142" s="67"/>
      <c r="I142" s="649"/>
      <c r="J142" s="649"/>
      <c r="K142" s="67"/>
      <c r="L142" s="649"/>
      <c r="M142" s="67"/>
      <c r="N142" s="101"/>
      <c r="O142" s="67"/>
      <c r="P142" s="67"/>
      <c r="Q142" s="67"/>
      <c r="R142" s="101"/>
      <c r="S142" s="266" t="str">
        <f>+IF(NOVIEMBRE!S142=0,"",NOVIEMBRE!S142)</f>
        <v>2.1.8.01.52</v>
      </c>
      <c r="T142" s="267" t="str">
        <f>+IF(NOVIEMBRE!T142=0,"",NOVIEMBRE!T142)</f>
        <v>IMPUESTO PREDIAL UNIFICADO</v>
      </c>
      <c r="U142" s="373">
        <f>+ENERO!U142</f>
        <v>148000000</v>
      </c>
      <c r="V142" s="220">
        <f>NOVIEMBRE!V142+DICIEMBRE!AL142</f>
        <v>90000000</v>
      </c>
      <c r="W142" s="220">
        <f>NOVIEMBRE!W142+DICIEMBRE!AM142</f>
        <v>0</v>
      </c>
      <c r="X142" s="271">
        <f>SUM(U142:W142)</f>
        <v>238000000</v>
      </c>
      <c r="Y142" s="270">
        <f>NOVIEMBRE!AA142</f>
        <v>155275050</v>
      </c>
      <c r="Z142" s="1186">
        <v>51758350</v>
      </c>
      <c r="AA142" s="271">
        <f>SUM(Y142:Z142)</f>
        <v>207033400</v>
      </c>
      <c r="AB142" s="270">
        <f>NOVIEMBRE!AD142</f>
        <v>155275050</v>
      </c>
      <c r="AC142" s="1186">
        <v>51758350</v>
      </c>
      <c r="AD142" s="271">
        <f>SUM(AB142:AC142)</f>
        <v>207033400</v>
      </c>
      <c r="AE142" s="270">
        <f>NOVIEMBRE!AG142</f>
        <v>155275050</v>
      </c>
      <c r="AF142" s="1186">
        <v>51758350</v>
      </c>
      <c r="AG142" s="271">
        <f>SUM(AE142:AF142)</f>
        <v>207033400</v>
      </c>
      <c r="AH142" s="270">
        <f>X142-AA142</f>
        <v>30966600</v>
      </c>
      <c r="AI142" s="220">
        <f>X142-AD142</f>
        <v>30966600</v>
      </c>
      <c r="AJ142" s="269">
        <f>X142-AG142</f>
        <v>30966600</v>
      </c>
      <c r="AK142" s="101"/>
      <c r="AL142" s="204">
        <v>0</v>
      </c>
      <c r="AM142" s="210">
        <v>0</v>
      </c>
    </row>
    <row r="143" spans="1:39" ht="24.75" customHeight="1">
      <c r="A143" s="542"/>
      <c r="B143" s="453"/>
      <c r="C143" s="67"/>
      <c r="D143" s="67"/>
      <c r="E143" s="67"/>
      <c r="F143" s="67"/>
      <c r="G143" s="67"/>
      <c r="H143" s="67"/>
      <c r="I143" s="649"/>
      <c r="J143" s="649"/>
      <c r="K143" s="67"/>
      <c r="L143" s="649"/>
      <c r="M143" s="67"/>
      <c r="N143" s="101"/>
      <c r="O143" s="67"/>
      <c r="P143" s="67"/>
      <c r="Q143" s="67"/>
      <c r="R143" s="101"/>
      <c r="S143" s="266" t="str">
        <f>+IF(NOVIEMBRE!S143=0,"",NOVIEMBRE!S143)</f>
        <v>2.1.8.01.54</v>
      </c>
      <c r="T143" s="267" t="str">
        <f>+IF(NOVIEMBRE!T143=0,"",NOVIEMBRE!T143)</f>
        <v>Impuesto de Industria y comercio</v>
      </c>
      <c r="U143" s="373">
        <f>+ENERO!U143</f>
        <v>400000000</v>
      </c>
      <c r="V143" s="220">
        <f>NOVIEMBRE!V143+DICIEMBRE!AL143</f>
        <v>0</v>
      </c>
      <c r="W143" s="220">
        <f>NOVIEMBRE!W143+DICIEMBRE!AM143</f>
        <v>0</v>
      </c>
      <c r="X143" s="271">
        <f>SUM(U143:W143)</f>
        <v>400000000</v>
      </c>
      <c r="Y143" s="270">
        <f>NOVIEMBRE!AA143</f>
        <v>278288250</v>
      </c>
      <c r="Z143" s="1186">
        <v>73439395</v>
      </c>
      <c r="AA143" s="271">
        <f>SUM(Y143:Z143)</f>
        <v>351727645</v>
      </c>
      <c r="AB143" s="270">
        <f>NOVIEMBRE!AD143</f>
        <v>278288250</v>
      </c>
      <c r="AC143" s="1186">
        <v>73439395</v>
      </c>
      <c r="AD143" s="271">
        <f>SUM(AB143:AC143)</f>
        <v>351727645</v>
      </c>
      <c r="AE143" s="270">
        <f>NOVIEMBRE!AG143</f>
        <v>278288250</v>
      </c>
      <c r="AF143" s="1186">
        <v>57123000</v>
      </c>
      <c r="AG143" s="271">
        <f>SUM(AE143:AF143)</f>
        <v>335411250</v>
      </c>
      <c r="AH143" s="270">
        <f>X143-AA143</f>
        <v>48272355</v>
      </c>
      <c r="AI143" s="220">
        <f>X143-AD143</f>
        <v>48272355</v>
      </c>
      <c r="AJ143" s="269">
        <f>X143-AG143</f>
        <v>64588750</v>
      </c>
      <c r="AK143" s="101"/>
      <c r="AL143" s="204">
        <v>0</v>
      </c>
      <c r="AM143" s="210">
        <v>0</v>
      </c>
    </row>
    <row r="144" spans="1:39" ht="24.75" customHeight="1">
      <c r="A144" s="542"/>
      <c r="B144" s="453"/>
      <c r="C144" s="67"/>
      <c r="D144" s="67"/>
      <c r="E144" s="67"/>
      <c r="F144" s="67"/>
      <c r="G144" s="67"/>
      <c r="H144" s="67"/>
      <c r="I144" s="649"/>
      <c r="J144" s="649"/>
      <c r="K144" s="67"/>
      <c r="L144" s="649"/>
      <c r="M144" s="67"/>
      <c r="N144" s="101"/>
      <c r="O144" s="67"/>
      <c r="P144" s="67"/>
      <c r="Q144" s="67"/>
      <c r="R144" s="101"/>
      <c r="S144" s="189">
        <f>+IF(NOVIEMBRE!S144=0,"",NOVIEMBRE!S144)</f>
        <v>8880056</v>
      </c>
      <c r="T144" s="488" t="str">
        <f>+IF(NOVIEMBRE!T144=0,"",NOVIEMBRE!T144)</f>
        <v/>
      </c>
      <c r="U144" s="191"/>
      <c r="V144" s="191"/>
      <c r="W144" s="191"/>
      <c r="X144" s="191"/>
      <c r="Y144" s="191"/>
      <c r="Z144" s="191"/>
      <c r="AA144" s="191"/>
      <c r="AB144" s="191"/>
      <c r="AC144" s="191"/>
      <c r="AD144" s="191"/>
      <c r="AE144" s="191"/>
      <c r="AF144" s="191"/>
      <c r="AG144" s="191"/>
      <c r="AH144" s="191"/>
      <c r="AI144" s="191"/>
      <c r="AJ144" s="192"/>
      <c r="AK144" s="101"/>
      <c r="AL144" s="370"/>
      <c r="AM144" s="371"/>
    </row>
    <row r="145" spans="19:39" ht="24.75" customHeight="1">
      <c r="S145" s="228">
        <f>+IF(NOVIEMBRE!S145=0,"",NOVIEMBRE!S145)</f>
        <v>2020010</v>
      </c>
      <c r="T145" s="229" t="str">
        <f>+IF(NOVIEMBRE!T145=0,"",NOVIEMBRE!T145)</f>
        <v>Gastos de Operación</v>
      </c>
      <c r="U145" s="230">
        <f t="shared" ref="U145:AJ145" si="141">U147+U155</f>
        <v>11892931308.176388</v>
      </c>
      <c r="V145" s="231">
        <f t="shared" si="141"/>
        <v>-1733000000</v>
      </c>
      <c r="W145" s="231">
        <f t="shared" si="141"/>
        <v>1423628029</v>
      </c>
      <c r="X145" s="234">
        <f t="shared" si="141"/>
        <v>11583559337.176388</v>
      </c>
      <c r="Y145" s="233">
        <f t="shared" si="141"/>
        <v>7488209877</v>
      </c>
      <c r="Z145" s="231">
        <f t="shared" si="141"/>
        <v>-108191758</v>
      </c>
      <c r="AA145" s="234">
        <f t="shared" si="141"/>
        <v>7380018119</v>
      </c>
      <c r="AB145" s="233">
        <f t="shared" si="141"/>
        <v>6628682596</v>
      </c>
      <c r="AC145" s="231">
        <f t="shared" si="141"/>
        <v>751335523</v>
      </c>
      <c r="AD145" s="234">
        <f t="shared" si="141"/>
        <v>7380018119</v>
      </c>
      <c r="AE145" s="233">
        <f t="shared" si="141"/>
        <v>3885564714</v>
      </c>
      <c r="AF145" s="231">
        <f t="shared" si="141"/>
        <v>535884381</v>
      </c>
      <c r="AG145" s="234">
        <f t="shared" si="141"/>
        <v>4421449095</v>
      </c>
      <c r="AH145" s="233">
        <f t="shared" si="141"/>
        <v>4203541218.1763887</v>
      </c>
      <c r="AI145" s="231">
        <f t="shared" si="141"/>
        <v>4203541218.1763887</v>
      </c>
      <c r="AJ145" s="232">
        <f t="shared" si="141"/>
        <v>7162110242.1763887</v>
      </c>
      <c r="AK145" s="101"/>
      <c r="AL145" s="233">
        <f>AL147+AL155</f>
        <v>23000000</v>
      </c>
      <c r="AM145" s="232">
        <f>AM147+AM155</f>
        <v>0</v>
      </c>
    </row>
    <row r="146" spans="19:39" ht="24.75" customHeight="1">
      <c r="S146" s="311">
        <f>+IF(NOVIEMBRE!S146=0,"",NOVIEMBRE!S146)</f>
        <v>2020010</v>
      </c>
      <c r="T146" s="312" t="str">
        <f>+IF(NOVIEMBRE!T146=0,"",NOVIEMBRE!T146)</f>
        <v/>
      </c>
      <c r="U146" s="299"/>
      <c r="V146" s="220"/>
      <c r="W146" s="220"/>
      <c r="X146" s="271"/>
      <c r="Y146" s="270"/>
      <c r="Z146" s="220"/>
      <c r="AA146" s="271"/>
      <c r="AB146" s="270"/>
      <c r="AC146" s="220"/>
      <c r="AD146" s="271"/>
      <c r="AE146" s="270"/>
      <c r="AF146" s="220"/>
      <c r="AG146" s="271"/>
      <c r="AH146" s="270"/>
      <c r="AI146" s="220"/>
      <c r="AJ146" s="269"/>
      <c r="AK146" s="101"/>
      <c r="AL146" s="370"/>
      <c r="AM146" s="371"/>
    </row>
    <row r="147" spans="19:39" ht="24.75" customHeight="1">
      <c r="S147" s="257" t="str">
        <f>+IF(NOVIEMBRE!S147=0,"",NOVIEMBRE!S147)</f>
        <v>2.1.2</v>
      </c>
      <c r="T147" s="546" t="str">
        <f>+IF(NOVIEMBRE!T147=0,"",NOVIEMBRE!T147)</f>
        <v>Adquisición de bienes</v>
      </c>
      <c r="U147" s="230">
        <f t="shared" ref="U147:AJ147" si="142">SUM(U148:U149)+U153</f>
        <v>3776193053.9541664</v>
      </c>
      <c r="V147" s="231">
        <f t="shared" si="142"/>
        <v>-38832120</v>
      </c>
      <c r="W147" s="231">
        <f t="shared" si="142"/>
        <v>1264813284</v>
      </c>
      <c r="X147" s="234">
        <f t="shared" si="142"/>
        <v>5002174217.9541664</v>
      </c>
      <c r="Y147" s="233">
        <f t="shared" si="142"/>
        <v>3311709062</v>
      </c>
      <c r="Z147" s="231">
        <f t="shared" si="142"/>
        <v>-30002841</v>
      </c>
      <c r="AA147" s="234">
        <f t="shared" si="142"/>
        <v>3281706221</v>
      </c>
      <c r="AB147" s="233">
        <f t="shared" si="142"/>
        <v>2941871541</v>
      </c>
      <c r="AC147" s="231">
        <f t="shared" si="142"/>
        <v>339834680</v>
      </c>
      <c r="AD147" s="234">
        <f t="shared" si="142"/>
        <v>3281706221</v>
      </c>
      <c r="AE147" s="233">
        <f t="shared" si="142"/>
        <v>1542807029</v>
      </c>
      <c r="AF147" s="231">
        <f t="shared" si="142"/>
        <v>341339629</v>
      </c>
      <c r="AG147" s="234">
        <f t="shared" si="142"/>
        <v>1884146658</v>
      </c>
      <c r="AH147" s="233">
        <f t="shared" si="142"/>
        <v>1720467996.9541667</v>
      </c>
      <c r="AI147" s="231">
        <f t="shared" si="142"/>
        <v>1720467996.9541667</v>
      </c>
      <c r="AJ147" s="232">
        <f t="shared" si="142"/>
        <v>3118027559.9541664</v>
      </c>
      <c r="AK147" s="101"/>
      <c r="AL147" s="233">
        <f>SUM(AL148:AL149)+AL153</f>
        <v>23000000</v>
      </c>
      <c r="AM147" s="232">
        <f>SUM(AM148:AM149)+AM153</f>
        <v>0</v>
      </c>
    </row>
    <row r="148" spans="19:39" ht="24.75" customHeight="1">
      <c r="S148" s="266" t="str">
        <f>+IF(NOVIEMBRE!S148=0,"",NOVIEMBRE!S148)</f>
        <v>2.1.2.02.01.003.305</v>
      </c>
      <c r="T148" s="267" t="str">
        <f>+IF(NOVIEMBRE!T148=0,"",NOVIEMBRE!T148)</f>
        <v>Mantenimiento -  Partes, accesorios, herramientas</v>
      </c>
      <c r="U148" s="373">
        <f>+ENERO!U148</f>
        <v>2090969100</v>
      </c>
      <c r="V148" s="220">
        <f>NOVIEMBRE!V148+DICIEMBRE!AL148</f>
        <v>0</v>
      </c>
      <c r="W148" s="220">
        <f>NOVIEMBRE!W148+DICIEMBRE!AM148</f>
        <v>964813284</v>
      </c>
      <c r="X148" s="271">
        <f>SUM(U148:W148)</f>
        <v>3055782384</v>
      </c>
      <c r="Y148" s="270">
        <f>NOVIEMBRE!AA148</f>
        <v>1415295747</v>
      </c>
      <c r="Z148" s="1186">
        <v>-25002249</v>
      </c>
      <c r="AA148" s="271">
        <f>SUM(Y148:Z148)</f>
        <v>1390293498</v>
      </c>
      <c r="AB148" s="270">
        <f>NOVIEMBRE!AD148</f>
        <v>1211051478</v>
      </c>
      <c r="AC148" s="1186">
        <v>179242020</v>
      </c>
      <c r="AD148" s="271">
        <f>SUM(AB148:AC148)</f>
        <v>1390293498</v>
      </c>
      <c r="AE148" s="270">
        <f>NOVIEMBRE!AG148</f>
        <v>536806958</v>
      </c>
      <c r="AF148" s="1186">
        <v>131933928</v>
      </c>
      <c r="AG148" s="271">
        <f>SUM(AE148:AF148)</f>
        <v>668740886</v>
      </c>
      <c r="AH148" s="270">
        <f>X148-AA148</f>
        <v>1665488886</v>
      </c>
      <c r="AI148" s="220">
        <f>X148-AD148</f>
        <v>1665488886</v>
      </c>
      <c r="AJ148" s="269">
        <f>X148-AG148</f>
        <v>2387041498</v>
      </c>
      <c r="AK148" s="101"/>
      <c r="AL148" s="204"/>
      <c r="AM148" s="210">
        <v>0</v>
      </c>
    </row>
    <row r="149" spans="19:39" ht="24.75" customHeight="1">
      <c r="S149" s="266">
        <f>+IF(NOVIEMBRE!S149=0,"",NOVIEMBRE!S149)</f>
        <v>2020102</v>
      </c>
      <c r="T149" s="267" t="str">
        <f>+IF(NOVIEMBRE!T149=0,"",NOVIEMBRE!T149)</f>
        <v>Otros</v>
      </c>
      <c r="U149" s="373">
        <f t="shared" ref="U149:AJ149" si="143">SUM(U150:U152)</f>
        <v>1232308696.9541667</v>
      </c>
      <c r="V149" s="220">
        <f t="shared" si="143"/>
        <v>260000000</v>
      </c>
      <c r="W149" s="220">
        <f t="shared" si="143"/>
        <v>0</v>
      </c>
      <c r="X149" s="271">
        <f t="shared" si="143"/>
        <v>1492308696.9541667</v>
      </c>
      <c r="Y149" s="270">
        <f t="shared" si="143"/>
        <v>1454667234</v>
      </c>
      <c r="Z149" s="300">
        <f t="shared" si="143"/>
        <v>-5000592</v>
      </c>
      <c r="AA149" s="271">
        <f t="shared" si="143"/>
        <v>1449666642</v>
      </c>
      <c r="AB149" s="270">
        <f t="shared" si="143"/>
        <v>1289073982</v>
      </c>
      <c r="AC149" s="300">
        <f t="shared" si="143"/>
        <v>160592660</v>
      </c>
      <c r="AD149" s="271">
        <f t="shared" si="143"/>
        <v>1449666642</v>
      </c>
      <c r="AE149" s="270">
        <f t="shared" si="143"/>
        <v>564253990</v>
      </c>
      <c r="AF149" s="300">
        <f t="shared" si="143"/>
        <v>209405701</v>
      </c>
      <c r="AG149" s="271">
        <f t="shared" si="143"/>
        <v>773659691</v>
      </c>
      <c r="AH149" s="270">
        <f t="shared" si="143"/>
        <v>42642054.954166651</v>
      </c>
      <c r="AI149" s="220">
        <f t="shared" si="143"/>
        <v>42642054.954166651</v>
      </c>
      <c r="AJ149" s="269">
        <f t="shared" si="143"/>
        <v>718649005.95416665</v>
      </c>
      <c r="AK149" s="101"/>
      <c r="AL149" s="301">
        <f>SUM(AL150:AL152)</f>
        <v>23000000</v>
      </c>
      <c r="AM149" s="302">
        <f>SUM(AM150:AM152)</f>
        <v>0</v>
      </c>
    </row>
    <row r="150" spans="19:39" ht="24.75" customHeight="1">
      <c r="S150" s="311" t="str">
        <f>+IF(NOVIEMBRE!S150=0,"",NOVIEMBRE!S150)</f>
        <v>2.1.2.02.01.002,001</v>
      </c>
      <c r="T150" s="267" t="str">
        <f>+IF(NOVIEMBRE!T150=0,"",NOVIEMBRE!T150)</f>
        <v>Roperia</v>
      </c>
      <c r="U150" s="373">
        <f>+ENERO!U150</f>
        <v>300724825</v>
      </c>
      <c r="V150" s="220">
        <f>NOVIEMBRE!V150+DICIEMBRE!AL150</f>
        <v>-116000000</v>
      </c>
      <c r="W150" s="220">
        <f>NOVIEMBRE!W150+DICIEMBRE!AM150</f>
        <v>0</v>
      </c>
      <c r="X150" s="271">
        <f>SUM(U150:W150)</f>
        <v>184724825</v>
      </c>
      <c r="Y150" s="270">
        <f>NOVIEMBRE!AA150</f>
        <v>184178680</v>
      </c>
      <c r="Z150" s="208"/>
      <c r="AA150" s="271">
        <f>SUM(Y150:Z150)</f>
        <v>184178680</v>
      </c>
      <c r="AB150" s="270">
        <f>NOVIEMBRE!AD150</f>
        <v>184178680</v>
      </c>
      <c r="AC150" s="208"/>
      <c r="AD150" s="271">
        <f>SUM(AB150:AC150)</f>
        <v>184178680</v>
      </c>
      <c r="AE150" s="270">
        <f>NOVIEMBRE!AG150</f>
        <v>0</v>
      </c>
      <c r="AF150" s="208"/>
      <c r="AG150" s="271">
        <f>SUM(AE150:AF150)</f>
        <v>0</v>
      </c>
      <c r="AH150" s="270">
        <f>X150-AA150</f>
        <v>546145</v>
      </c>
      <c r="AI150" s="220">
        <f>X150-AD150</f>
        <v>546145</v>
      </c>
      <c r="AJ150" s="269">
        <f>X150-AG150</f>
        <v>184724825</v>
      </c>
      <c r="AK150" s="101"/>
      <c r="AL150" s="204">
        <v>0</v>
      </c>
      <c r="AM150" s="210">
        <v>0</v>
      </c>
    </row>
    <row r="151" spans="19:39" ht="24.75" customHeight="1">
      <c r="S151" s="311" t="str">
        <f>+IF(NOVIEMBRE!S151=0,"",NOVIEMBRE!S151)</f>
        <v>2.1.2.02.01.003.303</v>
      </c>
      <c r="T151" s="267" t="str">
        <f>+IF(NOVIEMBRE!T151=0,"",NOVIEMBRE!T151)</f>
        <v>Elementos de Aseo</v>
      </c>
      <c r="U151" s="373">
        <f>+ENERO!U151</f>
        <v>684513688.9375</v>
      </c>
      <c r="V151" s="220">
        <f>NOVIEMBRE!V151+DICIEMBRE!AL151</f>
        <v>235000000</v>
      </c>
      <c r="W151" s="220">
        <f>NOVIEMBRE!W151+DICIEMBRE!AM151</f>
        <v>0</v>
      </c>
      <c r="X151" s="271">
        <f>SUM(U151:W151)</f>
        <v>919513688.9375</v>
      </c>
      <c r="Y151" s="270">
        <f>NOVIEMBRE!AA151</f>
        <v>912303338</v>
      </c>
      <c r="Z151" s="1186">
        <v>-15749130</v>
      </c>
      <c r="AA151" s="271">
        <f>SUM(Y151:Z151)</f>
        <v>896554208</v>
      </c>
      <c r="AB151" s="270">
        <f>NOVIEMBRE!AD151</f>
        <v>769036569</v>
      </c>
      <c r="AC151" s="1186">
        <v>127517639</v>
      </c>
      <c r="AD151" s="271">
        <f>SUM(AB151:AC151)</f>
        <v>896554208</v>
      </c>
      <c r="AE151" s="270">
        <f>NOVIEMBRE!AG151</f>
        <v>347114402</v>
      </c>
      <c r="AF151" s="1186">
        <v>195142441</v>
      </c>
      <c r="AG151" s="271">
        <f>SUM(AE151:AF151)</f>
        <v>542256843</v>
      </c>
      <c r="AH151" s="270">
        <f>X151-AA151</f>
        <v>22959480.9375</v>
      </c>
      <c r="AI151" s="220">
        <f>X151-AD151</f>
        <v>22959480.9375</v>
      </c>
      <c r="AJ151" s="269">
        <f>X151-AG151</f>
        <v>377256845.9375</v>
      </c>
      <c r="AK151" s="101"/>
      <c r="AL151" s="204">
        <v>0</v>
      </c>
      <c r="AM151" s="210">
        <v>0</v>
      </c>
    </row>
    <row r="152" spans="19:39" ht="24.75" customHeight="1">
      <c r="S152" s="311" t="str">
        <f>+IF(NOVIEMBRE!S152=0,"",NOVIEMBRE!S152)</f>
        <v>2.1.2.02.01.003.304</v>
      </c>
      <c r="T152" s="267" t="str">
        <f>+IF(NOVIEMBRE!T152=0,"",NOVIEMBRE!T152)</f>
        <v xml:space="preserve">Insumos hospitalarios </v>
      </c>
      <c r="U152" s="373">
        <f>+ENERO!U152</f>
        <v>247070183.01666665</v>
      </c>
      <c r="V152" s="220">
        <f>NOVIEMBRE!V152+DICIEMBRE!AL152</f>
        <v>141000000</v>
      </c>
      <c r="W152" s="220">
        <f>NOVIEMBRE!W152+DICIEMBRE!AM152</f>
        <v>0</v>
      </c>
      <c r="X152" s="271">
        <f>SUM(U152:W152)</f>
        <v>388070183.01666665</v>
      </c>
      <c r="Y152" s="270">
        <f>NOVIEMBRE!AA152</f>
        <v>358185216</v>
      </c>
      <c r="Z152" s="1186">
        <v>10748538</v>
      </c>
      <c r="AA152" s="271">
        <f>SUM(Y152:Z152)</f>
        <v>368933754</v>
      </c>
      <c r="AB152" s="270">
        <f>NOVIEMBRE!AD152</f>
        <v>335858733</v>
      </c>
      <c r="AC152" s="1186">
        <v>33075021</v>
      </c>
      <c r="AD152" s="271">
        <f>SUM(AB152:AC152)</f>
        <v>368933754</v>
      </c>
      <c r="AE152" s="270">
        <f>NOVIEMBRE!AG152</f>
        <v>217139588</v>
      </c>
      <c r="AF152" s="1186">
        <v>14263260</v>
      </c>
      <c r="AG152" s="271">
        <f>SUM(AE152:AF152)</f>
        <v>231402848</v>
      </c>
      <c r="AH152" s="270">
        <f>X152-AA152</f>
        <v>19136429.016666651</v>
      </c>
      <c r="AI152" s="220">
        <f>X152-AD152</f>
        <v>19136429.016666651</v>
      </c>
      <c r="AJ152" s="269">
        <f>X152-AG152</f>
        <v>156667335.01666665</v>
      </c>
      <c r="AK152" s="101"/>
      <c r="AL152" s="204">
        <f>10000000+13000000</f>
        <v>23000000</v>
      </c>
      <c r="AM152" s="210">
        <v>0</v>
      </c>
    </row>
    <row r="153" spans="19:39" ht="24.75" customHeight="1">
      <c r="S153" s="266" t="str">
        <f>+IF(NOVIEMBRE!S153=0,"",NOVIEMBRE!S153)</f>
        <v>2.1.2.02.01.003.99</v>
      </c>
      <c r="T153" s="267" t="str">
        <f>+IF(NOVIEMBRE!T153=0,"",NOVIEMBRE!T153)</f>
        <v>Vigencias Anteriores</v>
      </c>
      <c r="U153" s="373">
        <f>+ENERO!U153</f>
        <v>452915257</v>
      </c>
      <c r="V153" s="220">
        <f>NOVIEMBRE!V153+DICIEMBRE!AL153</f>
        <v>-298832120</v>
      </c>
      <c r="W153" s="220">
        <f>NOVIEMBRE!W153+DICIEMBRE!AM153</f>
        <v>300000000</v>
      </c>
      <c r="X153" s="271">
        <f>SUM(U153:W153)</f>
        <v>454083137</v>
      </c>
      <c r="Y153" s="270">
        <f>NOVIEMBRE!AA153</f>
        <v>441746081</v>
      </c>
      <c r="Z153" s="208">
        <v>0</v>
      </c>
      <c r="AA153" s="271">
        <f>SUM(Y153:Z153)</f>
        <v>441746081</v>
      </c>
      <c r="AB153" s="270">
        <f>NOVIEMBRE!AD153</f>
        <v>441746081</v>
      </c>
      <c r="AC153" s="208"/>
      <c r="AD153" s="271">
        <f>SUM(AB153:AC153)</f>
        <v>441746081</v>
      </c>
      <c r="AE153" s="270">
        <f>NOVIEMBRE!AG153</f>
        <v>441746081</v>
      </c>
      <c r="AF153" s="208"/>
      <c r="AG153" s="271">
        <f>SUM(AE153:AF153)</f>
        <v>441746081</v>
      </c>
      <c r="AH153" s="270">
        <f>X153-AA153</f>
        <v>12337056</v>
      </c>
      <c r="AI153" s="220">
        <f>X153-AD153</f>
        <v>12337056</v>
      </c>
      <c r="AJ153" s="269">
        <f>X153-AG153</f>
        <v>12337056</v>
      </c>
      <c r="AK153" s="101"/>
      <c r="AL153" s="204">
        <v>0</v>
      </c>
      <c r="AM153" s="210">
        <v>0</v>
      </c>
    </row>
    <row r="154" spans="19:39" ht="24.75" customHeight="1">
      <c r="S154" s="189">
        <f>+IF(NOVIEMBRE!S154=0,"",NOVIEMBRE!S154)</f>
        <v>203715328</v>
      </c>
      <c r="T154" s="488" t="str">
        <f>+IF(NOVIEMBRE!T154=0,"",NOVIEMBRE!T154)</f>
        <v/>
      </c>
      <c r="U154" s="191"/>
      <c r="V154" s="191"/>
      <c r="W154" s="191"/>
      <c r="X154" s="191"/>
      <c r="Y154" s="191"/>
      <c r="Z154" s="191"/>
      <c r="AA154" s="191"/>
      <c r="AB154" s="191"/>
      <c r="AC154" s="191"/>
      <c r="AD154" s="191"/>
      <c r="AE154" s="191"/>
      <c r="AF154" s="191"/>
      <c r="AG154" s="191"/>
      <c r="AH154" s="191"/>
      <c r="AI154" s="191"/>
      <c r="AJ154" s="192"/>
      <c r="AK154" s="101"/>
      <c r="AL154" s="370"/>
      <c r="AM154" s="371"/>
    </row>
    <row r="155" spans="19:39" ht="24.75" customHeight="1">
      <c r="S155" s="257" t="str">
        <f>+IF(NOVIEMBRE!S155=0,"",NOVIEMBRE!S155)</f>
        <v>2.1.2.02.02</v>
      </c>
      <c r="T155" s="546" t="str">
        <f>+IF(NOVIEMBRE!T155=0,"",NOVIEMBRE!T155)</f>
        <v>Adquisición de Servicios</v>
      </c>
      <c r="U155" s="230">
        <f>SUM(U156:U157)</f>
        <v>8116738254.2222223</v>
      </c>
      <c r="V155" s="230">
        <f t="shared" ref="V155:AM155" si="144">SUM(V156:V157)</f>
        <v>-1694167880</v>
      </c>
      <c r="W155" s="230">
        <f t="shared" si="144"/>
        <v>158814745</v>
      </c>
      <c r="X155" s="230">
        <f t="shared" si="144"/>
        <v>6581385119.2222223</v>
      </c>
      <c r="Y155" s="230">
        <f t="shared" si="144"/>
        <v>4176500815</v>
      </c>
      <c r="Z155" s="230">
        <f t="shared" si="144"/>
        <v>-78188917</v>
      </c>
      <c r="AA155" s="230">
        <f t="shared" si="144"/>
        <v>4098311898</v>
      </c>
      <c r="AB155" s="230">
        <f t="shared" si="144"/>
        <v>3686811055</v>
      </c>
      <c r="AC155" s="230">
        <f t="shared" si="144"/>
        <v>411500843</v>
      </c>
      <c r="AD155" s="230">
        <f t="shared" si="144"/>
        <v>4098311898</v>
      </c>
      <c r="AE155" s="230">
        <f t="shared" si="144"/>
        <v>2342757685</v>
      </c>
      <c r="AF155" s="230">
        <f t="shared" si="144"/>
        <v>194544752</v>
      </c>
      <c r="AG155" s="230">
        <f t="shared" si="144"/>
        <v>2537302437</v>
      </c>
      <c r="AH155" s="230">
        <f t="shared" si="144"/>
        <v>2483073221.2222223</v>
      </c>
      <c r="AI155" s="230">
        <f t="shared" si="144"/>
        <v>2483073221.2222223</v>
      </c>
      <c r="AJ155" s="230">
        <f t="shared" si="144"/>
        <v>4044082682.2222223</v>
      </c>
      <c r="AK155" s="101"/>
      <c r="AL155" s="230">
        <f t="shared" si="144"/>
        <v>0</v>
      </c>
      <c r="AM155" s="230">
        <f t="shared" si="144"/>
        <v>0</v>
      </c>
    </row>
    <row r="156" spans="19:39" ht="24.75" customHeight="1">
      <c r="S156" s="266" t="str">
        <f>+IF(NOVIEMBRE!S156=0,"",NOVIEMBRE!S156)</f>
        <v>2.1.2.02.01.003.306</v>
      </c>
      <c r="T156" s="267" t="str">
        <f>+IF(NOVIEMBRE!T156=0,"",NOVIEMBRE!T156)</f>
        <v>Mantenimiento - Bienes sistemas</v>
      </c>
      <c r="U156" s="373">
        <f>+ENERO!U156</f>
        <v>17133955</v>
      </c>
      <c r="V156" s="220">
        <f>NOVIEMBRE!V156+DICIEMBRE!AL156</f>
        <v>0</v>
      </c>
      <c r="W156" s="220">
        <f>NOVIEMBRE!W156+DICIEMBRE!AM156</f>
        <v>0</v>
      </c>
      <c r="X156" s="271">
        <f>SUM(U156:W156)</f>
        <v>17133955</v>
      </c>
      <c r="Y156" s="270">
        <f>NOVIEMBRE!AA156</f>
        <v>15819256</v>
      </c>
      <c r="Z156" s="1186">
        <v>-5244782</v>
      </c>
      <c r="AA156" s="271">
        <f>SUM(Y156:Z156)</f>
        <v>10574474</v>
      </c>
      <c r="AB156" s="270">
        <f>NOVIEMBRE!AD156</f>
        <v>10574474</v>
      </c>
      <c r="AC156" s="208"/>
      <c r="AD156" s="271">
        <f>SUM(AB156:AC156)</f>
        <v>10574474</v>
      </c>
      <c r="AE156" s="270">
        <f>NOVIEMBRE!AG156</f>
        <v>10574474</v>
      </c>
      <c r="AF156" s="208"/>
      <c r="AG156" s="271">
        <f>SUM(AE156:AF156)</f>
        <v>10574474</v>
      </c>
      <c r="AH156" s="270">
        <f>X156-AA156</f>
        <v>6559481</v>
      </c>
      <c r="AI156" s="220">
        <f>X156-AD156</f>
        <v>6559481</v>
      </c>
      <c r="AJ156" s="269">
        <f>X156-AG156</f>
        <v>6559481</v>
      </c>
      <c r="AK156" s="101"/>
      <c r="AL156" s="204"/>
      <c r="AM156" s="210">
        <v>0</v>
      </c>
    </row>
    <row r="157" spans="19:39" ht="24.75" customHeight="1">
      <c r="S157" s="266">
        <f>+IF(NOVIEMBRE!S157=0,"",NOVIEMBRE!S157)</f>
        <v>2020202</v>
      </c>
      <c r="T157" s="267" t="str">
        <f>+IF(NOVIEMBRE!T157=0,"",NOVIEMBRE!T157)</f>
        <v>Otros</v>
      </c>
      <c r="U157" s="373">
        <f t="shared" ref="U157:AJ157" si="145">SUM(U158:U166)</f>
        <v>8099604299.2222223</v>
      </c>
      <c r="V157" s="220">
        <f t="shared" si="145"/>
        <v>-1694167880</v>
      </c>
      <c r="W157" s="220">
        <f t="shared" si="145"/>
        <v>158814745</v>
      </c>
      <c r="X157" s="271">
        <f t="shared" si="145"/>
        <v>6564251164.2222223</v>
      </c>
      <c r="Y157" s="270">
        <f t="shared" si="145"/>
        <v>4160681559</v>
      </c>
      <c r="Z157" s="300">
        <f t="shared" si="145"/>
        <v>-72944135</v>
      </c>
      <c r="AA157" s="271">
        <f t="shared" si="145"/>
        <v>4087737424</v>
      </c>
      <c r="AB157" s="270">
        <f t="shared" si="145"/>
        <v>3676236581</v>
      </c>
      <c r="AC157" s="300">
        <f t="shared" si="145"/>
        <v>411500843</v>
      </c>
      <c r="AD157" s="271">
        <f t="shared" si="145"/>
        <v>4087737424</v>
      </c>
      <c r="AE157" s="270">
        <f t="shared" si="145"/>
        <v>2332183211</v>
      </c>
      <c r="AF157" s="300">
        <f t="shared" si="145"/>
        <v>194544752</v>
      </c>
      <c r="AG157" s="271">
        <f t="shared" si="145"/>
        <v>2526727963</v>
      </c>
      <c r="AH157" s="270">
        <f t="shared" si="145"/>
        <v>2476513740.2222223</v>
      </c>
      <c r="AI157" s="220">
        <f t="shared" si="145"/>
        <v>2476513740.2222223</v>
      </c>
      <c r="AJ157" s="269">
        <f t="shared" si="145"/>
        <v>4037523201.2222223</v>
      </c>
      <c r="AK157" s="101"/>
      <c r="AL157" s="301">
        <f>SUM(AL158:AL166)</f>
        <v>0</v>
      </c>
      <c r="AM157" s="302">
        <f>SUM(AM158:AM166)</f>
        <v>0</v>
      </c>
    </row>
    <row r="158" spans="19:39" ht="24.75" customHeight="1">
      <c r="S158" s="1053" t="str">
        <f>+IF(NOVIEMBRE!S158=0,"",NOVIEMBRE!S158)</f>
        <v>2.1.2.02.02.005.502</v>
      </c>
      <c r="T158" s="1054" t="str">
        <f>+IF(NOVIEMBRE!T158=0,"",NOVIEMBRE!T158)</f>
        <v>Mantenimiento - Arrendamiento Software</v>
      </c>
      <c r="U158" s="373">
        <f>+ENERO!U158</f>
        <v>0</v>
      </c>
      <c r="V158" s="220">
        <f>NOVIEMBRE!V158+DICIEMBRE!AL158</f>
        <v>0</v>
      </c>
      <c r="W158" s="220">
        <f>NOVIEMBRE!W158+DICIEMBRE!AM158</f>
        <v>0</v>
      </c>
      <c r="X158" s="271">
        <f t="shared" ref="X158:X166" si="146">SUM(U158:W158)</f>
        <v>0</v>
      </c>
      <c r="Y158" s="270">
        <f>NOVIEMBRE!AA158</f>
        <v>0</v>
      </c>
      <c r="Z158" s="208"/>
      <c r="AA158" s="271">
        <f t="shared" ref="AA158:AA166" si="147">SUM(Y158:Z158)</f>
        <v>0</v>
      </c>
      <c r="AB158" s="270">
        <f>NOVIEMBRE!AD158</f>
        <v>0</v>
      </c>
      <c r="AC158" s="208"/>
      <c r="AD158" s="271">
        <f t="shared" ref="AD158:AD166" si="148">SUM(AB158:AC158)</f>
        <v>0</v>
      </c>
      <c r="AE158" s="270">
        <f>NOVIEMBRE!AG158</f>
        <v>0</v>
      </c>
      <c r="AF158" s="208"/>
      <c r="AG158" s="271">
        <f t="shared" ref="AG158:AG166" si="149">SUM(AE158:AF158)</f>
        <v>0</v>
      </c>
      <c r="AH158" s="270">
        <f t="shared" ref="AH158:AH166" si="150">X158-AA158</f>
        <v>0</v>
      </c>
      <c r="AI158" s="220">
        <f t="shared" ref="AI158:AI166" si="151">X158-AD158</f>
        <v>0</v>
      </c>
      <c r="AJ158" s="269">
        <f t="shared" ref="AJ158:AJ166" si="152">X158-AG158</f>
        <v>0</v>
      </c>
      <c r="AK158" s="101"/>
      <c r="AL158" s="204"/>
      <c r="AM158" s="210">
        <v>0</v>
      </c>
    </row>
    <row r="159" spans="19:39" ht="24.75" customHeight="1">
      <c r="S159" s="1053" t="str">
        <f>+IF(NOVIEMBRE!S159=0,"",NOVIEMBRE!S159)</f>
        <v>2.1.2.02.02.005.501</v>
      </c>
      <c r="T159" s="1054" t="str">
        <f>+IF(NOVIEMBRE!T159=0,"",NOVIEMBRE!T159)</f>
        <v>Mantenimiento  - Servicios Planta Fisica</v>
      </c>
      <c r="U159" s="373">
        <f>+ENERO!U159</f>
        <v>476117296</v>
      </c>
      <c r="V159" s="220">
        <f>NOVIEMBRE!V159+DICIEMBRE!AL159</f>
        <v>0</v>
      </c>
      <c r="W159" s="220">
        <f>NOVIEMBRE!W159+DICIEMBRE!AM159</f>
        <v>0</v>
      </c>
      <c r="X159" s="271">
        <f t="shared" si="146"/>
        <v>476117296</v>
      </c>
      <c r="Y159" s="270">
        <f>NOVIEMBRE!AA159</f>
        <v>34461031</v>
      </c>
      <c r="Z159" s="1186">
        <v>-1064526</v>
      </c>
      <c r="AA159" s="271">
        <f t="shared" si="147"/>
        <v>33396505</v>
      </c>
      <c r="AB159" s="270">
        <f>NOVIEMBRE!AD159</f>
        <v>27647020</v>
      </c>
      <c r="AC159" s="1186">
        <v>5749485</v>
      </c>
      <c r="AD159" s="271">
        <f t="shared" si="148"/>
        <v>33396505</v>
      </c>
      <c r="AE159" s="270">
        <f>NOVIEMBRE!AG159</f>
        <v>16139316</v>
      </c>
      <c r="AF159" s="1186">
        <v>335000</v>
      </c>
      <c r="AG159" s="271">
        <f t="shared" si="149"/>
        <v>16474316</v>
      </c>
      <c r="AH159" s="270">
        <f t="shared" si="150"/>
        <v>442720791</v>
      </c>
      <c r="AI159" s="220">
        <f t="shared" si="151"/>
        <v>442720791</v>
      </c>
      <c r="AJ159" s="269">
        <f t="shared" si="152"/>
        <v>459642980</v>
      </c>
      <c r="AK159" s="101"/>
      <c r="AL159" s="204">
        <v>0</v>
      </c>
      <c r="AM159" s="210">
        <v>0</v>
      </c>
    </row>
    <row r="160" spans="19:39" ht="24.75" customHeight="1">
      <c r="S160" s="1053" t="str">
        <f>+IF(NOVIEMBRE!S160=0,"",NOVIEMBRE!S160)</f>
        <v>2.1.2.02.02.008.808</v>
      </c>
      <c r="T160" s="1054" t="str">
        <f>+IF(NOVIEMBRE!T160=0,"",NOVIEMBRE!T160)</f>
        <v>Mantenimiento Servicios - Ambiental y sanitaria</v>
      </c>
      <c r="U160" s="373">
        <f>+ENERO!U160</f>
        <v>415609981</v>
      </c>
      <c r="V160" s="220">
        <f>NOVIEMBRE!V160+DICIEMBRE!AL160</f>
        <v>0</v>
      </c>
      <c r="W160" s="220">
        <f>NOVIEMBRE!W160+DICIEMBRE!AM160</f>
        <v>0</v>
      </c>
      <c r="X160" s="271">
        <f t="shared" si="146"/>
        <v>415609981</v>
      </c>
      <c r="Y160" s="270">
        <f>NOVIEMBRE!AA160</f>
        <v>318238886</v>
      </c>
      <c r="Z160" s="1186">
        <v>-4030275</v>
      </c>
      <c r="AA160" s="271">
        <f>SUM(Y160:Z160)</f>
        <v>314208611</v>
      </c>
      <c r="AB160" s="270">
        <f>NOVIEMBRE!AD160</f>
        <v>290608003</v>
      </c>
      <c r="AC160" s="1186">
        <v>23600608</v>
      </c>
      <c r="AD160" s="271">
        <f t="shared" si="148"/>
        <v>314208611</v>
      </c>
      <c r="AE160" s="270">
        <f>NOVIEMBRE!AG160</f>
        <v>130606519</v>
      </c>
      <c r="AF160" s="1186">
        <v>24671440</v>
      </c>
      <c r="AG160" s="271">
        <f t="shared" si="149"/>
        <v>155277959</v>
      </c>
      <c r="AH160" s="270">
        <f t="shared" si="150"/>
        <v>101401370</v>
      </c>
      <c r="AI160" s="220">
        <f t="shared" si="151"/>
        <v>101401370</v>
      </c>
      <c r="AJ160" s="269">
        <f t="shared" si="152"/>
        <v>260332022</v>
      </c>
      <c r="AK160" s="101"/>
      <c r="AL160" s="204">
        <v>0</v>
      </c>
      <c r="AM160" s="210">
        <v>0</v>
      </c>
    </row>
    <row r="161" spans="19:39" ht="24.75" customHeight="1">
      <c r="S161" s="1053" t="str">
        <f>+IF(NOVIEMBRE!S161=0,"",NOVIEMBRE!S161)</f>
        <v>2.1.2.02.02.008.800</v>
      </c>
      <c r="T161" s="1054" t="str">
        <f>+IF(NOVIEMBRE!T161=0,"",NOVIEMBRE!T161)</f>
        <v>Mantenimiento  - Servicios Dotación y vehiculos</v>
      </c>
      <c r="U161" s="373">
        <f>+ENERO!U161</f>
        <v>220500000</v>
      </c>
      <c r="V161" s="220">
        <f>NOVIEMBRE!V161+DICIEMBRE!AL161</f>
        <v>0</v>
      </c>
      <c r="W161" s="220">
        <f>NOVIEMBRE!W161+DICIEMBRE!AM161</f>
        <v>0</v>
      </c>
      <c r="X161" s="271">
        <f t="shared" si="146"/>
        <v>220500000</v>
      </c>
      <c r="Y161" s="270">
        <f>NOVIEMBRE!AA161</f>
        <v>31535631</v>
      </c>
      <c r="Z161" s="208"/>
      <c r="AA161" s="271">
        <f t="shared" si="147"/>
        <v>31535631</v>
      </c>
      <c r="AB161" s="270">
        <f>NOVIEMBRE!AD161</f>
        <v>31535631</v>
      </c>
      <c r="AC161" s="208"/>
      <c r="AD161" s="271">
        <f t="shared" si="148"/>
        <v>31535631</v>
      </c>
      <c r="AE161" s="270">
        <f>NOVIEMBRE!AG161</f>
        <v>31535631</v>
      </c>
      <c r="AF161" s="208"/>
      <c r="AG161" s="271">
        <f t="shared" si="149"/>
        <v>31535631</v>
      </c>
      <c r="AH161" s="270">
        <f t="shared" si="150"/>
        <v>188964369</v>
      </c>
      <c r="AI161" s="220">
        <f t="shared" si="151"/>
        <v>188964369</v>
      </c>
      <c r="AJ161" s="269">
        <f t="shared" si="152"/>
        <v>188964369</v>
      </c>
      <c r="AK161" s="101"/>
      <c r="AL161" s="204">
        <v>0</v>
      </c>
      <c r="AM161" s="210">
        <v>0</v>
      </c>
    </row>
    <row r="162" spans="19:39" ht="24.75" customHeight="1">
      <c r="S162" s="1053" t="str">
        <f>+IF(NOVIEMBRE!S162=0,"",NOVIEMBRE!S162)</f>
        <v>2.1.2.02.02.008.805</v>
      </c>
      <c r="T162" s="1054" t="str">
        <f>+IF(NOVIEMBRE!T162=0,"",NOVIEMBRE!T162)</f>
        <v>Mantenimiento - Servicio de Metrología y Calibracion</v>
      </c>
      <c r="U162" s="373">
        <f>+ENERO!U162</f>
        <v>144394707</v>
      </c>
      <c r="V162" s="220">
        <f>NOVIEMBRE!V162+DICIEMBRE!AL162</f>
        <v>0</v>
      </c>
      <c r="W162" s="220">
        <f>NOVIEMBRE!W162+DICIEMBRE!AM162</f>
        <v>0</v>
      </c>
      <c r="X162" s="271">
        <f t="shared" si="146"/>
        <v>144394707</v>
      </c>
      <c r="Y162" s="270">
        <f>NOVIEMBRE!AA162</f>
        <v>109956000</v>
      </c>
      <c r="Z162" s="1186">
        <v>-90440</v>
      </c>
      <c r="AA162" s="271">
        <f t="shared" si="147"/>
        <v>109865560</v>
      </c>
      <c r="AB162" s="270">
        <f>NOVIEMBRE!AD162</f>
        <v>104361810</v>
      </c>
      <c r="AC162" s="1186">
        <v>5503750</v>
      </c>
      <c r="AD162" s="271">
        <f t="shared" si="148"/>
        <v>109865560</v>
      </c>
      <c r="AE162" s="270">
        <f>NOVIEMBRE!AG162</f>
        <v>0</v>
      </c>
      <c r="AF162" s="208"/>
      <c r="AG162" s="271">
        <f t="shared" si="149"/>
        <v>0</v>
      </c>
      <c r="AH162" s="270">
        <f t="shared" si="150"/>
        <v>34529147</v>
      </c>
      <c r="AI162" s="220">
        <f t="shared" si="151"/>
        <v>34529147</v>
      </c>
      <c r="AJ162" s="269">
        <f t="shared" si="152"/>
        <v>144394707</v>
      </c>
      <c r="AK162" s="101"/>
      <c r="AL162" s="204"/>
      <c r="AM162" s="210">
        <v>0</v>
      </c>
    </row>
    <row r="163" spans="19:39" ht="24.75" customHeight="1">
      <c r="S163" s="1053" t="str">
        <f>+IF(NOVIEMBRE!S163=0,"",NOVIEMBRE!S163)</f>
        <v>2.1.2.02.02.008.806</v>
      </c>
      <c r="T163" s="1054" t="str">
        <f>+IF(NOVIEMBRE!T163=0,"",NOVIEMBRE!T163)</f>
        <v xml:space="preserve">Mantenimiento- Servicios </v>
      </c>
      <c r="U163" s="373">
        <f>+ENERO!U163</f>
        <v>4141233251</v>
      </c>
      <c r="V163" s="220">
        <f>NOVIEMBRE!V163+DICIEMBRE!AL163</f>
        <v>0</v>
      </c>
      <c r="W163" s="220">
        <f>NOVIEMBRE!W163+DICIEMBRE!AM163</f>
        <v>0</v>
      </c>
      <c r="X163" s="271">
        <f t="shared" si="146"/>
        <v>4141233251</v>
      </c>
      <c r="Y163" s="270">
        <f>NOVIEMBRE!AA163</f>
        <v>2594588559</v>
      </c>
      <c r="Z163" s="1186">
        <v>-1574170</v>
      </c>
      <c r="AA163" s="271">
        <f t="shared" si="147"/>
        <v>2593014389</v>
      </c>
      <c r="AB163" s="270">
        <f>NOVIEMBRE!AD163</f>
        <v>2222526612</v>
      </c>
      <c r="AC163" s="1186">
        <v>370487777</v>
      </c>
      <c r="AD163" s="271">
        <f t="shared" si="148"/>
        <v>2593014389</v>
      </c>
      <c r="AE163" s="270">
        <f>NOVIEMBRE!AG163</f>
        <v>1223890138</v>
      </c>
      <c r="AF163" s="1186">
        <v>169538312</v>
      </c>
      <c r="AG163" s="271">
        <f t="shared" si="149"/>
        <v>1393428450</v>
      </c>
      <c r="AH163" s="270">
        <f t="shared" si="150"/>
        <v>1548218862</v>
      </c>
      <c r="AI163" s="220">
        <f t="shared" si="151"/>
        <v>1548218862</v>
      </c>
      <c r="AJ163" s="269">
        <f t="shared" si="152"/>
        <v>2747804801</v>
      </c>
      <c r="AK163" s="101"/>
      <c r="AL163" s="204">
        <v>0</v>
      </c>
      <c r="AM163" s="210">
        <v>0</v>
      </c>
    </row>
    <row r="164" spans="19:39" ht="24.75" customHeight="1">
      <c r="S164" s="1053" t="str">
        <f>+IF(NOVIEMBRE!S164=0,"",NOVIEMBRE!S164)</f>
        <v>2.1.2.02.02.008.807</v>
      </c>
      <c r="T164" s="1054" t="str">
        <f>+IF(NOVIEMBRE!T164=0,"",NOVIEMBRE!T164)</f>
        <v>Mantenimiento Servicios-fotocopias y otros</v>
      </c>
      <c r="U164" s="373">
        <f>+ENERO!U164</f>
        <v>267744477</v>
      </c>
      <c r="V164" s="220">
        <f>NOVIEMBRE!V164+DICIEMBRE!AL164</f>
        <v>0</v>
      </c>
      <c r="W164" s="220">
        <f>NOVIEMBRE!W164+DICIEMBRE!AM164</f>
        <v>0</v>
      </c>
      <c r="X164" s="271">
        <f t="shared" si="146"/>
        <v>267744477</v>
      </c>
      <c r="Y164" s="270">
        <f>NOVIEMBRE!AA164</f>
        <v>173250000</v>
      </c>
      <c r="Z164" s="1186">
        <v>-66184724</v>
      </c>
      <c r="AA164" s="271">
        <f t="shared" si="147"/>
        <v>107065276</v>
      </c>
      <c r="AB164" s="270">
        <f>NOVIEMBRE!AD164</f>
        <v>100906053</v>
      </c>
      <c r="AC164" s="1186">
        <v>6159223</v>
      </c>
      <c r="AD164" s="271">
        <f t="shared" si="148"/>
        <v>107065276</v>
      </c>
      <c r="AE164" s="270">
        <f>NOVIEMBRE!AG164</f>
        <v>45865677</v>
      </c>
      <c r="AF164" s="208">
        <v>0</v>
      </c>
      <c r="AG164" s="271">
        <f t="shared" si="149"/>
        <v>45865677</v>
      </c>
      <c r="AH164" s="270">
        <f t="shared" si="150"/>
        <v>160679201</v>
      </c>
      <c r="AI164" s="220">
        <f t="shared" si="151"/>
        <v>160679201</v>
      </c>
      <c r="AJ164" s="269">
        <f t="shared" si="152"/>
        <v>221878800</v>
      </c>
      <c r="AK164" s="101"/>
      <c r="AL164" s="204">
        <v>0</v>
      </c>
      <c r="AM164" s="210">
        <v>0</v>
      </c>
    </row>
    <row r="165" spans="19:39" ht="24.75" customHeight="1">
      <c r="S165" s="1053" t="str">
        <f>+IF(NOVIEMBRE!S165=0,"",NOVIEMBRE!S165)</f>
        <v>2.1.2.02.02.008.811</v>
      </c>
      <c r="T165" s="1054" t="str">
        <f>+IF(NOVIEMBRE!T165=0,"",NOVIEMBRE!T165)</f>
        <v>Mantenimiento servicios - planta física y sistemas</v>
      </c>
      <c r="U165" s="373">
        <f>+ENERO!U165</f>
        <v>0</v>
      </c>
      <c r="V165" s="220">
        <f>NOVIEMBRE!V165+DICIEMBRE!AL165</f>
        <v>0</v>
      </c>
      <c r="W165" s="220">
        <f>NOVIEMBRE!W165+DICIEMBRE!AM165</f>
        <v>0</v>
      </c>
      <c r="X165" s="271">
        <f t="shared" si="146"/>
        <v>0</v>
      </c>
      <c r="Y165" s="270">
        <f>NOVIEMBRE!AA165</f>
        <v>0</v>
      </c>
      <c r="Z165" s="208"/>
      <c r="AA165" s="271">
        <f t="shared" si="147"/>
        <v>0</v>
      </c>
      <c r="AB165" s="270">
        <f>NOVIEMBRE!AD165</f>
        <v>0</v>
      </c>
      <c r="AC165" s="208"/>
      <c r="AD165" s="271">
        <f t="shared" si="148"/>
        <v>0</v>
      </c>
      <c r="AE165" s="270">
        <f>NOVIEMBRE!AG165</f>
        <v>0</v>
      </c>
      <c r="AF165" s="208"/>
      <c r="AG165" s="271">
        <f t="shared" si="149"/>
        <v>0</v>
      </c>
      <c r="AH165" s="270">
        <f t="shared" si="150"/>
        <v>0</v>
      </c>
      <c r="AI165" s="220">
        <f t="shared" si="151"/>
        <v>0</v>
      </c>
      <c r="AJ165" s="269">
        <f t="shared" si="152"/>
        <v>0</v>
      </c>
      <c r="AK165" s="101"/>
      <c r="AL165" s="204"/>
      <c r="AM165" s="210">
        <v>0</v>
      </c>
    </row>
    <row r="166" spans="19:39" ht="24.75" customHeight="1">
      <c r="S166" s="1053" t="str">
        <f>+IF(NOVIEMBRE!S166=0,"",NOVIEMBRE!S166)</f>
        <v>2.1.2.02.02.008.99.03</v>
      </c>
      <c r="T166" s="1054" t="str">
        <f>+IF(NOVIEMBRE!T166=0,"",NOVIEMBRE!T166)</f>
        <v xml:space="preserve">Vigencias Anteriores Mantenimiento Servicios </v>
      </c>
      <c r="U166" s="373">
        <f>SUM(ENERO!U167)</f>
        <v>2434004587.2222223</v>
      </c>
      <c r="V166" s="220">
        <f>NOVIEMBRE!V166+DICIEMBRE!AL166</f>
        <v>-1694167880</v>
      </c>
      <c r="W166" s="220">
        <f>NOVIEMBRE!W166+DICIEMBRE!AM166</f>
        <v>158814745</v>
      </c>
      <c r="X166" s="271">
        <f t="shared" si="146"/>
        <v>898651452.22222233</v>
      </c>
      <c r="Y166" s="270">
        <f>NOVIEMBRE!AA166</f>
        <v>898651452</v>
      </c>
      <c r="Z166" s="208"/>
      <c r="AA166" s="271">
        <f t="shared" si="147"/>
        <v>898651452</v>
      </c>
      <c r="AB166" s="270">
        <f>NOVIEMBRE!AD166</f>
        <v>898651452</v>
      </c>
      <c r="AC166" s="208"/>
      <c r="AD166" s="271">
        <f t="shared" si="148"/>
        <v>898651452</v>
      </c>
      <c r="AE166" s="270">
        <f>NOVIEMBRE!AG166</f>
        <v>884145930</v>
      </c>
      <c r="AF166" s="208"/>
      <c r="AG166" s="271">
        <f t="shared" si="149"/>
        <v>884145930</v>
      </c>
      <c r="AH166" s="270">
        <f t="shared" si="150"/>
        <v>0.22222232818603516</v>
      </c>
      <c r="AI166" s="220">
        <f t="shared" si="151"/>
        <v>0.22222232818603516</v>
      </c>
      <c r="AJ166" s="269">
        <f t="shared" si="152"/>
        <v>14505522.222222328</v>
      </c>
      <c r="AK166" s="101"/>
      <c r="AL166" s="204"/>
      <c r="AM166" s="210"/>
    </row>
    <row r="167" spans="19:39" ht="24.75" customHeight="1">
      <c r="S167" s="1051" t="str">
        <f>+IF(NOVIEMBRE!S167=0,"",NOVIEMBRE!S167)</f>
        <v/>
      </c>
      <c r="T167" s="1052" t="str">
        <f>+IF(NOVIEMBRE!T167=0,"",NOVIEMBRE!T167)</f>
        <v/>
      </c>
      <c r="U167" s="191"/>
      <c r="V167" s="191"/>
      <c r="W167" s="191"/>
      <c r="X167" s="191"/>
      <c r="Y167" s="191"/>
      <c r="Z167" s="191"/>
      <c r="AA167" s="191"/>
      <c r="AB167" s="191"/>
      <c r="AC167" s="191"/>
      <c r="AD167" s="191"/>
      <c r="AE167" s="191"/>
      <c r="AF167" s="191"/>
      <c r="AG167" s="191"/>
      <c r="AH167" s="191"/>
      <c r="AI167" s="191"/>
      <c r="AJ167" s="192"/>
      <c r="AK167" s="101"/>
      <c r="AL167" s="370"/>
      <c r="AM167" s="371"/>
    </row>
    <row r="168" spans="19:39" ht="24.75" customHeight="1">
      <c r="S168" s="228">
        <f>+IF(NOVIEMBRE!S168=0,"",NOVIEMBRE!S168)</f>
        <v>3000000</v>
      </c>
      <c r="T168" s="404" t="str">
        <f>+IF(NOVIEMBRE!T168=0,"",NOVIEMBRE!T168)</f>
        <v>TRANSFERENCIAS CORRIENTES</v>
      </c>
      <c r="U168" s="405">
        <f t="shared" ref="U168:AJ168" si="153">U170+U174+U183</f>
        <v>2193060585</v>
      </c>
      <c r="V168" s="406">
        <f t="shared" si="153"/>
        <v>-1554000000</v>
      </c>
      <c r="W168" s="406">
        <f t="shared" si="153"/>
        <v>1400000000</v>
      </c>
      <c r="X168" s="407">
        <f t="shared" si="153"/>
        <v>2039060585</v>
      </c>
      <c r="Y168" s="217">
        <f t="shared" si="153"/>
        <v>1755937329</v>
      </c>
      <c r="Z168" s="406">
        <f t="shared" si="153"/>
        <v>45918395</v>
      </c>
      <c r="AA168" s="407">
        <f t="shared" si="153"/>
        <v>1801855724</v>
      </c>
      <c r="AB168" s="217">
        <f t="shared" si="153"/>
        <v>1737270999</v>
      </c>
      <c r="AC168" s="406">
        <f t="shared" si="153"/>
        <v>64584725</v>
      </c>
      <c r="AD168" s="407">
        <f t="shared" si="153"/>
        <v>1801855724</v>
      </c>
      <c r="AE168" s="217">
        <f t="shared" si="153"/>
        <v>1559948486.5</v>
      </c>
      <c r="AF168" s="406">
        <f t="shared" si="153"/>
        <v>241907238</v>
      </c>
      <c r="AG168" s="407">
        <f t="shared" si="153"/>
        <v>1801855724.5</v>
      </c>
      <c r="AH168" s="217">
        <f t="shared" si="153"/>
        <v>237204861</v>
      </c>
      <c r="AI168" s="406">
        <f t="shared" si="153"/>
        <v>237204861</v>
      </c>
      <c r="AJ168" s="218">
        <f t="shared" si="153"/>
        <v>237204860.5</v>
      </c>
      <c r="AK168" s="101"/>
      <c r="AL168" s="233">
        <f>AL170+AL174+AL183</f>
        <v>-13000000</v>
      </c>
      <c r="AM168" s="232">
        <f>AM170+AM174+AM183</f>
        <v>0</v>
      </c>
    </row>
    <row r="169" spans="19:39" ht="24.75" customHeight="1">
      <c r="S169" s="189" t="str">
        <f>+IF(NOVIEMBRE!S169=0,"",NOVIEMBRE!S169)</f>
        <v/>
      </c>
      <c r="T169" s="488" t="str">
        <f>+IF(NOVIEMBRE!T169=0,"",NOVIEMBRE!T169)</f>
        <v/>
      </c>
      <c r="U169" s="191"/>
      <c r="V169" s="191"/>
      <c r="W169" s="191"/>
      <c r="X169" s="191"/>
      <c r="Y169" s="191"/>
      <c r="Z169" s="191"/>
      <c r="AA169" s="191"/>
      <c r="AB169" s="191"/>
      <c r="AC169" s="191"/>
      <c r="AD169" s="191"/>
      <c r="AE169" s="191"/>
      <c r="AF169" s="191"/>
      <c r="AG169" s="191"/>
      <c r="AH169" s="191"/>
      <c r="AI169" s="191"/>
      <c r="AJ169" s="192"/>
      <c r="AK169" s="101"/>
      <c r="AL169" s="370"/>
      <c r="AM169" s="371"/>
    </row>
    <row r="170" spans="19:39" ht="24.75" customHeight="1">
      <c r="S170" s="257">
        <f>+IF(NOVIEMBRE!S170=0,"",NOVIEMBRE!S170)</f>
        <v>3100000</v>
      </c>
      <c r="T170" s="546" t="str">
        <f>+IF(NOVIEMBRE!T170=0,"",NOVIEMBRE!T170)</f>
        <v>Transferencias al Sector Público</v>
      </c>
      <c r="U170" s="230">
        <f t="shared" ref="U170:AJ170" si="154">SUM(U171:U172)</f>
        <v>570000000</v>
      </c>
      <c r="V170" s="231">
        <f t="shared" si="154"/>
        <v>-1018000000</v>
      </c>
      <c r="W170" s="231">
        <f t="shared" si="154"/>
        <v>900000000</v>
      </c>
      <c r="X170" s="234">
        <f t="shared" si="154"/>
        <v>452000000</v>
      </c>
      <c r="Y170" s="233">
        <f t="shared" si="154"/>
        <v>385344819</v>
      </c>
      <c r="Z170" s="231">
        <f>SUM(Z171:Z172)</f>
        <v>11398347</v>
      </c>
      <c r="AA170" s="234">
        <f t="shared" si="154"/>
        <v>396743166</v>
      </c>
      <c r="AB170" s="233">
        <f t="shared" si="154"/>
        <v>372135832</v>
      </c>
      <c r="AC170" s="231">
        <f t="shared" si="154"/>
        <v>24607334</v>
      </c>
      <c r="AD170" s="234">
        <f t="shared" si="154"/>
        <v>396743166</v>
      </c>
      <c r="AE170" s="233">
        <f t="shared" si="154"/>
        <v>372135832</v>
      </c>
      <c r="AF170" s="231">
        <f t="shared" si="154"/>
        <v>24607334</v>
      </c>
      <c r="AG170" s="234">
        <f t="shared" si="154"/>
        <v>396743166</v>
      </c>
      <c r="AH170" s="233">
        <f t="shared" si="154"/>
        <v>55256834</v>
      </c>
      <c r="AI170" s="231">
        <f t="shared" si="154"/>
        <v>55256834</v>
      </c>
      <c r="AJ170" s="232">
        <f t="shared" si="154"/>
        <v>55256834</v>
      </c>
      <c r="AK170" s="101"/>
      <c r="AL170" s="233">
        <f>SUM(AL171:AL172)</f>
        <v>-13000000</v>
      </c>
      <c r="AM170" s="232">
        <f>SUM(AM171:AM172)</f>
        <v>0</v>
      </c>
    </row>
    <row r="171" spans="19:39" ht="24.75" customHeight="1">
      <c r="S171" s="266" t="str">
        <f>+IF(NOVIEMBRE!S171=0,"",NOVIEMBRE!S171)</f>
        <v>2.1.8.04.01</v>
      </c>
      <c r="T171" s="267" t="str">
        <f>+IF(NOVIEMBRE!T171=0,"",NOVIEMBRE!T171)</f>
        <v>Cuotas de fiscalizacion y auditaje</v>
      </c>
      <c r="U171" s="373">
        <f>+ENERO!U172</f>
        <v>170000000</v>
      </c>
      <c r="V171" s="220">
        <f>NOVIEMBRE!V171+DICIEMBRE!AL171</f>
        <v>-43000000</v>
      </c>
      <c r="W171" s="220">
        <f>NOVIEMBRE!W171+DICIEMBRE!AM171</f>
        <v>0</v>
      </c>
      <c r="X171" s="271">
        <f>SUM(U171:W171)</f>
        <v>127000000</v>
      </c>
      <c r="Y171" s="270">
        <f>NOVIEMBRE!AA171</f>
        <v>122145496</v>
      </c>
      <c r="Z171" s="1186">
        <v>-13208987</v>
      </c>
      <c r="AA171" s="271">
        <f>SUM(Y171:Z171)</f>
        <v>108936509</v>
      </c>
      <c r="AB171" s="270">
        <f>NOVIEMBRE!AD171</f>
        <v>108936509</v>
      </c>
      <c r="AC171" s="208">
        <v>0</v>
      </c>
      <c r="AD171" s="271">
        <f>SUM(AB171:AC171)</f>
        <v>108936509</v>
      </c>
      <c r="AE171" s="270">
        <f>NOVIEMBRE!AG171</f>
        <v>108936509</v>
      </c>
      <c r="AF171" s="208">
        <v>0</v>
      </c>
      <c r="AG171" s="271">
        <f>SUM(AE171:AF171)</f>
        <v>108936509</v>
      </c>
      <c r="AH171" s="270">
        <f>X171-AA171</f>
        <v>18063491</v>
      </c>
      <c r="AI171" s="220">
        <f>X171-AD171</f>
        <v>18063491</v>
      </c>
      <c r="AJ171" s="269">
        <f>X171-AG171</f>
        <v>18063491</v>
      </c>
      <c r="AK171" s="101"/>
      <c r="AL171" s="204">
        <v>-13000000</v>
      </c>
      <c r="AM171" s="210">
        <v>0</v>
      </c>
    </row>
    <row r="172" spans="19:39" ht="24.75" customHeight="1">
      <c r="S172" s="266" t="str">
        <f>+IF(NOVIEMBRE!S172=0,"",NOVIEMBRE!S172)</f>
        <v>2.1.8.02</v>
      </c>
      <c r="T172" s="267" t="str">
        <f>+IF(NOVIEMBRE!T172=0,"",NOVIEMBRE!T172)</f>
        <v>Acuerdo de estampillas</v>
      </c>
      <c r="U172" s="373">
        <f>+ENERO!U173</f>
        <v>400000000</v>
      </c>
      <c r="V172" s="220">
        <f>NOVIEMBRE!V172+DICIEMBRE!AL172</f>
        <v>-975000000</v>
      </c>
      <c r="W172" s="220">
        <f>NOVIEMBRE!W172+DICIEMBRE!AM172</f>
        <v>900000000</v>
      </c>
      <c r="X172" s="271">
        <f>SUM(U172:W172)</f>
        <v>325000000</v>
      </c>
      <c r="Y172" s="270">
        <f>NOVIEMBRE!AA172</f>
        <v>263199323</v>
      </c>
      <c r="Z172" s="1186">
        <v>24607334</v>
      </c>
      <c r="AA172" s="271">
        <f>SUM(Y172:Z172)</f>
        <v>287806657</v>
      </c>
      <c r="AB172" s="270">
        <f>NOVIEMBRE!AD172</f>
        <v>263199323</v>
      </c>
      <c r="AC172" s="1186">
        <v>24607334</v>
      </c>
      <c r="AD172" s="271">
        <f>SUM(AB172:AC172)</f>
        <v>287806657</v>
      </c>
      <c r="AE172" s="270">
        <f>NOVIEMBRE!AG172</f>
        <v>263199323</v>
      </c>
      <c r="AF172" s="1186">
        <v>24607334</v>
      </c>
      <c r="AG172" s="271">
        <f>SUM(AE172:AF172)</f>
        <v>287806657</v>
      </c>
      <c r="AH172" s="270">
        <f>X172-AA172</f>
        <v>37193343</v>
      </c>
      <c r="AI172" s="220">
        <f>X172-AD172</f>
        <v>37193343</v>
      </c>
      <c r="AJ172" s="269">
        <f>X172-AG172</f>
        <v>37193343</v>
      </c>
      <c r="AK172" s="101"/>
      <c r="AL172" s="204">
        <v>0</v>
      </c>
      <c r="AM172" s="210">
        <v>0</v>
      </c>
    </row>
    <row r="173" spans="19:39" ht="24.75" customHeight="1">
      <c r="S173" s="189">
        <f>+IF(NOVIEMBRE!S173=0,"",NOVIEMBRE!S173)</f>
        <v>23007296</v>
      </c>
      <c r="T173" s="488" t="str">
        <f>+IF(NOVIEMBRE!T173=0,"",NOVIEMBRE!T173)</f>
        <v/>
      </c>
      <c r="U173" s="191"/>
      <c r="V173" s="191"/>
      <c r="W173" s="191"/>
      <c r="X173" s="191"/>
      <c r="Y173" s="191"/>
      <c r="Z173" s="191"/>
      <c r="AA173" s="191"/>
      <c r="AB173" s="191"/>
      <c r="AC173" s="191"/>
      <c r="AD173" s="191"/>
      <c r="AE173" s="191"/>
      <c r="AF173" s="191"/>
      <c r="AG173" s="191"/>
      <c r="AH173" s="191"/>
      <c r="AI173" s="191"/>
      <c r="AJ173" s="192"/>
      <c r="AK173" s="101"/>
      <c r="AL173" s="370"/>
      <c r="AM173" s="371"/>
    </row>
    <row r="174" spans="19:39" ht="24.75" customHeight="1">
      <c r="S174" s="257">
        <f>+IF(NOVIEMBRE!S174=0,"",NOVIEMBRE!S174)</f>
        <v>320000</v>
      </c>
      <c r="T174" s="546" t="str">
        <f>+IF(NOVIEMBRE!T174=0,"",NOVIEMBRE!T174)</f>
        <v>Transf. Previsión y Seguridad Social</v>
      </c>
      <c r="U174" s="230">
        <f t="shared" ref="U174:AJ174" si="155">SUM(U175:U181)</f>
        <v>310000000</v>
      </c>
      <c r="V174" s="231">
        <f t="shared" si="155"/>
        <v>-60000000</v>
      </c>
      <c r="W174" s="231">
        <f t="shared" si="155"/>
        <v>0</v>
      </c>
      <c r="X174" s="234">
        <f t="shared" si="155"/>
        <v>250000000</v>
      </c>
      <c r="Y174" s="233">
        <f t="shared" si="155"/>
        <v>179521341</v>
      </c>
      <c r="Z174" s="231">
        <f t="shared" si="155"/>
        <v>34027245</v>
      </c>
      <c r="AA174" s="234">
        <f t="shared" si="155"/>
        <v>213548586</v>
      </c>
      <c r="AB174" s="233">
        <f t="shared" si="155"/>
        <v>175396341</v>
      </c>
      <c r="AC174" s="231">
        <f t="shared" si="155"/>
        <v>38152245</v>
      </c>
      <c r="AD174" s="234">
        <f t="shared" si="155"/>
        <v>213548586</v>
      </c>
      <c r="AE174" s="233">
        <f t="shared" si="155"/>
        <v>175396341</v>
      </c>
      <c r="AF174" s="231">
        <f t="shared" si="155"/>
        <v>38152245</v>
      </c>
      <c r="AG174" s="234">
        <f t="shared" si="155"/>
        <v>213548586</v>
      </c>
      <c r="AH174" s="233">
        <f t="shared" si="155"/>
        <v>36451414</v>
      </c>
      <c r="AI174" s="231">
        <f t="shared" si="155"/>
        <v>36451414</v>
      </c>
      <c r="AJ174" s="232">
        <f t="shared" si="155"/>
        <v>36451414</v>
      </c>
      <c r="AK174" s="101"/>
      <c r="AL174" s="233">
        <f>SUM(AL175:AL181)</f>
        <v>0</v>
      </c>
      <c r="AM174" s="232">
        <f>SUM(AM175:AM181)</f>
        <v>0</v>
      </c>
    </row>
    <row r="175" spans="19:39" ht="24.75" customHeight="1">
      <c r="S175" s="266">
        <f>+IF(NOVIEMBRE!S175=0,"",NOVIEMBRE!S175)</f>
        <v>3200100</v>
      </c>
      <c r="T175" s="267" t="str">
        <f>+IF(NOVIEMBRE!T175=0,"",NOVIEMBRE!T175)</f>
        <v>Pensiones y Jubilaciones (Pago Directo)</v>
      </c>
      <c r="U175" s="373">
        <f>+ENERO!U176</f>
        <v>0</v>
      </c>
      <c r="V175" s="220">
        <f>NOVIEMBRE!V175+DICIEMBRE!AL175</f>
        <v>0</v>
      </c>
      <c r="W175" s="220">
        <f>NOVIEMBRE!W175+DICIEMBRE!AM175</f>
        <v>0</v>
      </c>
      <c r="X175" s="271">
        <f t="shared" ref="X175:X181" si="156">SUM(U175:W175)</f>
        <v>0</v>
      </c>
      <c r="Y175" s="270">
        <f>NOVIEMBRE!AA175</f>
        <v>0</v>
      </c>
      <c r="Z175" s="208"/>
      <c r="AA175" s="271">
        <f t="shared" ref="AA175:AA181" si="157">SUM(Y175:Z175)</f>
        <v>0</v>
      </c>
      <c r="AB175" s="270">
        <f>NOVIEMBRE!AD175</f>
        <v>0</v>
      </c>
      <c r="AC175" s="208"/>
      <c r="AD175" s="271">
        <f t="shared" ref="AD175:AD181" si="158">SUM(AB175:AC175)</f>
        <v>0</v>
      </c>
      <c r="AE175" s="270">
        <f>NOVIEMBRE!AG175</f>
        <v>0</v>
      </c>
      <c r="AF175" s="208"/>
      <c r="AG175" s="271">
        <f t="shared" ref="AG175:AG181" si="159">SUM(AE175:AF175)</f>
        <v>0</v>
      </c>
      <c r="AH175" s="270">
        <f t="shared" ref="AH175:AH181" si="160">X175-AA175</f>
        <v>0</v>
      </c>
      <c r="AI175" s="220">
        <f t="shared" ref="AI175:AI181" si="161">X175-AD175</f>
        <v>0</v>
      </c>
      <c r="AJ175" s="269">
        <f t="shared" ref="AJ175:AJ181" si="162">X175-AG175</f>
        <v>0</v>
      </c>
      <c r="AK175" s="101"/>
      <c r="AL175" s="204">
        <v>0</v>
      </c>
      <c r="AM175" s="210">
        <v>0</v>
      </c>
    </row>
    <row r="176" spans="19:39" ht="24.75" customHeight="1">
      <c r="S176" s="266">
        <f>+IF(NOVIEMBRE!S176=0,"",NOVIEMBRE!S176)</f>
        <v>3200200</v>
      </c>
      <c r="T176" s="267" t="str">
        <f>+IF(NOVIEMBRE!T176=0,"",NOVIEMBRE!T176)</f>
        <v>Cesantías Pago Directo (Pago Directo)</v>
      </c>
      <c r="U176" s="373">
        <f>+ENERO!U177</f>
        <v>0</v>
      </c>
      <c r="V176" s="220">
        <f>NOVIEMBRE!V176+DICIEMBRE!AL176</f>
        <v>0</v>
      </c>
      <c r="W176" s="220">
        <f>NOVIEMBRE!W176+DICIEMBRE!AM176</f>
        <v>0</v>
      </c>
      <c r="X176" s="271">
        <f t="shared" si="156"/>
        <v>0</v>
      </c>
      <c r="Y176" s="270">
        <f>NOVIEMBRE!AA176</f>
        <v>0</v>
      </c>
      <c r="Z176" s="208"/>
      <c r="AA176" s="271">
        <f t="shared" si="157"/>
        <v>0</v>
      </c>
      <c r="AB176" s="270">
        <f>NOVIEMBRE!AD176</f>
        <v>0</v>
      </c>
      <c r="AC176" s="208"/>
      <c r="AD176" s="271">
        <f t="shared" si="158"/>
        <v>0</v>
      </c>
      <c r="AE176" s="270">
        <f>NOVIEMBRE!AG176</f>
        <v>0</v>
      </c>
      <c r="AF176" s="208"/>
      <c r="AG176" s="271">
        <f t="shared" si="159"/>
        <v>0</v>
      </c>
      <c r="AH176" s="270">
        <f t="shared" si="160"/>
        <v>0</v>
      </c>
      <c r="AI176" s="220">
        <f t="shared" si="161"/>
        <v>0</v>
      </c>
      <c r="AJ176" s="269">
        <f t="shared" si="162"/>
        <v>0</v>
      </c>
      <c r="AK176" s="101"/>
      <c r="AL176" s="204">
        <v>0</v>
      </c>
      <c r="AM176" s="210">
        <v>0</v>
      </c>
    </row>
    <row r="177" spans="19:39" ht="24.75" customHeight="1">
      <c r="S177" s="266" t="str">
        <f>+IF(NOVIEMBRE!S177=0,"",NOVIEMBRE!S177)</f>
        <v>2.1.3.07.02.002.02</v>
      </c>
      <c r="T177" s="267" t="str">
        <f>+IF(NOVIEMBRE!T177=0,"",NOVIEMBRE!T177)</f>
        <v>Cuotas partes pensionales a cargo de la entidad ( de pensiones)</v>
      </c>
      <c r="U177" s="373">
        <f>+ENERO!U178</f>
        <v>10000000</v>
      </c>
      <c r="V177" s="220">
        <f>NOVIEMBRE!V177+DICIEMBRE!AL177</f>
        <v>10000000</v>
      </c>
      <c r="W177" s="220">
        <f>NOVIEMBRE!W177+DICIEMBRE!AM177</f>
        <v>0</v>
      </c>
      <c r="X177" s="271">
        <f t="shared" si="156"/>
        <v>20000000</v>
      </c>
      <c r="Y177" s="270">
        <f>NOVIEMBRE!AA177</f>
        <v>9936341</v>
      </c>
      <c r="Z177" s="1186">
        <v>702245</v>
      </c>
      <c r="AA177" s="271">
        <f t="shared" si="157"/>
        <v>10638586</v>
      </c>
      <c r="AB177" s="270">
        <f>NOVIEMBRE!AD177</f>
        <v>9936341</v>
      </c>
      <c r="AC177" s="1186">
        <v>702245</v>
      </c>
      <c r="AD177" s="271">
        <f t="shared" si="158"/>
        <v>10638586</v>
      </c>
      <c r="AE177" s="270">
        <f>NOVIEMBRE!AG177</f>
        <v>9936341</v>
      </c>
      <c r="AF177" s="1186">
        <v>702245</v>
      </c>
      <c r="AG177" s="271">
        <f t="shared" si="159"/>
        <v>10638586</v>
      </c>
      <c r="AH177" s="270">
        <f t="shared" si="160"/>
        <v>9361414</v>
      </c>
      <c r="AI177" s="220">
        <f t="shared" si="161"/>
        <v>9361414</v>
      </c>
      <c r="AJ177" s="269">
        <f t="shared" si="162"/>
        <v>9361414</v>
      </c>
      <c r="AK177" s="101"/>
      <c r="AL177" s="204">
        <v>0</v>
      </c>
      <c r="AM177" s="210">
        <v>0</v>
      </c>
    </row>
    <row r="178" spans="19:39" ht="24.75" customHeight="1">
      <c r="S178" s="266" t="str">
        <f>+IF(NOVIEMBRE!S178=0,"",NOVIEMBRE!S178)</f>
        <v>2.1.3.07.02.003.02</v>
      </c>
      <c r="T178" s="267" t="str">
        <f>+IF(NOVIEMBRE!T178=0,"",NOVIEMBRE!T178)</f>
        <v>Bonos pensionales a cargo de la entidad ( de pensiones)</v>
      </c>
      <c r="U178" s="373">
        <f>+ENERO!U179</f>
        <v>300000000</v>
      </c>
      <c r="V178" s="220">
        <f>NOVIEMBRE!V178+DICIEMBRE!AL178</f>
        <v>-70000000</v>
      </c>
      <c r="W178" s="220">
        <f>NOVIEMBRE!W178+DICIEMBRE!AM178</f>
        <v>0</v>
      </c>
      <c r="X178" s="271">
        <f t="shared" si="156"/>
        <v>230000000</v>
      </c>
      <c r="Y178" s="270">
        <f>NOVIEMBRE!AA178</f>
        <v>169585000</v>
      </c>
      <c r="Z178" s="1186">
        <v>33325000</v>
      </c>
      <c r="AA178" s="271">
        <f t="shared" si="157"/>
        <v>202910000</v>
      </c>
      <c r="AB178" s="270">
        <f>NOVIEMBRE!AD178</f>
        <v>165460000</v>
      </c>
      <c r="AC178" s="1186">
        <v>37450000</v>
      </c>
      <c r="AD178" s="271">
        <f t="shared" si="158"/>
        <v>202910000</v>
      </c>
      <c r="AE178" s="270">
        <f>NOVIEMBRE!AG178</f>
        <v>165460000</v>
      </c>
      <c r="AF178" s="1186">
        <v>37450000</v>
      </c>
      <c r="AG178" s="271">
        <f t="shared" si="159"/>
        <v>202910000</v>
      </c>
      <c r="AH178" s="270">
        <f t="shared" si="160"/>
        <v>27090000</v>
      </c>
      <c r="AI178" s="220">
        <f t="shared" si="161"/>
        <v>27090000</v>
      </c>
      <c r="AJ178" s="269">
        <f t="shared" si="162"/>
        <v>27090000</v>
      </c>
      <c r="AK178" s="101"/>
      <c r="AL178" s="204">
        <v>0</v>
      </c>
      <c r="AM178" s="210">
        <v>0</v>
      </c>
    </row>
    <row r="179" spans="19:39" ht="24.75" customHeight="1">
      <c r="S179" s="266" t="str">
        <f>+IF(NOVIEMBRE!S179=0,"",NOVIEMBRE!S179)</f>
        <v>2.1.8.04.07</v>
      </c>
      <c r="T179" s="267" t="str">
        <f>+IF(NOVIEMBRE!T179=0,"",NOVIEMBRE!T179)</f>
        <v>Contribucion de Vigilancia Superintendencia Nacional de Salud</v>
      </c>
      <c r="U179" s="373">
        <f>+ENERO!U180</f>
        <v>0</v>
      </c>
      <c r="V179" s="220">
        <f>NOVIEMBRE!V179+DICIEMBRE!AL179</f>
        <v>0</v>
      </c>
      <c r="W179" s="220">
        <f>NOVIEMBRE!W179+DICIEMBRE!AM179</f>
        <v>0</v>
      </c>
      <c r="X179" s="271">
        <f t="shared" si="156"/>
        <v>0</v>
      </c>
      <c r="Y179" s="270">
        <f>NOVIEMBRE!AA179</f>
        <v>0</v>
      </c>
      <c r="Z179" s="208"/>
      <c r="AA179" s="271">
        <f t="shared" si="157"/>
        <v>0</v>
      </c>
      <c r="AB179" s="270">
        <f>NOVIEMBRE!AD179</f>
        <v>0</v>
      </c>
      <c r="AC179" s="208">
        <v>0</v>
      </c>
      <c r="AD179" s="271">
        <f t="shared" si="158"/>
        <v>0</v>
      </c>
      <c r="AE179" s="270">
        <f>NOVIEMBRE!AG179</f>
        <v>0</v>
      </c>
      <c r="AF179" s="208"/>
      <c r="AG179" s="271">
        <f t="shared" si="159"/>
        <v>0</v>
      </c>
      <c r="AH179" s="270">
        <f t="shared" si="160"/>
        <v>0</v>
      </c>
      <c r="AI179" s="220">
        <f t="shared" si="161"/>
        <v>0</v>
      </c>
      <c r="AJ179" s="269">
        <f t="shared" si="162"/>
        <v>0</v>
      </c>
      <c r="AK179" s="101"/>
      <c r="AL179" s="204">
        <v>0</v>
      </c>
      <c r="AM179" s="210">
        <v>0</v>
      </c>
    </row>
    <row r="180" spans="19:39" ht="24.75" customHeight="1">
      <c r="S180" s="266">
        <f>+IF(NOVIEMBRE!S180=0,"",NOVIEMBRE!S180)</f>
        <v>3200600</v>
      </c>
      <c r="T180" s="267" t="str">
        <f>+IF(NOVIEMBRE!T180=0,"",NOVIEMBRE!T180)</f>
        <v/>
      </c>
      <c r="U180" s="373">
        <f>+ENERO!U181</f>
        <v>0</v>
      </c>
      <c r="V180" s="220">
        <f>NOVIEMBRE!V180+DICIEMBRE!AL180</f>
        <v>0</v>
      </c>
      <c r="W180" s="220">
        <f>NOVIEMBRE!W180+DICIEMBRE!AM180</f>
        <v>0</v>
      </c>
      <c r="X180" s="271">
        <f t="shared" si="156"/>
        <v>0</v>
      </c>
      <c r="Y180" s="270">
        <f>NOVIEMBRE!AA180</f>
        <v>0</v>
      </c>
      <c r="Z180" s="208">
        <v>0</v>
      </c>
      <c r="AA180" s="271">
        <f t="shared" si="157"/>
        <v>0</v>
      </c>
      <c r="AB180" s="270">
        <f>NOVIEMBRE!AD180</f>
        <v>0</v>
      </c>
      <c r="AC180" s="208">
        <v>0</v>
      </c>
      <c r="AD180" s="271">
        <f t="shared" si="158"/>
        <v>0</v>
      </c>
      <c r="AE180" s="270">
        <f>NOVIEMBRE!AG180</f>
        <v>0</v>
      </c>
      <c r="AF180" s="208">
        <v>0</v>
      </c>
      <c r="AG180" s="271">
        <f t="shared" si="159"/>
        <v>0</v>
      </c>
      <c r="AH180" s="270">
        <f t="shared" si="160"/>
        <v>0</v>
      </c>
      <c r="AI180" s="220">
        <f t="shared" si="161"/>
        <v>0</v>
      </c>
      <c r="AJ180" s="269">
        <f t="shared" si="162"/>
        <v>0</v>
      </c>
      <c r="AK180" s="101"/>
      <c r="AL180" s="204">
        <v>0</v>
      </c>
      <c r="AM180" s="210">
        <v>0</v>
      </c>
    </row>
    <row r="181" spans="19:39" ht="24.75" customHeight="1">
      <c r="S181" s="266" t="str">
        <f>+IF(NOVIEMBRE!S181=0,"",NOVIEMBRE!S181)</f>
        <v>2.1.7.01.01</v>
      </c>
      <c r="T181" s="267" t="str">
        <f>+IF(NOVIEMBRE!T181=0,"",NOVIEMBRE!T181)</f>
        <v>Vigencias Anteriores Cesantias</v>
      </c>
      <c r="U181" s="373">
        <f>+ENERO!U182</f>
        <v>0</v>
      </c>
      <c r="V181" s="220">
        <f>NOVIEMBRE!V181+DICIEMBRE!AL181</f>
        <v>0</v>
      </c>
      <c r="W181" s="220">
        <f>NOVIEMBRE!W181+DICIEMBRE!AM181</f>
        <v>0</v>
      </c>
      <c r="X181" s="271">
        <f t="shared" si="156"/>
        <v>0</v>
      </c>
      <c r="Y181" s="270">
        <f>NOVIEMBRE!AA181</f>
        <v>0</v>
      </c>
      <c r="Z181" s="208">
        <v>0</v>
      </c>
      <c r="AA181" s="271">
        <f t="shared" si="157"/>
        <v>0</v>
      </c>
      <c r="AB181" s="270">
        <f>NOVIEMBRE!AD181</f>
        <v>0</v>
      </c>
      <c r="AC181" s="208">
        <v>0</v>
      </c>
      <c r="AD181" s="271">
        <f t="shared" si="158"/>
        <v>0</v>
      </c>
      <c r="AE181" s="270">
        <f>NOVIEMBRE!AG181</f>
        <v>0</v>
      </c>
      <c r="AF181" s="208">
        <v>0</v>
      </c>
      <c r="AG181" s="271">
        <f t="shared" si="159"/>
        <v>0</v>
      </c>
      <c r="AH181" s="270">
        <f t="shared" si="160"/>
        <v>0</v>
      </c>
      <c r="AI181" s="220">
        <f t="shared" si="161"/>
        <v>0</v>
      </c>
      <c r="AJ181" s="269">
        <f t="shared" si="162"/>
        <v>0</v>
      </c>
      <c r="AK181" s="101"/>
      <c r="AL181" s="204">
        <v>0</v>
      </c>
      <c r="AM181" s="210">
        <v>0</v>
      </c>
    </row>
    <row r="182" spans="19:39" ht="24.75" customHeight="1">
      <c r="S182" s="189" t="str">
        <f>+IF(NOVIEMBRE!S182=0,"",NOVIEMBRE!S182)</f>
        <v/>
      </c>
      <c r="T182" s="488" t="str">
        <f>+IF(NOVIEMBRE!T182=0,"",NOVIEMBRE!T182)</f>
        <v/>
      </c>
      <c r="U182" s="191"/>
      <c r="V182" s="191"/>
      <c r="W182" s="191"/>
      <c r="X182" s="191"/>
      <c r="Y182" s="191"/>
      <c r="Z182" s="191">
        <v>0</v>
      </c>
      <c r="AA182" s="191"/>
      <c r="AB182" s="191"/>
      <c r="AC182" s="191"/>
      <c r="AD182" s="191"/>
      <c r="AE182" s="191"/>
      <c r="AF182" s="191"/>
      <c r="AG182" s="191"/>
      <c r="AH182" s="191"/>
      <c r="AI182" s="191"/>
      <c r="AJ182" s="192"/>
      <c r="AK182" s="101"/>
      <c r="AL182" s="370"/>
      <c r="AM182" s="371"/>
    </row>
    <row r="183" spans="19:39" ht="24.75" customHeight="1">
      <c r="S183" s="257">
        <f>+IF(NOVIEMBRE!S183=0,"",NOVIEMBRE!S183)</f>
        <v>3300000</v>
      </c>
      <c r="T183" s="546" t="str">
        <f>+IF(NOVIEMBRE!T183=0,"",NOVIEMBRE!T183)</f>
        <v>Otras Transferencias</v>
      </c>
      <c r="U183" s="230">
        <f t="shared" ref="U183:AJ183" si="163">U184+U185+U190</f>
        <v>1313060585</v>
      </c>
      <c r="V183" s="231">
        <f t="shared" si="163"/>
        <v>-476000000</v>
      </c>
      <c r="W183" s="231">
        <f t="shared" si="163"/>
        <v>500000000</v>
      </c>
      <c r="X183" s="234">
        <f t="shared" si="163"/>
        <v>1337060585</v>
      </c>
      <c r="Y183" s="233">
        <f t="shared" si="163"/>
        <v>1191071169</v>
      </c>
      <c r="Z183" s="231">
        <f t="shared" si="163"/>
        <v>492803</v>
      </c>
      <c r="AA183" s="234">
        <f t="shared" si="163"/>
        <v>1191563972</v>
      </c>
      <c r="AB183" s="233">
        <f t="shared" si="163"/>
        <v>1189738826</v>
      </c>
      <c r="AC183" s="231">
        <f t="shared" si="163"/>
        <v>1825146</v>
      </c>
      <c r="AD183" s="234">
        <f t="shared" si="163"/>
        <v>1191563972</v>
      </c>
      <c r="AE183" s="233">
        <f t="shared" si="163"/>
        <v>1012416313.5</v>
      </c>
      <c r="AF183" s="231">
        <f t="shared" si="163"/>
        <v>179147659</v>
      </c>
      <c r="AG183" s="234">
        <f t="shared" si="163"/>
        <v>1191563972.5</v>
      </c>
      <c r="AH183" s="233">
        <f t="shared" si="163"/>
        <v>145496613</v>
      </c>
      <c r="AI183" s="231">
        <f t="shared" si="163"/>
        <v>145496613</v>
      </c>
      <c r="AJ183" s="232">
        <f t="shared" si="163"/>
        <v>145496612.5</v>
      </c>
      <c r="AK183" s="101"/>
      <c r="AL183" s="233">
        <f>AL184+AL185+AL190</f>
        <v>0</v>
      </c>
      <c r="AM183" s="232">
        <f>AM184+AM185+AM190</f>
        <v>0</v>
      </c>
    </row>
    <row r="184" spans="19:39" ht="24.75" customHeight="1">
      <c r="S184" s="266" t="str">
        <f>+IF(NOVIEMBRE!S184=0,"",NOVIEMBRE!S184)</f>
        <v>2.1.3.13.01.001</v>
      </c>
      <c r="T184" s="267" t="str">
        <f>+IF(NOVIEMBRE!T184=0,"",NOVIEMBRE!T184)</f>
        <v>Sentencias</v>
      </c>
      <c r="U184" s="373">
        <f>+ENERO!U185</f>
        <v>800000000</v>
      </c>
      <c r="V184" s="220">
        <f>NOVIEMBRE!V184+DICIEMBRE!AL184</f>
        <v>-250000000</v>
      </c>
      <c r="W184" s="220">
        <f>NOVIEMBRE!W184+DICIEMBRE!AM184</f>
        <v>0</v>
      </c>
      <c r="X184" s="271">
        <f>SUM(U184:W184)</f>
        <v>550000000</v>
      </c>
      <c r="Y184" s="270">
        <f>NOVIEMBRE!AA184</f>
        <v>510511911</v>
      </c>
      <c r="Z184" s="208">
        <v>0</v>
      </c>
      <c r="AA184" s="271">
        <f>SUM(Y184:Z184)</f>
        <v>510511911</v>
      </c>
      <c r="AB184" s="270">
        <f>NOVIEMBRE!AD184</f>
        <v>510511911</v>
      </c>
      <c r="AC184" s="208">
        <v>0</v>
      </c>
      <c r="AD184" s="271">
        <f>SUM(AB184:AC184)</f>
        <v>510511911</v>
      </c>
      <c r="AE184" s="270">
        <f>NOVIEMBRE!AG184</f>
        <v>333712101.5</v>
      </c>
      <c r="AF184" s="1186">
        <v>176799810</v>
      </c>
      <c r="AG184" s="271">
        <f>SUM(AE184:AF184)</f>
        <v>510511911.5</v>
      </c>
      <c r="AH184" s="270">
        <f>X184-AA184</f>
        <v>39488089</v>
      </c>
      <c r="AI184" s="220">
        <f>X184-AD184</f>
        <v>39488089</v>
      </c>
      <c r="AJ184" s="269">
        <f>X184-AG184</f>
        <v>39488088.5</v>
      </c>
      <c r="AK184" s="101"/>
      <c r="AL184" s="204">
        <v>0</v>
      </c>
      <c r="AM184" s="210">
        <v>0</v>
      </c>
    </row>
    <row r="185" spans="19:39" ht="24.75" customHeight="1">
      <c r="S185" s="266">
        <f>+IF(NOVIEMBRE!S185=0,"",NOVIEMBRE!S185)</f>
        <v>3300200</v>
      </c>
      <c r="T185" s="267" t="str">
        <f>+IF(NOVIEMBRE!T185=0,"",NOVIEMBRE!T185)</f>
        <v>Destinatarios de otras transferencias</v>
      </c>
      <c r="U185" s="373">
        <f t="shared" ref="U185:AJ185" si="164">SUM(U186:U189)</f>
        <v>463060585</v>
      </c>
      <c r="V185" s="220">
        <f t="shared" si="164"/>
        <v>-379000000</v>
      </c>
      <c r="W185" s="220">
        <f t="shared" si="164"/>
        <v>500000000</v>
      </c>
      <c r="X185" s="271">
        <f t="shared" si="164"/>
        <v>584060585</v>
      </c>
      <c r="Y185" s="270">
        <f t="shared" si="164"/>
        <v>477785049</v>
      </c>
      <c r="Z185" s="300">
        <f t="shared" si="164"/>
        <v>492803</v>
      </c>
      <c r="AA185" s="271">
        <f t="shared" si="164"/>
        <v>478277852</v>
      </c>
      <c r="AB185" s="270">
        <f t="shared" si="164"/>
        <v>476452706</v>
      </c>
      <c r="AC185" s="300">
        <f t="shared" si="164"/>
        <v>1825146</v>
      </c>
      <c r="AD185" s="271">
        <f t="shared" si="164"/>
        <v>478277852</v>
      </c>
      <c r="AE185" s="270">
        <f t="shared" si="164"/>
        <v>475930003</v>
      </c>
      <c r="AF185" s="300">
        <f t="shared" si="164"/>
        <v>2347849</v>
      </c>
      <c r="AG185" s="271">
        <f t="shared" si="164"/>
        <v>478277852</v>
      </c>
      <c r="AH185" s="270">
        <f t="shared" si="164"/>
        <v>105782733</v>
      </c>
      <c r="AI185" s="220">
        <f t="shared" si="164"/>
        <v>105782733</v>
      </c>
      <c r="AJ185" s="269">
        <f t="shared" si="164"/>
        <v>105782733</v>
      </c>
      <c r="AK185" s="101"/>
      <c r="AL185" s="301">
        <f>SUM(AL186:AL189)</f>
        <v>0</v>
      </c>
      <c r="AM185" s="302">
        <f>SUM(AM186:AM189)</f>
        <v>0</v>
      </c>
    </row>
    <row r="186" spans="19:39" ht="24.75" customHeight="1">
      <c r="S186" s="311" t="str">
        <f>+IF(NOVIEMBRE!S186=0,"",NOVIEMBRE!S186)</f>
        <v>2.1.2.02.02.009.907</v>
      </c>
      <c r="T186" s="267" t="str">
        <f>+IF(NOVIEMBRE!T186=0,"",NOVIEMBRE!T186)</f>
        <v>Cuota de Afiliación o sostenimiento (COHAN, AESA, OTROS)</v>
      </c>
      <c r="U186" s="373">
        <f>+ENERO!U187</f>
        <v>13060585</v>
      </c>
      <c r="V186" s="220">
        <f>NOVIEMBRE!V186+DICIEMBRE!AL186</f>
        <v>0</v>
      </c>
      <c r="W186" s="220">
        <f>NOVIEMBRE!W186+DICIEMBRE!AM186</f>
        <v>0</v>
      </c>
      <c r="X186" s="271">
        <f>SUM(U186:W186)</f>
        <v>13060585</v>
      </c>
      <c r="Y186" s="270">
        <f>NOVIEMBRE!AA186</f>
        <v>10950930</v>
      </c>
      <c r="Z186" s="1186">
        <v>492803</v>
      </c>
      <c r="AA186" s="271">
        <f>SUM(Y186:Z186)</f>
        <v>11443733</v>
      </c>
      <c r="AB186" s="270">
        <f>NOVIEMBRE!AD186</f>
        <v>10921030</v>
      </c>
      <c r="AC186" s="1186">
        <v>522703</v>
      </c>
      <c r="AD186" s="271">
        <f>SUM(AB186:AC186)</f>
        <v>11443733</v>
      </c>
      <c r="AE186" s="270">
        <f>NOVIEMBRE!AG186</f>
        <v>10398327</v>
      </c>
      <c r="AF186" s="1186">
        <v>1045406</v>
      </c>
      <c r="AG186" s="271">
        <f>SUM(AE186:AF186)</f>
        <v>11443733</v>
      </c>
      <c r="AH186" s="270">
        <f>X186-AA186</f>
        <v>1616852</v>
      </c>
      <c r="AI186" s="220">
        <f>X186-AD186</f>
        <v>1616852</v>
      </c>
      <c r="AJ186" s="269">
        <f>X186-AG186</f>
        <v>1616852</v>
      </c>
      <c r="AK186" s="101"/>
      <c r="AL186" s="204"/>
      <c r="AM186" s="210">
        <v>0</v>
      </c>
    </row>
    <row r="187" spans="19:39" ht="24.75" customHeight="1">
      <c r="S187" s="311" t="str">
        <f>+IF(NOVIEMBRE!S187=0,"",NOVIEMBRE!S187)</f>
        <v>2.1.8.04.07</v>
      </c>
      <c r="T187" s="267" t="str">
        <f>+IF(NOVIEMBRE!T187=0,"",NOVIEMBRE!T187)</f>
        <v>Conciliaciones</v>
      </c>
      <c r="U187" s="373">
        <f>+ENERO!U188</f>
        <v>300000000</v>
      </c>
      <c r="V187" s="220">
        <f>NOVIEMBRE!V187+DICIEMBRE!AL187</f>
        <v>-400000000</v>
      </c>
      <c r="W187" s="220">
        <f>NOVIEMBRE!W187+DICIEMBRE!AM187</f>
        <v>500000000</v>
      </c>
      <c r="X187" s="271">
        <f>SUM(U187:W187)</f>
        <v>400000000</v>
      </c>
      <c r="Y187" s="270">
        <f>NOVIEMBRE!AA187</f>
        <v>355396680</v>
      </c>
      <c r="Z187" s="208"/>
      <c r="AA187" s="271">
        <f>SUM(Y187:Z187)</f>
        <v>355396680</v>
      </c>
      <c r="AB187" s="270">
        <f>NOVIEMBRE!AD187</f>
        <v>355396680</v>
      </c>
      <c r="AC187" s="208"/>
      <c r="AD187" s="271">
        <f>SUM(AB187:AC187)</f>
        <v>355396680</v>
      </c>
      <c r="AE187" s="270">
        <f>NOVIEMBRE!AG187</f>
        <v>355396680</v>
      </c>
      <c r="AF187" s="208"/>
      <c r="AG187" s="271">
        <f>SUM(AE187:AF187)</f>
        <v>355396680</v>
      </c>
      <c r="AH187" s="270">
        <f>X187-AA187</f>
        <v>44603320</v>
      </c>
      <c r="AI187" s="220">
        <f>X187-AD187</f>
        <v>44603320</v>
      </c>
      <c r="AJ187" s="269">
        <f>X187-AG187</f>
        <v>44603320</v>
      </c>
      <c r="AK187" s="101"/>
      <c r="AL187" s="204"/>
      <c r="AM187" s="210">
        <v>0</v>
      </c>
    </row>
    <row r="188" spans="19:39" ht="24.75" customHeight="1">
      <c r="S188" s="311" t="str">
        <f>+IF(NOVIEMBRE!S188=0,"",NOVIEMBRE!S188)</f>
        <v>2.1.8.05.01</v>
      </c>
      <c r="T188" s="267" t="str">
        <f>+IF(NOVIEMBRE!T188=0,"",NOVIEMBRE!T188)</f>
        <v>Multas y sanciones</v>
      </c>
      <c r="U188" s="884">
        <v>0</v>
      </c>
      <c r="V188" s="220">
        <f>NOVIEMBRE!V188+DICIEMBRE!AL188</f>
        <v>21000000</v>
      </c>
      <c r="W188" s="220">
        <f>NOVIEMBRE!W188+DICIEMBRE!AM188</f>
        <v>0</v>
      </c>
      <c r="X188" s="271">
        <f>SUM(U188:W188)</f>
        <v>21000000</v>
      </c>
      <c r="Y188" s="270">
        <f>NOVIEMBRE!AA188</f>
        <v>16312307</v>
      </c>
      <c r="Z188" s="208"/>
      <c r="AA188" s="271">
        <f>SUM(Y188:Z188)</f>
        <v>16312307</v>
      </c>
      <c r="AB188" s="270">
        <f>NOVIEMBRE!AD188</f>
        <v>15009864</v>
      </c>
      <c r="AC188" s="1186">
        <v>1302443</v>
      </c>
      <c r="AD188" s="271">
        <f>SUM(AB188:AC188)</f>
        <v>16312307</v>
      </c>
      <c r="AE188" s="270">
        <f>NOVIEMBRE!AG188</f>
        <v>15009864</v>
      </c>
      <c r="AF188" s="1186">
        <v>1302443</v>
      </c>
      <c r="AG188" s="271">
        <f>SUM(AE188:AF188)</f>
        <v>16312307</v>
      </c>
      <c r="AH188" s="270">
        <f>X188-AA188</f>
        <v>4687693</v>
      </c>
      <c r="AI188" s="220">
        <f>X188-AD188</f>
        <v>4687693</v>
      </c>
      <c r="AJ188" s="269">
        <f>X188-AG188</f>
        <v>4687693</v>
      </c>
      <c r="AK188" s="101"/>
      <c r="AL188" s="204"/>
      <c r="AM188" s="210">
        <v>0</v>
      </c>
    </row>
    <row r="189" spans="19:39" ht="24.75" customHeight="1">
      <c r="S189" s="311" t="str">
        <f>+IF(NOVIEMBRE!S189=0,"",NOVIEMBRE!S189)</f>
        <v>2.1.8.04.07</v>
      </c>
      <c r="T189" s="267" t="str">
        <f>+IF(NOVIEMBRE!T189=0,"",NOVIEMBRE!T189)</f>
        <v>Cuotas de auditaje supersalud</v>
      </c>
      <c r="U189" s="373">
        <f>+ENERO!U190</f>
        <v>150000000</v>
      </c>
      <c r="V189" s="220">
        <f>NOVIEMBRE!V189+DICIEMBRE!AL189</f>
        <v>0</v>
      </c>
      <c r="W189" s="220">
        <f>NOVIEMBRE!W189+DICIEMBRE!AM189</f>
        <v>0</v>
      </c>
      <c r="X189" s="271">
        <f>SUM(U189:W189)</f>
        <v>150000000</v>
      </c>
      <c r="Y189" s="270">
        <f>NOVIEMBRE!AA189</f>
        <v>95125132</v>
      </c>
      <c r="Z189" s="208">
        <v>0</v>
      </c>
      <c r="AA189" s="271">
        <f>SUM(Y189:Z189)</f>
        <v>95125132</v>
      </c>
      <c r="AB189" s="270">
        <f>NOVIEMBRE!AD189</f>
        <v>95125132</v>
      </c>
      <c r="AC189" s="208">
        <v>0</v>
      </c>
      <c r="AD189" s="271">
        <f>SUM(AB189:AC189)</f>
        <v>95125132</v>
      </c>
      <c r="AE189" s="270">
        <f>NOVIEMBRE!AG189</f>
        <v>95125132</v>
      </c>
      <c r="AF189" s="208">
        <v>0</v>
      </c>
      <c r="AG189" s="271">
        <f>SUM(AE189:AF189)</f>
        <v>95125132</v>
      </c>
      <c r="AH189" s="270">
        <f>X189-AA189</f>
        <v>54874868</v>
      </c>
      <c r="AI189" s="220">
        <f>X189-AD189</f>
        <v>54874868</v>
      </c>
      <c r="AJ189" s="269">
        <f>X189-AG189</f>
        <v>54874868</v>
      </c>
      <c r="AK189" s="101"/>
      <c r="AL189" s="204">
        <v>0</v>
      </c>
      <c r="AM189" s="210">
        <v>0</v>
      </c>
    </row>
    <row r="190" spans="19:39" ht="24.75" customHeight="1">
      <c r="S190" s="266" t="str">
        <f>+IF(NOVIEMBRE!S190=0,"",NOVIEMBRE!S190)</f>
        <v>2.1.3.13.01.002.99</v>
      </c>
      <c r="T190" s="267" t="str">
        <f>+IF(NOVIEMBRE!T190=0,"",NOVIEMBRE!T190)</f>
        <v>Vigencias Anteriores Conciliaciones</v>
      </c>
      <c r="U190" s="373">
        <f>+ENERO!U191</f>
        <v>50000000</v>
      </c>
      <c r="V190" s="220">
        <f>NOVIEMBRE!V190+DICIEMBRE!AL190</f>
        <v>153000000</v>
      </c>
      <c r="W190" s="220">
        <f>NOVIEMBRE!W190+DICIEMBRE!AM190</f>
        <v>0</v>
      </c>
      <c r="X190" s="271">
        <f>SUM(U190:W190)</f>
        <v>203000000</v>
      </c>
      <c r="Y190" s="270">
        <f>NOVIEMBRE!AA190</f>
        <v>202774209</v>
      </c>
      <c r="Z190" s="208">
        <v>0</v>
      </c>
      <c r="AA190" s="271">
        <f>SUM(Y190:Z190)</f>
        <v>202774209</v>
      </c>
      <c r="AB190" s="270">
        <f>NOVIEMBRE!AD190</f>
        <v>202774209</v>
      </c>
      <c r="AC190" s="208">
        <v>0</v>
      </c>
      <c r="AD190" s="271">
        <f>SUM(AB190:AC190)</f>
        <v>202774209</v>
      </c>
      <c r="AE190" s="270">
        <f>NOVIEMBRE!AG190</f>
        <v>202774209</v>
      </c>
      <c r="AF190" s="208">
        <v>0</v>
      </c>
      <c r="AG190" s="271">
        <f>SUM(AE190:AF190)</f>
        <v>202774209</v>
      </c>
      <c r="AH190" s="270">
        <f>X190-AA190</f>
        <v>225791</v>
      </c>
      <c r="AI190" s="220">
        <f>X190-AD190</f>
        <v>225791</v>
      </c>
      <c r="AJ190" s="269">
        <f>X190-AG190</f>
        <v>225791</v>
      </c>
      <c r="AK190" s="101"/>
      <c r="AL190" s="204">
        <v>0</v>
      </c>
      <c r="AM190" s="210">
        <v>0</v>
      </c>
    </row>
    <row r="191" spans="19:39" ht="24.75" customHeight="1">
      <c r="S191" s="558"/>
      <c r="T191" s="559"/>
      <c r="U191" s="557"/>
      <c r="V191" s="560"/>
      <c r="W191" s="560"/>
      <c r="X191" s="560"/>
      <c r="Y191" s="560"/>
      <c r="Z191" s="561"/>
      <c r="AA191" s="560"/>
      <c r="AB191" s="560"/>
      <c r="AC191" s="561"/>
      <c r="AD191" s="560"/>
      <c r="AE191" s="560"/>
      <c r="AF191" s="561"/>
      <c r="AG191" s="560"/>
      <c r="AH191" s="560"/>
      <c r="AI191" s="560"/>
      <c r="AJ191" s="371"/>
      <c r="AK191" s="101"/>
      <c r="AL191" s="562"/>
      <c r="AM191" s="563"/>
    </row>
    <row r="192" spans="19:39" ht="39.75" customHeight="1">
      <c r="S192" s="462" t="s">
        <v>294</v>
      </c>
      <c r="T192" s="463" t="s">
        <v>295</v>
      </c>
      <c r="U192" s="405">
        <f t="shared" ref="U192:AJ192" si="165">U194+U208</f>
        <v>42375190113.666664</v>
      </c>
      <c r="V192" s="406">
        <f t="shared" si="165"/>
        <v>1550000000</v>
      </c>
      <c r="W192" s="406">
        <f t="shared" si="165"/>
        <v>16038420898</v>
      </c>
      <c r="X192" s="218">
        <f t="shared" si="165"/>
        <v>59963611011.666664</v>
      </c>
      <c r="Y192" s="217">
        <f t="shared" si="165"/>
        <v>56813065091</v>
      </c>
      <c r="Z192" s="406">
        <f t="shared" si="165"/>
        <v>-1326741488</v>
      </c>
      <c r="AA192" s="218">
        <f t="shared" si="165"/>
        <v>55486323603</v>
      </c>
      <c r="AB192" s="405">
        <f t="shared" si="165"/>
        <v>50715602583</v>
      </c>
      <c r="AC192" s="406">
        <f t="shared" si="165"/>
        <v>4770721020</v>
      </c>
      <c r="AD192" s="407">
        <f t="shared" si="165"/>
        <v>55486323603</v>
      </c>
      <c r="AE192" s="217">
        <f t="shared" si="165"/>
        <v>32622796623</v>
      </c>
      <c r="AF192" s="406">
        <f t="shared" si="165"/>
        <v>3590712461.5</v>
      </c>
      <c r="AG192" s="218">
        <f t="shared" si="165"/>
        <v>36213509084.5</v>
      </c>
      <c r="AH192" s="217">
        <f t="shared" si="165"/>
        <v>4477287408.666666</v>
      </c>
      <c r="AI192" s="406">
        <f t="shared" si="165"/>
        <v>4477287408.666666</v>
      </c>
      <c r="AJ192" s="218">
        <f t="shared" si="165"/>
        <v>23750101927.166664</v>
      </c>
      <c r="AK192" s="101"/>
      <c r="AL192" s="217">
        <f>AL194+AL208</f>
        <v>0</v>
      </c>
      <c r="AM192" s="218">
        <f>AM194+AM208</f>
        <v>248094261</v>
      </c>
    </row>
    <row r="193" spans="19:39" ht="24.75" customHeight="1">
      <c r="S193" s="189" t="str">
        <f>+IF(NOVIEMBRE!S191=0,"",NOVIEMBRE!S191)</f>
        <v/>
      </c>
      <c r="T193" s="488" t="str">
        <f>+IF(NOVIEMBRE!T191=0,"",NOVIEMBRE!T191)</f>
        <v/>
      </c>
      <c r="U193" s="191"/>
      <c r="V193" s="191"/>
      <c r="W193" s="191"/>
      <c r="X193" s="191"/>
      <c r="Y193" s="191"/>
      <c r="Z193" s="191"/>
      <c r="AA193" s="191"/>
      <c r="AB193" s="191"/>
      <c r="AC193" s="191"/>
      <c r="AD193" s="191"/>
      <c r="AE193" s="191"/>
      <c r="AF193" s="191"/>
      <c r="AG193" s="191"/>
      <c r="AH193" s="191"/>
      <c r="AI193" s="191"/>
      <c r="AJ193" s="192"/>
      <c r="AK193" s="101"/>
      <c r="AL193" s="370"/>
      <c r="AM193" s="371"/>
    </row>
    <row r="194" spans="19:39" ht="24.75" customHeight="1">
      <c r="S194" s="228" t="str">
        <f>+IF(NOVIEMBRE!S194=0,"",NOVIEMBRE!S194)</f>
        <v>2.4</v>
      </c>
      <c r="T194" s="404" t="str">
        <f>+IF(NOVIEMBRE!T194=0,"",NOVIEMBRE!T194)</f>
        <v>GASTOS  DEOPERACIÓN COMERCIAL</v>
      </c>
      <c r="U194" s="405">
        <f t="shared" ref="U194:AJ194" si="166">U195</f>
        <v>40172190113.666664</v>
      </c>
      <c r="V194" s="406">
        <f t="shared" si="166"/>
        <v>-562559635</v>
      </c>
      <c r="W194" s="406">
        <f t="shared" si="166"/>
        <v>15688420898</v>
      </c>
      <c r="X194" s="407">
        <f>SUM(U194:W194)</f>
        <v>55298051376.666664</v>
      </c>
      <c r="Y194" s="217">
        <f t="shared" si="166"/>
        <v>52216652431</v>
      </c>
      <c r="Z194" s="406">
        <f t="shared" si="166"/>
        <v>-1326741488</v>
      </c>
      <c r="AA194" s="407">
        <f t="shared" si="166"/>
        <v>50889910943</v>
      </c>
      <c r="AB194" s="217">
        <f t="shared" si="166"/>
        <v>46119189923</v>
      </c>
      <c r="AC194" s="406">
        <f t="shared" si="166"/>
        <v>4770721020</v>
      </c>
      <c r="AD194" s="407">
        <f t="shared" si="166"/>
        <v>50889910943</v>
      </c>
      <c r="AE194" s="217">
        <f t="shared" si="166"/>
        <v>28026383963</v>
      </c>
      <c r="AF194" s="406">
        <f t="shared" si="166"/>
        <v>3590712461.5</v>
      </c>
      <c r="AG194" s="407">
        <f t="shared" si="166"/>
        <v>31617096424.5</v>
      </c>
      <c r="AH194" s="217">
        <f t="shared" si="166"/>
        <v>4408140433.666666</v>
      </c>
      <c r="AI194" s="406">
        <f t="shared" si="166"/>
        <v>4408140433.666666</v>
      </c>
      <c r="AJ194" s="218">
        <f t="shared" si="166"/>
        <v>23680954952.166664</v>
      </c>
      <c r="AK194" s="101"/>
      <c r="AL194" s="233">
        <f>AL195</f>
        <v>0</v>
      </c>
      <c r="AM194" s="232">
        <f>AM195</f>
        <v>248094261</v>
      </c>
    </row>
    <row r="195" spans="19:39" ht="24.75" customHeight="1">
      <c r="S195" s="257" t="str">
        <f>+IF(NOVIEMBRE!S195=0,"",NOVIEMBRE!S195)</f>
        <v>2.4.5</v>
      </c>
      <c r="T195" s="546" t="str">
        <f>+IF(NOVIEMBRE!T195=0,"",NOVIEMBRE!T195)</f>
        <v>GASTOS DE COMERCIALIZACIÓN Y PRODUCCIÓN</v>
      </c>
      <c r="U195" s="230">
        <f t="shared" ref="U195:AJ195" si="167">U196+U204+U206</f>
        <v>40172190113.666664</v>
      </c>
      <c r="V195" s="231">
        <f t="shared" si="167"/>
        <v>-562559635</v>
      </c>
      <c r="W195" s="231">
        <f t="shared" si="167"/>
        <v>15688420898</v>
      </c>
      <c r="X195" s="234">
        <f>X196+X204+X206</f>
        <v>55298051376.666664</v>
      </c>
      <c r="Y195" s="233">
        <f t="shared" si="167"/>
        <v>52216652431</v>
      </c>
      <c r="Z195" s="231">
        <f>Z196+Z204+Z206</f>
        <v>-1326741488</v>
      </c>
      <c r="AA195" s="234">
        <f t="shared" si="167"/>
        <v>50889910943</v>
      </c>
      <c r="AB195" s="233">
        <f t="shared" si="167"/>
        <v>46119189923</v>
      </c>
      <c r="AC195" s="231">
        <f t="shared" si="167"/>
        <v>4770721020</v>
      </c>
      <c r="AD195" s="234">
        <f t="shared" si="167"/>
        <v>50889910943</v>
      </c>
      <c r="AE195" s="233">
        <f t="shared" si="167"/>
        <v>28026383963</v>
      </c>
      <c r="AF195" s="231">
        <f t="shared" si="167"/>
        <v>3590712461.5</v>
      </c>
      <c r="AG195" s="234">
        <f t="shared" si="167"/>
        <v>31617096424.5</v>
      </c>
      <c r="AH195" s="233">
        <f t="shared" si="167"/>
        <v>4408140433.666666</v>
      </c>
      <c r="AI195" s="231">
        <f t="shared" si="167"/>
        <v>4408140433.666666</v>
      </c>
      <c r="AJ195" s="232">
        <f t="shared" si="167"/>
        <v>23680954952.166664</v>
      </c>
      <c r="AK195" s="101"/>
      <c r="AL195" s="233">
        <f>AL196+AL204+AL206</f>
        <v>0</v>
      </c>
      <c r="AM195" s="232">
        <f>AM196+AM204+AM206</f>
        <v>248094261</v>
      </c>
    </row>
    <row r="196" spans="19:39" ht="24.75" customHeight="1">
      <c r="S196" s="266" t="str">
        <f>+IF(NOVIEMBRE!S196=0,"",NOVIEMBRE!S196)</f>
        <v>2.4.5.01</v>
      </c>
      <c r="T196" s="267" t="str">
        <f>+IF(NOVIEMBRE!T196=0,"",NOVIEMBRE!T196)</f>
        <v>Materiales y suministros</v>
      </c>
      <c r="U196" s="373">
        <f t="shared" ref="U196:AJ196" si="168">SUM(U197:U203)</f>
        <v>28648709150.333332</v>
      </c>
      <c r="V196" s="220">
        <f t="shared" si="168"/>
        <v>1351440365</v>
      </c>
      <c r="W196" s="220">
        <f t="shared" si="168"/>
        <v>13738420898</v>
      </c>
      <c r="X196" s="271">
        <f t="shared" si="168"/>
        <v>43738570413.333328</v>
      </c>
      <c r="Y196" s="270">
        <f t="shared" si="168"/>
        <v>40729789876</v>
      </c>
      <c r="Z196" s="300">
        <f t="shared" si="168"/>
        <v>-1236457709</v>
      </c>
      <c r="AA196" s="271">
        <f t="shared" si="168"/>
        <v>39493332167</v>
      </c>
      <c r="AB196" s="270">
        <f t="shared" si="168"/>
        <v>35415906754</v>
      </c>
      <c r="AC196" s="300">
        <f t="shared" si="168"/>
        <v>4077425413</v>
      </c>
      <c r="AD196" s="271">
        <f t="shared" si="168"/>
        <v>39493332167</v>
      </c>
      <c r="AE196" s="270">
        <f t="shared" si="168"/>
        <v>18663261455</v>
      </c>
      <c r="AF196" s="300">
        <f t="shared" si="168"/>
        <v>2961580928.5</v>
      </c>
      <c r="AG196" s="271">
        <f t="shared" si="168"/>
        <v>21624842383.5</v>
      </c>
      <c r="AH196" s="270">
        <f t="shared" si="168"/>
        <v>4245238246.3333316</v>
      </c>
      <c r="AI196" s="220">
        <f t="shared" si="168"/>
        <v>4245238246.3333316</v>
      </c>
      <c r="AJ196" s="269">
        <f t="shared" si="168"/>
        <v>22113728029.833332</v>
      </c>
      <c r="AK196" s="101"/>
      <c r="AL196" s="301">
        <f>SUM(AL197:AL203)</f>
        <v>0</v>
      </c>
      <c r="AM196" s="302">
        <f>SUM(AM197:AM203)</f>
        <v>248094261</v>
      </c>
    </row>
    <row r="197" spans="19:39" ht="24.75" customHeight="1">
      <c r="S197" s="311" t="str">
        <f>+IF(NOVIEMBRE!S197=0,"",NOVIEMBRE!S197)</f>
        <v>2.4.5.01.03.301</v>
      </c>
      <c r="T197" s="312" t="str">
        <f>+IF(NOVIEMBRE!T197=0,"",NOVIEMBRE!T197)</f>
        <v>Medicamentos</v>
      </c>
      <c r="U197" s="373">
        <f>+ENERO!U198</f>
        <v>7396066391.666666</v>
      </c>
      <c r="V197" s="220">
        <f>NOVIEMBRE!V197+DICIEMBRE!AL197</f>
        <v>-185000000</v>
      </c>
      <c r="W197" s="220">
        <f>NOVIEMBRE!W197+DICIEMBRE!AM197</f>
        <v>2954420898</v>
      </c>
      <c r="X197" s="271">
        <f t="shared" ref="X197:X203" si="169">SUM(U197:W197)</f>
        <v>10165487289.666666</v>
      </c>
      <c r="Y197" s="270">
        <f>NOVIEMBRE!AA197</f>
        <v>8969229878</v>
      </c>
      <c r="Z197" s="1186">
        <v>-68104385</v>
      </c>
      <c r="AA197" s="271">
        <f t="shared" ref="AA197:AA203" si="170">SUM(Y197:Z197)</f>
        <v>8901125493</v>
      </c>
      <c r="AB197" s="270">
        <f>NOVIEMBRE!AD197</f>
        <v>7852297462</v>
      </c>
      <c r="AC197" s="1186">
        <v>1048828031</v>
      </c>
      <c r="AD197" s="271">
        <f t="shared" ref="AD197:AD203" si="171">SUM(AB197:AC197)</f>
        <v>8901125493</v>
      </c>
      <c r="AE197" s="270">
        <f>NOVIEMBRE!AG197</f>
        <v>4037467570</v>
      </c>
      <c r="AF197" s="1186">
        <v>762407560</v>
      </c>
      <c r="AG197" s="271">
        <f t="shared" ref="AG197:AG203" si="172">SUM(AE197:AF197)</f>
        <v>4799875130</v>
      </c>
      <c r="AH197" s="270">
        <f t="shared" ref="AH197:AH203" si="173">X197-AA197</f>
        <v>1264361796.666666</v>
      </c>
      <c r="AI197" s="220">
        <f t="shared" ref="AI197:AI203" si="174">X197-AD197</f>
        <v>1264361796.666666</v>
      </c>
      <c r="AJ197" s="269">
        <f t="shared" ref="AJ197:AJ203" si="175">X197-AG197</f>
        <v>5365612159.666666</v>
      </c>
      <c r="AK197" s="101"/>
      <c r="AL197" s="204">
        <v>0</v>
      </c>
      <c r="AM197" s="210">
        <v>248094261</v>
      </c>
    </row>
    <row r="198" spans="19:39" ht="24.75" customHeight="1">
      <c r="S198" s="311" t="str">
        <f>+IF(NOVIEMBRE!S198=0,"",NOVIEMBRE!S198)</f>
        <v>2.4.5.01.03.302</v>
      </c>
      <c r="T198" s="312" t="str">
        <f>+IF(NOVIEMBRE!T198=0,"",NOVIEMBRE!T198)</f>
        <v>Material Médico Quirúrgico</v>
      </c>
      <c r="U198" s="373">
        <f>+ENERO!U199</f>
        <v>6198007399.166666</v>
      </c>
      <c r="V198" s="220">
        <f>NOVIEMBRE!V198+DICIEMBRE!AL198</f>
        <v>1365000000</v>
      </c>
      <c r="W198" s="220">
        <f>NOVIEMBRE!W198+DICIEMBRE!AM198</f>
        <v>4700000000</v>
      </c>
      <c r="X198" s="271">
        <f t="shared" si="169"/>
        <v>12263007399.166666</v>
      </c>
      <c r="Y198" s="270">
        <f>NOVIEMBRE!AA198</f>
        <v>11650101282</v>
      </c>
      <c r="Z198" s="1186">
        <v>153199076</v>
      </c>
      <c r="AA198" s="271">
        <f t="shared" si="170"/>
        <v>11803300358</v>
      </c>
      <c r="AB198" s="270">
        <f>NOVIEMBRE!AD198</f>
        <v>10563131299</v>
      </c>
      <c r="AC198" s="1186">
        <v>1240169059</v>
      </c>
      <c r="AD198" s="271">
        <f t="shared" si="171"/>
        <v>11803300358</v>
      </c>
      <c r="AE198" s="270">
        <f>NOVIEMBRE!AG198</f>
        <v>5135247653</v>
      </c>
      <c r="AF198" s="1186">
        <v>939712078</v>
      </c>
      <c r="AG198" s="271">
        <f t="shared" si="172"/>
        <v>6074959731</v>
      </c>
      <c r="AH198" s="270">
        <f t="shared" si="173"/>
        <v>459707041.16666603</v>
      </c>
      <c r="AI198" s="220">
        <f t="shared" si="174"/>
        <v>459707041.16666603</v>
      </c>
      <c r="AJ198" s="269">
        <f t="shared" si="175"/>
        <v>6188047668.166666</v>
      </c>
      <c r="AK198" s="101"/>
      <c r="AL198" s="204">
        <v>0</v>
      </c>
      <c r="AM198" s="210">
        <v>0</v>
      </c>
    </row>
    <row r="199" spans="19:39" ht="24.75" customHeight="1">
      <c r="S199" s="311" t="str">
        <f>+IF(NOVIEMBRE!S199=0,"",NOVIEMBRE!S199)</f>
        <v>2.4.5.01.03.303</v>
      </c>
      <c r="T199" s="312" t="str">
        <f>+IF(NOVIEMBRE!T199=0,"",NOVIEMBRE!T199)</f>
        <v>Material de Laboratorio</v>
      </c>
      <c r="U199" s="373">
        <f>+ENERO!U200</f>
        <v>2001528195</v>
      </c>
      <c r="V199" s="220">
        <f>NOVIEMBRE!V199+DICIEMBRE!AL199</f>
        <v>-320000000</v>
      </c>
      <c r="W199" s="220">
        <f>NOVIEMBRE!W199+DICIEMBRE!AM199</f>
        <v>2800000000</v>
      </c>
      <c r="X199" s="271">
        <f t="shared" si="169"/>
        <v>4481528195</v>
      </c>
      <c r="Y199" s="270">
        <f>NOVIEMBRE!AA199</f>
        <v>3438137932</v>
      </c>
      <c r="Z199" s="1186">
        <v>-114840706</v>
      </c>
      <c r="AA199" s="271">
        <f t="shared" si="170"/>
        <v>3323297226</v>
      </c>
      <c r="AB199" s="270">
        <f>NOVIEMBRE!AD199</f>
        <v>2965531139</v>
      </c>
      <c r="AC199" s="1186">
        <v>357766087</v>
      </c>
      <c r="AD199" s="271">
        <f t="shared" si="171"/>
        <v>3323297226</v>
      </c>
      <c r="AE199" s="270">
        <f>NOVIEMBRE!AG199</f>
        <v>1483448426</v>
      </c>
      <c r="AF199" s="1186">
        <v>75706472.5</v>
      </c>
      <c r="AG199" s="271">
        <f t="shared" si="172"/>
        <v>1559154898.5</v>
      </c>
      <c r="AH199" s="270">
        <f t="shared" si="173"/>
        <v>1158230969</v>
      </c>
      <c r="AI199" s="220">
        <f t="shared" si="174"/>
        <v>1158230969</v>
      </c>
      <c r="AJ199" s="269">
        <f t="shared" si="175"/>
        <v>2922373296.5</v>
      </c>
      <c r="AK199" s="101"/>
      <c r="AL199" s="204">
        <v>0</v>
      </c>
      <c r="AM199" s="210">
        <v>0</v>
      </c>
    </row>
    <row r="200" spans="19:39" ht="24.75" customHeight="1">
      <c r="S200" s="311" t="str">
        <f>+IF(NOVIEMBRE!S200=0,"",NOVIEMBRE!S200)</f>
        <v>2.4.5.02.09.901</v>
      </c>
      <c r="T200" s="312" t="str">
        <f>+IF(NOVIEMBRE!T200=0,"",NOVIEMBRE!T200)</f>
        <v xml:space="preserve">Servicio de Lavandería </v>
      </c>
      <c r="U200" s="373">
        <f>+ENERO!U201</f>
        <v>758333333.33333325</v>
      </c>
      <c r="V200" s="220">
        <f>NOVIEMBRE!V200+DICIEMBRE!AL200</f>
        <v>252000000</v>
      </c>
      <c r="W200" s="220">
        <f>NOVIEMBRE!W200+DICIEMBRE!AM200</f>
        <v>345000000</v>
      </c>
      <c r="X200" s="271">
        <f t="shared" si="169"/>
        <v>1355333333.3333333</v>
      </c>
      <c r="Y200" s="270">
        <f>NOVIEMBRE!AA200</f>
        <v>1332366007</v>
      </c>
      <c r="Z200" s="1186">
        <v>-76451218</v>
      </c>
      <c r="AA200" s="271">
        <f t="shared" si="170"/>
        <v>1255914789</v>
      </c>
      <c r="AB200" s="270">
        <f>NOVIEMBRE!AD200</f>
        <v>1161306647</v>
      </c>
      <c r="AC200" s="1186">
        <v>94608142</v>
      </c>
      <c r="AD200" s="271">
        <f t="shared" si="171"/>
        <v>1255914789</v>
      </c>
      <c r="AE200" s="270">
        <f>NOVIEMBRE!AG200</f>
        <v>956942300</v>
      </c>
      <c r="AF200" s="1186">
        <v>103343688</v>
      </c>
      <c r="AG200" s="271">
        <f t="shared" si="172"/>
        <v>1060285988</v>
      </c>
      <c r="AH200" s="270">
        <f t="shared" si="173"/>
        <v>99418544.333333254</v>
      </c>
      <c r="AI200" s="220">
        <f t="shared" si="174"/>
        <v>99418544.333333254</v>
      </c>
      <c r="AJ200" s="269">
        <f t="shared" si="175"/>
        <v>295047345.33333325</v>
      </c>
      <c r="AK200" s="101"/>
      <c r="AL200" s="204">
        <v>0</v>
      </c>
      <c r="AM200" s="210">
        <v>0</v>
      </c>
    </row>
    <row r="201" spans="19:39" ht="24.75" customHeight="1">
      <c r="S201" s="311" t="str">
        <f>+IF(NOVIEMBRE!S201=0,"",NOVIEMBRE!S201)</f>
        <v>2.4.5.02.09.902</v>
      </c>
      <c r="T201" s="312" t="str">
        <f>+IF(NOVIEMBRE!T201=0,"",NOVIEMBRE!T201)</f>
        <v>Servicios de esterilización</v>
      </c>
      <c r="U201" s="373">
        <f>+ENERO!U202</f>
        <v>166666666.66666666</v>
      </c>
      <c r="V201" s="220">
        <f>NOVIEMBRE!V201+DICIEMBRE!AL201</f>
        <v>55000000</v>
      </c>
      <c r="W201" s="220">
        <f>NOVIEMBRE!W201+DICIEMBRE!AM201</f>
        <v>0</v>
      </c>
      <c r="X201" s="271">
        <f t="shared" si="169"/>
        <v>221666666.66666666</v>
      </c>
      <c r="Y201" s="270">
        <f>NOVIEMBRE!AA201</f>
        <v>161200000</v>
      </c>
      <c r="Z201" s="1186">
        <v>-5174001</v>
      </c>
      <c r="AA201" s="271">
        <f t="shared" si="170"/>
        <v>156025999</v>
      </c>
      <c r="AB201" s="270">
        <f>NOVIEMBRE!AD201</f>
        <v>147980136</v>
      </c>
      <c r="AC201" s="1186">
        <v>8045863</v>
      </c>
      <c r="AD201" s="271">
        <f t="shared" si="171"/>
        <v>156025999</v>
      </c>
      <c r="AE201" s="270">
        <f>NOVIEMBRE!AG201</f>
        <v>14482318</v>
      </c>
      <c r="AF201" s="208"/>
      <c r="AG201" s="271">
        <f t="shared" si="172"/>
        <v>14482318</v>
      </c>
      <c r="AH201" s="270">
        <f t="shared" si="173"/>
        <v>65640667.666666657</v>
      </c>
      <c r="AI201" s="220">
        <f t="shared" si="174"/>
        <v>65640667.666666657</v>
      </c>
      <c r="AJ201" s="269">
        <f t="shared" si="175"/>
        <v>207184348.66666666</v>
      </c>
      <c r="AK201" s="101"/>
      <c r="AL201" s="204">
        <v>0</v>
      </c>
      <c r="AM201" s="210">
        <v>0</v>
      </c>
    </row>
    <row r="202" spans="19:39" ht="24.75" customHeight="1">
      <c r="S202" s="311" t="str">
        <f>+IF(NOVIEMBRE!S202=0,"",NOVIEMBRE!S202)</f>
        <v>2.4.5.01.03.305</v>
      </c>
      <c r="T202" s="312" t="str">
        <f>+IF(NOVIEMBRE!T202=0,"",NOVIEMBRE!T202)</f>
        <v>Sangre</v>
      </c>
      <c r="U202" s="373">
        <f>+ENERO!U203</f>
        <v>1257440000</v>
      </c>
      <c r="V202" s="220">
        <f>NOVIEMBRE!V202+DICIEMBRE!AL202</f>
        <v>100000000</v>
      </c>
      <c r="W202" s="220">
        <f>NOVIEMBRE!W202+DICIEMBRE!AM202</f>
        <v>409000000</v>
      </c>
      <c r="X202" s="271">
        <f t="shared" si="169"/>
        <v>1766440000</v>
      </c>
      <c r="Y202" s="270">
        <f>NOVIEMBRE!AA202</f>
        <v>1696200000</v>
      </c>
      <c r="Z202" s="1186">
        <v>-180327325</v>
      </c>
      <c r="AA202" s="271">
        <f t="shared" si="170"/>
        <v>1515872675</v>
      </c>
      <c r="AB202" s="270">
        <f>NOVIEMBRE!AD202</f>
        <v>1409636212</v>
      </c>
      <c r="AC202" s="1186">
        <v>106236463</v>
      </c>
      <c r="AD202" s="271">
        <f t="shared" si="171"/>
        <v>1515872675</v>
      </c>
      <c r="AE202" s="270">
        <f>NOVIEMBRE!AG202</f>
        <v>775671561</v>
      </c>
      <c r="AF202" s="1186">
        <v>131011852</v>
      </c>
      <c r="AG202" s="271">
        <f t="shared" si="172"/>
        <v>906683413</v>
      </c>
      <c r="AH202" s="270">
        <f t="shared" si="173"/>
        <v>250567325</v>
      </c>
      <c r="AI202" s="220">
        <f t="shared" si="174"/>
        <v>250567325</v>
      </c>
      <c r="AJ202" s="269">
        <f t="shared" si="175"/>
        <v>859756587</v>
      </c>
      <c r="AK202" s="101"/>
      <c r="AL202" s="204">
        <v>0</v>
      </c>
      <c r="AM202" s="210">
        <v>0</v>
      </c>
    </row>
    <row r="203" spans="19:39" ht="24.75" customHeight="1">
      <c r="S203" s="311" t="str">
        <f>+IF(NOVIEMBRE!S203=0,"",NOVIEMBRE!S203)</f>
        <v>2.4.5.02.08</v>
      </c>
      <c r="T203" s="312" t="str">
        <f>+IF(NOVIEMBRE!T203=0,"",NOVIEMBRE!T203)</f>
        <v>Servicios de ayudas diagnòsticas</v>
      </c>
      <c r="U203" s="373">
        <f>+ENERO!U204</f>
        <v>10870667164.5</v>
      </c>
      <c r="V203" s="220">
        <f>NOVIEMBRE!V203+DICIEMBRE!AL203</f>
        <v>84440365</v>
      </c>
      <c r="W203" s="220">
        <f>NOVIEMBRE!W203+DICIEMBRE!AM203</f>
        <v>2530000000</v>
      </c>
      <c r="X203" s="271">
        <f t="shared" si="169"/>
        <v>13485107529.5</v>
      </c>
      <c r="Y203" s="270">
        <f>NOVIEMBRE!AA203</f>
        <v>13482554777</v>
      </c>
      <c r="Z203" s="1186">
        <v>-944759150</v>
      </c>
      <c r="AA203" s="271">
        <f t="shared" si="170"/>
        <v>12537795627</v>
      </c>
      <c r="AB203" s="270">
        <f>NOVIEMBRE!AD203</f>
        <v>11316023859</v>
      </c>
      <c r="AC203" s="1186">
        <v>1221771768</v>
      </c>
      <c r="AD203" s="271">
        <f t="shared" si="171"/>
        <v>12537795627</v>
      </c>
      <c r="AE203" s="270">
        <f>NOVIEMBRE!AG203</f>
        <v>6260001627</v>
      </c>
      <c r="AF203" s="1186">
        <v>949399278</v>
      </c>
      <c r="AG203" s="271">
        <f t="shared" si="172"/>
        <v>7209400905</v>
      </c>
      <c r="AH203" s="270">
        <f t="shared" si="173"/>
        <v>947311902.5</v>
      </c>
      <c r="AI203" s="220">
        <f t="shared" si="174"/>
        <v>947311902.5</v>
      </c>
      <c r="AJ203" s="269">
        <f t="shared" si="175"/>
        <v>6275706624.5</v>
      </c>
      <c r="AK203" s="101"/>
      <c r="AL203" s="204">
        <v>0</v>
      </c>
      <c r="AM203" s="210">
        <v>0</v>
      </c>
    </row>
    <row r="204" spans="19:39" ht="24.75" customHeight="1">
      <c r="S204" s="266">
        <f>+IF(NOVIEMBRE!S204=0,"",NOVIEMBRE!S204)</f>
        <v>4100200</v>
      </c>
      <c r="T204" s="267" t="str">
        <f>+IF(NOVIEMBRE!T204=0,"",NOVIEMBRE!T204)</f>
        <v>Gastos Complementarios e Intermedios</v>
      </c>
      <c r="U204" s="373">
        <f t="shared" ref="U204:AJ204" si="176">U205</f>
        <v>5609700000</v>
      </c>
      <c r="V204" s="220">
        <f t="shared" si="176"/>
        <v>283000000</v>
      </c>
      <c r="W204" s="220">
        <f t="shared" si="176"/>
        <v>1950000000</v>
      </c>
      <c r="X204" s="271">
        <f t="shared" si="176"/>
        <v>7842700000</v>
      </c>
      <c r="Y204" s="270">
        <f t="shared" si="176"/>
        <v>7832600000</v>
      </c>
      <c r="Z204" s="300">
        <f t="shared" si="176"/>
        <v>-84083779</v>
      </c>
      <c r="AA204" s="271">
        <f t="shared" si="176"/>
        <v>7748516221</v>
      </c>
      <c r="AB204" s="270">
        <f t="shared" si="176"/>
        <v>7055220614</v>
      </c>
      <c r="AC204" s="300">
        <f t="shared" si="176"/>
        <v>693295607</v>
      </c>
      <c r="AD204" s="271">
        <f t="shared" si="176"/>
        <v>7748516221</v>
      </c>
      <c r="AE204" s="270">
        <f t="shared" si="176"/>
        <v>5715059955</v>
      </c>
      <c r="AF204" s="300">
        <f>AF205</f>
        <v>629131533</v>
      </c>
      <c r="AG204" s="271">
        <f t="shared" si="176"/>
        <v>6344191488</v>
      </c>
      <c r="AH204" s="270">
        <f t="shared" si="176"/>
        <v>94183779</v>
      </c>
      <c r="AI204" s="220">
        <f t="shared" si="176"/>
        <v>94183779</v>
      </c>
      <c r="AJ204" s="269">
        <f t="shared" si="176"/>
        <v>1498508512</v>
      </c>
      <c r="AK204" s="101"/>
      <c r="AL204" s="301">
        <f>AL205</f>
        <v>0</v>
      </c>
      <c r="AM204" s="302">
        <f>AM205</f>
        <v>0</v>
      </c>
    </row>
    <row r="205" spans="19:39" ht="24.75" customHeight="1">
      <c r="S205" s="311" t="str">
        <f>+IF(NOVIEMBRE!S205=0,"",NOVIEMBRE!S205)</f>
        <v>2.4.5.02.06.601</v>
      </c>
      <c r="T205" s="312" t="str">
        <f>+IF(NOVIEMBRE!T205=0,"",NOVIEMBRE!T205)</f>
        <v>Servicio de alimentación</v>
      </c>
      <c r="U205" s="373">
        <f>+ENERO!U206</f>
        <v>5609700000</v>
      </c>
      <c r="V205" s="220">
        <f>NOVIEMBRE!V205+DICIEMBRE!AL205</f>
        <v>283000000</v>
      </c>
      <c r="W205" s="220">
        <f>NOVIEMBRE!W205+DICIEMBRE!AM205</f>
        <v>1950000000</v>
      </c>
      <c r="X205" s="271">
        <f>SUM(U205:W205)</f>
        <v>7842700000</v>
      </c>
      <c r="Y205" s="270">
        <f>NOVIEMBRE!AA205</f>
        <v>7832600000</v>
      </c>
      <c r="Z205" s="1186">
        <v>-84083779</v>
      </c>
      <c r="AA205" s="271">
        <f>SUM(Y205:Z205)</f>
        <v>7748516221</v>
      </c>
      <c r="AB205" s="270">
        <f>NOVIEMBRE!AD205</f>
        <v>7055220614</v>
      </c>
      <c r="AC205" s="1186">
        <v>693295607</v>
      </c>
      <c r="AD205" s="271">
        <f>SUM(AB205:AC205)</f>
        <v>7748516221</v>
      </c>
      <c r="AE205" s="270">
        <f>NOVIEMBRE!AG205</f>
        <v>5715059955</v>
      </c>
      <c r="AF205" s="1186">
        <v>629131533</v>
      </c>
      <c r="AG205" s="271">
        <f>SUM(AE205:AF205)</f>
        <v>6344191488</v>
      </c>
      <c r="AH205" s="270">
        <f>X205-AA205</f>
        <v>94183779</v>
      </c>
      <c r="AI205" s="220">
        <f>X205-AD205</f>
        <v>94183779</v>
      </c>
      <c r="AJ205" s="269">
        <f>X205-AG205</f>
        <v>1498508512</v>
      </c>
      <c r="AK205" s="101"/>
      <c r="AL205" s="204">
        <v>0</v>
      </c>
      <c r="AM205" s="210">
        <v>0</v>
      </c>
    </row>
    <row r="206" spans="19:39" ht="24.75" customHeight="1" thickBot="1">
      <c r="S206" s="466" t="str">
        <f>+IF(NOVIEMBRE!S206=0,"",NOVIEMBRE!S206)</f>
        <v>2.4.5.01.03.99.01</v>
      </c>
      <c r="T206" s="467" t="str">
        <f>+IF(NOVIEMBRE!T206=0,"",NOVIEMBRE!T206)</f>
        <v>Vigencias Anteriores</v>
      </c>
      <c r="U206" s="547">
        <f>+ENERO!U207</f>
        <v>5913780963.333334</v>
      </c>
      <c r="V206" s="468">
        <f>NOVIEMBRE!V206+DICIEMBRE!AL206</f>
        <v>-2197000000</v>
      </c>
      <c r="W206" s="468">
        <f>NOVIEMBRE!W206+DICIEMBRE!AM206</f>
        <v>0</v>
      </c>
      <c r="X206" s="471">
        <f>SUM(U206:W206)</f>
        <v>3716780963.333334</v>
      </c>
      <c r="Y206" s="470">
        <f>NOVIEMBRE!AA206</f>
        <v>3654262555</v>
      </c>
      <c r="Z206" s="1186">
        <v>-6200000</v>
      </c>
      <c r="AA206" s="471">
        <f>SUM(Y206:Z206)</f>
        <v>3648062555</v>
      </c>
      <c r="AB206" s="470">
        <f>NOVIEMBRE!AD206</f>
        <v>3648062555</v>
      </c>
      <c r="AC206" s="246"/>
      <c r="AD206" s="471">
        <f>SUM(AB206:AC206)</f>
        <v>3648062555</v>
      </c>
      <c r="AE206" s="470">
        <f>NOVIEMBRE!AG206</f>
        <v>3648062553</v>
      </c>
      <c r="AF206" s="246"/>
      <c r="AG206" s="471">
        <f>SUM(AE206:AF206)</f>
        <v>3648062553</v>
      </c>
      <c r="AH206" s="470">
        <f>X206-AA206</f>
        <v>68718408.333333969</v>
      </c>
      <c r="AI206" s="468">
        <f>X206-AD206</f>
        <v>68718408.333333969</v>
      </c>
      <c r="AJ206" s="469">
        <f>X206-AG206</f>
        <v>68718410.333333969</v>
      </c>
      <c r="AK206" s="101"/>
      <c r="AL206" s="242">
        <v>0</v>
      </c>
      <c r="AM206" s="248">
        <v>0</v>
      </c>
    </row>
    <row r="207" spans="19:39" ht="24.75" customHeight="1">
      <c r="S207" s="455">
        <f>+IF(NOVIEMBRE!S207=0,"",NOVIEMBRE!S207)</f>
        <v>1050551296</v>
      </c>
      <c r="T207" s="456" t="str">
        <f>+IF(NOVIEMBRE!T207=0,"",NOVIEMBRE!T207)</f>
        <v/>
      </c>
      <c r="U207" s="457"/>
      <c r="V207" s="457"/>
      <c r="W207" s="457"/>
      <c r="X207" s="457"/>
      <c r="Y207" s="457"/>
      <c r="Z207" s="457"/>
      <c r="AA207" s="457"/>
      <c r="AB207" s="457"/>
      <c r="AC207" s="457"/>
      <c r="AD207" s="457"/>
      <c r="AE207" s="457"/>
      <c r="AF207" s="457"/>
      <c r="AG207" s="457"/>
      <c r="AH207" s="457"/>
      <c r="AI207" s="457"/>
      <c r="AJ207" s="458"/>
      <c r="AK207" s="101"/>
      <c r="AL207" s="460"/>
      <c r="AM207" s="461"/>
    </row>
    <row r="208" spans="19:39" ht="24.75" customHeight="1">
      <c r="S208" s="228">
        <f>+IF(NOVIEMBRE!S208=0,"",NOVIEMBRE!S208)</f>
        <v>5000000</v>
      </c>
      <c r="T208" s="404" t="s">
        <v>300</v>
      </c>
      <c r="U208" s="405">
        <f t="shared" ref="U208:AJ208" si="177">U209</f>
        <v>2203000000</v>
      </c>
      <c r="V208" s="406">
        <f t="shared" si="177"/>
        <v>2112559635</v>
      </c>
      <c r="W208" s="406">
        <f t="shared" si="177"/>
        <v>350000000</v>
      </c>
      <c r="X208" s="407">
        <f t="shared" si="177"/>
        <v>4665559635</v>
      </c>
      <c r="Y208" s="217">
        <f t="shared" si="177"/>
        <v>4596412660</v>
      </c>
      <c r="Z208" s="406">
        <f t="shared" si="177"/>
        <v>0</v>
      </c>
      <c r="AA208" s="407">
        <f t="shared" si="177"/>
        <v>4596412660</v>
      </c>
      <c r="AB208" s="217">
        <f t="shared" si="177"/>
        <v>4596412660</v>
      </c>
      <c r="AC208" s="406">
        <f t="shared" si="177"/>
        <v>0</v>
      </c>
      <c r="AD208" s="407">
        <f t="shared" si="177"/>
        <v>4596412660</v>
      </c>
      <c r="AE208" s="217">
        <f t="shared" si="177"/>
        <v>4596412660</v>
      </c>
      <c r="AF208" s="406">
        <f t="shared" si="177"/>
        <v>0</v>
      </c>
      <c r="AG208" s="407">
        <f t="shared" si="177"/>
        <v>4596412660</v>
      </c>
      <c r="AH208" s="217">
        <f t="shared" si="177"/>
        <v>69146975</v>
      </c>
      <c r="AI208" s="406">
        <f t="shared" si="177"/>
        <v>69146975</v>
      </c>
      <c r="AJ208" s="218">
        <f t="shared" si="177"/>
        <v>69146975</v>
      </c>
      <c r="AK208" s="101"/>
      <c r="AL208" s="233">
        <f>AL209</f>
        <v>0</v>
      </c>
      <c r="AM208" s="232">
        <f>AM209</f>
        <v>0</v>
      </c>
    </row>
    <row r="209" spans="19:39" ht="24.75" customHeight="1">
      <c r="S209" s="257">
        <f>+IF(NOVIEMBRE!S209=0,"",NOVIEMBRE!S209)</f>
        <v>5100000</v>
      </c>
      <c r="T209" s="546" t="str">
        <f>+IF(NOVIEMBRE!T209=0,"",NOVIEMBRE!T209)</f>
        <v>Insumos y Suministros para Venta al Público</v>
      </c>
      <c r="U209" s="230">
        <f t="shared" ref="U209:AJ209" si="178">U210+U217</f>
        <v>2203000000</v>
      </c>
      <c r="V209" s="231">
        <f t="shared" si="178"/>
        <v>2112559635</v>
      </c>
      <c r="W209" s="231">
        <f t="shared" si="178"/>
        <v>350000000</v>
      </c>
      <c r="X209" s="234">
        <f t="shared" si="178"/>
        <v>4665559635</v>
      </c>
      <c r="Y209" s="233">
        <f t="shared" si="178"/>
        <v>4596412660</v>
      </c>
      <c r="Z209" s="231">
        <f t="shared" si="178"/>
        <v>0</v>
      </c>
      <c r="AA209" s="234">
        <f t="shared" si="178"/>
        <v>4596412660</v>
      </c>
      <c r="AB209" s="233">
        <f t="shared" si="178"/>
        <v>4596412660</v>
      </c>
      <c r="AC209" s="231">
        <f t="shared" si="178"/>
        <v>0</v>
      </c>
      <c r="AD209" s="234">
        <f t="shared" si="178"/>
        <v>4596412660</v>
      </c>
      <c r="AE209" s="233">
        <f t="shared" si="178"/>
        <v>4596412660</v>
      </c>
      <c r="AF209" s="231">
        <f t="shared" si="178"/>
        <v>0</v>
      </c>
      <c r="AG209" s="234">
        <f t="shared" si="178"/>
        <v>4596412660</v>
      </c>
      <c r="AH209" s="233">
        <f t="shared" si="178"/>
        <v>69146975</v>
      </c>
      <c r="AI209" s="231">
        <f t="shared" si="178"/>
        <v>69146975</v>
      </c>
      <c r="AJ209" s="232">
        <f t="shared" si="178"/>
        <v>69146975</v>
      </c>
      <c r="AK209" s="101"/>
      <c r="AL209" s="233">
        <f>AL210+AL217</f>
        <v>0</v>
      </c>
      <c r="AM209" s="232">
        <f>AM210+AM217</f>
        <v>0</v>
      </c>
    </row>
    <row r="210" spans="19:39" ht="24.75" customHeight="1">
      <c r="S210" s="266">
        <f>+IF(NOVIEMBRE!S210=0,"",NOVIEMBRE!S210)</f>
        <v>5100100</v>
      </c>
      <c r="T210" s="267" t="str">
        <f>+IF(NOVIEMBRE!T210=0,"",NOVIEMBRE!T210)</f>
        <v>Compra de Bienes para la venta</v>
      </c>
      <c r="U210" s="373">
        <f t="shared" ref="U210:AJ210" si="179">SUM(U211:U216)</f>
        <v>3000000</v>
      </c>
      <c r="V210" s="220">
        <f t="shared" si="179"/>
        <v>0</v>
      </c>
      <c r="W210" s="220">
        <f t="shared" si="179"/>
        <v>0</v>
      </c>
      <c r="X210" s="271">
        <f t="shared" si="179"/>
        <v>3000000</v>
      </c>
      <c r="Y210" s="270">
        <f t="shared" si="179"/>
        <v>0</v>
      </c>
      <c r="Z210" s="300">
        <f t="shared" si="179"/>
        <v>0</v>
      </c>
      <c r="AA210" s="271">
        <f t="shared" si="179"/>
        <v>0</v>
      </c>
      <c r="AB210" s="270">
        <f t="shared" si="179"/>
        <v>0</v>
      </c>
      <c r="AC210" s="300">
        <f t="shared" si="179"/>
        <v>0</v>
      </c>
      <c r="AD210" s="271">
        <f t="shared" si="179"/>
        <v>0</v>
      </c>
      <c r="AE210" s="270">
        <f t="shared" si="179"/>
        <v>0</v>
      </c>
      <c r="AF210" s="300">
        <f t="shared" si="179"/>
        <v>0</v>
      </c>
      <c r="AG210" s="271">
        <f t="shared" si="179"/>
        <v>0</v>
      </c>
      <c r="AH210" s="270">
        <f t="shared" si="179"/>
        <v>3000000</v>
      </c>
      <c r="AI210" s="220">
        <f t="shared" si="179"/>
        <v>3000000</v>
      </c>
      <c r="AJ210" s="269">
        <f t="shared" si="179"/>
        <v>3000000</v>
      </c>
      <c r="AK210" s="101"/>
      <c r="AL210" s="301">
        <f>SUM(AL211:AL216)</f>
        <v>0</v>
      </c>
      <c r="AM210" s="302">
        <f>SUM(AM211:AM216)</f>
        <v>0</v>
      </c>
    </row>
    <row r="211" spans="19:39" ht="24.75" customHeight="1">
      <c r="S211" s="311" t="str">
        <f>+IF(NOVIEMBRE!S211=0,"",NOVIEMBRE!S211)</f>
        <v>5100100-1</v>
      </c>
      <c r="T211" s="312" t="str">
        <f>+IF(NOVIEMBRE!T211=0,"",NOVIEMBRE!T211)</f>
        <v>Productos Farmaceuticos</v>
      </c>
      <c r="U211" s="373">
        <f>+ENERO!U212</f>
        <v>0</v>
      </c>
      <c r="V211" s="220">
        <f>NOVIEMBRE!V211+DICIEMBRE!AL211</f>
        <v>0</v>
      </c>
      <c r="W211" s="220">
        <f>NOVIEMBRE!W211+DICIEMBRE!AM211</f>
        <v>0</v>
      </c>
      <c r="X211" s="271">
        <f t="shared" ref="X211:X217" si="180">SUM(U211:W211)</f>
        <v>0</v>
      </c>
      <c r="Y211" s="270">
        <f>NOVIEMBRE!AA211</f>
        <v>0</v>
      </c>
      <c r="Z211" s="1186">
        <v>0</v>
      </c>
      <c r="AA211" s="271">
        <f t="shared" ref="AA211:AA217" si="181">SUM(Y211:Z211)</f>
        <v>0</v>
      </c>
      <c r="AB211" s="270">
        <f>NOVIEMBRE!AD211</f>
        <v>0</v>
      </c>
      <c r="AC211" s="1186">
        <v>0</v>
      </c>
      <c r="AD211" s="271">
        <f t="shared" ref="AD211:AD217" si="182">SUM(AB211:AC211)</f>
        <v>0</v>
      </c>
      <c r="AE211" s="270">
        <f>NOVIEMBRE!AG211</f>
        <v>0</v>
      </c>
      <c r="AF211" s="208">
        <v>0</v>
      </c>
      <c r="AG211" s="271">
        <f t="shared" ref="AG211:AG217" si="183">SUM(AE211:AF211)</f>
        <v>0</v>
      </c>
      <c r="AH211" s="270">
        <f t="shared" ref="AH211:AH217" si="184">X211-AA211</f>
        <v>0</v>
      </c>
      <c r="AI211" s="220">
        <f t="shared" ref="AI211:AI217" si="185">X211-AD211</f>
        <v>0</v>
      </c>
      <c r="AJ211" s="269">
        <f t="shared" ref="AJ211:AJ217" si="186">X211-AG211</f>
        <v>0</v>
      </c>
      <c r="AK211" s="101"/>
      <c r="AL211" s="204">
        <v>0</v>
      </c>
      <c r="AM211" s="210">
        <v>0</v>
      </c>
    </row>
    <row r="212" spans="19:39" ht="24.75" customHeight="1">
      <c r="S212" s="311" t="str">
        <f>+IF(NOVIEMBRE!S212=0,"",NOVIEMBRE!S212)</f>
        <v>5100100-2</v>
      </c>
      <c r="T212" s="312" t="str">
        <f>+IF(NOVIEMBRE!T212=0,"",NOVIEMBRE!T212)</f>
        <v>Material Médico Quirúrgico</v>
      </c>
      <c r="U212" s="373">
        <f>+ENERO!U213</f>
        <v>0</v>
      </c>
      <c r="V212" s="220">
        <f>NOVIEMBRE!V212+DICIEMBRE!AL212</f>
        <v>0</v>
      </c>
      <c r="W212" s="220">
        <f>NOVIEMBRE!W212+DICIEMBRE!AM212</f>
        <v>0</v>
      </c>
      <c r="X212" s="271">
        <f t="shared" si="180"/>
        <v>0</v>
      </c>
      <c r="Y212" s="270">
        <f>NOVIEMBRE!AA212</f>
        <v>0</v>
      </c>
      <c r="Z212" s="208">
        <v>0</v>
      </c>
      <c r="AA212" s="271">
        <f t="shared" si="181"/>
        <v>0</v>
      </c>
      <c r="AB212" s="270">
        <f>NOVIEMBRE!AD212</f>
        <v>0</v>
      </c>
      <c r="AC212" s="208">
        <v>0</v>
      </c>
      <c r="AD212" s="271">
        <f t="shared" si="182"/>
        <v>0</v>
      </c>
      <c r="AE212" s="270">
        <f>NOVIEMBRE!AG212</f>
        <v>0</v>
      </c>
      <c r="AF212" s="208">
        <v>0</v>
      </c>
      <c r="AG212" s="271">
        <f t="shared" si="183"/>
        <v>0</v>
      </c>
      <c r="AH212" s="270">
        <f t="shared" si="184"/>
        <v>0</v>
      </c>
      <c r="AI212" s="220">
        <f t="shared" si="185"/>
        <v>0</v>
      </c>
      <c r="AJ212" s="269">
        <f t="shared" si="186"/>
        <v>0</v>
      </c>
      <c r="AK212" s="101"/>
      <c r="AL212" s="204">
        <v>0</v>
      </c>
      <c r="AM212" s="210">
        <v>0</v>
      </c>
    </row>
    <row r="213" spans="19:39" ht="24.75" customHeight="1">
      <c r="S213" s="311" t="str">
        <f>+IF(NOVIEMBRE!S213=0,"",NOVIEMBRE!S213)</f>
        <v>5100100-3</v>
      </c>
      <c r="T213" s="312" t="str">
        <f>+IF(NOVIEMBRE!T213=0,"",NOVIEMBRE!T213)</f>
        <v>Material de Laboratorio</v>
      </c>
      <c r="U213" s="373">
        <f>+ENERO!U214</f>
        <v>0</v>
      </c>
      <c r="V213" s="220">
        <f>NOVIEMBRE!V213+DICIEMBRE!AL213</f>
        <v>0</v>
      </c>
      <c r="W213" s="220">
        <f>NOVIEMBRE!W213+DICIEMBRE!AM213</f>
        <v>0</v>
      </c>
      <c r="X213" s="271">
        <f t="shared" si="180"/>
        <v>0</v>
      </c>
      <c r="Y213" s="270">
        <f>NOVIEMBRE!AA213</f>
        <v>0</v>
      </c>
      <c r="Z213" s="208">
        <v>0</v>
      </c>
      <c r="AA213" s="271">
        <f t="shared" si="181"/>
        <v>0</v>
      </c>
      <c r="AB213" s="270">
        <f>NOVIEMBRE!AD213</f>
        <v>0</v>
      </c>
      <c r="AC213" s="208">
        <v>0</v>
      </c>
      <c r="AD213" s="271">
        <f t="shared" si="182"/>
        <v>0</v>
      </c>
      <c r="AE213" s="270">
        <f>NOVIEMBRE!AG213</f>
        <v>0</v>
      </c>
      <c r="AF213" s="208">
        <v>0</v>
      </c>
      <c r="AG213" s="271">
        <f t="shared" si="183"/>
        <v>0</v>
      </c>
      <c r="AH213" s="270">
        <f t="shared" si="184"/>
        <v>0</v>
      </c>
      <c r="AI213" s="220">
        <f t="shared" si="185"/>
        <v>0</v>
      </c>
      <c r="AJ213" s="269">
        <f t="shared" si="186"/>
        <v>0</v>
      </c>
      <c r="AK213" s="101"/>
      <c r="AL213" s="204">
        <v>0</v>
      </c>
      <c r="AM213" s="210">
        <v>0</v>
      </c>
    </row>
    <row r="214" spans="19:39" ht="24.75" customHeight="1">
      <c r="S214" s="311" t="str">
        <f>+IF(NOVIEMBRE!S214=0,"",NOVIEMBRE!S214)</f>
        <v>2.4.5.02.09.91122</v>
      </c>
      <c r="T214" s="312" t="str">
        <f>+IF(NOVIEMBRE!T214=0,"",NOVIEMBRE!T214)</f>
        <v>Servicios de Certificación, Habilitación y Acreditación</v>
      </c>
      <c r="U214" s="373">
        <f>+ENERO!U215</f>
        <v>3000000</v>
      </c>
      <c r="V214" s="220">
        <f>NOVIEMBRE!V214+DICIEMBRE!AL214</f>
        <v>0</v>
      </c>
      <c r="W214" s="220">
        <f>NOVIEMBRE!W214+DICIEMBRE!AM214</f>
        <v>0</v>
      </c>
      <c r="X214" s="271">
        <f t="shared" si="180"/>
        <v>3000000</v>
      </c>
      <c r="Y214" s="270">
        <f>NOVIEMBRE!AA214</f>
        <v>0</v>
      </c>
      <c r="Z214" s="208">
        <v>0</v>
      </c>
      <c r="AA214" s="271">
        <f t="shared" si="181"/>
        <v>0</v>
      </c>
      <c r="AB214" s="270">
        <f>NOVIEMBRE!AD214</f>
        <v>0</v>
      </c>
      <c r="AC214" s="208">
        <v>0</v>
      </c>
      <c r="AD214" s="271">
        <f t="shared" si="182"/>
        <v>0</v>
      </c>
      <c r="AE214" s="270">
        <f>NOVIEMBRE!AG214</f>
        <v>0</v>
      </c>
      <c r="AF214" s="208">
        <v>0</v>
      </c>
      <c r="AG214" s="271">
        <f t="shared" si="183"/>
        <v>0</v>
      </c>
      <c r="AH214" s="270">
        <f t="shared" si="184"/>
        <v>3000000</v>
      </c>
      <c r="AI214" s="220">
        <f t="shared" si="185"/>
        <v>3000000</v>
      </c>
      <c r="AJ214" s="269">
        <f t="shared" si="186"/>
        <v>3000000</v>
      </c>
      <c r="AK214" s="101"/>
      <c r="AL214" s="204">
        <v>0</v>
      </c>
      <c r="AM214" s="210">
        <v>0</v>
      </c>
    </row>
    <row r="215" spans="19:39" ht="24.75" customHeight="1">
      <c r="S215" s="311" t="str">
        <f>+IF(NOVIEMBRE!S215=0,"",NOVIEMBRE!S215)</f>
        <v>2.4.5.02.08.801.99</v>
      </c>
      <c r="T215" s="312" t="str">
        <f>+IF(NOVIEMBRE!T215=0,"",NOVIEMBRE!T215)</f>
        <v>Vigencias Anteriores</v>
      </c>
      <c r="U215" s="373">
        <f>+ENERO!U216</f>
        <v>0</v>
      </c>
      <c r="V215" s="220">
        <f>NOVIEMBRE!V215+DICIEMBRE!AL215</f>
        <v>0</v>
      </c>
      <c r="W215" s="220">
        <f>NOVIEMBRE!W215+DICIEMBRE!AM215</f>
        <v>0</v>
      </c>
      <c r="X215" s="271">
        <f t="shared" si="180"/>
        <v>0</v>
      </c>
      <c r="Y215" s="270">
        <f>NOVIEMBRE!AA215</f>
        <v>0</v>
      </c>
      <c r="Z215" s="208">
        <v>0</v>
      </c>
      <c r="AA215" s="271">
        <f t="shared" si="181"/>
        <v>0</v>
      </c>
      <c r="AB215" s="270">
        <f>NOVIEMBRE!AD215</f>
        <v>0</v>
      </c>
      <c r="AC215" s="208">
        <v>0</v>
      </c>
      <c r="AD215" s="271">
        <f t="shared" si="182"/>
        <v>0</v>
      </c>
      <c r="AE215" s="270">
        <f>NOVIEMBRE!AG215</f>
        <v>0</v>
      </c>
      <c r="AF215" s="208">
        <v>0</v>
      </c>
      <c r="AG215" s="271">
        <f t="shared" si="183"/>
        <v>0</v>
      </c>
      <c r="AH215" s="270">
        <f t="shared" si="184"/>
        <v>0</v>
      </c>
      <c r="AI215" s="220">
        <f t="shared" si="185"/>
        <v>0</v>
      </c>
      <c r="AJ215" s="269">
        <f t="shared" si="186"/>
        <v>0</v>
      </c>
      <c r="AK215" s="101"/>
      <c r="AL215" s="204">
        <v>0</v>
      </c>
      <c r="AM215" s="210">
        <v>0</v>
      </c>
    </row>
    <row r="216" spans="19:39" ht="24.75" customHeight="1">
      <c r="S216" s="311" t="str">
        <f>+IF(NOVIEMBRE!S216=0,"",NOVIEMBRE!S216)</f>
        <v>2.4.5.02.08.802.99</v>
      </c>
      <c r="T216" s="312" t="str">
        <f>+IF(NOVIEMBRE!T216=0,"",NOVIEMBRE!T216)</f>
        <v>Vigencias Anteriores</v>
      </c>
      <c r="U216" s="373">
        <f>+ENERO!U217</f>
        <v>0</v>
      </c>
      <c r="V216" s="220">
        <f>NOVIEMBRE!V216+DICIEMBRE!AL216</f>
        <v>0</v>
      </c>
      <c r="W216" s="220">
        <f>NOVIEMBRE!W216+DICIEMBRE!AM216</f>
        <v>0</v>
      </c>
      <c r="X216" s="271">
        <f t="shared" si="180"/>
        <v>0</v>
      </c>
      <c r="Y216" s="270">
        <f>NOVIEMBRE!AA216</f>
        <v>0</v>
      </c>
      <c r="Z216" s="208">
        <v>0</v>
      </c>
      <c r="AA216" s="271">
        <f t="shared" si="181"/>
        <v>0</v>
      </c>
      <c r="AB216" s="270">
        <f>NOVIEMBRE!AD216</f>
        <v>0</v>
      </c>
      <c r="AC216" s="208">
        <v>0</v>
      </c>
      <c r="AD216" s="271">
        <f t="shared" si="182"/>
        <v>0</v>
      </c>
      <c r="AE216" s="270">
        <f>NOVIEMBRE!AG216</f>
        <v>0</v>
      </c>
      <c r="AF216" s="208">
        <v>0</v>
      </c>
      <c r="AG216" s="271">
        <f t="shared" si="183"/>
        <v>0</v>
      </c>
      <c r="AH216" s="270">
        <f t="shared" si="184"/>
        <v>0</v>
      </c>
      <c r="AI216" s="220">
        <f t="shared" si="185"/>
        <v>0</v>
      </c>
      <c r="AJ216" s="269">
        <f t="shared" si="186"/>
        <v>0</v>
      </c>
      <c r="AK216" s="101"/>
      <c r="AL216" s="204">
        <v>0</v>
      </c>
      <c r="AM216" s="210">
        <v>0</v>
      </c>
    </row>
    <row r="217" spans="19:39" ht="24.75" customHeight="1" thickBot="1">
      <c r="S217" s="499" t="str">
        <f>+IF(NOVIEMBRE!S217=0,"",NOVIEMBRE!S217)</f>
        <v>2.4.5.02.08.99</v>
      </c>
      <c r="T217" s="500" t="str">
        <f>+IF(NOVIEMBRE!T217=0,"",NOVIEMBRE!T217)</f>
        <v>Vigencias Anteriores</v>
      </c>
      <c r="U217" s="547">
        <f>+ENERO!U218</f>
        <v>2200000000</v>
      </c>
      <c r="V217" s="468">
        <f>NOVIEMBRE!V217+DICIEMBRE!AL217</f>
        <v>2112559635</v>
      </c>
      <c r="W217" s="468">
        <f>NOVIEMBRE!W217+DICIEMBRE!AM217</f>
        <v>350000000</v>
      </c>
      <c r="X217" s="471">
        <f t="shared" si="180"/>
        <v>4662559635</v>
      </c>
      <c r="Y217" s="470">
        <f>NOVIEMBRE!AA217</f>
        <v>4596412660</v>
      </c>
      <c r="Z217" s="246">
        <v>0</v>
      </c>
      <c r="AA217" s="471">
        <f t="shared" si="181"/>
        <v>4596412660</v>
      </c>
      <c r="AB217" s="470">
        <f>NOVIEMBRE!AD217</f>
        <v>4596412660</v>
      </c>
      <c r="AC217" s="246">
        <v>0</v>
      </c>
      <c r="AD217" s="471">
        <f t="shared" si="182"/>
        <v>4596412660</v>
      </c>
      <c r="AE217" s="470">
        <f>NOVIEMBRE!AG217</f>
        <v>4596412660</v>
      </c>
      <c r="AF217" s="246">
        <v>0</v>
      </c>
      <c r="AG217" s="471">
        <f t="shared" si="183"/>
        <v>4596412660</v>
      </c>
      <c r="AH217" s="470">
        <f t="shared" si="184"/>
        <v>66146975</v>
      </c>
      <c r="AI217" s="468">
        <f t="shared" si="185"/>
        <v>66146975</v>
      </c>
      <c r="AJ217" s="469">
        <f t="shared" si="186"/>
        <v>66146975</v>
      </c>
      <c r="AK217" s="101"/>
      <c r="AL217" s="489">
        <v>0</v>
      </c>
      <c r="AM217" s="490">
        <v>0</v>
      </c>
    </row>
    <row r="218" spans="19:39" ht="24.75" customHeight="1" thickBot="1">
      <c r="S218" s="480">
        <f>+IF(NOVIEMBRE!S218=0,"",NOVIEMBRE!S218)</f>
        <v>1133096960</v>
      </c>
      <c r="T218" s="481" t="str">
        <f>+IF(NOVIEMBRE!T218=0,"",NOVIEMBRE!T218)</f>
        <v/>
      </c>
      <c r="U218" s="482"/>
      <c r="V218" s="482"/>
      <c r="W218" s="482"/>
      <c r="X218" s="482"/>
      <c r="Y218" s="482"/>
      <c r="Z218" s="482"/>
      <c r="AA218" s="482"/>
      <c r="AB218" s="482"/>
      <c r="AC218" s="482"/>
      <c r="AD218" s="482"/>
      <c r="AE218" s="482"/>
      <c r="AF218" s="482"/>
      <c r="AG218" s="482"/>
      <c r="AH218" s="482"/>
      <c r="AI218" s="482"/>
      <c r="AJ218" s="484"/>
      <c r="AK218" s="101"/>
      <c r="AL218" s="485"/>
      <c r="AM218" s="486"/>
    </row>
    <row r="219" spans="19:39" ht="24.75" customHeight="1">
      <c r="S219" s="176" t="str">
        <f>+IF(NOVIEMBRE!S219=0,"",NOVIEMBRE!S219)</f>
        <v>C</v>
      </c>
      <c r="T219" s="177" t="str">
        <f>+IF(NOVIEMBRE!T219=0,"",NOVIEMBRE!T219)</f>
        <v xml:space="preserve">SERVICIO DE LA DEUDA </v>
      </c>
      <c r="U219" s="178">
        <f t="shared" ref="U219:AJ219" si="187">U221+U226</f>
        <v>3239175000</v>
      </c>
      <c r="V219" s="179">
        <f t="shared" si="187"/>
        <v>-1100000000</v>
      </c>
      <c r="W219" s="179">
        <f t="shared" si="187"/>
        <v>0</v>
      </c>
      <c r="X219" s="182">
        <f t="shared" si="187"/>
        <v>2139175000</v>
      </c>
      <c r="Y219" s="181">
        <f t="shared" si="187"/>
        <v>1708913354</v>
      </c>
      <c r="Z219" s="179">
        <f t="shared" si="187"/>
        <v>268373453</v>
      </c>
      <c r="AA219" s="182">
        <f t="shared" si="187"/>
        <v>1977286807</v>
      </c>
      <c r="AB219" s="181">
        <f t="shared" si="187"/>
        <v>1708913354</v>
      </c>
      <c r="AC219" s="179">
        <f t="shared" si="187"/>
        <v>268373453</v>
      </c>
      <c r="AD219" s="182">
        <f t="shared" si="187"/>
        <v>1977286807</v>
      </c>
      <c r="AE219" s="181">
        <f t="shared" si="187"/>
        <v>1708913354</v>
      </c>
      <c r="AF219" s="179">
        <f t="shared" si="187"/>
        <v>268373453</v>
      </c>
      <c r="AG219" s="182">
        <f t="shared" si="187"/>
        <v>1977286807</v>
      </c>
      <c r="AH219" s="181">
        <f t="shared" si="187"/>
        <v>161888193</v>
      </c>
      <c r="AI219" s="179">
        <f t="shared" si="187"/>
        <v>161888193</v>
      </c>
      <c r="AJ219" s="180">
        <f t="shared" si="187"/>
        <v>161888193</v>
      </c>
      <c r="AK219" s="101"/>
      <c r="AL219" s="181">
        <f>AL221+AL226</f>
        <v>0</v>
      </c>
      <c r="AM219" s="180">
        <f>AM221+AM226</f>
        <v>0</v>
      </c>
    </row>
    <row r="220" spans="19:39" ht="24.75" customHeight="1">
      <c r="S220" s="189">
        <f>+IF(NOVIEMBRE!S220=0,"",NOVIEMBRE!S220)</f>
        <v>1133096960</v>
      </c>
      <c r="T220" s="488" t="str">
        <f>+IF(NOVIEMBRE!T220=0,"",NOVIEMBRE!T220)</f>
        <v/>
      </c>
      <c r="U220" s="191"/>
      <c r="V220" s="191"/>
      <c r="W220" s="191"/>
      <c r="X220" s="191"/>
      <c r="Y220" s="191"/>
      <c r="Z220" s="191"/>
      <c r="AA220" s="191"/>
      <c r="AB220" s="191"/>
      <c r="AC220" s="191"/>
      <c r="AD220" s="191"/>
      <c r="AE220" s="191"/>
      <c r="AF220" s="191"/>
      <c r="AG220" s="191"/>
      <c r="AH220" s="191"/>
      <c r="AI220" s="191"/>
      <c r="AJ220" s="192"/>
      <c r="AK220" s="101"/>
      <c r="AL220" s="370"/>
      <c r="AM220" s="371"/>
    </row>
    <row r="221" spans="19:39" ht="24.75" customHeight="1">
      <c r="S221" s="257">
        <f>+IF(NOVIEMBRE!S221=0,"",NOVIEMBRE!S221)</f>
        <v>7001000</v>
      </c>
      <c r="T221" s="546" t="str">
        <f>+IF(NOVIEMBRE!T221=0,"",NOVIEMBRE!T221)</f>
        <v>SERVICIO DE LA DEUDA INTERNA</v>
      </c>
      <c r="U221" s="230">
        <f t="shared" ref="U221:AJ221" si="188">SUM(U222:U224)</f>
        <v>3239175000</v>
      </c>
      <c r="V221" s="231">
        <f t="shared" si="188"/>
        <v>-1100000000</v>
      </c>
      <c r="W221" s="231">
        <f t="shared" si="188"/>
        <v>0</v>
      </c>
      <c r="X221" s="234">
        <f t="shared" si="188"/>
        <v>2139175000</v>
      </c>
      <c r="Y221" s="233">
        <f t="shared" si="188"/>
        <v>1708913354</v>
      </c>
      <c r="Z221" s="231">
        <f t="shared" si="188"/>
        <v>268373453</v>
      </c>
      <c r="AA221" s="234">
        <f t="shared" si="188"/>
        <v>1977286807</v>
      </c>
      <c r="AB221" s="233">
        <f t="shared" si="188"/>
        <v>1708913354</v>
      </c>
      <c r="AC221" s="231">
        <f t="shared" si="188"/>
        <v>268373453</v>
      </c>
      <c r="AD221" s="234">
        <f t="shared" si="188"/>
        <v>1977286807</v>
      </c>
      <c r="AE221" s="233">
        <f t="shared" si="188"/>
        <v>1708913354</v>
      </c>
      <c r="AF221" s="231">
        <f t="shared" si="188"/>
        <v>268373453</v>
      </c>
      <c r="AG221" s="234">
        <f t="shared" si="188"/>
        <v>1977286807</v>
      </c>
      <c r="AH221" s="233">
        <f t="shared" si="188"/>
        <v>161888193</v>
      </c>
      <c r="AI221" s="231">
        <f t="shared" si="188"/>
        <v>161888193</v>
      </c>
      <c r="AJ221" s="232">
        <f t="shared" si="188"/>
        <v>161888193</v>
      </c>
      <c r="AK221" s="101"/>
      <c r="AL221" s="233">
        <f>SUM(AL222:AL224)</f>
        <v>0</v>
      </c>
      <c r="AM221" s="232">
        <f>SUM(AM222:AM224)</f>
        <v>0</v>
      </c>
    </row>
    <row r="222" spans="19:39" ht="24.75" customHeight="1">
      <c r="S222" s="266" t="str">
        <f>+IF(NOVIEMBRE!S222=0,"",NOVIEMBRE!S222)</f>
        <v>2.2.2.2.01.02.002.02</v>
      </c>
      <c r="T222" s="267" t="str">
        <f>+IF(NOVIEMBRE!T222=0,"",NOVIEMBRE!T222)</f>
        <v>Banca Comercial</v>
      </c>
      <c r="U222" s="373">
        <f>+ENERO!U223</f>
        <v>2000000000</v>
      </c>
      <c r="V222" s="220">
        <f>NOVIEMBRE!V222+DICIEMBRE!AL222</f>
        <v>-1250000000</v>
      </c>
      <c r="W222" s="220">
        <f>NOVIEMBRE!W222+DICIEMBRE!AM222</f>
        <v>0</v>
      </c>
      <c r="X222" s="271">
        <f>SUM(U222:W222)</f>
        <v>750000000</v>
      </c>
      <c r="Y222" s="270">
        <f>NOVIEMBRE!AA222</f>
        <v>498737304</v>
      </c>
      <c r="Z222" s="1186">
        <v>166245768</v>
      </c>
      <c r="AA222" s="271">
        <f>SUM(Y222:Z222)</f>
        <v>664983072</v>
      </c>
      <c r="AB222" s="270">
        <f>NOVIEMBRE!AD222</f>
        <v>498737304</v>
      </c>
      <c r="AC222" s="1186">
        <v>166245768</v>
      </c>
      <c r="AD222" s="271">
        <f>SUM(AB222:AC222)</f>
        <v>664983072</v>
      </c>
      <c r="AE222" s="270">
        <f>NOVIEMBRE!AG222</f>
        <v>498737304</v>
      </c>
      <c r="AF222" s="1186">
        <v>166245768</v>
      </c>
      <c r="AG222" s="271">
        <f>SUM(AE222:AF222)</f>
        <v>664983072</v>
      </c>
      <c r="AH222" s="270">
        <f>X222-AA222</f>
        <v>85016928</v>
      </c>
      <c r="AI222" s="220">
        <f>X222-AD222</f>
        <v>85016928</v>
      </c>
      <c r="AJ222" s="269">
        <f>X222-AG222</f>
        <v>85016928</v>
      </c>
      <c r="AK222" s="101"/>
      <c r="AL222" s="204">
        <v>0</v>
      </c>
      <c r="AM222" s="210">
        <v>0</v>
      </c>
    </row>
    <row r="223" spans="19:39" ht="24.75" customHeight="1">
      <c r="S223" s="266" t="str">
        <f>+IF(NOVIEMBRE!S223=0,"",NOVIEMBRE!S223)</f>
        <v>2.2.2.02</v>
      </c>
      <c r="T223" s="267" t="str">
        <f>+IF(NOVIEMBRE!T223=0,"",NOVIEMBRE!T223)</f>
        <v>Intereses Comisiones y gastos de la Deuda Pública</v>
      </c>
      <c r="U223" s="373">
        <f>+ENERO!U224</f>
        <v>1239175000</v>
      </c>
      <c r="V223" s="220">
        <f>NOVIEMBRE!V223+DICIEMBRE!AL223</f>
        <v>150000000</v>
      </c>
      <c r="W223" s="220">
        <f>NOVIEMBRE!W223+DICIEMBRE!AM223</f>
        <v>0</v>
      </c>
      <c r="X223" s="271">
        <f>SUM(U223:W223)</f>
        <v>1389175000</v>
      </c>
      <c r="Y223" s="270">
        <f>NOVIEMBRE!AA223</f>
        <v>1210176050</v>
      </c>
      <c r="Z223" s="1186">
        <v>102127685</v>
      </c>
      <c r="AA223" s="271">
        <f>SUM(Y223:Z223)</f>
        <v>1312303735</v>
      </c>
      <c r="AB223" s="270">
        <f>NOVIEMBRE!AD223</f>
        <v>1210176050</v>
      </c>
      <c r="AC223" s="1186">
        <v>102127685</v>
      </c>
      <c r="AD223" s="271">
        <f>SUM(AB223:AC223)</f>
        <v>1312303735</v>
      </c>
      <c r="AE223" s="270">
        <f>NOVIEMBRE!AG223</f>
        <v>1210176050</v>
      </c>
      <c r="AF223" s="1186">
        <v>102127685</v>
      </c>
      <c r="AG223" s="271">
        <f>SUM(AE223:AF223)</f>
        <v>1312303735</v>
      </c>
      <c r="AH223" s="270">
        <f>X223-AA223</f>
        <v>76871265</v>
      </c>
      <c r="AI223" s="220">
        <f>X223-AD223</f>
        <v>76871265</v>
      </c>
      <c r="AJ223" s="269">
        <f>X223-AG223</f>
        <v>76871265</v>
      </c>
      <c r="AK223" s="101"/>
      <c r="AL223" s="204">
        <v>0</v>
      </c>
      <c r="AM223" s="210">
        <v>0</v>
      </c>
    </row>
    <row r="224" spans="19:39" ht="24.75" customHeight="1">
      <c r="S224" s="266" t="str">
        <f>+IF(NOVIEMBRE!S224=0,"",NOVIEMBRE!S224)</f>
        <v>2.2.2.02</v>
      </c>
      <c r="T224" s="267" t="str">
        <f>+IF(NOVIEMBRE!T224=0,"",NOVIEMBRE!T224)</f>
        <v>Vigencias Anteriores Deuda Pública</v>
      </c>
      <c r="U224" s="373">
        <f>+ENERO!U225</f>
        <v>0</v>
      </c>
      <c r="V224" s="220">
        <f>NOVIEMBRE!V224+DICIEMBRE!AL224</f>
        <v>0</v>
      </c>
      <c r="W224" s="220">
        <f>NOVIEMBRE!W224+DICIEMBRE!AM224</f>
        <v>0</v>
      </c>
      <c r="X224" s="271">
        <f>SUM(U224:W224)</f>
        <v>0</v>
      </c>
      <c r="Y224" s="270">
        <f>NOVIEMBRE!AA224</f>
        <v>0</v>
      </c>
      <c r="Z224" s="208">
        <v>0</v>
      </c>
      <c r="AA224" s="271">
        <f>SUM(Y224:Z224)</f>
        <v>0</v>
      </c>
      <c r="AB224" s="270">
        <f>NOVIEMBRE!AD224</f>
        <v>0</v>
      </c>
      <c r="AC224" s="208">
        <v>0</v>
      </c>
      <c r="AD224" s="271">
        <f>SUM(AB224:AC224)</f>
        <v>0</v>
      </c>
      <c r="AE224" s="270">
        <f>NOVIEMBRE!AG224</f>
        <v>0</v>
      </c>
      <c r="AF224" s="208">
        <v>0</v>
      </c>
      <c r="AG224" s="271">
        <f>SUM(AE224:AF224)</f>
        <v>0</v>
      </c>
      <c r="AH224" s="270">
        <f>X224-AA224</f>
        <v>0</v>
      </c>
      <c r="AI224" s="220">
        <f>X224-AD224</f>
        <v>0</v>
      </c>
      <c r="AJ224" s="269">
        <f>X224-AG224</f>
        <v>0</v>
      </c>
      <c r="AK224" s="101"/>
      <c r="AL224" s="204">
        <v>0</v>
      </c>
      <c r="AM224" s="210">
        <v>0</v>
      </c>
    </row>
    <row r="225" spans="19:39" ht="24.75" customHeight="1">
      <c r="S225" s="189" t="str">
        <f>+IF(NOVIEMBRE!S225=0,"",NOVIEMBRE!S225)</f>
        <v/>
      </c>
      <c r="T225" s="488" t="str">
        <f>+IF(NOVIEMBRE!T225=0,"",NOVIEMBRE!T225)</f>
        <v/>
      </c>
      <c r="U225" s="191"/>
      <c r="V225" s="191"/>
      <c r="W225" s="191"/>
      <c r="X225" s="191"/>
      <c r="Y225" s="191"/>
      <c r="Z225" s="191"/>
      <c r="AA225" s="191"/>
      <c r="AB225" s="191"/>
      <c r="AC225" s="191"/>
      <c r="AD225" s="191"/>
      <c r="AE225" s="191"/>
      <c r="AF225" s="191"/>
      <c r="AG225" s="191"/>
      <c r="AH225" s="191"/>
      <c r="AI225" s="191"/>
      <c r="AJ225" s="192"/>
      <c r="AK225" s="101"/>
      <c r="AL225" s="370"/>
      <c r="AM225" s="371"/>
    </row>
    <row r="226" spans="19:39" ht="24.75" customHeight="1">
      <c r="S226" s="257">
        <f>+IF(NOVIEMBRE!S226=0,"",NOVIEMBRE!S226)</f>
        <v>7002001</v>
      </c>
      <c r="T226" s="546" t="str">
        <f>+IF(NOVIEMBRE!T226=0,"",NOVIEMBRE!T226)</f>
        <v>SERVICIO DE LA DEUDA EXTERNA</v>
      </c>
      <c r="U226" s="230">
        <f t="shared" ref="U226:AJ226" si="189">SUM(U227:U229)</f>
        <v>0</v>
      </c>
      <c r="V226" s="231">
        <f t="shared" si="189"/>
        <v>0</v>
      </c>
      <c r="W226" s="231">
        <f t="shared" si="189"/>
        <v>0</v>
      </c>
      <c r="X226" s="234">
        <f t="shared" si="189"/>
        <v>0</v>
      </c>
      <c r="Y226" s="233">
        <f t="shared" si="189"/>
        <v>0</v>
      </c>
      <c r="Z226" s="231">
        <f t="shared" si="189"/>
        <v>0</v>
      </c>
      <c r="AA226" s="234">
        <f t="shared" si="189"/>
        <v>0</v>
      </c>
      <c r="AB226" s="233">
        <f t="shared" si="189"/>
        <v>0</v>
      </c>
      <c r="AC226" s="231">
        <f t="shared" si="189"/>
        <v>0</v>
      </c>
      <c r="AD226" s="234">
        <f t="shared" si="189"/>
        <v>0</v>
      </c>
      <c r="AE226" s="233">
        <f t="shared" si="189"/>
        <v>0</v>
      </c>
      <c r="AF226" s="231">
        <f t="shared" si="189"/>
        <v>0</v>
      </c>
      <c r="AG226" s="234">
        <f t="shared" si="189"/>
        <v>0</v>
      </c>
      <c r="AH226" s="233">
        <f t="shared" si="189"/>
        <v>0</v>
      </c>
      <c r="AI226" s="231">
        <f t="shared" si="189"/>
        <v>0</v>
      </c>
      <c r="AJ226" s="232">
        <f t="shared" si="189"/>
        <v>0</v>
      </c>
      <c r="AK226" s="101"/>
      <c r="AL226" s="233">
        <f>SUM(AL227:AL229)</f>
        <v>0</v>
      </c>
      <c r="AM226" s="232">
        <f>SUM(AM227:AM229)</f>
        <v>0</v>
      </c>
    </row>
    <row r="227" spans="19:39" ht="24.75" customHeight="1">
      <c r="S227" s="266">
        <f>+IF(NOVIEMBRE!S227=0,"",NOVIEMBRE!S227)</f>
        <v>7002100</v>
      </c>
      <c r="T227" s="267" t="str">
        <f>+IF(NOVIEMBRE!T227=0,"",NOVIEMBRE!T227)</f>
        <v>Amortización deuda Pública Externa</v>
      </c>
      <c r="U227" s="373">
        <f>+ENERO!U228</f>
        <v>0</v>
      </c>
      <c r="V227" s="220">
        <f>NOVIEMBRE!V227+DICIEMBRE!AL227</f>
        <v>0</v>
      </c>
      <c r="W227" s="220">
        <f>NOVIEMBRE!W227+DICIEMBRE!AM227</f>
        <v>0</v>
      </c>
      <c r="X227" s="271">
        <f>SUM(U227:W227)</f>
        <v>0</v>
      </c>
      <c r="Y227" s="270">
        <f>NOVIEMBRE!AA227</f>
        <v>0</v>
      </c>
      <c r="Z227" s="208">
        <v>0</v>
      </c>
      <c r="AA227" s="271">
        <f>SUM(Y227:Z227)</f>
        <v>0</v>
      </c>
      <c r="AB227" s="270">
        <f>NOVIEMBRE!AD227</f>
        <v>0</v>
      </c>
      <c r="AC227" s="208">
        <v>0</v>
      </c>
      <c r="AD227" s="271">
        <f>SUM(AB227:AC227)</f>
        <v>0</v>
      </c>
      <c r="AE227" s="270">
        <f>NOVIEMBRE!AG227</f>
        <v>0</v>
      </c>
      <c r="AF227" s="208">
        <v>0</v>
      </c>
      <c r="AG227" s="271">
        <f>SUM(AE227:AF227)</f>
        <v>0</v>
      </c>
      <c r="AH227" s="270">
        <f>X227-AA227</f>
        <v>0</v>
      </c>
      <c r="AI227" s="220">
        <f>X227-AD227</f>
        <v>0</v>
      </c>
      <c r="AJ227" s="269">
        <f>X227-AG227</f>
        <v>0</v>
      </c>
      <c r="AK227" s="101"/>
      <c r="AL227" s="204">
        <v>0</v>
      </c>
      <c r="AM227" s="210">
        <v>0</v>
      </c>
    </row>
    <row r="228" spans="19:39" ht="24.75" customHeight="1">
      <c r="S228" s="266">
        <f>+IF(NOVIEMBRE!S228=0,"",NOVIEMBRE!S228)</f>
        <v>7002200</v>
      </c>
      <c r="T228" s="267" t="str">
        <f>+IF(NOVIEMBRE!T228=0,"",NOVIEMBRE!T228)</f>
        <v>Intereses Comisiones y gastos de la Deuda Pública</v>
      </c>
      <c r="U228" s="373">
        <f>+ENERO!U229</f>
        <v>0</v>
      </c>
      <c r="V228" s="220">
        <f>NOVIEMBRE!V228+DICIEMBRE!AL228</f>
        <v>0</v>
      </c>
      <c r="W228" s="220">
        <f>NOVIEMBRE!W228+DICIEMBRE!AM228</f>
        <v>0</v>
      </c>
      <c r="X228" s="271">
        <f>SUM(U228:W228)</f>
        <v>0</v>
      </c>
      <c r="Y228" s="270">
        <f>NOVIEMBRE!AA228</f>
        <v>0</v>
      </c>
      <c r="Z228" s="208">
        <v>0</v>
      </c>
      <c r="AA228" s="271">
        <f>SUM(Y228:Z228)</f>
        <v>0</v>
      </c>
      <c r="AB228" s="270">
        <f>NOVIEMBRE!AD228</f>
        <v>0</v>
      </c>
      <c r="AC228" s="208">
        <v>0</v>
      </c>
      <c r="AD228" s="271">
        <f>SUM(AB228:AC228)</f>
        <v>0</v>
      </c>
      <c r="AE228" s="270">
        <f>NOVIEMBRE!AG228</f>
        <v>0</v>
      </c>
      <c r="AF228" s="208">
        <v>0</v>
      </c>
      <c r="AG228" s="271">
        <f>SUM(AE228:AF228)</f>
        <v>0</v>
      </c>
      <c r="AH228" s="270">
        <f>X228-AA228</f>
        <v>0</v>
      </c>
      <c r="AI228" s="220">
        <f>X228-AD228</f>
        <v>0</v>
      </c>
      <c r="AJ228" s="269">
        <f>X228-AG228</f>
        <v>0</v>
      </c>
      <c r="AK228" s="101"/>
      <c r="AL228" s="204">
        <v>0</v>
      </c>
      <c r="AM228" s="210">
        <v>0</v>
      </c>
    </row>
    <row r="229" spans="19:39" ht="24.75" customHeight="1" thickBot="1">
      <c r="S229" s="466">
        <f>+IF(NOVIEMBRE!S229=0,"",NOVIEMBRE!S229)</f>
        <v>7002999</v>
      </c>
      <c r="T229" s="467" t="str">
        <f>+IF(NOVIEMBRE!T229=0,"",NOVIEMBRE!T229)</f>
        <v>Vigencias Anteriores</v>
      </c>
      <c r="U229" s="547">
        <f>+ENERO!U230</f>
        <v>0</v>
      </c>
      <c r="V229" s="468">
        <f>NOVIEMBRE!V229+DICIEMBRE!AL229</f>
        <v>0</v>
      </c>
      <c r="W229" s="468">
        <f>NOVIEMBRE!W229+DICIEMBRE!AM229</f>
        <v>0</v>
      </c>
      <c r="X229" s="471">
        <f>SUM(U229:W229)</f>
        <v>0</v>
      </c>
      <c r="Y229" s="470">
        <f>NOVIEMBRE!AA229</f>
        <v>0</v>
      </c>
      <c r="Z229" s="246">
        <v>0</v>
      </c>
      <c r="AA229" s="471">
        <f>SUM(Y229:Z229)</f>
        <v>0</v>
      </c>
      <c r="AB229" s="470">
        <f>NOVIEMBRE!AD229</f>
        <v>0</v>
      </c>
      <c r="AC229" s="246">
        <v>0</v>
      </c>
      <c r="AD229" s="471">
        <f>SUM(AB229:AC229)</f>
        <v>0</v>
      </c>
      <c r="AE229" s="470">
        <f>NOVIEMBRE!AG229</f>
        <v>0</v>
      </c>
      <c r="AF229" s="246">
        <v>0</v>
      </c>
      <c r="AG229" s="471">
        <f>SUM(AE229:AF229)</f>
        <v>0</v>
      </c>
      <c r="AH229" s="470">
        <f>X229-AA229</f>
        <v>0</v>
      </c>
      <c r="AI229" s="468">
        <f>X229-AD229</f>
        <v>0</v>
      </c>
      <c r="AJ229" s="469">
        <f>X229-AG229</f>
        <v>0</v>
      </c>
      <c r="AK229" s="101"/>
      <c r="AL229" s="489">
        <v>0</v>
      </c>
      <c r="AM229" s="490">
        <v>0</v>
      </c>
    </row>
    <row r="230" spans="19:39" ht="24.75" customHeight="1">
      <c r="S230" s="455" t="str">
        <f>+IF(NOVIEMBRE!S230=0,"",NOVIEMBRE!S230)</f>
        <v/>
      </c>
      <c r="T230" s="456" t="str">
        <f>+IF(NOVIEMBRE!T230=0,"",NOVIEMBRE!T230)</f>
        <v/>
      </c>
      <c r="U230" s="457"/>
      <c r="V230" s="457"/>
      <c r="W230" s="457"/>
      <c r="X230" s="457"/>
      <c r="Y230" s="457"/>
      <c r="Z230" s="457"/>
      <c r="AA230" s="457"/>
      <c r="AB230" s="457"/>
      <c r="AC230" s="457"/>
      <c r="AD230" s="457"/>
      <c r="AE230" s="457"/>
      <c r="AF230" s="457"/>
      <c r="AG230" s="457"/>
      <c r="AH230" s="457"/>
      <c r="AI230" s="457"/>
      <c r="AJ230" s="458"/>
      <c r="AK230" s="101"/>
      <c r="AL230" s="491"/>
      <c r="AM230" s="492"/>
    </row>
    <row r="231" spans="19:39" ht="24.75" customHeight="1">
      <c r="S231" s="493" t="str">
        <f>+IF(NOVIEMBRE!S231=0,"",NOVIEMBRE!S231)</f>
        <v>D</v>
      </c>
      <c r="T231" s="494" t="str">
        <f>+IF(NOVIEMBRE!T231=0,"",NOVIEMBRE!T231)</f>
        <v>INVERSION</v>
      </c>
      <c r="U231" s="405">
        <f t="shared" ref="U231:AJ231" si="190">U233+U242</f>
        <v>0</v>
      </c>
      <c r="V231" s="406">
        <f t="shared" si="190"/>
        <v>-450000000</v>
      </c>
      <c r="W231" s="406">
        <f t="shared" si="190"/>
        <v>39219221898</v>
      </c>
      <c r="X231" s="407">
        <f t="shared" si="190"/>
        <v>38769221898</v>
      </c>
      <c r="Y231" s="217">
        <f t="shared" si="190"/>
        <v>24129015762</v>
      </c>
      <c r="Z231" s="406">
        <f t="shared" si="190"/>
        <v>-1373698693</v>
      </c>
      <c r="AA231" s="407">
        <f t="shared" si="190"/>
        <v>22755317069</v>
      </c>
      <c r="AB231" s="217">
        <f t="shared" si="190"/>
        <v>18419007807</v>
      </c>
      <c r="AC231" s="406">
        <f t="shared" si="190"/>
        <v>4336309262</v>
      </c>
      <c r="AD231" s="407">
        <f t="shared" si="190"/>
        <v>22755317069</v>
      </c>
      <c r="AE231" s="217">
        <f t="shared" si="190"/>
        <v>14353574718</v>
      </c>
      <c r="AF231" s="406">
        <f t="shared" si="190"/>
        <v>4885288892</v>
      </c>
      <c r="AG231" s="407">
        <f t="shared" si="190"/>
        <v>19238863610</v>
      </c>
      <c r="AH231" s="217">
        <f t="shared" si="190"/>
        <v>16013904829</v>
      </c>
      <c r="AI231" s="406">
        <f t="shared" si="190"/>
        <v>16013904829</v>
      </c>
      <c r="AJ231" s="218">
        <f t="shared" si="190"/>
        <v>19530358288</v>
      </c>
      <c r="AK231" s="101"/>
      <c r="AL231" s="217">
        <f>AL233+AL242</f>
        <v>0</v>
      </c>
      <c r="AM231" s="218">
        <f>AM233+AM242</f>
        <v>229634453</v>
      </c>
    </row>
    <row r="232" spans="19:39" ht="24.75" customHeight="1">
      <c r="S232" s="189" t="str">
        <f>+IF(NOVIEMBRE!S232=0,"",NOVIEMBRE!S232)</f>
        <v/>
      </c>
      <c r="T232" s="488" t="str">
        <f>+IF(NOVIEMBRE!T232=0,"",NOVIEMBRE!T232)</f>
        <v/>
      </c>
      <c r="U232" s="191"/>
      <c r="V232" s="191"/>
      <c r="W232" s="191"/>
      <c r="X232" s="191"/>
      <c r="Y232" s="191"/>
      <c r="Z232" s="191"/>
      <c r="AA232" s="191"/>
      <c r="AB232" s="191"/>
      <c r="AC232" s="191"/>
      <c r="AD232" s="191"/>
      <c r="AE232" s="191"/>
      <c r="AF232" s="191"/>
      <c r="AG232" s="191"/>
      <c r="AH232" s="191"/>
      <c r="AI232" s="191"/>
      <c r="AJ232" s="192"/>
      <c r="AK232" s="101"/>
      <c r="AL232" s="370"/>
      <c r="AM232" s="371"/>
    </row>
    <row r="233" spans="19:39" ht="24.75" customHeight="1">
      <c r="S233" s="257">
        <f>+IF(NOVIEMBRE!S233=0,"",NOVIEMBRE!S233)</f>
        <v>8000000</v>
      </c>
      <c r="T233" s="546" t="str">
        <f>+IF(NOVIEMBRE!T233=0,"",NOVIEMBRE!T233)</f>
        <v>Programas de Inversión</v>
      </c>
      <c r="U233" s="230">
        <f t="shared" ref="U233:AJ233" si="191">U234</f>
        <v>0</v>
      </c>
      <c r="V233" s="231">
        <f t="shared" si="191"/>
        <v>-450000000</v>
      </c>
      <c r="W233" s="231">
        <f t="shared" si="191"/>
        <v>39219221898</v>
      </c>
      <c r="X233" s="234">
        <f t="shared" si="191"/>
        <v>38769221898</v>
      </c>
      <c r="Y233" s="233">
        <f t="shared" si="191"/>
        <v>24129015762</v>
      </c>
      <c r="Z233" s="231">
        <f t="shared" si="191"/>
        <v>-1373698693</v>
      </c>
      <c r="AA233" s="234">
        <f t="shared" si="191"/>
        <v>22755317069</v>
      </c>
      <c r="AB233" s="233">
        <f t="shared" si="191"/>
        <v>18419007807</v>
      </c>
      <c r="AC233" s="231">
        <f t="shared" si="191"/>
        <v>4336309262</v>
      </c>
      <c r="AD233" s="234">
        <f t="shared" si="191"/>
        <v>22755317069</v>
      </c>
      <c r="AE233" s="233">
        <f t="shared" si="191"/>
        <v>14353574718</v>
      </c>
      <c r="AF233" s="231">
        <f t="shared" si="191"/>
        <v>4885288892</v>
      </c>
      <c r="AG233" s="234">
        <f t="shared" si="191"/>
        <v>19238863610</v>
      </c>
      <c r="AH233" s="233">
        <f t="shared" si="191"/>
        <v>16013904829</v>
      </c>
      <c r="AI233" s="231">
        <f t="shared" si="191"/>
        <v>16013904829</v>
      </c>
      <c r="AJ233" s="232">
        <f t="shared" si="191"/>
        <v>19530358288</v>
      </c>
      <c r="AK233" s="101"/>
      <c r="AL233" s="233">
        <f>AL234</f>
        <v>0</v>
      </c>
      <c r="AM233" s="232">
        <f>AM234</f>
        <v>229634453</v>
      </c>
    </row>
    <row r="234" spans="19:39" ht="24.75" customHeight="1">
      <c r="S234" s="266">
        <f>+IF(NOVIEMBRE!S234=0,"",NOVIEMBRE!S234)</f>
        <v>8001000</v>
      </c>
      <c r="T234" s="267" t="str">
        <f>+IF(NOVIEMBRE!T234=0,"",NOVIEMBRE!T234)</f>
        <v>Formación Bruta del Capital</v>
      </c>
      <c r="U234" s="373">
        <f t="shared" ref="U234:AJ234" si="192">SUM(U235:U240)</f>
        <v>0</v>
      </c>
      <c r="V234" s="220">
        <f t="shared" si="192"/>
        <v>-450000000</v>
      </c>
      <c r="W234" s="220">
        <f t="shared" si="192"/>
        <v>39219221898</v>
      </c>
      <c r="X234" s="271">
        <f>SUM(X235:X240)</f>
        <v>38769221898</v>
      </c>
      <c r="Y234" s="270">
        <f t="shared" si="192"/>
        <v>24129015762</v>
      </c>
      <c r="Z234" s="300">
        <f t="shared" si="192"/>
        <v>-1373698693</v>
      </c>
      <c r="AA234" s="271">
        <f t="shared" si="192"/>
        <v>22755317069</v>
      </c>
      <c r="AB234" s="270">
        <f t="shared" si="192"/>
        <v>18419007807</v>
      </c>
      <c r="AC234" s="300">
        <f t="shared" si="192"/>
        <v>4336309262</v>
      </c>
      <c r="AD234" s="271">
        <f t="shared" si="192"/>
        <v>22755317069</v>
      </c>
      <c r="AE234" s="270">
        <f t="shared" si="192"/>
        <v>14353574718</v>
      </c>
      <c r="AF234" s="300">
        <f t="shared" si="192"/>
        <v>4885288892</v>
      </c>
      <c r="AG234" s="271">
        <f t="shared" si="192"/>
        <v>19238863610</v>
      </c>
      <c r="AH234" s="270">
        <f t="shared" si="192"/>
        <v>16013904829</v>
      </c>
      <c r="AI234" s="220">
        <f t="shared" si="192"/>
        <v>16013904829</v>
      </c>
      <c r="AJ234" s="269">
        <f t="shared" si="192"/>
        <v>19530358288</v>
      </c>
      <c r="AK234" s="101"/>
      <c r="AL234" s="301">
        <f>SUM(AL235:AL240)</f>
        <v>0</v>
      </c>
      <c r="AM234" s="302">
        <f>SUM(AM235:AM240)</f>
        <v>229634453</v>
      </c>
    </row>
    <row r="235" spans="19:39" ht="24.75" customHeight="1">
      <c r="S235" s="311" t="str">
        <f>+IF(NOVIEMBRE!S235=0,"",NOVIEMBRE!S235)</f>
        <v>2.3.2.01.01</v>
      </c>
      <c r="T235" s="312" t="str">
        <f>+IF(NOVIEMBRE!T235=0,"",NOVIEMBRE!T235)</f>
        <v>Activos Fijos</v>
      </c>
      <c r="U235" s="373">
        <f>+ENERO!U236</f>
        <v>0</v>
      </c>
      <c r="V235" s="220">
        <f>NOVIEMBRE!V235+DICIEMBRE!AL235</f>
        <v>0</v>
      </c>
      <c r="W235" s="220">
        <f>NOVIEMBRE!W235+DICIEMBRE!AM235</f>
        <v>1306632408</v>
      </c>
      <c r="X235" s="271">
        <f t="shared" ref="X235:X240" si="193">SUM(U235:W235)</f>
        <v>1306632408</v>
      </c>
      <c r="Y235" s="270">
        <f>NOVIEMBRE!AA235</f>
        <v>0</v>
      </c>
      <c r="Z235" s="208"/>
      <c r="AA235" s="271">
        <f t="shared" ref="AA235:AA240" si="194">SUM(Y235:Z235)</f>
        <v>0</v>
      </c>
      <c r="AB235" s="270">
        <f>NOVIEMBRE!AD235</f>
        <v>0</v>
      </c>
      <c r="AC235" s="208"/>
      <c r="AD235" s="271">
        <f t="shared" ref="AD235:AD240" si="195">SUM(AB235:AC235)</f>
        <v>0</v>
      </c>
      <c r="AE235" s="270">
        <f>NOVIEMBRE!AG235</f>
        <v>0</v>
      </c>
      <c r="AF235" s="208"/>
      <c r="AG235" s="271">
        <f t="shared" ref="AG235:AG240" si="196">SUM(AE235:AF235)</f>
        <v>0</v>
      </c>
      <c r="AH235" s="270">
        <f t="shared" ref="AH235:AH240" si="197">X235-AA235</f>
        <v>1306632408</v>
      </c>
      <c r="AI235" s="220">
        <f t="shared" ref="AI235:AI240" si="198">X235-AD235</f>
        <v>1306632408</v>
      </c>
      <c r="AJ235" s="269">
        <f t="shared" ref="AJ235:AJ240" si="199">X235-AG235</f>
        <v>1306632408</v>
      </c>
      <c r="AK235" s="101"/>
      <c r="AL235" s="204">
        <v>0</v>
      </c>
      <c r="AM235" s="210">
        <v>0</v>
      </c>
    </row>
    <row r="236" spans="19:39" ht="24.75" customHeight="1">
      <c r="S236" s="311" t="str">
        <f>+IF(NOVIEMBRE!S236=0,"",NOVIEMBRE!S236)</f>
        <v>2.3.2.02.02.005</v>
      </c>
      <c r="T236" s="312" t="str">
        <f>+IF(NOVIEMBRE!T236=0,"",NOVIEMBRE!T236)</f>
        <v>Proyecto Mantenimiento Preventivo y Correctivo de Infraestructura</v>
      </c>
      <c r="U236" s="373">
        <f>+ENERO!U237</f>
        <v>0</v>
      </c>
      <c r="V236" s="220">
        <f>NOVIEMBRE!V236+DICIEMBRE!AL236</f>
        <v>0</v>
      </c>
      <c r="W236" s="220">
        <f>NOVIEMBRE!W236+DICIEMBRE!AM236</f>
        <v>0</v>
      </c>
      <c r="X236" s="271">
        <f t="shared" si="193"/>
        <v>0</v>
      </c>
      <c r="Y236" s="270">
        <f>NOVIEMBRE!AA236</f>
        <v>0</v>
      </c>
      <c r="Z236" s="208"/>
      <c r="AA236" s="271">
        <f t="shared" si="194"/>
        <v>0</v>
      </c>
      <c r="AB236" s="270">
        <f>NOVIEMBRE!AD236</f>
        <v>0</v>
      </c>
      <c r="AC236" s="208"/>
      <c r="AD236" s="271">
        <f t="shared" si="195"/>
        <v>0</v>
      </c>
      <c r="AE236" s="270">
        <f>NOVIEMBRE!AG236</f>
        <v>0</v>
      </c>
      <c r="AF236" s="208"/>
      <c r="AG236" s="271">
        <f t="shared" si="196"/>
        <v>0</v>
      </c>
      <c r="AH236" s="270">
        <f t="shared" si="197"/>
        <v>0</v>
      </c>
      <c r="AI236" s="220">
        <f t="shared" si="198"/>
        <v>0</v>
      </c>
      <c r="AJ236" s="269">
        <f t="shared" si="199"/>
        <v>0</v>
      </c>
      <c r="AK236" s="101"/>
      <c r="AL236" s="204">
        <v>0</v>
      </c>
      <c r="AM236" s="210">
        <v>0</v>
      </c>
    </row>
    <row r="237" spans="19:39" ht="24.75" customHeight="1">
      <c r="S237" s="311" t="str">
        <f>+IF(NOVIEMBRE!S237=0,"",NOVIEMBRE!S237)</f>
        <v>2.3.2.02.02.009</v>
      </c>
      <c r="T237" s="312" t="str">
        <f>+IF(OCTUBRE!T237=0,"",OCTUBRE!T237)</f>
        <v>Servicios para la Comunidad Sociales y personales</v>
      </c>
      <c r="U237" s="373">
        <f>+ENERO!U238</f>
        <v>0</v>
      </c>
      <c r="V237" s="220">
        <f>NOVIEMBRE!V237+DICIEMBRE!AL237</f>
        <v>0</v>
      </c>
      <c r="W237" s="220">
        <f>NOVIEMBRE!W237+DICIEMBRE!AM237</f>
        <v>37461806961</v>
      </c>
      <c r="X237" s="271">
        <f t="shared" si="193"/>
        <v>37461806961</v>
      </c>
      <c r="Y237" s="270">
        <f>NOVIEMBRE!AA237</f>
        <v>24129015762</v>
      </c>
      <c r="Z237" s="1186">
        <v>-1373698693</v>
      </c>
      <c r="AA237" s="271">
        <f t="shared" si="194"/>
        <v>22755317069</v>
      </c>
      <c r="AB237" s="270">
        <f>NOVIEMBRE!AD237</f>
        <v>18419007807</v>
      </c>
      <c r="AC237" s="1186">
        <v>4336309262</v>
      </c>
      <c r="AD237" s="271">
        <f t="shared" si="195"/>
        <v>22755317069</v>
      </c>
      <c r="AE237" s="270">
        <f>NOVIEMBRE!AG237</f>
        <v>14353574718</v>
      </c>
      <c r="AF237" s="1186">
        <v>4885288892</v>
      </c>
      <c r="AG237" s="271">
        <f t="shared" si="196"/>
        <v>19238863610</v>
      </c>
      <c r="AH237" s="270">
        <f t="shared" si="197"/>
        <v>14706489892</v>
      </c>
      <c r="AI237" s="220">
        <f t="shared" si="198"/>
        <v>14706489892</v>
      </c>
      <c r="AJ237" s="269">
        <f t="shared" si="199"/>
        <v>18222943351</v>
      </c>
      <c r="AK237" s="101"/>
      <c r="AL237" s="204">
        <v>0</v>
      </c>
      <c r="AM237" s="210">
        <f>229634453</f>
        <v>229634453</v>
      </c>
    </row>
    <row r="238" spans="19:39" ht="24.75" customHeight="1">
      <c r="S238" s="311" t="str">
        <f>+IF(NOVIEMBRE!S238=0,"",NOVIEMBRE!S238)</f>
        <v>2.3.2.02.02.008</v>
      </c>
      <c r="T238" s="312" t="str">
        <f>+IF(NOVIEMBRE!T238=0,"",NOVIEMBRE!T238)</f>
        <v>Servicios prestados a las empresas y servicios de produccion</v>
      </c>
      <c r="U238" s="373">
        <f>+ENERO!U239</f>
        <v>0</v>
      </c>
      <c r="V238" s="220">
        <f>NOVIEMBRE!V238+DICIEMBRE!AL238</f>
        <v>0</v>
      </c>
      <c r="W238" s="220">
        <f>NOVIEMBRE!W238+DICIEMBRE!AM238</f>
        <v>0</v>
      </c>
      <c r="X238" s="271">
        <f t="shared" si="193"/>
        <v>0</v>
      </c>
      <c r="Y238" s="270">
        <f>NOVIEMBRE!AA238</f>
        <v>0</v>
      </c>
      <c r="Z238" s="208"/>
      <c r="AA238" s="271">
        <f t="shared" si="194"/>
        <v>0</v>
      </c>
      <c r="AB238" s="270">
        <f>NOVIEMBRE!AD238</f>
        <v>0</v>
      </c>
      <c r="AC238" s="208"/>
      <c r="AD238" s="271">
        <f t="shared" si="195"/>
        <v>0</v>
      </c>
      <c r="AE238" s="270">
        <f>NOVIEMBRE!AG238</f>
        <v>0</v>
      </c>
      <c r="AF238" s="208"/>
      <c r="AG238" s="271">
        <f t="shared" si="196"/>
        <v>0</v>
      </c>
      <c r="AH238" s="270">
        <f t="shared" si="197"/>
        <v>0</v>
      </c>
      <c r="AI238" s="220">
        <f t="shared" si="198"/>
        <v>0</v>
      </c>
      <c r="AJ238" s="269">
        <f t="shared" si="199"/>
        <v>0</v>
      </c>
      <c r="AK238" s="101"/>
      <c r="AL238" s="204">
        <v>0</v>
      </c>
      <c r="AM238" s="210">
        <v>0</v>
      </c>
    </row>
    <row r="239" spans="19:39" ht="24.75" customHeight="1">
      <c r="S239" s="311" t="str">
        <f>+IF(NOVIEMBRE!S239=0,"",NOVIEMBRE!S239)</f>
        <v>8001000-5</v>
      </c>
      <c r="T239" s="312" t="str">
        <f>+IF(NOVIEMBRE!T239=0,"",NOVIEMBRE!T239)</f>
        <v>Subprogr.Construc. Remodelac. Adecuación y Apliac.5</v>
      </c>
      <c r="U239" s="373">
        <f>+ENERO!U240</f>
        <v>0</v>
      </c>
      <c r="V239" s="220">
        <f>NOVIEMBRE!V239+DICIEMBRE!AL239</f>
        <v>0</v>
      </c>
      <c r="W239" s="220">
        <f>NOVIEMBRE!W239+DICIEMBRE!AM239</f>
        <v>0</v>
      </c>
      <c r="X239" s="271">
        <f t="shared" si="193"/>
        <v>0</v>
      </c>
      <c r="Y239" s="270">
        <f>NOVIEMBRE!AA239</f>
        <v>0</v>
      </c>
      <c r="Z239" s="208"/>
      <c r="AA239" s="271">
        <f t="shared" si="194"/>
        <v>0</v>
      </c>
      <c r="AB239" s="270">
        <f>NOVIEMBRE!AD239</f>
        <v>0</v>
      </c>
      <c r="AC239" s="208"/>
      <c r="AD239" s="271">
        <f t="shared" si="195"/>
        <v>0</v>
      </c>
      <c r="AE239" s="270">
        <f>NOVIEMBRE!AG239</f>
        <v>0</v>
      </c>
      <c r="AF239" s="208">
        <v>0</v>
      </c>
      <c r="AG239" s="271">
        <f t="shared" si="196"/>
        <v>0</v>
      </c>
      <c r="AH239" s="270">
        <f t="shared" si="197"/>
        <v>0</v>
      </c>
      <c r="AI239" s="220">
        <f t="shared" si="198"/>
        <v>0</v>
      </c>
      <c r="AJ239" s="269">
        <f t="shared" si="199"/>
        <v>0</v>
      </c>
      <c r="AK239" s="101"/>
      <c r="AL239" s="204">
        <v>0</v>
      </c>
      <c r="AM239" s="210">
        <v>0</v>
      </c>
    </row>
    <row r="240" spans="19:39" ht="24.75" customHeight="1">
      <c r="S240" s="496" t="str">
        <f>+IF(NOVIEMBRE!S240=0,"",NOVIEMBRE!S240)</f>
        <v>2.3.2.02.02.009.99</v>
      </c>
      <c r="T240" s="312" t="str">
        <f>+IF(NOVIEMBRE!T240=0,"",NOVIEMBRE!T240)</f>
        <v>Vigencias Anteriores</v>
      </c>
      <c r="U240" s="373">
        <f>+ENERO!U241</f>
        <v>0</v>
      </c>
      <c r="V240" s="220">
        <f>NOVIEMBRE!V240+DICIEMBRE!AL240</f>
        <v>-450000000</v>
      </c>
      <c r="W240" s="220">
        <f>NOVIEMBRE!W240+DICIEMBRE!AM240</f>
        <v>450782529</v>
      </c>
      <c r="X240" s="271">
        <f t="shared" si="193"/>
        <v>782529</v>
      </c>
      <c r="Y240" s="270">
        <f>NOVIEMBRE!AA240</f>
        <v>0</v>
      </c>
      <c r="Z240" s="208">
        <v>0</v>
      </c>
      <c r="AA240" s="271">
        <f t="shared" si="194"/>
        <v>0</v>
      </c>
      <c r="AB240" s="270">
        <f>NOVIEMBRE!AD240</f>
        <v>0</v>
      </c>
      <c r="AC240" s="208">
        <v>0</v>
      </c>
      <c r="AD240" s="271">
        <f t="shared" si="195"/>
        <v>0</v>
      </c>
      <c r="AE240" s="270">
        <f>NOVIEMBRE!AG240</f>
        <v>0</v>
      </c>
      <c r="AF240" s="208">
        <v>0</v>
      </c>
      <c r="AG240" s="271">
        <f t="shared" si="196"/>
        <v>0</v>
      </c>
      <c r="AH240" s="270">
        <f t="shared" si="197"/>
        <v>782529</v>
      </c>
      <c r="AI240" s="220">
        <f t="shared" si="198"/>
        <v>782529</v>
      </c>
      <c r="AJ240" s="269">
        <f t="shared" si="199"/>
        <v>782529</v>
      </c>
      <c r="AK240" s="101"/>
      <c r="AL240" s="204">
        <v>0</v>
      </c>
      <c r="AM240" s="210">
        <v>0</v>
      </c>
    </row>
    <row r="241" spans="19:39" ht="24.75" customHeight="1">
      <c r="S241" s="189" t="str">
        <f>+IF(NOVIEMBRE!S241=0,"",NOVIEMBRE!S241)</f>
        <v/>
      </c>
      <c r="T241" s="488" t="str">
        <f>+IF(NOVIEMBRE!T241=0,"",NOVIEMBRE!T241)</f>
        <v/>
      </c>
      <c r="U241" s="191"/>
      <c r="V241" s="191"/>
      <c r="W241" s="191"/>
      <c r="X241" s="191"/>
      <c r="Y241" s="191"/>
      <c r="Z241" s="191"/>
      <c r="AA241" s="191"/>
      <c r="AB241" s="191"/>
      <c r="AC241" s="191"/>
      <c r="AD241" s="191"/>
      <c r="AE241" s="191"/>
      <c r="AF241" s="191"/>
      <c r="AG241" s="191"/>
      <c r="AH241" s="191"/>
      <c r="AI241" s="191"/>
      <c r="AJ241" s="192"/>
      <c r="AK241" s="101"/>
      <c r="AL241" s="370"/>
      <c r="AM241" s="371"/>
    </row>
    <row r="242" spans="19:39" ht="24.75" customHeight="1">
      <c r="S242" s="257">
        <f>+IF(NOVIEMBRE!S242=0,"",NOVIEMBRE!S242)</f>
        <v>8002001</v>
      </c>
      <c r="T242" s="546" t="str">
        <f>+IF(NOVIEMBRE!T242=0,"",NOVIEMBRE!T242)</f>
        <v>Gastos Operativos de Inversion   (Programas Especiales)</v>
      </c>
      <c r="U242" s="230">
        <f t="shared" ref="U242:AJ242" si="200">SUM(U243:U255)</f>
        <v>0</v>
      </c>
      <c r="V242" s="231">
        <f t="shared" si="200"/>
        <v>0</v>
      </c>
      <c r="W242" s="231">
        <f t="shared" si="200"/>
        <v>0</v>
      </c>
      <c r="X242" s="234">
        <f t="shared" si="200"/>
        <v>0</v>
      </c>
      <c r="Y242" s="233">
        <f t="shared" si="200"/>
        <v>0</v>
      </c>
      <c r="Z242" s="231">
        <f t="shared" si="200"/>
        <v>0</v>
      </c>
      <c r="AA242" s="234">
        <f t="shared" si="200"/>
        <v>0</v>
      </c>
      <c r="AB242" s="233">
        <f t="shared" si="200"/>
        <v>0</v>
      </c>
      <c r="AC242" s="231">
        <f t="shared" si="200"/>
        <v>0</v>
      </c>
      <c r="AD242" s="234">
        <f t="shared" si="200"/>
        <v>0</v>
      </c>
      <c r="AE242" s="233">
        <f t="shared" si="200"/>
        <v>0</v>
      </c>
      <c r="AF242" s="231">
        <f t="shared" si="200"/>
        <v>0</v>
      </c>
      <c r="AG242" s="234">
        <f t="shared" si="200"/>
        <v>0</v>
      </c>
      <c r="AH242" s="233">
        <f t="shared" si="200"/>
        <v>0</v>
      </c>
      <c r="AI242" s="231">
        <f t="shared" si="200"/>
        <v>0</v>
      </c>
      <c r="AJ242" s="232">
        <f t="shared" si="200"/>
        <v>0</v>
      </c>
      <c r="AK242" s="101"/>
      <c r="AL242" s="233">
        <f>SUM(AL243:AL255)</f>
        <v>0</v>
      </c>
      <c r="AM242" s="232">
        <f>SUM(AM243:AM255)</f>
        <v>0</v>
      </c>
    </row>
    <row r="243" spans="19:39" ht="24.75" customHeight="1">
      <c r="S243" s="311" t="str">
        <f>+IF(NOVIEMBRE!S243=0,"",NOVIEMBRE!S243)</f>
        <v>8002100-1</v>
      </c>
      <c r="T243" s="312" t="str">
        <f>+IF(NOVIEMBRE!T243=0,"",NOVIEMBRE!T243)</f>
        <v>Fondo de la Vivienda</v>
      </c>
      <c r="U243" s="373">
        <f>+ENERO!U244</f>
        <v>0</v>
      </c>
      <c r="V243" s="220">
        <f>NOVIEMBRE!V243+DICIEMBRE!AL243</f>
        <v>0</v>
      </c>
      <c r="W243" s="220">
        <f>NOVIEMBRE!W243+DICIEMBRE!AM243</f>
        <v>0</v>
      </c>
      <c r="X243" s="271">
        <f t="shared" ref="X243:X255" si="201">SUM(U243:W243)</f>
        <v>0</v>
      </c>
      <c r="Y243" s="270">
        <f>NOVIEMBRE!AA243</f>
        <v>0</v>
      </c>
      <c r="Z243" s="208">
        <v>0</v>
      </c>
      <c r="AA243" s="271">
        <f t="shared" ref="AA243:AA255" si="202">SUM(Y243:Z243)</f>
        <v>0</v>
      </c>
      <c r="AB243" s="270">
        <f>NOVIEMBRE!AD243</f>
        <v>0</v>
      </c>
      <c r="AC243" s="208">
        <v>0</v>
      </c>
      <c r="AD243" s="271">
        <f t="shared" ref="AD243:AD255" si="203">SUM(AB243:AC243)</f>
        <v>0</v>
      </c>
      <c r="AE243" s="270">
        <f>NOVIEMBRE!AG243</f>
        <v>0</v>
      </c>
      <c r="AF243" s="208">
        <v>0</v>
      </c>
      <c r="AG243" s="271">
        <f t="shared" ref="AG243:AG255" si="204">SUM(AE243:AF243)</f>
        <v>0</v>
      </c>
      <c r="AH243" s="270">
        <f t="shared" ref="AH243:AH255" si="205">X243-AA243</f>
        <v>0</v>
      </c>
      <c r="AI243" s="220">
        <f t="shared" ref="AI243:AI255" si="206">X243-AD243</f>
        <v>0</v>
      </c>
      <c r="AJ243" s="269">
        <f t="shared" ref="AJ243:AJ255" si="207">X243-AG243</f>
        <v>0</v>
      </c>
      <c r="AK243" s="101"/>
      <c r="AL243" s="204">
        <v>0</v>
      </c>
      <c r="AM243" s="210">
        <v>0</v>
      </c>
    </row>
    <row r="244" spans="19:39" ht="24.75" customHeight="1">
      <c r="S244" s="311" t="str">
        <f>+IF(NOVIEMBRE!S244=0,"",NOVIEMBRE!S244)</f>
        <v>8002100-2</v>
      </c>
      <c r="T244" s="312" t="str">
        <f>+IF(NOVIEMBRE!T244=0,"",NOVIEMBRE!T244)</f>
        <v>Plan Nacional de Vacunación</v>
      </c>
      <c r="U244" s="373">
        <f>+ENERO!U245</f>
        <v>0</v>
      </c>
      <c r="V244" s="220">
        <f>NOVIEMBRE!V244+DICIEMBRE!AL244</f>
        <v>0</v>
      </c>
      <c r="W244" s="220">
        <f>NOVIEMBRE!W244+DICIEMBRE!AM244</f>
        <v>0</v>
      </c>
      <c r="X244" s="271">
        <f t="shared" si="201"/>
        <v>0</v>
      </c>
      <c r="Y244" s="270">
        <f>NOVIEMBRE!AA244</f>
        <v>0</v>
      </c>
      <c r="Z244" s="208">
        <v>0</v>
      </c>
      <c r="AA244" s="271">
        <f t="shared" si="202"/>
        <v>0</v>
      </c>
      <c r="AB244" s="270">
        <f>NOVIEMBRE!AD244</f>
        <v>0</v>
      </c>
      <c r="AC244" s="208">
        <v>0</v>
      </c>
      <c r="AD244" s="271">
        <f t="shared" si="203"/>
        <v>0</v>
      </c>
      <c r="AE244" s="270">
        <f>NOVIEMBRE!AG244</f>
        <v>0</v>
      </c>
      <c r="AF244" s="208">
        <v>0</v>
      </c>
      <c r="AG244" s="271">
        <f t="shared" si="204"/>
        <v>0</v>
      </c>
      <c r="AH244" s="270">
        <f t="shared" si="205"/>
        <v>0</v>
      </c>
      <c r="AI244" s="220">
        <f t="shared" si="206"/>
        <v>0</v>
      </c>
      <c r="AJ244" s="269">
        <f t="shared" si="207"/>
        <v>0</v>
      </c>
      <c r="AK244" s="101"/>
      <c r="AL244" s="204">
        <v>0</v>
      </c>
      <c r="AM244" s="210">
        <v>0</v>
      </c>
    </row>
    <row r="245" spans="19:39" ht="24.75" customHeight="1">
      <c r="S245" s="311" t="str">
        <f>+IF(NOVIEMBRE!S245=0,"",NOVIEMBRE!S245)</f>
        <v>8002100-3</v>
      </c>
      <c r="T245" s="630" t="str">
        <f>+IF(NOVIEMBRE!T245=0,"",NOVIEMBRE!T245)</f>
        <v>Adquisicion de Equipos de Computo</v>
      </c>
      <c r="U245" s="373">
        <f>+ENERO!U246</f>
        <v>0</v>
      </c>
      <c r="V245" s="220">
        <f>NOVIEMBRE!V245+DICIEMBRE!AL245</f>
        <v>0</v>
      </c>
      <c r="W245" s="220">
        <f>NOVIEMBRE!W245+DICIEMBRE!AM245</f>
        <v>0</v>
      </c>
      <c r="X245" s="271">
        <f t="shared" si="201"/>
        <v>0</v>
      </c>
      <c r="Y245" s="270">
        <f>NOVIEMBRE!AA245</f>
        <v>0</v>
      </c>
      <c r="Z245" s="208">
        <v>0</v>
      </c>
      <c r="AA245" s="271">
        <f t="shared" si="202"/>
        <v>0</v>
      </c>
      <c r="AB245" s="270">
        <f>NOVIEMBRE!AD245</f>
        <v>0</v>
      </c>
      <c r="AC245" s="208">
        <v>0</v>
      </c>
      <c r="AD245" s="271">
        <f t="shared" si="203"/>
        <v>0</v>
      </c>
      <c r="AE245" s="270">
        <f>NOVIEMBRE!AG245</f>
        <v>0</v>
      </c>
      <c r="AF245" s="208">
        <v>0</v>
      </c>
      <c r="AG245" s="271">
        <f t="shared" si="204"/>
        <v>0</v>
      </c>
      <c r="AH245" s="270">
        <f t="shared" si="205"/>
        <v>0</v>
      </c>
      <c r="AI245" s="220">
        <f t="shared" si="206"/>
        <v>0</v>
      </c>
      <c r="AJ245" s="269">
        <f t="shared" si="207"/>
        <v>0</v>
      </c>
      <c r="AK245" s="101"/>
      <c r="AL245" s="204">
        <v>0</v>
      </c>
      <c r="AM245" s="210">
        <v>0</v>
      </c>
    </row>
    <row r="246" spans="19:39" ht="24.75" customHeight="1">
      <c r="S246" s="311" t="str">
        <f>+IF(NOVIEMBRE!S246=0,"",NOVIEMBRE!S246)</f>
        <v>8002100-4</v>
      </c>
      <c r="T246" s="630" t="str">
        <f>+IF(NOVIEMBRE!T246=0,"",NOVIEMBRE!T246)</f>
        <v>Adquisiciòm de Dispositvos mèdicos para dotaciòn proyecto de Quiròfanos</v>
      </c>
      <c r="U246" s="373">
        <f>+ENERO!U247</f>
        <v>0</v>
      </c>
      <c r="V246" s="220">
        <f>NOVIEMBRE!V246+DICIEMBRE!AL246</f>
        <v>0</v>
      </c>
      <c r="W246" s="220">
        <f>NOVIEMBRE!W246+DICIEMBRE!AM246</f>
        <v>0</v>
      </c>
      <c r="X246" s="271">
        <f t="shared" si="201"/>
        <v>0</v>
      </c>
      <c r="Y246" s="270">
        <f>NOVIEMBRE!AA246</f>
        <v>0</v>
      </c>
      <c r="Z246" s="208">
        <v>0</v>
      </c>
      <c r="AA246" s="271">
        <f t="shared" si="202"/>
        <v>0</v>
      </c>
      <c r="AB246" s="270">
        <f>NOVIEMBRE!AD246</f>
        <v>0</v>
      </c>
      <c r="AC246" s="208">
        <v>0</v>
      </c>
      <c r="AD246" s="271">
        <f t="shared" si="203"/>
        <v>0</v>
      </c>
      <c r="AE246" s="270">
        <f>NOVIEMBRE!AG246</f>
        <v>0</v>
      </c>
      <c r="AF246" s="208">
        <v>0</v>
      </c>
      <c r="AG246" s="271">
        <f t="shared" si="204"/>
        <v>0</v>
      </c>
      <c r="AH246" s="270">
        <f t="shared" si="205"/>
        <v>0</v>
      </c>
      <c r="AI246" s="220">
        <f t="shared" si="206"/>
        <v>0</v>
      </c>
      <c r="AJ246" s="269">
        <f t="shared" si="207"/>
        <v>0</v>
      </c>
      <c r="AK246" s="101"/>
      <c r="AL246" s="204">
        <v>0</v>
      </c>
      <c r="AM246" s="210">
        <v>0</v>
      </c>
    </row>
    <row r="247" spans="19:39" ht="24.75" customHeight="1">
      <c r="S247" s="311" t="str">
        <f>+IF(NOVIEMBRE!S247=0,"",NOVIEMBRE!S247)</f>
        <v>8002100-5</v>
      </c>
      <c r="T247" s="312" t="str">
        <f>+IF(NOVIEMBRE!T247=0,"",NOVIEMBRE!T247)</f>
        <v>Programas Especial 04</v>
      </c>
      <c r="U247" s="373">
        <f>+ENERO!U248</f>
        <v>0</v>
      </c>
      <c r="V247" s="220">
        <f>NOVIEMBRE!V247+DICIEMBRE!AL247</f>
        <v>0</v>
      </c>
      <c r="W247" s="220">
        <f>NOVIEMBRE!W247+DICIEMBRE!AM247</f>
        <v>0</v>
      </c>
      <c r="X247" s="271">
        <f t="shared" si="201"/>
        <v>0</v>
      </c>
      <c r="Y247" s="270">
        <f>NOVIEMBRE!AA247</f>
        <v>0</v>
      </c>
      <c r="Z247" s="208">
        <v>0</v>
      </c>
      <c r="AA247" s="271">
        <f t="shared" si="202"/>
        <v>0</v>
      </c>
      <c r="AB247" s="270">
        <f>NOVIEMBRE!AD247</f>
        <v>0</v>
      </c>
      <c r="AC247" s="208">
        <v>0</v>
      </c>
      <c r="AD247" s="271">
        <f t="shared" si="203"/>
        <v>0</v>
      </c>
      <c r="AE247" s="270">
        <f>NOVIEMBRE!AG247</f>
        <v>0</v>
      </c>
      <c r="AF247" s="208">
        <v>0</v>
      </c>
      <c r="AG247" s="271">
        <f t="shared" si="204"/>
        <v>0</v>
      </c>
      <c r="AH247" s="270">
        <f t="shared" si="205"/>
        <v>0</v>
      </c>
      <c r="AI247" s="220">
        <f t="shared" si="206"/>
        <v>0</v>
      </c>
      <c r="AJ247" s="269">
        <f t="shared" si="207"/>
        <v>0</v>
      </c>
      <c r="AK247" s="101"/>
      <c r="AL247" s="204">
        <v>0</v>
      </c>
      <c r="AM247" s="210">
        <v>0</v>
      </c>
    </row>
    <row r="248" spans="19:39" ht="24.75" customHeight="1">
      <c r="S248" s="311" t="str">
        <f>+IF(NOVIEMBRE!S248=0,"",NOVIEMBRE!S248)</f>
        <v>8002100-6</v>
      </c>
      <c r="T248" s="312" t="str">
        <f>+IF(NOVIEMBRE!T248=0,"",NOVIEMBRE!T248)</f>
        <v>Programas Especial 05</v>
      </c>
      <c r="U248" s="373">
        <f>+ENERO!U249</f>
        <v>0</v>
      </c>
      <c r="V248" s="220">
        <f>NOVIEMBRE!V248+DICIEMBRE!AL248</f>
        <v>0</v>
      </c>
      <c r="W248" s="220">
        <f>NOVIEMBRE!W248+DICIEMBRE!AM248</f>
        <v>0</v>
      </c>
      <c r="X248" s="271">
        <f t="shared" si="201"/>
        <v>0</v>
      </c>
      <c r="Y248" s="270">
        <f>NOVIEMBRE!AA248</f>
        <v>0</v>
      </c>
      <c r="Z248" s="208">
        <v>0</v>
      </c>
      <c r="AA248" s="271">
        <f t="shared" si="202"/>
        <v>0</v>
      </c>
      <c r="AB248" s="270">
        <f>NOVIEMBRE!AD248</f>
        <v>0</v>
      </c>
      <c r="AC248" s="208">
        <v>0</v>
      </c>
      <c r="AD248" s="271">
        <f t="shared" si="203"/>
        <v>0</v>
      </c>
      <c r="AE248" s="270">
        <f>NOVIEMBRE!AG248</f>
        <v>0</v>
      </c>
      <c r="AF248" s="208">
        <v>0</v>
      </c>
      <c r="AG248" s="271">
        <f t="shared" si="204"/>
        <v>0</v>
      </c>
      <c r="AH248" s="270">
        <f t="shared" si="205"/>
        <v>0</v>
      </c>
      <c r="AI248" s="220">
        <f t="shared" si="206"/>
        <v>0</v>
      </c>
      <c r="AJ248" s="269">
        <f t="shared" si="207"/>
        <v>0</v>
      </c>
      <c r="AK248" s="101"/>
      <c r="AL248" s="204">
        <v>0</v>
      </c>
      <c r="AM248" s="210">
        <v>0</v>
      </c>
    </row>
    <row r="249" spans="19:39" ht="24.75" customHeight="1">
      <c r="S249" s="311" t="str">
        <f>+IF(NOVIEMBRE!S249=0,"",NOVIEMBRE!S249)</f>
        <v>8002100-7</v>
      </c>
      <c r="T249" s="312" t="str">
        <f>+IF(NOVIEMBRE!T249=0,"",NOVIEMBRE!T249)</f>
        <v>Programas Especial 06</v>
      </c>
      <c r="U249" s="373">
        <f>+ENERO!U250</f>
        <v>0</v>
      </c>
      <c r="V249" s="220">
        <f>NOVIEMBRE!V249+DICIEMBRE!AL249</f>
        <v>0</v>
      </c>
      <c r="W249" s="220">
        <f>NOVIEMBRE!W249+DICIEMBRE!AM249</f>
        <v>0</v>
      </c>
      <c r="X249" s="271">
        <f t="shared" si="201"/>
        <v>0</v>
      </c>
      <c r="Y249" s="270">
        <f>NOVIEMBRE!AA249</f>
        <v>0</v>
      </c>
      <c r="Z249" s="208">
        <v>0</v>
      </c>
      <c r="AA249" s="271">
        <f t="shared" si="202"/>
        <v>0</v>
      </c>
      <c r="AB249" s="270">
        <f>NOVIEMBRE!AD249</f>
        <v>0</v>
      </c>
      <c r="AC249" s="208">
        <v>0</v>
      </c>
      <c r="AD249" s="271">
        <f t="shared" si="203"/>
        <v>0</v>
      </c>
      <c r="AE249" s="270">
        <f>NOVIEMBRE!AG249</f>
        <v>0</v>
      </c>
      <c r="AF249" s="208">
        <v>0</v>
      </c>
      <c r="AG249" s="271">
        <f t="shared" si="204"/>
        <v>0</v>
      </c>
      <c r="AH249" s="270">
        <f t="shared" si="205"/>
        <v>0</v>
      </c>
      <c r="AI249" s="220">
        <f t="shared" si="206"/>
        <v>0</v>
      </c>
      <c r="AJ249" s="269">
        <f t="shared" si="207"/>
        <v>0</v>
      </c>
      <c r="AK249" s="101"/>
      <c r="AL249" s="204">
        <v>0</v>
      </c>
      <c r="AM249" s="210">
        <v>0</v>
      </c>
    </row>
    <row r="250" spans="19:39" ht="24.75" customHeight="1">
      <c r="S250" s="311" t="str">
        <f>+IF(NOVIEMBRE!S250=0,"",NOVIEMBRE!S250)</f>
        <v>8002100-8</v>
      </c>
      <c r="T250" s="312" t="str">
        <f>+IF(NOVIEMBRE!T250=0,"",NOVIEMBRE!T250)</f>
        <v>Programas Especial 07</v>
      </c>
      <c r="U250" s="373">
        <f>+ENERO!U251</f>
        <v>0</v>
      </c>
      <c r="V250" s="220">
        <f>NOVIEMBRE!V250+DICIEMBRE!AL250</f>
        <v>0</v>
      </c>
      <c r="W250" s="220">
        <f>NOVIEMBRE!W250+DICIEMBRE!AM250</f>
        <v>0</v>
      </c>
      <c r="X250" s="271">
        <f t="shared" si="201"/>
        <v>0</v>
      </c>
      <c r="Y250" s="270">
        <f>NOVIEMBRE!AA250</f>
        <v>0</v>
      </c>
      <c r="Z250" s="208">
        <v>0</v>
      </c>
      <c r="AA250" s="271">
        <f t="shared" si="202"/>
        <v>0</v>
      </c>
      <c r="AB250" s="270">
        <f>NOVIEMBRE!AD250</f>
        <v>0</v>
      </c>
      <c r="AC250" s="208">
        <v>0</v>
      </c>
      <c r="AD250" s="271">
        <f t="shared" si="203"/>
        <v>0</v>
      </c>
      <c r="AE250" s="270">
        <f>NOVIEMBRE!AG250</f>
        <v>0</v>
      </c>
      <c r="AF250" s="208">
        <v>0</v>
      </c>
      <c r="AG250" s="271">
        <f t="shared" si="204"/>
        <v>0</v>
      </c>
      <c r="AH250" s="270">
        <f t="shared" si="205"/>
        <v>0</v>
      </c>
      <c r="AI250" s="220">
        <f t="shared" si="206"/>
        <v>0</v>
      </c>
      <c r="AJ250" s="269">
        <f t="shared" si="207"/>
        <v>0</v>
      </c>
      <c r="AK250" s="101"/>
      <c r="AL250" s="204">
        <v>0</v>
      </c>
      <c r="AM250" s="210">
        <v>0</v>
      </c>
    </row>
    <row r="251" spans="19:39" ht="24.75" customHeight="1">
      <c r="S251" s="311" t="str">
        <f>+IF(NOVIEMBRE!S251=0,"",NOVIEMBRE!S251)</f>
        <v>8002100-9</v>
      </c>
      <c r="T251" s="312" t="str">
        <f>+IF(NOVIEMBRE!T251=0,"",NOVIEMBRE!T251)</f>
        <v>Programas Especial 08</v>
      </c>
      <c r="U251" s="373">
        <f>+ENERO!U252</f>
        <v>0</v>
      </c>
      <c r="V251" s="220">
        <f>NOVIEMBRE!V251+DICIEMBRE!AL251</f>
        <v>0</v>
      </c>
      <c r="W251" s="220">
        <f>NOVIEMBRE!W251+DICIEMBRE!AM251</f>
        <v>0</v>
      </c>
      <c r="X251" s="271">
        <f t="shared" si="201"/>
        <v>0</v>
      </c>
      <c r="Y251" s="270">
        <f>NOVIEMBRE!AA251</f>
        <v>0</v>
      </c>
      <c r="Z251" s="208">
        <v>0</v>
      </c>
      <c r="AA251" s="271">
        <f t="shared" si="202"/>
        <v>0</v>
      </c>
      <c r="AB251" s="270">
        <f>NOVIEMBRE!AD251</f>
        <v>0</v>
      </c>
      <c r="AC251" s="208">
        <v>0</v>
      </c>
      <c r="AD251" s="271">
        <f t="shared" si="203"/>
        <v>0</v>
      </c>
      <c r="AE251" s="270">
        <f>NOVIEMBRE!AG251</f>
        <v>0</v>
      </c>
      <c r="AF251" s="208">
        <v>0</v>
      </c>
      <c r="AG251" s="271">
        <f t="shared" si="204"/>
        <v>0</v>
      </c>
      <c r="AH251" s="270">
        <f t="shared" si="205"/>
        <v>0</v>
      </c>
      <c r="AI251" s="220">
        <f t="shared" si="206"/>
        <v>0</v>
      </c>
      <c r="AJ251" s="269">
        <f t="shared" si="207"/>
        <v>0</v>
      </c>
      <c r="AK251" s="101"/>
      <c r="AL251" s="204">
        <v>0</v>
      </c>
      <c r="AM251" s="210">
        <v>0</v>
      </c>
    </row>
    <row r="252" spans="19:39" ht="24.75" customHeight="1">
      <c r="S252" s="311" t="str">
        <f>+IF(NOVIEMBRE!S252=0,"",NOVIEMBRE!S252)</f>
        <v>8002100-10</v>
      </c>
      <c r="T252" s="312" t="str">
        <f>+IF(NOVIEMBRE!T252=0,"",NOVIEMBRE!T252)</f>
        <v>Programas Especial 09</v>
      </c>
      <c r="U252" s="373">
        <f>+ENERO!U253</f>
        <v>0</v>
      </c>
      <c r="V252" s="220">
        <f>NOVIEMBRE!V252+DICIEMBRE!AL252</f>
        <v>0</v>
      </c>
      <c r="W252" s="220">
        <f>NOVIEMBRE!W252+DICIEMBRE!AM252</f>
        <v>0</v>
      </c>
      <c r="X252" s="271">
        <f t="shared" si="201"/>
        <v>0</v>
      </c>
      <c r="Y252" s="270">
        <f>NOVIEMBRE!AA252</f>
        <v>0</v>
      </c>
      <c r="Z252" s="208">
        <v>0</v>
      </c>
      <c r="AA252" s="271">
        <f t="shared" si="202"/>
        <v>0</v>
      </c>
      <c r="AB252" s="270">
        <f>NOVIEMBRE!AD252</f>
        <v>0</v>
      </c>
      <c r="AC252" s="208">
        <v>0</v>
      </c>
      <c r="AD252" s="271">
        <f t="shared" si="203"/>
        <v>0</v>
      </c>
      <c r="AE252" s="270">
        <f>NOVIEMBRE!AG252</f>
        <v>0</v>
      </c>
      <c r="AF252" s="208">
        <v>0</v>
      </c>
      <c r="AG252" s="271">
        <f t="shared" si="204"/>
        <v>0</v>
      </c>
      <c r="AH252" s="270">
        <f t="shared" si="205"/>
        <v>0</v>
      </c>
      <c r="AI252" s="220">
        <f t="shared" si="206"/>
        <v>0</v>
      </c>
      <c r="AJ252" s="269">
        <f t="shared" si="207"/>
        <v>0</v>
      </c>
      <c r="AK252" s="101"/>
      <c r="AL252" s="204">
        <v>0</v>
      </c>
      <c r="AM252" s="210">
        <v>0</v>
      </c>
    </row>
    <row r="253" spans="19:39" ht="24.75" customHeight="1">
      <c r="S253" s="311" t="str">
        <f>+IF(NOVIEMBRE!S253=0,"",NOVIEMBRE!S253)</f>
        <v>8002100-11</v>
      </c>
      <c r="T253" s="312" t="str">
        <f>+IF(NOVIEMBRE!T253=0,"",NOVIEMBRE!T253)</f>
        <v>Programas Especial 10</v>
      </c>
      <c r="U253" s="373">
        <f>+ENERO!U254</f>
        <v>0</v>
      </c>
      <c r="V253" s="220">
        <f>NOVIEMBRE!V253+DICIEMBRE!AL253</f>
        <v>0</v>
      </c>
      <c r="W253" s="220">
        <f>NOVIEMBRE!W253+DICIEMBRE!AM253</f>
        <v>0</v>
      </c>
      <c r="X253" s="271">
        <f t="shared" si="201"/>
        <v>0</v>
      </c>
      <c r="Y253" s="270">
        <f>NOVIEMBRE!AA253</f>
        <v>0</v>
      </c>
      <c r="Z253" s="208">
        <v>0</v>
      </c>
      <c r="AA253" s="271">
        <f t="shared" si="202"/>
        <v>0</v>
      </c>
      <c r="AB253" s="270">
        <f>NOVIEMBRE!AD253</f>
        <v>0</v>
      </c>
      <c r="AC253" s="208">
        <v>0</v>
      </c>
      <c r="AD253" s="271">
        <f t="shared" si="203"/>
        <v>0</v>
      </c>
      <c r="AE253" s="270">
        <f>NOVIEMBRE!AG253</f>
        <v>0</v>
      </c>
      <c r="AF253" s="208">
        <v>0</v>
      </c>
      <c r="AG253" s="271">
        <f t="shared" si="204"/>
        <v>0</v>
      </c>
      <c r="AH253" s="270">
        <f t="shared" si="205"/>
        <v>0</v>
      </c>
      <c r="AI253" s="220">
        <f t="shared" si="206"/>
        <v>0</v>
      </c>
      <c r="AJ253" s="269">
        <f t="shared" si="207"/>
        <v>0</v>
      </c>
      <c r="AK253" s="101"/>
      <c r="AL253" s="204">
        <v>0</v>
      </c>
      <c r="AM253" s="210">
        <v>0</v>
      </c>
    </row>
    <row r="254" spans="19:39" ht="24.75" customHeight="1">
      <c r="S254" s="311" t="str">
        <f>+IF(NOVIEMBRE!S254=0,"",NOVIEMBRE!S254)</f>
        <v>8002100-12</v>
      </c>
      <c r="T254" s="312" t="str">
        <f>+IF(NOVIEMBRE!T254=0,"",NOVIEMBRE!T254)</f>
        <v>Programas Especial 11</v>
      </c>
      <c r="U254" s="373">
        <f>+ENERO!U255</f>
        <v>0</v>
      </c>
      <c r="V254" s="220">
        <f>NOVIEMBRE!V254+DICIEMBRE!AL254</f>
        <v>0</v>
      </c>
      <c r="W254" s="220">
        <f>NOVIEMBRE!W254+DICIEMBRE!AM254</f>
        <v>0</v>
      </c>
      <c r="X254" s="271">
        <f t="shared" si="201"/>
        <v>0</v>
      </c>
      <c r="Y254" s="270">
        <f>NOVIEMBRE!AA254</f>
        <v>0</v>
      </c>
      <c r="Z254" s="208">
        <v>0</v>
      </c>
      <c r="AA254" s="271">
        <f t="shared" si="202"/>
        <v>0</v>
      </c>
      <c r="AB254" s="270">
        <f>NOVIEMBRE!AD254</f>
        <v>0</v>
      </c>
      <c r="AC254" s="208">
        <v>0</v>
      </c>
      <c r="AD254" s="271">
        <f t="shared" si="203"/>
        <v>0</v>
      </c>
      <c r="AE254" s="270">
        <f>NOVIEMBRE!AG254</f>
        <v>0</v>
      </c>
      <c r="AF254" s="208">
        <v>0</v>
      </c>
      <c r="AG254" s="271">
        <f t="shared" si="204"/>
        <v>0</v>
      </c>
      <c r="AH254" s="270">
        <f t="shared" si="205"/>
        <v>0</v>
      </c>
      <c r="AI254" s="220">
        <f t="shared" si="206"/>
        <v>0</v>
      </c>
      <c r="AJ254" s="269">
        <f t="shared" si="207"/>
        <v>0</v>
      </c>
      <c r="AK254" s="101"/>
      <c r="AL254" s="204">
        <v>0</v>
      </c>
      <c r="AM254" s="210">
        <v>0</v>
      </c>
    </row>
    <row r="255" spans="19:39" ht="24.75" customHeight="1" thickBot="1">
      <c r="S255" s="499" t="str">
        <f>+IF(NOVIEMBRE!S255=0,"",NOVIEMBRE!S255)</f>
        <v>2.3.2.01.01.99</v>
      </c>
      <c r="T255" s="500" t="str">
        <f>+IF(NOVIEMBRE!T255=0,"",NOVIEMBRE!T255)</f>
        <v>Vigencias Anteriores Activos Fijos</v>
      </c>
      <c r="U255" s="547">
        <f>+ENERO!U256</f>
        <v>0</v>
      </c>
      <c r="V255" s="468">
        <f>NOVIEMBRE!V255+DICIEMBRE!AL255</f>
        <v>0</v>
      </c>
      <c r="W255" s="468">
        <f>NOVIEMBRE!W255+DICIEMBRE!AM255</f>
        <v>0</v>
      </c>
      <c r="X255" s="471">
        <f t="shared" si="201"/>
        <v>0</v>
      </c>
      <c r="Y255" s="470">
        <f>NOVIEMBRE!AA255</f>
        <v>0</v>
      </c>
      <c r="Z255" s="246">
        <v>0</v>
      </c>
      <c r="AA255" s="471">
        <f t="shared" si="202"/>
        <v>0</v>
      </c>
      <c r="AB255" s="470">
        <f>NOVIEMBRE!AD255</f>
        <v>0</v>
      </c>
      <c r="AC255" s="246">
        <v>0</v>
      </c>
      <c r="AD255" s="471">
        <f t="shared" si="203"/>
        <v>0</v>
      </c>
      <c r="AE255" s="470">
        <f>NOVIEMBRE!AG255</f>
        <v>0</v>
      </c>
      <c r="AF255" s="246">
        <v>0</v>
      </c>
      <c r="AG255" s="471">
        <f t="shared" si="204"/>
        <v>0</v>
      </c>
      <c r="AH255" s="470">
        <f t="shared" si="205"/>
        <v>0</v>
      </c>
      <c r="AI255" s="468">
        <f t="shared" si="206"/>
        <v>0</v>
      </c>
      <c r="AJ255" s="469">
        <f t="shared" si="207"/>
        <v>0</v>
      </c>
      <c r="AK255" s="101"/>
      <c r="AL255" s="242">
        <v>0</v>
      </c>
      <c r="AM255" s="248">
        <v>0</v>
      </c>
    </row>
    <row r="256" spans="19:39" ht="24.75" customHeight="1" thickBot="1">
      <c r="S256" s="480" t="str">
        <f>+IF(NOVIEMBRE!S256=0,"",NOVIEMBRE!S256)</f>
        <v/>
      </c>
      <c r="T256" s="481" t="str">
        <f>+IF(NOVIEMBRE!T256=0,"",NOVIEMBRE!T256)</f>
        <v/>
      </c>
      <c r="U256" s="482"/>
      <c r="V256" s="482"/>
      <c r="W256" s="482"/>
      <c r="X256" s="482"/>
      <c r="Y256" s="482"/>
      <c r="Z256" s="482"/>
      <c r="AA256" s="482"/>
      <c r="AB256" s="482"/>
      <c r="AC256" s="482"/>
      <c r="AD256" s="482"/>
      <c r="AE256" s="482"/>
      <c r="AF256" s="482"/>
      <c r="AG256" s="482"/>
      <c r="AH256" s="482"/>
      <c r="AI256" s="482"/>
      <c r="AJ256" s="484"/>
      <c r="AK256" s="101"/>
      <c r="AL256" s="501"/>
      <c r="AM256" s="502"/>
    </row>
    <row r="257" spans="19:40" ht="24.75" customHeight="1" thickBot="1">
      <c r="S257" s="503" t="s">
        <v>342</v>
      </c>
      <c r="T257" s="504" t="s">
        <v>197</v>
      </c>
      <c r="U257" s="136">
        <f t="shared" ref="U257:AJ257" si="208">+(C10+C17+C113)-(U10+U192+U219+U231)</f>
        <v>0.30987548828125</v>
      </c>
      <c r="V257" s="136">
        <f t="shared" si="208"/>
        <v>0</v>
      </c>
      <c r="W257" s="136">
        <f t="shared" si="208"/>
        <v>0</v>
      </c>
      <c r="X257" s="136">
        <f t="shared" si="208"/>
        <v>0.30987548828125</v>
      </c>
      <c r="Y257" s="136">
        <f t="shared" si="208"/>
        <v>24411918446</v>
      </c>
      <c r="Z257" s="136">
        <f t="shared" si="208"/>
        <v>18397732106</v>
      </c>
      <c r="AA257" s="136">
        <f t="shared" si="208"/>
        <v>42809650552</v>
      </c>
      <c r="AB257" s="136">
        <f t="shared" si="208"/>
        <v>-39961860376</v>
      </c>
      <c r="AC257" s="136">
        <f t="shared" si="208"/>
        <v>-1998630406</v>
      </c>
      <c r="AD257" s="136">
        <f t="shared" si="208"/>
        <v>-41960490782</v>
      </c>
      <c r="AE257" s="136">
        <f t="shared" si="208"/>
        <v>-147004272010.0235</v>
      </c>
      <c r="AF257" s="136">
        <f t="shared" si="208"/>
        <v>52660938788.976501</v>
      </c>
      <c r="AG257" s="136">
        <f t="shared" si="208"/>
        <v>-148577515988</v>
      </c>
      <c r="AH257" s="136">
        <f t="shared" si="208"/>
        <v>-27541671268.166664</v>
      </c>
      <c r="AI257" s="136">
        <f t="shared" si="208"/>
        <v>-27063942554.166664</v>
      </c>
      <c r="AJ257" s="505">
        <f t="shared" si="208"/>
        <v>-76172423125.166656</v>
      </c>
      <c r="AK257" s="101"/>
      <c r="AL257" s="134">
        <v>0</v>
      </c>
      <c r="AM257" s="135">
        <v>0</v>
      </c>
    </row>
    <row r="258" spans="19:40" ht="24.75" customHeight="1" thickBot="1">
      <c r="S258" s="1326"/>
      <c r="T258" s="1327"/>
      <c r="U258" s="506"/>
      <c r="V258" s="506"/>
      <c r="W258" s="506"/>
      <c r="X258" s="506"/>
      <c r="Y258" s="506"/>
      <c r="Z258" s="506"/>
      <c r="AA258" s="506"/>
      <c r="AB258" s="506"/>
      <c r="AC258" s="506"/>
      <c r="AD258" s="506"/>
      <c r="AE258" s="506"/>
      <c r="AF258" s="506"/>
      <c r="AG258" s="506"/>
      <c r="AH258" s="506"/>
      <c r="AI258" s="506"/>
      <c r="AJ258" s="507"/>
      <c r="AK258" s="101"/>
      <c r="AL258" s="508">
        <f>+SUMIF(AK8:AK255,AK33,AL8:AL255)</f>
        <v>0</v>
      </c>
      <c r="AM258" s="509">
        <f>+SUMIF(AL8:AL255,AL33,AM8:AM255)</f>
        <v>2636737831</v>
      </c>
    </row>
    <row r="259" spans="19:40" ht="24.75" customHeight="1" thickBot="1">
      <c r="S259" s="510" t="s">
        <v>343</v>
      </c>
      <c r="T259" s="511"/>
      <c r="U259" s="512">
        <f t="shared" ref="U259:AJ259" si="209">+U8-U261</f>
        <v>135355804552.9446</v>
      </c>
      <c r="V259" s="512">
        <f t="shared" si="209"/>
        <v>-368258168</v>
      </c>
      <c r="W259" s="512">
        <f t="shared" si="209"/>
        <v>62419005941</v>
      </c>
      <c r="X259" s="512">
        <f t="shared" si="209"/>
        <v>197406552325.94461</v>
      </c>
      <c r="Y259" s="512">
        <f t="shared" si="209"/>
        <v>171502140016</v>
      </c>
      <c r="Z259" s="512">
        <f t="shared" si="209"/>
        <v>-1472869558</v>
      </c>
      <c r="AA259" s="512">
        <f t="shared" si="209"/>
        <v>170029270458</v>
      </c>
      <c r="AB259" s="512">
        <f t="shared" si="209"/>
        <v>150971706215</v>
      </c>
      <c r="AC259" s="512">
        <f t="shared" si="209"/>
        <v>19057564243</v>
      </c>
      <c r="AD259" s="512">
        <f t="shared" si="209"/>
        <v>170029270458</v>
      </c>
      <c r="AE259" s="512">
        <f t="shared" si="209"/>
        <v>104571800863.5</v>
      </c>
      <c r="AF259" s="512">
        <f t="shared" si="209"/>
        <v>16841223261.5</v>
      </c>
      <c r="AG259" s="512">
        <f t="shared" si="209"/>
        <v>121413024125</v>
      </c>
      <c r="AH259" s="512">
        <f t="shared" si="209"/>
        <v>27377281867.944607</v>
      </c>
      <c r="AI259" s="512">
        <f t="shared" si="209"/>
        <v>27377281867.944607</v>
      </c>
      <c r="AJ259" s="513">
        <f t="shared" si="209"/>
        <v>75993528200.944595</v>
      </c>
      <c r="AK259" s="101"/>
      <c r="AL259" s="67"/>
      <c r="AM259" s="67"/>
    </row>
    <row r="260" spans="19:40" ht="24.75" customHeight="1" thickBot="1">
      <c r="S260" s="514"/>
      <c r="T260" s="515"/>
      <c r="U260" s="516"/>
      <c r="V260" s="516"/>
      <c r="W260" s="516"/>
      <c r="X260" s="516"/>
      <c r="Y260" s="516"/>
      <c r="Z260" s="516"/>
      <c r="AA260" s="516"/>
      <c r="AB260" s="516"/>
      <c r="AC260" s="516"/>
      <c r="AD260" s="516"/>
      <c r="AE260" s="516"/>
      <c r="AF260" s="516"/>
      <c r="AG260" s="516"/>
      <c r="AH260" s="516"/>
      <c r="AI260" s="516"/>
      <c r="AJ260" s="517"/>
      <c r="AK260" s="101"/>
      <c r="AL260" s="67"/>
      <c r="AM260" s="67"/>
    </row>
    <row r="261" spans="19:40" ht="24.75" customHeight="1" thickBot="1">
      <c r="S261" s="518" t="s">
        <v>344</v>
      </c>
      <c r="T261" s="519"/>
      <c r="U261" s="660">
        <f>SUM(U255+U240+U229+U224+U217+U206+U190+U181+U166+U153+U139+U121+U108+U102+U88+U81+U61+U55+U41+U33)</f>
        <v>22787348584.222057</v>
      </c>
      <c r="V261" s="660">
        <f t="shared" ref="V261:AJ261" si="210">SUM(V255+V240+V229+V224+V217+V206+V190+V181+V166+V153+V139+V121+V108+V102+V88+V81+V61+V55+V41+V33)</f>
        <v>368258168</v>
      </c>
      <c r="W261" s="660">
        <f t="shared" si="210"/>
        <v>4187780035</v>
      </c>
      <c r="X261" s="660">
        <f t="shared" si="210"/>
        <v>27343386787.222057</v>
      </c>
      <c r="Y261" s="660">
        <f t="shared" si="210"/>
        <v>27185197387</v>
      </c>
      <c r="Z261" s="660">
        <f>SUM(Z255+Z240+Z229+Z224+Z217+Z206+Z190+Z181+Z166+Z153+Z139+Z121+Z108+Z102+Z88+Z81+Z61+Z55+Z41+Z33)</f>
        <v>-6200000</v>
      </c>
      <c r="AA261" s="660">
        <f t="shared" si="210"/>
        <v>27178997387</v>
      </c>
      <c r="AB261" s="660">
        <f t="shared" si="210"/>
        <v>27178997387</v>
      </c>
      <c r="AC261" s="660">
        <f t="shared" si="210"/>
        <v>0</v>
      </c>
      <c r="AD261" s="660">
        <f t="shared" si="210"/>
        <v>27178997387</v>
      </c>
      <c r="AE261" s="660">
        <f t="shared" si="210"/>
        <v>27164491863</v>
      </c>
      <c r="AF261" s="660">
        <f t="shared" si="210"/>
        <v>0</v>
      </c>
      <c r="AG261" s="660">
        <f t="shared" si="210"/>
        <v>27164491863</v>
      </c>
      <c r="AH261" s="660">
        <f t="shared" si="210"/>
        <v>164389400.2220574</v>
      </c>
      <c r="AI261" s="660">
        <f t="shared" si="210"/>
        <v>164389400.2220574</v>
      </c>
      <c r="AJ261" s="660">
        <f t="shared" si="210"/>
        <v>178894924.2220574</v>
      </c>
      <c r="AK261" s="101"/>
      <c r="AL261" s="31"/>
      <c r="AM261" s="31"/>
    </row>
    <row r="262" spans="19:40" ht="24.75" customHeight="1" thickBot="1">
      <c r="S262" s="514"/>
      <c r="T262" s="515"/>
      <c r="U262" s="515"/>
      <c r="V262" s="516"/>
      <c r="W262" s="516"/>
      <c r="X262" s="516"/>
      <c r="Y262" s="516"/>
      <c r="Z262" s="516"/>
      <c r="AA262" s="516"/>
      <c r="AB262" s="516"/>
      <c r="AC262" s="516"/>
      <c r="AD262" s="516"/>
      <c r="AE262" s="516"/>
      <c r="AF262" s="516"/>
      <c r="AG262" s="516"/>
      <c r="AH262" s="516"/>
      <c r="AI262" s="516"/>
      <c r="AJ262" s="516"/>
      <c r="AK262" s="101"/>
      <c r="AL262" s="31"/>
      <c r="AM262" s="31"/>
    </row>
    <row r="263" spans="19:40" ht="24.75" customHeight="1" thickBot="1">
      <c r="S263" s="520" t="s">
        <v>345</v>
      </c>
      <c r="T263" s="521"/>
      <c r="U263" s="522">
        <f t="shared" ref="U263:AJ263" si="211">+U259+U261</f>
        <v>158143153137.16666</v>
      </c>
      <c r="V263" s="522">
        <f t="shared" si="211"/>
        <v>0</v>
      </c>
      <c r="W263" s="522">
        <f t="shared" si="211"/>
        <v>66606785976</v>
      </c>
      <c r="X263" s="522">
        <f t="shared" si="211"/>
        <v>224749939113.16666</v>
      </c>
      <c r="Y263" s="522">
        <f t="shared" si="211"/>
        <v>198687337403</v>
      </c>
      <c r="Z263" s="522">
        <f t="shared" si="211"/>
        <v>-1479069558</v>
      </c>
      <c r="AA263" s="522">
        <f t="shared" si="211"/>
        <v>197208267845</v>
      </c>
      <c r="AB263" s="522">
        <f t="shared" si="211"/>
        <v>178150703602</v>
      </c>
      <c r="AC263" s="522">
        <f t="shared" si="211"/>
        <v>19057564243</v>
      </c>
      <c r="AD263" s="522">
        <f t="shared" si="211"/>
        <v>197208267845</v>
      </c>
      <c r="AE263" s="522">
        <f t="shared" si="211"/>
        <v>131736292726.5</v>
      </c>
      <c r="AF263" s="522">
        <f t="shared" si="211"/>
        <v>16841223261.5</v>
      </c>
      <c r="AG263" s="522">
        <f t="shared" si="211"/>
        <v>148577515988</v>
      </c>
      <c r="AH263" s="522">
        <f t="shared" si="211"/>
        <v>27541671268.166664</v>
      </c>
      <c r="AI263" s="522">
        <f t="shared" si="211"/>
        <v>27541671268.166664</v>
      </c>
      <c r="AJ263" s="523">
        <f t="shared" si="211"/>
        <v>76172423125.166656</v>
      </c>
      <c r="AK263" s="101"/>
      <c r="AL263" s="31"/>
      <c r="AM263" s="31"/>
    </row>
    <row r="264" spans="19:40" ht="15" customHeight="1">
      <c r="AN264" s="1190">
        <f>+AN83+AN35</f>
        <v>0</v>
      </c>
    </row>
  </sheetData>
  <autoFilter ref="T1:T263" xr:uid="{00000000-0001-0000-0C00-000000000000}"/>
  <mergeCells count="55">
    <mergeCell ref="BN5:BQ5"/>
    <mergeCell ref="AB5:AD5"/>
    <mergeCell ref="AE5:AG5"/>
    <mergeCell ref="BC5:BE5"/>
    <mergeCell ref="BF5:BF6"/>
    <mergeCell ref="BH5:BK5"/>
    <mergeCell ref="BL5:BL6"/>
    <mergeCell ref="BM5:BM6"/>
    <mergeCell ref="A1:B1"/>
    <mergeCell ref="C1:J1"/>
    <mergeCell ref="K1:N1"/>
    <mergeCell ref="L2:M2"/>
    <mergeCell ref="P2:Q2"/>
    <mergeCell ref="BG2:BI2"/>
    <mergeCell ref="BM2:BO2"/>
    <mergeCell ref="D2:E2"/>
    <mergeCell ref="D3:E4"/>
    <mergeCell ref="A5:A6"/>
    <mergeCell ref="B5:B6"/>
    <mergeCell ref="C5:F5"/>
    <mergeCell ref="V2:X2"/>
    <mergeCell ref="B3:B4"/>
    <mergeCell ref="V3:X4"/>
    <mergeCell ref="AP3:AZ3"/>
    <mergeCell ref="BB3:BC3"/>
    <mergeCell ref="BG3:BI3"/>
    <mergeCell ref="BM3:BO3"/>
    <mergeCell ref="AW4:AZ4"/>
    <mergeCell ref="S5:S6"/>
    <mergeCell ref="Y2:AG2"/>
    <mergeCell ref="AH2:AI2"/>
    <mergeCell ref="AL2:AM2"/>
    <mergeCell ref="AP2:AZ2"/>
    <mergeCell ref="BB2:BC2"/>
    <mergeCell ref="S258:T258"/>
    <mergeCell ref="AM3:AM5"/>
    <mergeCell ref="AW19:AZ19"/>
    <mergeCell ref="AW35:AX35"/>
    <mergeCell ref="N3:N4"/>
    <mergeCell ref="T3:T4"/>
    <mergeCell ref="Y3:AG4"/>
    <mergeCell ref="AH3:AI4"/>
    <mergeCell ref="AJ3:AJ4"/>
    <mergeCell ref="AL3:AL5"/>
    <mergeCell ref="AH5:AJ5"/>
    <mergeCell ref="T5:T6"/>
    <mergeCell ref="U5:X5"/>
    <mergeCell ref="Y5:AA5"/>
    <mergeCell ref="F3:K4"/>
    <mergeCell ref="L3:M4"/>
    <mergeCell ref="P3:P5"/>
    <mergeCell ref="Q3:Q5"/>
    <mergeCell ref="G5:I5"/>
    <mergeCell ref="J5:L5"/>
    <mergeCell ref="M5:N5"/>
  </mergeCells>
  <conditionalFormatting sqref="B5:B7">
    <cfRule type="expression" dxfId="0" priority="1" stopIfTrue="1">
      <formula>$B$5="OJO - RECUERDE RECAUDAR LA DISPONIBLIDAD INICIAL EN ESTE TRIMESTRE, haga clik en H9 para ampliar la información"</formula>
    </cfRule>
  </conditionalFormatting>
  <printOptions horizontalCentered="1" verticalCentered="1"/>
  <pageMargins left="0.59055118110236227" right="0.59055118110236227" top="0.43307086614173229" bottom="0.39370078740157483" header="0" footer="0"/>
  <pageSetup paperSize="14" scale="50" orientation="landscape" r:id="rId1"/>
  <headerFooter>
    <oddFooter>&amp;CPágina &amp;P de</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L62"/>
  <sheetViews>
    <sheetView showGridLines="0" topLeftCell="H24" zoomScale="96" zoomScaleNormal="96" workbookViewId="0">
      <selection activeCell="R41" sqref="R41"/>
    </sheetView>
  </sheetViews>
  <sheetFormatPr baseColWidth="10" defaultColWidth="14.42578125" defaultRowHeight="15" customHeight="1"/>
  <cols>
    <col min="1" max="1" width="1.5703125" customWidth="1"/>
    <col min="2" max="2" width="51.140625" customWidth="1"/>
    <col min="3" max="3" width="28.28515625" customWidth="1"/>
    <col min="4" max="4" width="25.140625" customWidth="1"/>
    <col min="5" max="5" width="27.28515625" customWidth="1"/>
    <col min="6" max="6" width="20.5703125" customWidth="1"/>
    <col min="7" max="7" width="22.85546875" customWidth="1"/>
    <col min="8" max="8" width="21.42578125" customWidth="1"/>
    <col min="9" max="9" width="22" customWidth="1"/>
    <col min="10" max="10" width="20.42578125" customWidth="1"/>
    <col min="11" max="11" width="20.140625" customWidth="1"/>
    <col min="12" max="12" width="21.140625" customWidth="1"/>
    <col min="13" max="17" width="20.5703125" customWidth="1"/>
    <col min="18" max="18" width="24.140625" customWidth="1"/>
    <col min="19" max="19" width="2.85546875" customWidth="1"/>
    <col min="20" max="20" width="5.28515625" hidden="1" customWidth="1"/>
    <col min="21" max="38" width="10.7109375" hidden="1" customWidth="1"/>
  </cols>
  <sheetData>
    <row r="1" spans="1:18" ht="40.5" customHeight="1">
      <c r="A1" s="577">
        <v>123</v>
      </c>
      <c r="B1" s="1490" t="s">
        <v>423</v>
      </c>
      <c r="C1" s="1378"/>
      <c r="D1" s="1378"/>
      <c r="E1" s="1378"/>
      <c r="F1" s="1378"/>
      <c r="G1" s="1378"/>
      <c r="H1" s="1378"/>
      <c r="I1" s="1378"/>
      <c r="J1" s="1377"/>
      <c r="K1" s="578" t="str">
        <f>+CONCATENATE("VIGENCIA ",INSTRUCCIONES!F3)</f>
        <v>VIGENCIA 2025</v>
      </c>
      <c r="L1" s="578"/>
      <c r="M1" s="578"/>
      <c r="N1" s="36"/>
      <c r="O1" s="36"/>
      <c r="P1" s="36"/>
      <c r="Q1" s="36"/>
      <c r="R1" s="36"/>
    </row>
    <row r="2" spans="1:18" ht="24.75" customHeight="1">
      <c r="A2" s="579"/>
      <c r="B2" s="580"/>
      <c r="C2" s="581"/>
      <c r="D2" s="582"/>
      <c r="E2" s="582"/>
      <c r="F2" s="582"/>
      <c r="G2" s="582"/>
      <c r="H2" s="1491" t="str">
        <f>+IF((G4+I4+K4+M4)&gt;1,"OJO - SOLO DEBE SECCIONAR UNO DE LOS TRIMESTRES A LA VEZ","")</f>
        <v/>
      </c>
      <c r="I2" s="1378"/>
      <c r="J2" s="1378"/>
      <c r="K2" s="1378"/>
      <c r="L2" s="1378"/>
      <c r="M2" s="1378"/>
      <c r="N2" s="1378"/>
      <c r="O2" s="1378"/>
      <c r="P2" s="1378"/>
      <c r="Q2" s="1378"/>
      <c r="R2" s="1377"/>
    </row>
    <row r="3" spans="1:18" ht="45" customHeight="1">
      <c r="A3" s="579"/>
      <c r="B3" s="1492" t="str">
        <f>+CONCATENATE(INSTRUCCIONES!B5," - ",INSTRUCCIONES!B3)</f>
        <v>ESE HOSPITAL MARCO FIDEL SUAREZ - BELLO</v>
      </c>
      <c r="C3" s="1299"/>
      <c r="D3" s="1299"/>
      <c r="E3" s="1299"/>
      <c r="F3" s="1299"/>
      <c r="G3" s="1299"/>
      <c r="H3" s="1299"/>
      <c r="I3" s="1299"/>
      <c r="J3" s="1299"/>
      <c r="K3" s="1299"/>
      <c r="L3" s="1299"/>
      <c r="M3" s="1299"/>
      <c r="N3" s="583"/>
      <c r="O3" s="583"/>
      <c r="P3" s="583"/>
      <c r="Q3" s="583"/>
      <c r="R3" s="583"/>
    </row>
    <row r="4" spans="1:18" ht="42" customHeight="1">
      <c r="A4" s="579"/>
      <c r="B4" s="1493" t="s">
        <v>424</v>
      </c>
      <c r="C4" s="1378"/>
      <c r="D4" s="1377"/>
      <c r="E4" s="584"/>
      <c r="F4" s="585" t="s">
        <v>425</v>
      </c>
      <c r="G4" s="586"/>
      <c r="H4" s="585" t="s">
        <v>426</v>
      </c>
      <c r="I4" s="586"/>
      <c r="J4" s="585" t="s">
        <v>427</v>
      </c>
      <c r="K4" s="586"/>
      <c r="L4" s="585"/>
      <c r="M4" s="586">
        <v>1</v>
      </c>
      <c r="N4" s="579"/>
      <c r="O4" s="579"/>
      <c r="P4" s="579"/>
      <c r="Q4" s="579"/>
      <c r="R4" s="579"/>
    </row>
    <row r="5" spans="1:18" ht="24.75" customHeight="1" thickBot="1">
      <c r="A5" s="577"/>
      <c r="B5" s="587"/>
      <c r="C5" s="588"/>
      <c r="D5" s="588"/>
      <c r="E5" s="588"/>
      <c r="F5" s="589"/>
      <c r="G5" s="589"/>
      <c r="H5" s="589"/>
      <c r="I5" s="589"/>
      <c r="J5" s="589"/>
      <c r="K5" s="589"/>
      <c r="L5" s="589"/>
      <c r="M5" s="589"/>
      <c r="N5" s="589"/>
      <c r="O5" s="589"/>
      <c r="P5" s="589"/>
      <c r="Q5" s="589"/>
      <c r="R5" s="36"/>
    </row>
    <row r="6" spans="1:18" ht="24.75" customHeight="1" thickBot="1">
      <c r="A6" s="588"/>
      <c r="B6" s="1494" t="s">
        <v>70</v>
      </c>
      <c r="C6" s="1495" t="s">
        <v>428</v>
      </c>
      <c r="D6" s="1496" t="s">
        <v>429</v>
      </c>
      <c r="E6" s="1406"/>
      <c r="F6" s="1488" t="s">
        <v>430</v>
      </c>
      <c r="G6" s="1337"/>
      <c r="H6" s="1337"/>
      <c r="I6" s="1337"/>
      <c r="J6" s="1337"/>
      <c r="K6" s="1337"/>
      <c r="L6" s="1337"/>
      <c r="M6" s="1337"/>
      <c r="N6" s="1337"/>
      <c r="O6" s="1337"/>
      <c r="P6" s="1337"/>
      <c r="Q6" s="1327"/>
      <c r="R6" s="1489" t="s">
        <v>431</v>
      </c>
    </row>
    <row r="7" spans="1:18" ht="24.75" customHeight="1" thickBot="1">
      <c r="A7" s="588"/>
      <c r="B7" s="1356"/>
      <c r="C7" s="1413"/>
      <c r="D7" s="1300"/>
      <c r="E7" s="1349"/>
      <c r="F7" s="590" t="s">
        <v>44</v>
      </c>
      <c r="G7" s="591" t="s">
        <v>347</v>
      </c>
      <c r="H7" s="591" t="s">
        <v>351</v>
      </c>
      <c r="I7" s="591" t="s">
        <v>355</v>
      </c>
      <c r="J7" s="591" t="s">
        <v>363</v>
      </c>
      <c r="K7" s="591" t="s">
        <v>371</v>
      </c>
      <c r="L7" s="591" t="s">
        <v>379</v>
      </c>
      <c r="M7" s="591" t="s">
        <v>387</v>
      </c>
      <c r="N7" s="591" t="s">
        <v>393</v>
      </c>
      <c r="O7" s="591" t="s">
        <v>399</v>
      </c>
      <c r="P7" s="591" t="s">
        <v>407</v>
      </c>
      <c r="Q7" s="592" t="s">
        <v>415</v>
      </c>
      <c r="R7" s="1356"/>
    </row>
    <row r="8" spans="1:18" ht="24.75" customHeight="1">
      <c r="A8" s="593"/>
      <c r="B8" s="594" t="s">
        <v>101</v>
      </c>
      <c r="C8" s="595">
        <f>+DICIEMBRE!F10</f>
        <v>1179477265</v>
      </c>
      <c r="D8" s="1497">
        <f>+DICIEMBRE!I10</f>
        <v>1179477265</v>
      </c>
      <c r="E8" s="1498"/>
      <c r="F8" s="917">
        <f>SUM(ENERO!K10)</f>
        <v>0</v>
      </c>
      <c r="G8" s="918">
        <f>SUM(FEBRERO!K10)</f>
        <v>1179477265</v>
      </c>
      <c r="H8" s="918"/>
      <c r="I8" s="918"/>
      <c r="J8" s="918"/>
      <c r="K8" s="918"/>
      <c r="L8" s="918"/>
      <c r="M8" s="918"/>
      <c r="N8" s="918"/>
      <c r="O8" s="918"/>
      <c r="P8" s="918"/>
      <c r="Q8" s="919"/>
      <c r="R8" s="920">
        <f>SUM(F8:Q8)</f>
        <v>1179477265</v>
      </c>
    </row>
    <row r="9" spans="1:18" ht="24.75" customHeight="1">
      <c r="A9" s="593"/>
      <c r="B9" s="596" t="s">
        <v>94</v>
      </c>
      <c r="C9" s="921">
        <f>C10+C18+C19+C20+C21+C22</f>
        <v>178210353825.37653</v>
      </c>
      <c r="D9" s="1499">
        <f>D10+D18+D19+D20+D21+D22</f>
        <v>187084700020</v>
      </c>
      <c r="E9" s="1500"/>
      <c r="F9" s="922">
        <f t="shared" ref="F9:R9" si="0">F10+F18+F19+F20+F21+F22</f>
        <v>124593192</v>
      </c>
      <c r="G9" s="923">
        <f t="shared" si="0"/>
        <v>873510529</v>
      </c>
      <c r="H9" s="923">
        <f t="shared" si="0"/>
        <v>7072118896</v>
      </c>
      <c r="I9" s="923">
        <f t="shared" si="0"/>
        <v>6417302226</v>
      </c>
      <c r="J9" s="923">
        <f t="shared" si="0"/>
        <v>8373500208</v>
      </c>
      <c r="K9" s="923">
        <f t="shared" si="0"/>
        <v>8425267740</v>
      </c>
      <c r="L9" s="923">
        <f t="shared" si="0"/>
        <v>10486237939</v>
      </c>
      <c r="M9" s="923">
        <f t="shared" si="0"/>
        <v>8328139216</v>
      </c>
      <c r="N9" s="923">
        <f t="shared" si="0"/>
        <v>12891101102</v>
      </c>
      <c r="O9" s="923">
        <f t="shared" si="0"/>
        <v>9616791426</v>
      </c>
      <c r="P9" s="923">
        <f t="shared" si="0"/>
        <v>12924376185</v>
      </c>
      <c r="Q9" s="924">
        <f t="shared" si="0"/>
        <v>16843426160</v>
      </c>
      <c r="R9" s="925">
        <f t="shared" si="0"/>
        <v>102376364819</v>
      </c>
    </row>
    <row r="10" spans="1:18" ht="24.75" customHeight="1">
      <c r="A10" s="593"/>
      <c r="B10" s="597" t="s">
        <v>103</v>
      </c>
      <c r="C10" s="921">
        <f>C11+C12+C13+C14+C15+C16+C17</f>
        <v>160134468242.37653</v>
      </c>
      <c r="D10" s="1499">
        <f>D11+D12+D13+D14+D15+D16+D17</f>
        <v>178195228511</v>
      </c>
      <c r="E10" s="1500"/>
      <c r="F10" s="922">
        <f t="shared" ref="F10:R10" si="1">F11+F12+F13+F14+F15+F16+F17</f>
        <v>94413073</v>
      </c>
      <c r="G10" s="923">
        <f t="shared" si="1"/>
        <v>836849147</v>
      </c>
      <c r="H10" s="923">
        <f t="shared" si="1"/>
        <v>7050924157</v>
      </c>
      <c r="I10" s="923">
        <f t="shared" si="1"/>
        <v>6377705888</v>
      </c>
      <c r="J10" s="923">
        <f t="shared" si="1"/>
        <v>8346957966</v>
      </c>
      <c r="K10" s="923">
        <f t="shared" si="1"/>
        <v>7849796688</v>
      </c>
      <c r="L10" s="923">
        <f t="shared" si="1"/>
        <v>9768801700</v>
      </c>
      <c r="M10" s="923">
        <f t="shared" si="1"/>
        <v>7994222305</v>
      </c>
      <c r="N10" s="923">
        <f t="shared" si="1"/>
        <v>12863810137</v>
      </c>
      <c r="O10" s="923">
        <f t="shared" si="1"/>
        <v>8289591300</v>
      </c>
      <c r="P10" s="923">
        <f t="shared" si="1"/>
        <v>12294384306</v>
      </c>
      <c r="Q10" s="924">
        <f t="shared" si="1"/>
        <v>12026260832</v>
      </c>
      <c r="R10" s="926">
        <f t="shared" si="1"/>
        <v>93793717499</v>
      </c>
    </row>
    <row r="11" spans="1:18" ht="24.75" customHeight="1">
      <c r="A11" s="593"/>
      <c r="B11" s="598" t="s">
        <v>107</v>
      </c>
      <c r="C11" s="927">
        <f>MARZO!$BC11*$G$4+JUNIO!$BC11*$I$4+SEPTIEMBRE!$BC11*$K$4+DICIEMBRE!$BC11*$M$4</f>
        <v>81866799864</v>
      </c>
      <c r="D11" s="1501">
        <f>MARZO!$BD11*$G$4+JUNIO!$BD11*$I$4+SEPTIEMBRE!$BD11*$K$4+DICIEMBRE!$BD11*$M$4</f>
        <v>79486440800</v>
      </c>
      <c r="E11" s="1500"/>
      <c r="F11" s="928">
        <f>ENERO!$BE11</f>
        <v>35957520</v>
      </c>
      <c r="G11" s="929">
        <f>FEBRERO!$BE11</f>
        <v>213334123</v>
      </c>
      <c r="H11" s="929">
        <f>MARZO!$BE11</f>
        <v>3436148993</v>
      </c>
      <c r="I11" s="929">
        <f>ABRIL!$BE11</f>
        <v>648990324</v>
      </c>
      <c r="J11" s="929">
        <f>MAYO!$BE11</f>
        <v>1067960328</v>
      </c>
      <c r="K11" s="929">
        <f>JUNIO!$BE11</f>
        <v>3050627675</v>
      </c>
      <c r="L11" s="929">
        <f>JULIO!$BE11</f>
        <v>4529746511</v>
      </c>
      <c r="M11" s="929">
        <f>AGOSTO!$BE11</f>
        <v>2308050268</v>
      </c>
      <c r="N11" s="929">
        <f>SEPTIEMBRE!$BE11</f>
        <v>3597688251</v>
      </c>
      <c r="O11" s="929">
        <f>OCTUBRE!$BE11</f>
        <v>3871461259</v>
      </c>
      <c r="P11" s="929">
        <f>NOVIEMBRE!$BE11</f>
        <v>4541769853</v>
      </c>
      <c r="Q11" s="930">
        <f>DICIEMBRE!$BE11</f>
        <v>3862878393</v>
      </c>
      <c r="R11" s="931">
        <f t="shared" ref="R11:R24" si="2">SUM(F11:Q11)</f>
        <v>31164613498</v>
      </c>
    </row>
    <row r="12" spans="1:18" ht="24.75" customHeight="1">
      <c r="A12" s="593"/>
      <c r="B12" s="598" t="s">
        <v>112</v>
      </c>
      <c r="C12" s="927">
        <f>MARZO!$BC12*$G$4+JUNIO!$BC12*$I$4+SEPTIEMBRE!$BC12*$K$4+DICIEMBRE!$BC12*$M$4</f>
        <v>49300076925.586876</v>
      </c>
      <c r="D12" s="1501">
        <f>MARZO!$BD12*$G$4+JUNIO!$BD12*$I$4+SEPTIEMBRE!$BD12*$K$4+DICIEMBRE!$BD12*$M$4</f>
        <v>69992770378</v>
      </c>
      <c r="E12" s="1500"/>
      <c r="F12" s="928">
        <f>ENERO!$BE12</f>
        <v>53485734</v>
      </c>
      <c r="G12" s="929">
        <f>FEBRERO!$BE12</f>
        <v>50158726</v>
      </c>
      <c r="H12" s="929">
        <f>MARZO!$BE12</f>
        <v>1882989642</v>
      </c>
      <c r="I12" s="929">
        <f>ABRIL!$BE12</f>
        <v>3365040527</v>
      </c>
      <c r="J12" s="929">
        <f>MAYO!$BE12</f>
        <v>5855891294</v>
      </c>
      <c r="K12" s="929">
        <f>JUNIO!$BE12</f>
        <v>3359282882</v>
      </c>
      <c r="L12" s="929">
        <f>JULIO!$BE12</f>
        <v>4950780944</v>
      </c>
      <c r="M12" s="929">
        <f>AGOSTO!$BE12</f>
        <v>2317552658</v>
      </c>
      <c r="N12" s="929">
        <f>SEPTIEMBRE!$BE12</f>
        <v>5490693064</v>
      </c>
      <c r="O12" s="929">
        <f>OCTUBRE!$BE12</f>
        <v>2016236280</v>
      </c>
      <c r="P12" s="929">
        <f>NOVIEMBRE!$BE12</f>
        <v>6881156066</v>
      </c>
      <c r="Q12" s="930">
        <f>DICIEMBRE!$BE12</f>
        <v>5594712417</v>
      </c>
      <c r="R12" s="931">
        <f t="shared" si="2"/>
        <v>41817980234</v>
      </c>
    </row>
    <row r="13" spans="1:18" ht="24.75" customHeight="1">
      <c r="A13" s="593"/>
      <c r="B13" s="598" t="s">
        <v>116</v>
      </c>
      <c r="C13" s="927">
        <f>MARZO!$BC13*$G$4+JUNIO!$BC13*$I$4+SEPTIEMBRE!$BC13*$K$4+DICIEMBRE!$BC13*$M$4</f>
        <v>1140706891</v>
      </c>
      <c r="D13" s="1501">
        <f>MARZO!$BD13*$G$4+JUNIO!$BD13*$I$4+SEPTIEMBRE!$BD13*$K$4+DICIEMBRE!$BD13*$M$4</f>
        <v>1797978312</v>
      </c>
      <c r="E13" s="1500"/>
      <c r="F13" s="928">
        <f>ENERO!$BE13</f>
        <v>0</v>
      </c>
      <c r="G13" s="929">
        <f>FEBRERO!$BE13</f>
        <v>0</v>
      </c>
      <c r="H13" s="929">
        <f>MARZO!$BE13</f>
        <v>140100916</v>
      </c>
      <c r="I13" s="929">
        <f>ABRIL!$BE13</f>
        <v>38226699</v>
      </c>
      <c r="J13" s="929">
        <f>MAYO!$BE13</f>
        <v>153546432</v>
      </c>
      <c r="K13" s="929">
        <f>JUNIO!$BE13</f>
        <v>381904601</v>
      </c>
      <c r="L13" s="929">
        <f>JULIO!$BE13</f>
        <v>6654611</v>
      </c>
      <c r="M13" s="929">
        <f>AGOSTO!$BE13</f>
        <v>122402030</v>
      </c>
      <c r="N13" s="929">
        <f>SEPTIEMBRE!$BE13</f>
        <v>339181303</v>
      </c>
      <c r="O13" s="929">
        <f>OCTUBRE!$BE13</f>
        <v>159415168</v>
      </c>
      <c r="P13" s="929">
        <f>NOVIEMBRE!$BE13</f>
        <v>8712083</v>
      </c>
      <c r="Q13" s="930">
        <f>DICIEMBRE!$BE13</f>
        <v>93125586</v>
      </c>
      <c r="R13" s="931">
        <f t="shared" si="2"/>
        <v>1443269429</v>
      </c>
    </row>
    <row r="14" spans="1:18" ht="24.75" customHeight="1">
      <c r="A14" s="593"/>
      <c r="B14" s="598" t="s">
        <v>432</v>
      </c>
      <c r="C14" s="927">
        <f>MARZO!$BC14*$G$4+JUNIO!$BC14*$I$4+SEPTIEMBRE!$BC14*$K$4+DICIEMBRE!$BC14*$M$4</f>
        <v>2137731076.9417498</v>
      </c>
      <c r="D14" s="1501">
        <f>MARZO!$BD14*$G$4+JUNIO!$BD14*$I$4+SEPTIEMBRE!$BD14*$K$4+DICIEMBRE!$BD14*$M$4</f>
        <v>1731321386</v>
      </c>
      <c r="E14" s="1500"/>
      <c r="F14" s="928">
        <f>ENERO!$BE14</f>
        <v>2290827</v>
      </c>
      <c r="G14" s="929">
        <f>FEBRERO!$BE14</f>
        <v>71464510</v>
      </c>
      <c r="H14" s="929">
        <f>MARZO!$BE14</f>
        <v>97927971</v>
      </c>
      <c r="I14" s="929">
        <f>ABRIL!$BE14</f>
        <v>45294183</v>
      </c>
      <c r="J14" s="929">
        <f>MAYO!$BE14</f>
        <v>102460222</v>
      </c>
      <c r="K14" s="929">
        <f>JUNIO!$BE14</f>
        <v>63203453</v>
      </c>
      <c r="L14" s="929">
        <f>JULIO!$BE14</f>
        <v>57763498</v>
      </c>
      <c r="M14" s="929">
        <f>AGOSTO!$BE14</f>
        <v>83669915</v>
      </c>
      <c r="N14" s="929">
        <f>SEPTIEMBRE!$BE14</f>
        <v>164191458</v>
      </c>
      <c r="O14" s="929">
        <f>OCTUBRE!$BE14</f>
        <v>84612136</v>
      </c>
      <c r="P14" s="929">
        <f>NOVIEMBRE!$BE14</f>
        <v>83222699</v>
      </c>
      <c r="Q14" s="930">
        <f>DICIEMBRE!$BE14</f>
        <v>91671562</v>
      </c>
      <c r="R14" s="931">
        <f t="shared" si="2"/>
        <v>947772434</v>
      </c>
    </row>
    <row r="15" spans="1:18" ht="24.75" customHeight="1">
      <c r="A15" s="593"/>
      <c r="B15" s="598" t="s">
        <v>433</v>
      </c>
      <c r="C15" s="927">
        <f>MARZO!$BC15*$G$4+JUNIO!$BC15*$I$4+SEPTIEMBRE!$BC15*$K$4+DICIEMBRE!$BC15*$M$4</f>
        <v>976431378</v>
      </c>
      <c r="D15" s="1501">
        <f>MARZO!$BD15*$G$4+JUNIO!$BD15*$I$4+SEPTIEMBRE!$BD15*$K$4+DICIEMBRE!$BD15*$M$4</f>
        <v>474765389</v>
      </c>
      <c r="E15" s="1500"/>
      <c r="F15" s="928">
        <f>ENERO!$BE15</f>
        <v>0</v>
      </c>
      <c r="G15" s="929">
        <f>FEBRERO!$BE15</f>
        <v>4215387</v>
      </c>
      <c r="H15" s="929">
        <f>MARZO!$BE15</f>
        <v>0</v>
      </c>
      <c r="I15" s="929">
        <f>ABRIL!$BE15</f>
        <v>0</v>
      </c>
      <c r="J15" s="929">
        <f>MAYO!$BE15</f>
        <v>0</v>
      </c>
      <c r="K15" s="929">
        <f>JUNIO!$BE15</f>
        <v>0</v>
      </c>
      <c r="L15" s="929">
        <f>JULIO!$BE15</f>
        <v>0</v>
      </c>
      <c r="M15" s="929">
        <f>AGOSTO!$BE15</f>
        <v>0</v>
      </c>
      <c r="N15" s="929">
        <f>SEPTIEMBRE!$BE15</f>
        <v>10932749</v>
      </c>
      <c r="O15" s="929">
        <f>OCTUBRE!$BE15</f>
        <v>7292234</v>
      </c>
      <c r="P15" s="929">
        <f>NOVIEMBRE!$BE15</f>
        <v>0</v>
      </c>
      <c r="Q15" s="930">
        <f>DICIEMBRE!$BE15</f>
        <v>0</v>
      </c>
      <c r="R15" s="931">
        <f t="shared" si="2"/>
        <v>22440370</v>
      </c>
    </row>
    <row r="16" spans="1:18" ht="24.75" customHeight="1">
      <c r="A16" s="593"/>
      <c r="B16" s="598" t="s">
        <v>129</v>
      </c>
      <c r="C16" s="927">
        <f>MARZO!$BC16*$G$4+JUNIO!$BC16*$I$4+SEPTIEMBRE!$BC16*$K$4+DICIEMBRE!$BC16*$M$4</f>
        <v>0</v>
      </c>
      <c r="D16" s="1501">
        <f>MARZO!$BD16*$G$4+JUNIO!$BD16*$I$4+SEPTIEMBRE!$BD16*$K$4+DICIEMBRE!$BD16*$M$4</f>
        <v>62971342</v>
      </c>
      <c r="E16" s="1500"/>
      <c r="F16" s="928">
        <f>ENERO!$BE16</f>
        <v>0</v>
      </c>
      <c r="G16" s="929">
        <f>FEBRERO!$BE16</f>
        <v>465757563</v>
      </c>
      <c r="H16" s="929">
        <f>MARZO!$BE16</f>
        <v>1478126824</v>
      </c>
      <c r="I16" s="929">
        <f>ABRIL!$BE16</f>
        <v>2167296223</v>
      </c>
      <c r="J16" s="929">
        <f>MAYO!$BE16</f>
        <v>1115265071</v>
      </c>
      <c r="K16" s="929">
        <f>JUNIO!$BE16</f>
        <v>886923009</v>
      </c>
      <c r="L16" s="929">
        <f>JULIO!$BE16</f>
        <v>117826997</v>
      </c>
      <c r="M16" s="929">
        <f>AGOSTO!$BE16</f>
        <v>3103333393</v>
      </c>
      <c r="N16" s="929">
        <f>SEPTIEMBRE!$BE16</f>
        <v>3035899367</v>
      </c>
      <c r="O16" s="929">
        <f>OCTUBRE!$BE16</f>
        <v>0</v>
      </c>
      <c r="P16" s="929">
        <f>NOVIEMBRE!$BE16</f>
        <v>0</v>
      </c>
      <c r="Q16" s="930">
        <f>DICIEMBRE!$BE16</f>
        <v>2100690413</v>
      </c>
      <c r="R16" s="931">
        <f t="shared" si="2"/>
        <v>14471118860</v>
      </c>
    </row>
    <row r="17" spans="2:18" ht="24.75" customHeight="1">
      <c r="B17" s="598" t="s">
        <v>135</v>
      </c>
      <c r="C17" s="927">
        <f>MARZO!$BC17*$G$4+JUNIO!$BC17*$I$4+SEPTIEMBRE!$BC17*$K$4+DICIEMBRE!$BC17*$M$4</f>
        <v>24712722106.847889</v>
      </c>
      <c r="D17" s="1501">
        <f>MARZO!$BD17*$G$4+JUNIO!$BD17*$I$4+SEPTIEMBRE!$BD17*$K$4+DICIEMBRE!$BD17*$M$4</f>
        <v>24648980904</v>
      </c>
      <c r="E17" s="1500"/>
      <c r="F17" s="928">
        <f>ENERO!$BE17</f>
        <v>2678992</v>
      </c>
      <c r="G17" s="929">
        <f>FEBRERO!$BE17</f>
        <v>31918838</v>
      </c>
      <c r="H17" s="929">
        <f>MARZO!$BE17</f>
        <v>15629811</v>
      </c>
      <c r="I17" s="929">
        <f>ABRIL!$BE17</f>
        <v>112857932</v>
      </c>
      <c r="J17" s="929">
        <f>MAYO!$BE17</f>
        <v>51834619</v>
      </c>
      <c r="K17" s="929">
        <f>JUNIO!$BE17</f>
        <v>107855068</v>
      </c>
      <c r="L17" s="929">
        <f>JULIO!$BE17</f>
        <v>106029139</v>
      </c>
      <c r="M17" s="929">
        <f>AGOSTO!$BE17</f>
        <v>59214041</v>
      </c>
      <c r="N17" s="929">
        <f>SEPTIEMBRE!$BE17</f>
        <v>225223945</v>
      </c>
      <c r="O17" s="929">
        <f>OCTUBRE!$BE17</f>
        <v>2150574223</v>
      </c>
      <c r="P17" s="929">
        <f>NOVIEMBRE!$BE17</f>
        <v>779523605</v>
      </c>
      <c r="Q17" s="930">
        <f>DICIEMBRE!$BE17</f>
        <v>283182461</v>
      </c>
      <c r="R17" s="931">
        <f t="shared" si="2"/>
        <v>3926522674</v>
      </c>
    </row>
    <row r="18" spans="2:18" ht="36.75" customHeight="1">
      <c r="B18" s="599" t="s">
        <v>434</v>
      </c>
      <c r="C18" s="927">
        <f>+MARZO!$F95*$G$4+JUNIO!$F95*$I$4+SEPTIEMBRE!$F95*$K$4+DICIEMBRE!$F95*$M$4</f>
        <v>0</v>
      </c>
      <c r="D18" s="1501">
        <f>+MARZO!I95*$G$4+JUNIO!$I95*$I$4+SEPTIEMBRE!$I95*$K$4+DICIEMBRE!$I95*$M$4</f>
        <v>0</v>
      </c>
      <c r="E18" s="1500"/>
      <c r="F18" s="928">
        <f>+ENERO!$K$95</f>
        <v>0</v>
      </c>
      <c r="G18" s="929">
        <f>+FEBRERO!$K$95</f>
        <v>0</v>
      </c>
      <c r="H18" s="929">
        <f>+MARZO!$K$95</f>
        <v>0</v>
      </c>
      <c r="I18" s="929">
        <f>+ABRIL!$K$95</f>
        <v>0</v>
      </c>
      <c r="J18" s="929">
        <f>+MAYO!$K$95</f>
        <v>0</v>
      </c>
      <c r="K18" s="929">
        <f>+JUNIO!$K$95</f>
        <v>0</v>
      </c>
      <c r="L18" s="929">
        <f>+JULIO!$K$95</f>
        <v>0</v>
      </c>
      <c r="M18" s="929">
        <f>+AGOSTO!$K$95</f>
        <v>0</v>
      </c>
      <c r="N18" s="929">
        <f>+SEPTIEMBRE!$K$95</f>
        <v>0</v>
      </c>
      <c r="O18" s="929">
        <f>+OCTUBRE!$K$95</f>
        <v>0</v>
      </c>
      <c r="P18" s="929">
        <f>+NOVIEMBRE!$K$95</f>
        <v>0</v>
      </c>
      <c r="Q18" s="930">
        <f>+DICIEMBRE!$K$95</f>
        <v>0</v>
      </c>
      <c r="R18" s="931">
        <f t="shared" si="2"/>
        <v>0</v>
      </c>
    </row>
    <row r="19" spans="2:18" ht="32.25" customHeight="1">
      <c r="B19" s="599" t="s">
        <v>435</v>
      </c>
      <c r="C19" s="927">
        <v>0</v>
      </c>
      <c r="D19" s="1501">
        <f>+MARZO!I96*$G$4+JUNIO!$I96*$I$4+SEPTIEMBRE!$I96*$K$4+DICIEMBRE!$I96*$M$4</f>
        <v>0</v>
      </c>
      <c r="E19" s="1500"/>
      <c r="F19" s="928">
        <f>+ENERO!$K$96</f>
        <v>0</v>
      </c>
      <c r="G19" s="929">
        <f>+FEBRERO!$K$96</f>
        <v>0</v>
      </c>
      <c r="H19" s="929">
        <f>+MARZO!$K$96</f>
        <v>0</v>
      </c>
      <c r="I19" s="929">
        <f>+ABRIL!$K$96</f>
        <v>0</v>
      </c>
      <c r="J19" s="929">
        <f>+MAYO!$K$96</f>
        <v>0</v>
      </c>
      <c r="K19" s="929">
        <f>+JUNIO!$K$96</f>
        <v>0</v>
      </c>
      <c r="L19" s="929">
        <f>+JULIO!$K$96</f>
        <v>0</v>
      </c>
      <c r="M19" s="929">
        <f>+AGOSTO!$K$96</f>
        <v>0</v>
      </c>
      <c r="N19" s="929">
        <f>+SEPTIEMBRE!$K$96</f>
        <v>0</v>
      </c>
      <c r="O19" s="929">
        <f>+OCTUBRE!$K$96</f>
        <v>0</v>
      </c>
      <c r="P19" s="929">
        <f>+NOVIEMBRE!$K$96</f>
        <v>0</v>
      </c>
      <c r="Q19" s="930">
        <f>+DICIEMBRE!$K$96</f>
        <v>0</v>
      </c>
      <c r="R19" s="931">
        <f t="shared" si="2"/>
        <v>0</v>
      </c>
    </row>
    <row r="20" spans="2:18" ht="39.75" customHeight="1">
      <c r="B20" s="599" t="s">
        <v>436</v>
      </c>
      <c r="C20" s="927">
        <f>+MARZO!$F97*$G$4+JUNIO!$F97*$I$4+SEPTIEMBRE!$F97*$K$4+DICIEMBRE!$F97*$M$4</f>
        <v>0</v>
      </c>
      <c r="D20" s="1501">
        <f>+MARZO!I97*$G$4+JUNIO!$I97*$I$4+SEPTIEMBRE!$I97*$K$4+DICIEMBRE!$I97*$M$4</f>
        <v>0</v>
      </c>
      <c r="E20" s="1500"/>
      <c r="F20" s="928">
        <f>+ENERO!$K$97</f>
        <v>0</v>
      </c>
      <c r="G20" s="929">
        <f>+FEBRERO!$K$97</f>
        <v>0</v>
      </c>
      <c r="H20" s="929">
        <f>+MARZO!$K$97</f>
        <v>0</v>
      </c>
      <c r="I20" s="929">
        <f>+ABRIL!$K$97</f>
        <v>0</v>
      </c>
      <c r="J20" s="929">
        <f>+MAYO!$K$97</f>
        <v>0</v>
      </c>
      <c r="K20" s="929">
        <f>+JUNIO!$K$97</f>
        <v>0</v>
      </c>
      <c r="L20" s="929">
        <f>+JULIO!$K$97</f>
        <v>0</v>
      </c>
      <c r="M20" s="929">
        <f>+AGOSTO!$K$97</f>
        <v>0</v>
      </c>
      <c r="N20" s="929">
        <f>+SEPTIEMBRE!$K$97</f>
        <v>0</v>
      </c>
      <c r="O20" s="929">
        <f>+OCTUBRE!$K$97</f>
        <v>0</v>
      </c>
      <c r="P20" s="929">
        <f>+NOVIEMBRE!$K$97</f>
        <v>0</v>
      </c>
      <c r="Q20" s="930">
        <f>+DICIEMBRE!$K$97</f>
        <v>0</v>
      </c>
      <c r="R20" s="931">
        <f t="shared" si="2"/>
        <v>0</v>
      </c>
    </row>
    <row r="21" spans="2:18" ht="29.25" customHeight="1">
      <c r="B21" s="599" t="s">
        <v>437</v>
      </c>
      <c r="C21" s="927">
        <f>+MARZO!$F99*$G$4+JUNIO!$F99*$I$4+SEPTIEMBRE!$F99*$K$4+DICIEMBRE!$F99*$M$4</f>
        <v>0</v>
      </c>
      <c r="D21" s="1501">
        <f>+MARZO!$I99*$G$4+JUNIO!$I99*$I$4+SEPTIEMBRE!$I99*$K$4+DICIEMBRE!$I99*$M$4</f>
        <v>0</v>
      </c>
      <c r="E21" s="1500"/>
      <c r="F21" s="928">
        <f>+ENERO!$K$99</f>
        <v>0</v>
      </c>
      <c r="G21" s="929">
        <f>+FEBRERO!$K$99</f>
        <v>0</v>
      </c>
      <c r="H21" s="929">
        <f>+MARZO!$K$99</f>
        <v>0</v>
      </c>
      <c r="I21" s="929">
        <f>+ABRIL!$K$99</f>
        <v>0</v>
      </c>
      <c r="J21" s="929">
        <f>+MAYO!$K$99</f>
        <v>0</v>
      </c>
      <c r="K21" s="929">
        <f>+JUNIO!$K$99</f>
        <v>0</v>
      </c>
      <c r="L21" s="929">
        <f>+JULIO!$K$99</f>
        <v>0</v>
      </c>
      <c r="M21" s="929">
        <f>+AGOSTO!$K$99</f>
        <v>0</v>
      </c>
      <c r="N21" s="929">
        <f>+SEPTIEMBRE!$K$99</f>
        <v>0</v>
      </c>
      <c r="O21" s="929">
        <f>+OCTUBRE!$K$99</f>
        <v>0</v>
      </c>
      <c r="P21" s="929">
        <f>+NOVIEMBRE!$K$99</f>
        <v>0</v>
      </c>
      <c r="Q21" s="930">
        <f>+DICIEMBRE!$K$99</f>
        <v>0</v>
      </c>
      <c r="R21" s="931">
        <f t="shared" si="2"/>
        <v>0</v>
      </c>
    </row>
    <row r="22" spans="2:18" ht="24.75" customHeight="1">
      <c r="B22" s="599" t="s">
        <v>144</v>
      </c>
      <c r="C22" s="927">
        <f>MARZO!$BC19*$G$4+JUNIO!$BC19*$I$4+SEPTIEMBRE!$BC19*$K$4+DICIEMBRE!$BC19*$M$4</f>
        <v>18075885583</v>
      </c>
      <c r="D22" s="1501">
        <f>MARZO!$BD19*$G$4+JUNIO!$BD19*$I$4+SEPTIEMBRE!$BD19*$K$4+DICIEMBRE!$BD19*$M$4</f>
        <v>8889471509</v>
      </c>
      <c r="E22" s="1500"/>
      <c r="F22" s="928">
        <f>ENERO!$BE19</f>
        <v>30180119</v>
      </c>
      <c r="G22" s="929">
        <f>FEBRERO!$BE19</f>
        <v>36661382</v>
      </c>
      <c r="H22" s="929">
        <f>MARZO!$BE19</f>
        <v>21194739</v>
      </c>
      <c r="I22" s="929">
        <f>ABRIL!$BE19</f>
        <v>39596338</v>
      </c>
      <c r="J22" s="929">
        <f>MAYO!$BE19</f>
        <v>26542242</v>
      </c>
      <c r="K22" s="929">
        <f>JUNIO!$BE19</f>
        <v>575471052</v>
      </c>
      <c r="L22" s="929">
        <f>JULIO!$BE19</f>
        <v>717436239</v>
      </c>
      <c r="M22" s="929">
        <f>AGOSTO!$BE19</f>
        <v>333916911</v>
      </c>
      <c r="N22" s="929">
        <f>SEPTIEMBRE!$BE19</f>
        <v>27290965</v>
      </c>
      <c r="O22" s="929">
        <f>OCTUBRE!$BE19</f>
        <v>1327200126</v>
      </c>
      <c r="P22" s="929">
        <f>NOVIEMBRE!$BE19</f>
        <v>629991879</v>
      </c>
      <c r="Q22" s="930">
        <f>DICIEMBRE!$BE19</f>
        <v>4817165328</v>
      </c>
      <c r="R22" s="931">
        <f t="shared" si="2"/>
        <v>8582647320</v>
      </c>
    </row>
    <row r="23" spans="2:18" ht="24.75" customHeight="1">
      <c r="B23" s="597" t="s">
        <v>148</v>
      </c>
      <c r="C23" s="921">
        <f>MARZO!$BC20*$G$4+JUNIO!$BC20*$I$4+SEPTIEMBRE!$BC20*$K$4+DICIEMBRE!$BC20*$M$4</f>
        <v>0</v>
      </c>
      <c r="D23" s="1499">
        <f>MARZO!$BD20*$G$4+JUNIO!$BD20*$I$4+SEPTIEMBRE!$BD20*$K$4+DICIEMBRE!$BD20*$M$4</f>
        <v>0</v>
      </c>
      <c r="E23" s="1500"/>
      <c r="F23" s="922">
        <f>ENERO!$BE20</f>
        <v>0</v>
      </c>
      <c r="G23" s="923">
        <f>FEBRERO!$BE20</f>
        <v>0</v>
      </c>
      <c r="H23" s="923">
        <f>MARZO!$BE20</f>
        <v>0</v>
      </c>
      <c r="I23" s="923">
        <f>ABRIL!$BE20</f>
        <v>0</v>
      </c>
      <c r="J23" s="923">
        <f>MAYO!$BE20</f>
        <v>0</v>
      </c>
      <c r="K23" s="923">
        <f>JUNIO!$BE20</f>
        <v>0</v>
      </c>
      <c r="L23" s="923">
        <f>JULIO!$BE20</f>
        <v>0</v>
      </c>
      <c r="M23" s="923">
        <f>AGOSTO!$BE20</f>
        <v>0</v>
      </c>
      <c r="N23" s="923">
        <f>SEPTIEMBRE!$BE20</f>
        <v>0</v>
      </c>
      <c r="O23" s="923">
        <f>OCTUBRE!$BE20</f>
        <v>0</v>
      </c>
      <c r="P23" s="923">
        <f>NOVIEMBRE!$BE20</f>
        <v>0</v>
      </c>
      <c r="Q23" s="924">
        <f>DICIEMBRE!$BE20</f>
        <v>0</v>
      </c>
      <c r="R23" s="926">
        <f t="shared" si="2"/>
        <v>0</v>
      </c>
    </row>
    <row r="24" spans="2:18" ht="42.75" customHeight="1" thickBot="1">
      <c r="B24" s="600" t="s">
        <v>152</v>
      </c>
      <c r="C24" s="921">
        <f>SUM(DICIEMBRE!BC21)</f>
        <v>45360108023.099998</v>
      </c>
      <c r="D24" s="1502">
        <f>SUM(DICIEMBRE!BD21)</f>
        <v>51753741112</v>
      </c>
      <c r="E24" s="1503"/>
      <c r="F24" s="932">
        <f>SUM(ENERO!H128)</f>
        <v>10285873142</v>
      </c>
      <c r="G24" s="933">
        <f>FEBRERO!$BE21</f>
        <v>9440233268</v>
      </c>
      <c r="H24" s="933">
        <f>MARZO!$BE21</f>
        <v>5594421103</v>
      </c>
      <c r="I24" s="933">
        <f>ABRIL!$BE21</f>
        <v>6705179618</v>
      </c>
      <c r="J24" s="933">
        <f>MAYO!$BE21</f>
        <v>6274767235</v>
      </c>
      <c r="K24" s="933">
        <f>JUNIO!$BE21</f>
        <v>5354349048</v>
      </c>
      <c r="L24" s="933">
        <f>JULIO!$BE21</f>
        <v>1070103179</v>
      </c>
      <c r="M24" s="933">
        <f>AGOSTO!$BE21</f>
        <v>3070127331</v>
      </c>
      <c r="N24" s="933">
        <f>SEPTIEMBRE!$BE21</f>
        <v>1781857923</v>
      </c>
      <c r="O24" s="933">
        <f>OCTUBRE!$BE21</f>
        <v>406042511</v>
      </c>
      <c r="P24" s="933">
        <f>NOVIEMBRE!$BE21</f>
        <v>1539988311</v>
      </c>
      <c r="Q24" s="934">
        <f>DICIEMBRE!$BE21</f>
        <v>230798443</v>
      </c>
      <c r="R24" s="935">
        <f t="shared" si="2"/>
        <v>51753741112</v>
      </c>
    </row>
    <row r="25" spans="2:18" ht="24.75" customHeight="1" thickBot="1">
      <c r="B25" s="601" t="s">
        <v>438</v>
      </c>
      <c r="C25" s="936">
        <f>C8+C9+C23+C24</f>
        <v>224749939113.47653</v>
      </c>
      <c r="D25" s="1504">
        <f>D8+D9+D23+D24</f>
        <v>240017918397</v>
      </c>
      <c r="E25" s="1505"/>
      <c r="F25" s="937">
        <f t="shared" ref="F25:R25" si="3">F8+F9+F23+F24</f>
        <v>10410466334</v>
      </c>
      <c r="G25" s="938">
        <f t="shared" si="3"/>
        <v>11493221062</v>
      </c>
      <c r="H25" s="938">
        <f t="shared" si="3"/>
        <v>12666539999</v>
      </c>
      <c r="I25" s="938">
        <f t="shared" si="3"/>
        <v>13122481844</v>
      </c>
      <c r="J25" s="938">
        <f t="shared" si="3"/>
        <v>14648267443</v>
      </c>
      <c r="K25" s="938">
        <f t="shared" si="3"/>
        <v>13779616788</v>
      </c>
      <c r="L25" s="938">
        <f t="shared" si="3"/>
        <v>11556341118</v>
      </c>
      <c r="M25" s="938">
        <f t="shared" si="3"/>
        <v>11398266547</v>
      </c>
      <c r="N25" s="938">
        <f t="shared" si="3"/>
        <v>14672959025</v>
      </c>
      <c r="O25" s="938">
        <f t="shared" si="3"/>
        <v>10022833937</v>
      </c>
      <c r="P25" s="938">
        <f t="shared" si="3"/>
        <v>14464364496</v>
      </c>
      <c r="Q25" s="939">
        <f t="shared" si="3"/>
        <v>17074224603</v>
      </c>
      <c r="R25" s="940">
        <f t="shared" si="3"/>
        <v>155309583196</v>
      </c>
    </row>
    <row r="26" spans="2:18" ht="24.75" customHeight="1" thickBot="1">
      <c r="B26" s="602" t="s">
        <v>438</v>
      </c>
      <c r="C26" s="941"/>
      <c r="D26" s="942"/>
      <c r="E26" s="942"/>
      <c r="F26" s="942"/>
      <c r="G26" s="942"/>
      <c r="H26" s="942"/>
      <c r="I26" s="942"/>
      <c r="J26" s="942"/>
      <c r="K26" s="942"/>
      <c r="L26" s="942"/>
      <c r="M26" s="942"/>
      <c r="N26" s="942"/>
      <c r="O26" s="942"/>
      <c r="P26" s="942"/>
      <c r="Q26" s="942"/>
      <c r="R26" s="943"/>
    </row>
    <row r="27" spans="2:18" ht="24.75" customHeight="1" thickBot="1">
      <c r="B27" s="1494" t="s">
        <v>71</v>
      </c>
      <c r="C27" s="1507" t="s">
        <v>428</v>
      </c>
      <c r="D27" s="1509" t="s">
        <v>439</v>
      </c>
      <c r="E27" s="1509" t="s">
        <v>440</v>
      </c>
      <c r="F27" s="1511" t="s">
        <v>441</v>
      </c>
      <c r="G27" s="1512"/>
      <c r="H27" s="1512"/>
      <c r="I27" s="1512"/>
      <c r="J27" s="1512"/>
      <c r="K27" s="1512"/>
      <c r="L27" s="1512"/>
      <c r="M27" s="1512"/>
      <c r="N27" s="1512"/>
      <c r="O27" s="1512"/>
      <c r="P27" s="1512"/>
      <c r="Q27" s="1513"/>
      <c r="R27" s="1509" t="s">
        <v>442</v>
      </c>
    </row>
    <row r="28" spans="2:18" ht="63" customHeight="1" thickBot="1">
      <c r="B28" s="1506"/>
      <c r="C28" s="1508"/>
      <c r="D28" s="1510"/>
      <c r="E28" s="1514"/>
      <c r="F28" s="944" t="str">
        <f t="shared" ref="F28:Q28" si="4">+F7</f>
        <v>ENERO</v>
      </c>
      <c r="G28" s="945" t="str">
        <f t="shared" si="4"/>
        <v>FEBRERO</v>
      </c>
      <c r="H28" s="945" t="str">
        <f t="shared" si="4"/>
        <v>MARZO</v>
      </c>
      <c r="I28" s="945" t="str">
        <f t="shared" si="4"/>
        <v>ABRIL</v>
      </c>
      <c r="J28" s="945" t="str">
        <f t="shared" si="4"/>
        <v>MAYO</v>
      </c>
      <c r="K28" s="945" t="str">
        <f t="shared" si="4"/>
        <v>JUNIO</v>
      </c>
      <c r="L28" s="945" t="str">
        <f t="shared" si="4"/>
        <v>JULIO</v>
      </c>
      <c r="M28" s="945" t="str">
        <f t="shared" si="4"/>
        <v>AGOSTO</v>
      </c>
      <c r="N28" s="945" t="str">
        <f t="shared" si="4"/>
        <v>SEPTIEMBRE</v>
      </c>
      <c r="O28" s="945" t="str">
        <f t="shared" si="4"/>
        <v>OCTUBRE</v>
      </c>
      <c r="P28" s="945" t="str">
        <f t="shared" si="4"/>
        <v>NOVIEMBRE</v>
      </c>
      <c r="Q28" s="946" t="str">
        <f t="shared" si="4"/>
        <v>DICIEMBRE</v>
      </c>
      <c r="R28" s="1510"/>
    </row>
    <row r="29" spans="2:18" ht="24.75" customHeight="1">
      <c r="B29" s="603" t="s">
        <v>91</v>
      </c>
      <c r="C29" s="947">
        <f t="shared" ref="C29:R29" si="5">+C30+C38+C45</f>
        <v>104914667543.61127</v>
      </c>
      <c r="D29" s="947">
        <f t="shared" si="5"/>
        <v>98054818194</v>
      </c>
      <c r="E29" s="948">
        <f t="shared" si="5"/>
        <v>98054818194</v>
      </c>
      <c r="F29" s="949">
        <f t="shared" si="5"/>
        <v>617530918</v>
      </c>
      <c r="G29" s="950">
        <f t="shared" si="5"/>
        <v>1687679591</v>
      </c>
      <c r="H29" s="950">
        <f t="shared" si="5"/>
        <v>1860002087</v>
      </c>
      <c r="I29" s="950">
        <f t="shared" si="5"/>
        <v>7107126353</v>
      </c>
      <c r="J29" s="950">
        <f t="shared" si="5"/>
        <v>6998840995</v>
      </c>
      <c r="K29" s="950">
        <f t="shared" si="5"/>
        <v>7492288415.5</v>
      </c>
      <c r="L29" s="950">
        <f t="shared" si="5"/>
        <v>8683748272</v>
      </c>
      <c r="M29" s="950">
        <f t="shared" si="5"/>
        <v>7186291130</v>
      </c>
      <c r="N29" s="950">
        <f t="shared" si="5"/>
        <v>8295493922</v>
      </c>
      <c r="O29" s="950">
        <f t="shared" si="5"/>
        <v>5819151044</v>
      </c>
      <c r="P29" s="950">
        <f t="shared" si="5"/>
        <v>8382838654</v>
      </c>
      <c r="Q29" s="951">
        <f t="shared" si="5"/>
        <v>8096848455</v>
      </c>
      <c r="R29" s="952">
        <f t="shared" si="5"/>
        <v>72227839836.5</v>
      </c>
    </row>
    <row r="30" spans="2:18" ht="24.75" customHeight="1">
      <c r="B30" s="604" t="s">
        <v>110</v>
      </c>
      <c r="C30" s="952">
        <f t="shared" ref="C30:R30" si="6">+C31+C37</f>
        <v>83016292982.212662</v>
      </c>
      <c r="D30" s="952">
        <f t="shared" si="6"/>
        <v>81551561781</v>
      </c>
      <c r="E30" s="952">
        <f t="shared" si="6"/>
        <v>81551561781</v>
      </c>
      <c r="F30" s="953">
        <f t="shared" si="6"/>
        <v>569146145</v>
      </c>
      <c r="G30" s="954">
        <f t="shared" si="6"/>
        <v>703718721</v>
      </c>
      <c r="H30" s="954">
        <f t="shared" si="6"/>
        <v>1120398766</v>
      </c>
      <c r="I30" s="954">
        <f t="shared" si="6"/>
        <v>5964755999</v>
      </c>
      <c r="J30" s="954">
        <f t="shared" si="6"/>
        <v>5756410415</v>
      </c>
      <c r="K30" s="954">
        <f t="shared" si="6"/>
        <v>6424768304</v>
      </c>
      <c r="L30" s="954">
        <f t="shared" si="6"/>
        <v>7283895458</v>
      </c>
      <c r="M30" s="954">
        <f t="shared" si="6"/>
        <v>6444870362</v>
      </c>
      <c r="N30" s="954">
        <f t="shared" si="6"/>
        <v>6984291288</v>
      </c>
      <c r="O30" s="954">
        <f t="shared" si="6"/>
        <v>4811665328</v>
      </c>
      <c r="P30" s="954">
        <f t="shared" si="6"/>
        <v>7302232529</v>
      </c>
      <c r="Q30" s="955">
        <f t="shared" si="6"/>
        <v>6327525597</v>
      </c>
      <c r="R30" s="952">
        <f t="shared" si="6"/>
        <v>59693678912</v>
      </c>
    </row>
    <row r="31" spans="2:18" ht="24.75" customHeight="1">
      <c r="B31" s="605" t="s">
        <v>443</v>
      </c>
      <c r="C31" s="956">
        <f t="shared" ref="C31:R31" si="7">+C32+C36</f>
        <v>9381534326.2126675</v>
      </c>
      <c r="D31" s="956">
        <f t="shared" si="7"/>
        <v>9015328293</v>
      </c>
      <c r="E31" s="956">
        <f t="shared" si="7"/>
        <v>9015328293</v>
      </c>
      <c r="F31" s="957">
        <f t="shared" si="7"/>
        <v>569146145</v>
      </c>
      <c r="G31" s="958">
        <f t="shared" si="7"/>
        <v>675383723</v>
      </c>
      <c r="H31" s="958">
        <f t="shared" si="7"/>
        <v>695186585</v>
      </c>
      <c r="I31" s="958">
        <f t="shared" si="7"/>
        <v>594748301</v>
      </c>
      <c r="J31" s="958">
        <f t="shared" si="7"/>
        <v>704427600</v>
      </c>
      <c r="K31" s="958">
        <f t="shared" si="7"/>
        <v>572737459</v>
      </c>
      <c r="L31" s="958">
        <f t="shared" si="7"/>
        <v>1085447258</v>
      </c>
      <c r="M31" s="958">
        <f t="shared" si="7"/>
        <v>581430696</v>
      </c>
      <c r="N31" s="958">
        <f t="shared" si="7"/>
        <v>615950066</v>
      </c>
      <c r="O31" s="958">
        <f t="shared" si="7"/>
        <v>656754616</v>
      </c>
      <c r="P31" s="958">
        <f t="shared" si="7"/>
        <v>612717050</v>
      </c>
      <c r="Q31" s="959">
        <f t="shared" si="7"/>
        <v>1087753990</v>
      </c>
      <c r="R31" s="956">
        <f t="shared" si="7"/>
        <v>8451683489</v>
      </c>
    </row>
    <row r="32" spans="2:18" ht="24.75" customHeight="1">
      <c r="B32" s="605" t="s">
        <v>444</v>
      </c>
      <c r="C32" s="956">
        <f t="shared" ref="C32:R32" si="8">SUM(C33:C35)</f>
        <v>6786882922.916667</v>
      </c>
      <c r="D32" s="956">
        <f t="shared" si="8"/>
        <v>6593241023</v>
      </c>
      <c r="E32" s="956">
        <f t="shared" si="8"/>
        <v>6593241023</v>
      </c>
      <c r="F32" s="957">
        <f t="shared" si="8"/>
        <v>431572945</v>
      </c>
      <c r="G32" s="958">
        <f t="shared" si="8"/>
        <v>526674023</v>
      </c>
      <c r="H32" s="958">
        <f t="shared" si="8"/>
        <v>533794282</v>
      </c>
      <c r="I32" s="958">
        <f t="shared" si="8"/>
        <v>457993904</v>
      </c>
      <c r="J32" s="958">
        <f t="shared" si="8"/>
        <v>506476416</v>
      </c>
      <c r="K32" s="958">
        <f t="shared" si="8"/>
        <v>436893010</v>
      </c>
      <c r="L32" s="958">
        <f t="shared" si="8"/>
        <v>868628092</v>
      </c>
      <c r="M32" s="958">
        <f t="shared" si="8"/>
        <v>436598232</v>
      </c>
      <c r="N32" s="958">
        <f t="shared" si="8"/>
        <v>474905832</v>
      </c>
      <c r="O32" s="958">
        <f t="shared" si="8"/>
        <v>501014447</v>
      </c>
      <c r="P32" s="958">
        <f t="shared" si="8"/>
        <v>476199350</v>
      </c>
      <c r="Q32" s="959">
        <f t="shared" si="8"/>
        <v>942470490</v>
      </c>
      <c r="R32" s="956">
        <f t="shared" si="8"/>
        <v>6593221023</v>
      </c>
    </row>
    <row r="33" spans="2:18" ht="24.75" customHeight="1">
      <c r="B33" s="606" t="s">
        <v>105</v>
      </c>
      <c r="C33" s="960">
        <f>SUM(DICIEMBRE!BN10)</f>
        <v>5171372985</v>
      </c>
      <c r="D33" s="960">
        <f>MARZO!$BO10*$G$4+JUNIO!$BO10*$I$4+SEPTIEMBRE!$BO10*$K$4+DICIEMBRE!$BO10*$M$4</f>
        <v>5082469893</v>
      </c>
      <c r="E33" s="960">
        <f>MARZO!$BP10*$G$4+JUNIO!$BP10*$I$4+SEPTIEMBRE!$BP10*$K$4+DICIEMBRE!$BP10*$M$4</f>
        <v>5082469893</v>
      </c>
      <c r="F33" s="961">
        <f>ENERO!$BQ10</f>
        <v>399373359</v>
      </c>
      <c r="G33" s="962">
        <f>FEBRERO!$BQ10</f>
        <v>436578303</v>
      </c>
      <c r="H33" s="962">
        <f>MARZO!$BQ10</f>
        <v>420897564</v>
      </c>
      <c r="I33" s="962">
        <f>ABRIL!$BQ10</f>
        <v>398991936</v>
      </c>
      <c r="J33" s="962">
        <f>MAYO!$BQ10</f>
        <v>407723024</v>
      </c>
      <c r="K33" s="962">
        <f>JUNIO!$BQ10</f>
        <v>376040851</v>
      </c>
      <c r="L33" s="962">
        <f>JULIO!$BQ10</f>
        <v>585196947</v>
      </c>
      <c r="M33" s="962">
        <f>AGOSTO!$BQ10</f>
        <v>425101328</v>
      </c>
      <c r="N33" s="962">
        <f>SEPTIEMBRE!$BQ10</f>
        <v>426687389</v>
      </c>
      <c r="O33" s="962">
        <f>OCTUBRE!$BQ10</f>
        <v>404395252</v>
      </c>
      <c r="P33" s="962">
        <f>NOVIEMBRE!$BQ10</f>
        <v>402806187</v>
      </c>
      <c r="Q33" s="963">
        <f>DICIEMBRE!$BQ10</f>
        <v>398677753</v>
      </c>
      <c r="R33" s="964">
        <f>SUM(F33:Q33)</f>
        <v>5082469893</v>
      </c>
    </row>
    <row r="34" spans="2:18" ht="24.75" customHeight="1">
      <c r="B34" s="606" t="s">
        <v>109</v>
      </c>
      <c r="C34" s="960">
        <f>MARZO!$BN11*$G$4+JUNIO!$BN11*$I$4+SEPTIEMBRE!$BN11*$K$4+DICIEMBRE!$BN11*$M$4</f>
        <v>17000000</v>
      </c>
      <c r="D34" s="960">
        <f>MARZO!$BO11*$G$4+JUNIO!$BO11*$I$4+SEPTIEMBRE!$BO11*$K$4+DICIEMBRE!$BO11*$M$4</f>
        <v>15097914</v>
      </c>
      <c r="E34" s="960">
        <f>MARZO!$BP11*$G$4+JUNIO!$BP11*$I$4+SEPTIEMBRE!$BP11*$K$4+DICIEMBRE!$BP11*$M$4</f>
        <v>15097914</v>
      </c>
      <c r="F34" s="961">
        <f>ENERO!$BQ11</f>
        <v>912727</v>
      </c>
      <c r="G34" s="962">
        <f>FEBRERO!$BQ11</f>
        <v>985935</v>
      </c>
      <c r="H34" s="962">
        <f>MARZO!$BQ11</f>
        <v>1252149</v>
      </c>
      <c r="I34" s="962">
        <f>ABRIL!$BQ11</f>
        <v>795785</v>
      </c>
      <c r="J34" s="962">
        <f>MAYO!$BQ11</f>
        <v>1252149</v>
      </c>
      <c r="K34" s="962">
        <f>JUNIO!$BQ11</f>
        <v>1252149</v>
      </c>
      <c r="L34" s="962">
        <f>JULIO!$BQ11</f>
        <v>2073157</v>
      </c>
      <c r="M34" s="962">
        <f>AGOSTO!$BQ11</f>
        <v>726360</v>
      </c>
      <c r="N34" s="962">
        <f>SEPTIEMBRE!$BQ11</f>
        <v>1828108</v>
      </c>
      <c r="O34" s="962">
        <f>OCTUBRE!$BQ11</f>
        <v>1339799</v>
      </c>
      <c r="P34" s="962">
        <f>NOVIEMBRE!$BQ11</f>
        <v>1214669</v>
      </c>
      <c r="Q34" s="963">
        <f>DICIEMBRE!$BQ11</f>
        <v>1464927</v>
      </c>
      <c r="R34" s="964">
        <f>SUM(F34:Q34)</f>
        <v>15097914</v>
      </c>
    </row>
    <row r="35" spans="2:18" ht="24.75" customHeight="1">
      <c r="B35" s="606" t="s">
        <v>114</v>
      </c>
      <c r="C35" s="960">
        <f>SUM(DICIEMBRE!BN12)</f>
        <v>1598509937.916667</v>
      </c>
      <c r="D35" s="960">
        <f>MARZO!$BO12*$G$4+JUNIO!$BO12*$I$4+SEPTIEMBRE!$BO12*$K$4+DICIEMBRE!$BO12*$M$4</f>
        <v>1495673216</v>
      </c>
      <c r="E35" s="960">
        <f>MARZO!$BP12*$G$4+JUNIO!$BP12*$I$4+SEPTIEMBRE!$BP12*$K$4+DICIEMBRE!$BP12*$M$4</f>
        <v>1495673216</v>
      </c>
      <c r="F35" s="961">
        <f>ENERO!$BQ12</f>
        <v>31286859</v>
      </c>
      <c r="G35" s="962">
        <f>FEBRERO!$BQ12</f>
        <v>89109785</v>
      </c>
      <c r="H35" s="962">
        <f>MARZO!$BQ12</f>
        <v>111644569</v>
      </c>
      <c r="I35" s="962">
        <f>ABRIL!$BQ12</f>
        <v>58206183</v>
      </c>
      <c r="J35" s="962">
        <f>MAYO!$BQ12</f>
        <v>97501243</v>
      </c>
      <c r="K35" s="962">
        <f>JUNIO!$BQ12</f>
        <v>59600010</v>
      </c>
      <c r="L35" s="962">
        <f>JULIO!$BQ12</f>
        <v>281357988</v>
      </c>
      <c r="M35" s="962">
        <f>AGOSTO!$BQ12</f>
        <v>10770544</v>
      </c>
      <c r="N35" s="962">
        <f>SEPTIEMBRE!$BQ12</f>
        <v>46390335</v>
      </c>
      <c r="O35" s="962">
        <f>OCTUBRE!$BQ12</f>
        <v>95279396</v>
      </c>
      <c r="P35" s="962">
        <f>NOVIEMBRE!$BQ12</f>
        <v>72178494</v>
      </c>
      <c r="Q35" s="963">
        <f>DICIEMBRE!$BQ12</f>
        <v>542327810</v>
      </c>
      <c r="R35" s="964">
        <f>SUM(F35:Q35)</f>
        <v>1495653216</v>
      </c>
    </row>
    <row r="36" spans="2:18" ht="24.75" customHeight="1">
      <c r="B36" s="605" t="s">
        <v>118</v>
      </c>
      <c r="C36" s="956">
        <f>SUM(DICIEMBRE!BN13)</f>
        <v>2594651403.2960005</v>
      </c>
      <c r="D36" s="960">
        <f>MARZO!$BO13*$G$4+JUNIO!$BO13*$I$4+SEPTIEMBRE!$BO13*$K$4+DICIEMBRE!$BO13*$M$4</f>
        <v>2422087270</v>
      </c>
      <c r="E36" s="960">
        <f>MARZO!$BP13*$G$4+JUNIO!$BP13*$I$4+SEPTIEMBRE!$BP13*$K$4+DICIEMBRE!$BP13*$M$4</f>
        <v>2422087270</v>
      </c>
      <c r="F36" s="961">
        <f>ENERO!$BQ13</f>
        <v>137573200</v>
      </c>
      <c r="G36" s="962">
        <f>FEBRERO!$BQ13</f>
        <v>148709700</v>
      </c>
      <c r="H36" s="962">
        <f>MARZO!$BQ13</f>
        <v>161392303</v>
      </c>
      <c r="I36" s="962">
        <f>ABRIL!$BQ13</f>
        <v>136754397</v>
      </c>
      <c r="J36" s="962">
        <f>MAYO!$BQ13</f>
        <v>197951184</v>
      </c>
      <c r="K36" s="962">
        <f>JUNIO!$BQ13</f>
        <v>135844449</v>
      </c>
      <c r="L36" s="962">
        <f>JULIO!$BQ13</f>
        <v>216819166</v>
      </c>
      <c r="M36" s="962">
        <f>AGOSTO!$BQ13</f>
        <v>144832464</v>
      </c>
      <c r="N36" s="962">
        <f>SEPTIEMBRE!$BQ13</f>
        <v>141044234</v>
      </c>
      <c r="O36" s="962">
        <f>OCTUBRE!$BQ13</f>
        <v>155740169</v>
      </c>
      <c r="P36" s="962">
        <f>NOVIEMBRE!$BQ13</f>
        <v>136517700</v>
      </c>
      <c r="Q36" s="963">
        <f>DICIEMBRE!$BQ13</f>
        <v>145283500</v>
      </c>
      <c r="R36" s="964">
        <f>SUM(F36:Q36)</f>
        <v>1858462466</v>
      </c>
    </row>
    <row r="37" spans="2:18" ht="24.75" customHeight="1">
      <c r="B37" s="605" t="s">
        <v>123</v>
      </c>
      <c r="C37" s="956">
        <f>SUM(DICIEMBRE!BN14)</f>
        <v>73634758656</v>
      </c>
      <c r="D37" s="960">
        <f>MARZO!$BO14*$G$4+JUNIO!$BO14*$I$4+SEPTIEMBRE!$BO14*$K$4+DICIEMBRE!$BO14*$M$4</f>
        <v>72536233488</v>
      </c>
      <c r="E37" s="960">
        <f>MARZO!$BP14*$G$4+JUNIO!$BP14*$I$4+SEPTIEMBRE!$BP14*$K$4+DICIEMBRE!$BP14*$M$4</f>
        <v>72536233488</v>
      </c>
      <c r="F37" s="961">
        <f>ENERO!$BQ14</f>
        <v>0</v>
      </c>
      <c r="G37" s="962">
        <f>FEBRERO!$BQ14</f>
        <v>28334998</v>
      </c>
      <c r="H37" s="962">
        <f>MARZO!$BQ14</f>
        <v>425212181</v>
      </c>
      <c r="I37" s="962">
        <f>ABRIL!$BQ14</f>
        <v>5370007698</v>
      </c>
      <c r="J37" s="962">
        <f>MAYO!$BQ14</f>
        <v>5051982815</v>
      </c>
      <c r="K37" s="962">
        <f>JUNIO!$BQ14</f>
        <v>5852030845</v>
      </c>
      <c r="L37" s="962">
        <f>JULIO!$BQ14</f>
        <v>6198448200</v>
      </c>
      <c r="M37" s="962">
        <f>AGOSTO!$BQ14</f>
        <v>5863439666</v>
      </c>
      <c r="N37" s="962">
        <f>SEPTIEMBRE!$BQ14</f>
        <v>6368341222</v>
      </c>
      <c r="O37" s="962">
        <f>OCTUBRE!$BQ14</f>
        <v>4154910712</v>
      </c>
      <c r="P37" s="962">
        <f>NOVIEMBRE!$BQ14</f>
        <v>6689515479</v>
      </c>
      <c r="Q37" s="963">
        <f>DICIEMBRE!$BQ14</f>
        <v>5239771607</v>
      </c>
      <c r="R37" s="964">
        <f>SUM(F37:Q37)</f>
        <v>51241995423</v>
      </c>
    </row>
    <row r="38" spans="2:18" ht="24.75" customHeight="1">
      <c r="B38" s="604" t="s">
        <v>266</v>
      </c>
      <c r="C38" s="956">
        <f>SUM(C39:C44)</f>
        <v>20062313976.398613</v>
      </c>
      <c r="D38" s="956">
        <f t="shared" ref="D38:R38" si="9">SUM(D39:D44)</f>
        <v>14904174898</v>
      </c>
      <c r="E38" s="956">
        <f t="shared" si="9"/>
        <v>14904174898</v>
      </c>
      <c r="F38" s="957">
        <f t="shared" si="9"/>
        <v>24860684</v>
      </c>
      <c r="G38" s="958">
        <f t="shared" si="9"/>
        <v>779766949</v>
      </c>
      <c r="H38" s="958">
        <f t="shared" si="9"/>
        <v>703544506</v>
      </c>
      <c r="I38" s="958">
        <f t="shared" si="9"/>
        <v>1005115385</v>
      </c>
      <c r="J38" s="958">
        <f t="shared" si="9"/>
        <v>1122672482</v>
      </c>
      <c r="K38" s="958">
        <f t="shared" si="9"/>
        <v>950959107</v>
      </c>
      <c r="L38" s="958">
        <f t="shared" si="9"/>
        <v>1226776547</v>
      </c>
      <c r="M38" s="958">
        <f t="shared" si="9"/>
        <v>594716299</v>
      </c>
      <c r="N38" s="958">
        <f t="shared" si="9"/>
        <v>1150905707</v>
      </c>
      <c r="O38" s="958">
        <f t="shared" si="9"/>
        <v>971399921</v>
      </c>
      <c r="P38" s="958">
        <f t="shared" si="9"/>
        <v>876946202</v>
      </c>
      <c r="Q38" s="959">
        <f t="shared" si="9"/>
        <v>1527415620</v>
      </c>
      <c r="R38" s="956">
        <f t="shared" si="9"/>
        <v>10935079409</v>
      </c>
    </row>
    <row r="39" spans="2:18" ht="24.75" customHeight="1">
      <c r="B39" s="606" t="s">
        <v>445</v>
      </c>
      <c r="C39" s="960">
        <f>SUM(DICIEMBRE!BN16)</f>
        <v>1806007702.1208334</v>
      </c>
      <c r="D39" s="960">
        <f>MARZO!$BO16*$G$4+JUNIO!$BO16*$I$4+SEPTIEMBRE!$BO16*$K$4+DICIEMBRE!$BO16*$M$4</f>
        <v>1725254279</v>
      </c>
      <c r="E39" s="960">
        <f>MARZO!$BP16*$G$4+JUNIO!$BP16*$I$4+SEPTIEMBRE!$BP16*$K$4+DICIEMBRE!$BP16*$M$4</f>
        <v>1725254279</v>
      </c>
      <c r="F39" s="961">
        <f>ENERO!$BQ16</f>
        <v>846000</v>
      </c>
      <c r="G39" s="962">
        <f>FEBRERO!$BQ16</f>
        <v>658588</v>
      </c>
      <c r="H39" s="962">
        <f>MARZO!$BQ16</f>
        <v>4899604</v>
      </c>
      <c r="I39" s="962">
        <f>ABRIL!$BQ16</f>
        <v>6774264</v>
      </c>
      <c r="J39" s="962">
        <f>MAYO!$BQ16</f>
        <v>130883227</v>
      </c>
      <c r="K39" s="962">
        <f>JUNIO!$BQ16</f>
        <v>162434983</v>
      </c>
      <c r="L39" s="962">
        <f>JULIO!$BQ16</f>
        <v>80289080</v>
      </c>
      <c r="M39" s="962">
        <f>AGOSTO!$BQ16</f>
        <v>5411314</v>
      </c>
      <c r="N39" s="962">
        <f>SEPTIEMBRE!$BQ16</f>
        <v>135647949</v>
      </c>
      <c r="O39" s="962">
        <f>OCTUBRE!$BQ16</f>
        <v>106045170</v>
      </c>
      <c r="P39" s="962">
        <f>NOVIEMBRE!$BQ16</f>
        <v>92413079</v>
      </c>
      <c r="Q39" s="963">
        <f>DICIEMBRE!$BQ16</f>
        <v>245197575</v>
      </c>
      <c r="R39" s="964">
        <f t="shared" ref="R39:R44" si="10">SUM(F39:Q39)</f>
        <v>971500833</v>
      </c>
    </row>
    <row r="40" spans="2:18" ht="24.75" customHeight="1">
      <c r="B40" s="606" t="s">
        <v>446</v>
      </c>
      <c r="C40" s="960">
        <f>SUM(DICIEMBRE!BN17)</f>
        <v>4607603296.2777777</v>
      </c>
      <c r="D40" s="960">
        <f>MARZO!$BO17*$G$4+JUNIO!$BO17*$I$4+SEPTIEMBRE!$BO17*$K$4+DICIEMBRE!$BO17*$M$4</f>
        <v>4492152766</v>
      </c>
      <c r="E40" s="960">
        <f>MARZO!$BP17*$G$4+JUNIO!$BP17*$I$4+SEPTIEMBRE!$BP17*$K$4+DICIEMBRE!$BP17*$M$4</f>
        <v>4492152766</v>
      </c>
      <c r="F40" s="961">
        <f>ENERO!$BQ17</f>
        <v>0</v>
      </c>
      <c r="G40" s="962">
        <f>FEBRERO!$BQ17</f>
        <v>518724695</v>
      </c>
      <c r="H40" s="962">
        <f>MARZO!$BQ17</f>
        <v>290801248</v>
      </c>
      <c r="I40" s="962">
        <f>ABRIL!$BQ17</f>
        <v>553916655</v>
      </c>
      <c r="J40" s="962">
        <f>MAYO!$BQ17</f>
        <v>331785223</v>
      </c>
      <c r="K40" s="962">
        <f>JUNIO!$BQ17</f>
        <v>247910641</v>
      </c>
      <c r="L40" s="962">
        <f>JULIO!$BQ17</f>
        <v>452097093</v>
      </c>
      <c r="M40" s="962">
        <f>AGOSTO!$BQ17</f>
        <v>210963030</v>
      </c>
      <c r="N40" s="962">
        <f>SEPTIEMBRE!$BQ17</f>
        <v>260239868</v>
      </c>
      <c r="O40" s="962">
        <f>OCTUBRE!$BQ17</f>
        <v>257368738</v>
      </c>
      <c r="P40" s="962">
        <f>NOVIEMBRE!$BQ17</f>
        <v>193588388</v>
      </c>
      <c r="Q40" s="963">
        <f>DICIEMBRE!$BQ17</f>
        <v>489210501</v>
      </c>
      <c r="R40" s="964">
        <f t="shared" si="10"/>
        <v>3806606080</v>
      </c>
    </row>
    <row r="41" spans="2:18" ht="24.75" customHeight="1">
      <c r="B41" s="606" t="s">
        <v>447</v>
      </c>
      <c r="C41" s="960">
        <f>SUM(DICIEMBRE!BN18)</f>
        <v>9458680319</v>
      </c>
      <c r="D41" s="960">
        <f>SUM(DICIEMBRE!BO18)</f>
        <v>4597595919</v>
      </c>
      <c r="E41" s="960">
        <f>SUM(DICIEMBRE!BP18)</f>
        <v>4597595919</v>
      </c>
      <c r="F41" s="961">
        <f>ENERO!$BQ18</f>
        <v>0</v>
      </c>
      <c r="G41" s="962">
        <f>FEBRERO!$BQ18</f>
        <v>6673133</v>
      </c>
      <c r="H41" s="962">
        <f>MARZO!$BQ18</f>
        <v>94877998</v>
      </c>
      <c r="I41" s="962">
        <f>ABRIL!$BQ18</f>
        <v>51413927</v>
      </c>
      <c r="J41" s="962">
        <f>MAYO!$BQ18</f>
        <v>363611820</v>
      </c>
      <c r="K41" s="962">
        <f>JUNIO!$BQ18</f>
        <v>263780258</v>
      </c>
      <c r="L41" s="962">
        <f>JULIO!$BQ18</f>
        <v>356151392</v>
      </c>
      <c r="M41" s="962">
        <f>AGOSTO!$BQ18</f>
        <v>19325774</v>
      </c>
      <c r="N41" s="962">
        <f>SEPTIEMBRE!$BQ18</f>
        <v>380749024</v>
      </c>
      <c r="O41" s="962">
        <f>OCTUBRE!$BQ18</f>
        <v>165052357</v>
      </c>
      <c r="P41" s="962">
        <f>NOVIEMBRE!$BQ18</f>
        <v>293783030</v>
      </c>
      <c r="Q41" s="963">
        <f>DICIEMBRE!$BQ18</f>
        <v>326764280</v>
      </c>
      <c r="R41" s="964">
        <f t="shared" si="10"/>
        <v>2322182993</v>
      </c>
    </row>
    <row r="42" spans="2:18" ht="24.75" customHeight="1">
      <c r="B42" s="606" t="s">
        <v>448</v>
      </c>
      <c r="C42" s="960">
        <f>MARZO!$BN19*$G$4+JUNIO!$BN19*$I$4+SEPTIEMBRE!$BN19*$K$4+DICIEMBRE!$BN19*$M$4</f>
        <v>3552022659</v>
      </c>
      <c r="D42" s="960">
        <f>MARZO!$BO19*$G$4+JUNIO!$BO19*$I$4+SEPTIEMBRE!$BO19*$K$4+DICIEMBRE!$BO19*$M$4</f>
        <v>3530410889</v>
      </c>
      <c r="E42" s="960">
        <f>MARZO!$BP19*$G$4+JUNIO!$BP19*$I$4+SEPTIEMBRE!$BP19*$K$4+DICIEMBRE!$BP19*$M$4</f>
        <v>3530410889</v>
      </c>
      <c r="F42" s="961">
        <f>ENERO!$BQ19</f>
        <v>15134624</v>
      </c>
      <c r="G42" s="962">
        <f>FEBRERO!$BQ19</f>
        <v>253710533</v>
      </c>
      <c r="H42" s="962">
        <f>MARZO!$BQ19</f>
        <v>252700776</v>
      </c>
      <c r="I42" s="962">
        <f>ABRIL!$BQ19</f>
        <v>374550539</v>
      </c>
      <c r="J42" s="962">
        <f>MAYO!$BQ19</f>
        <v>215156139</v>
      </c>
      <c r="K42" s="962">
        <f>JUNIO!$BQ19</f>
        <v>276833225</v>
      </c>
      <c r="L42" s="962">
        <f>JULIO!$BQ19</f>
        <v>304521587</v>
      </c>
      <c r="M42" s="962">
        <f>AGOSTO!$BQ19</f>
        <v>307257831</v>
      </c>
      <c r="N42" s="962">
        <f>SEPTIEMBRE!$BQ19</f>
        <v>307151674</v>
      </c>
      <c r="O42" s="962">
        <f>OCTUBRE!$BQ19</f>
        <v>391175306</v>
      </c>
      <c r="P42" s="962">
        <f>NOVIEMBRE!$BQ19</f>
        <v>236790705</v>
      </c>
      <c r="Q42" s="963">
        <f>DICIEMBRE!$BQ19</f>
        <v>357361914</v>
      </c>
      <c r="R42" s="964">
        <f t="shared" si="10"/>
        <v>3292344853</v>
      </c>
    </row>
    <row r="43" spans="2:18" ht="24.75" customHeight="1">
      <c r="B43" s="606" t="s">
        <v>149</v>
      </c>
      <c r="C43" s="960">
        <f>SUM(DICIEMBRE!BN20)</f>
        <v>638000000</v>
      </c>
      <c r="D43" s="960">
        <f>SUM(DICIEMBRE!BO20)</f>
        <v>558761045</v>
      </c>
      <c r="E43" s="960">
        <f>SUM(DICIEMBRE!BP20)</f>
        <v>558761045</v>
      </c>
      <c r="F43" s="961">
        <f>SUM(ENERO!BQ20)</f>
        <v>8880060</v>
      </c>
      <c r="G43" s="962">
        <f>FEBRERO!$BQ20</f>
        <v>0</v>
      </c>
      <c r="H43" s="962">
        <f>MARZO!$BQ20</f>
        <v>60264880</v>
      </c>
      <c r="I43" s="962">
        <f>ABRIL!$BQ20</f>
        <v>18460000</v>
      </c>
      <c r="J43" s="962">
        <f>MAYO!$BQ20</f>
        <v>81236073</v>
      </c>
      <c r="K43" s="962">
        <f>JUNIO!$BQ20</f>
        <v>0</v>
      </c>
      <c r="L43" s="962">
        <f>JULIO!$BQ20</f>
        <v>33717395</v>
      </c>
      <c r="M43" s="962">
        <f>AGOSTO!$BQ20</f>
        <v>51758350</v>
      </c>
      <c r="N43" s="962">
        <f>SEPTIEMBRE!$BQ20</f>
        <v>67117192</v>
      </c>
      <c r="O43" s="962">
        <f>OCTUBRE!$BQ20</f>
        <v>51758350</v>
      </c>
      <c r="P43" s="962">
        <f>NOVIEMBRE!$BQ20</f>
        <v>60371000</v>
      </c>
      <c r="Q43" s="962">
        <f>DICIEMBRE!$BQ20</f>
        <v>108881350</v>
      </c>
      <c r="R43" s="964">
        <f t="shared" si="10"/>
        <v>542444650</v>
      </c>
    </row>
    <row r="44" spans="2:18" ht="24.75" customHeight="1">
      <c r="B44" s="606" t="s">
        <v>146</v>
      </c>
      <c r="C44" s="960">
        <f>MARZO!$BN21*$G$4+JUNIO!$BN21*$I$4+SEPTIEMBRE!$BN21*$K$4+DICIEMBRE!$BN21*$M$4</f>
        <v>0</v>
      </c>
      <c r="D44" s="960">
        <f>MARZO!$BO21*$G$4+JUNIO!$BO21*$I$4+SEPTIEMBRE!$BO21*$K$4+DICIEMBRE!$BO21*$M$4</f>
        <v>0</v>
      </c>
      <c r="E44" s="960">
        <f>MARZO!$BP21*$G$4+JUNIO!$BP21*$I$4+SEPTIEMBRE!$BP21*$K$4+DICIEMBRE!$BP21*$M$4</f>
        <v>0</v>
      </c>
      <c r="F44" s="961">
        <f>ENERO!$BQ21</f>
        <v>0</v>
      </c>
      <c r="G44" s="962">
        <f>FEBRERO!$BQ21</f>
        <v>0</v>
      </c>
      <c r="H44" s="962">
        <f>MARZO!$BQ21</f>
        <v>0</v>
      </c>
      <c r="I44" s="962">
        <f>ABRIL!$BQ21</f>
        <v>0</v>
      </c>
      <c r="J44" s="962">
        <f>MAYO!$BQ21</f>
        <v>0</v>
      </c>
      <c r="K44" s="962">
        <f>JUNIO!$BQ21</f>
        <v>0</v>
      </c>
      <c r="L44" s="962">
        <f>JULIO!$BQ21</f>
        <v>0</v>
      </c>
      <c r="M44" s="962">
        <f>AGOSTO!$BQ21</f>
        <v>0</v>
      </c>
      <c r="N44" s="962">
        <f>SEPTIEMBRE!$BQ21</f>
        <v>0</v>
      </c>
      <c r="O44" s="962">
        <f>OCTUBRE!$BQ21</f>
        <v>0</v>
      </c>
      <c r="P44" s="962">
        <f>NOVIEMBRE!$BQ21</f>
        <v>0</v>
      </c>
      <c r="Q44" s="963">
        <f>DICIEMBRE!$BQ21</f>
        <v>0</v>
      </c>
      <c r="R44" s="964">
        <f t="shared" si="10"/>
        <v>0</v>
      </c>
    </row>
    <row r="45" spans="2:18" ht="24.75" customHeight="1">
      <c r="B45" s="604" t="s">
        <v>287</v>
      </c>
      <c r="C45" s="956">
        <f t="shared" ref="C45:R45" si="11">SUM(C46:C47)</f>
        <v>1836060585</v>
      </c>
      <c r="D45" s="956">
        <f t="shared" si="11"/>
        <v>1599081515</v>
      </c>
      <c r="E45" s="956">
        <f t="shared" si="11"/>
        <v>1599081515</v>
      </c>
      <c r="F45" s="957">
        <f t="shared" si="11"/>
        <v>23524089</v>
      </c>
      <c r="G45" s="958">
        <f t="shared" si="11"/>
        <v>204193921</v>
      </c>
      <c r="H45" s="958">
        <f t="shared" si="11"/>
        <v>36058815</v>
      </c>
      <c r="I45" s="958">
        <f t="shared" si="11"/>
        <v>137254969</v>
      </c>
      <c r="J45" s="958">
        <f t="shared" si="11"/>
        <v>119758098</v>
      </c>
      <c r="K45" s="958">
        <f t="shared" si="11"/>
        <v>116561004.5</v>
      </c>
      <c r="L45" s="958">
        <f t="shared" si="11"/>
        <v>173076267</v>
      </c>
      <c r="M45" s="958">
        <f t="shared" si="11"/>
        <v>146704469</v>
      </c>
      <c r="N45" s="958">
        <f t="shared" si="11"/>
        <v>160296927</v>
      </c>
      <c r="O45" s="958">
        <f t="shared" si="11"/>
        <v>36085795</v>
      </c>
      <c r="P45" s="958">
        <f t="shared" si="11"/>
        <v>203659923</v>
      </c>
      <c r="Q45" s="959">
        <f t="shared" si="11"/>
        <v>241907238</v>
      </c>
      <c r="R45" s="956">
        <f t="shared" si="11"/>
        <v>1599081515.5</v>
      </c>
    </row>
    <row r="46" spans="2:18" ht="24.75" customHeight="1">
      <c r="B46" s="606" t="s">
        <v>449</v>
      </c>
      <c r="C46" s="960">
        <f>MARZO!$BN23*$G$4+JUNIO!$BN23*$I$4+SEPTIEMBRE!$BN23*$K$4+DICIEMBRE!$BN23*$M$4</f>
        <v>0</v>
      </c>
      <c r="D46" s="960">
        <f>MARZO!$BO23*$G$4+JUNIO!$BO23*$I$4+SEPTIEMBRE!$BO23*$K$4+DICIEMBRE!$BO23*$M$4</f>
        <v>0</v>
      </c>
      <c r="E46" s="960">
        <f>MARZO!$BP23*$G$4+JUNIO!$BP23*$I$4+SEPTIEMBRE!$BP23*$K$4+DICIEMBRE!$BP23*$M$4</f>
        <v>0</v>
      </c>
      <c r="F46" s="961">
        <f>ENERO!$BQ23</f>
        <v>0</v>
      </c>
      <c r="G46" s="962">
        <f>FEBRERO!$BQ23</f>
        <v>0</v>
      </c>
      <c r="H46" s="962">
        <f>MARZO!$BQ23</f>
        <v>0</v>
      </c>
      <c r="I46" s="962">
        <f>ABRIL!$BQ23</f>
        <v>0</v>
      </c>
      <c r="J46" s="962">
        <f>MAYO!$BQ23</f>
        <v>0</v>
      </c>
      <c r="K46" s="962">
        <f>JUNIO!$BQ23</f>
        <v>0</v>
      </c>
      <c r="L46" s="962">
        <f>JULIO!$BQ23</f>
        <v>0</v>
      </c>
      <c r="M46" s="962">
        <f>AGOSTO!$BQ23</f>
        <v>0</v>
      </c>
      <c r="N46" s="962">
        <f>SEPTIEMBRE!$BQ23</f>
        <v>0</v>
      </c>
      <c r="O46" s="962">
        <f>OCTUBRE!$BQ23</f>
        <v>0</v>
      </c>
      <c r="P46" s="962">
        <f>NOVIEMBRE!$BQ23</f>
        <v>0</v>
      </c>
      <c r="Q46" s="963">
        <f>DICIEMBRE!$BQ23</f>
        <v>0</v>
      </c>
      <c r="R46" s="964">
        <f>SUM(F46:Q46)</f>
        <v>0</v>
      </c>
    </row>
    <row r="47" spans="2:18" ht="24.75" customHeight="1">
      <c r="B47" s="606" t="s">
        <v>450</v>
      </c>
      <c r="C47" s="960">
        <f>SUM(DICIEMBRE!BN22)</f>
        <v>1836060585</v>
      </c>
      <c r="D47" s="960">
        <f>MARZO!$BO24*$G$4+JUNIO!$BO24*$I$4+SEPTIEMBRE!$BO24*$K$4+DICIEMBRE!$BO24*$M$4</f>
        <v>1599081515</v>
      </c>
      <c r="E47" s="960">
        <f>MARZO!$BP24*$G$4+JUNIO!$BP24*$I$4+SEPTIEMBRE!$BP24*$K$4+DICIEMBRE!$BP24*$M$4</f>
        <v>1599081515</v>
      </c>
      <c r="F47" s="961">
        <f>ENERO!$BQ24</f>
        <v>23524089</v>
      </c>
      <c r="G47" s="962">
        <f>FEBRERO!$BQ24</f>
        <v>204193921</v>
      </c>
      <c r="H47" s="962">
        <f>MARZO!$BQ24</f>
        <v>36058815</v>
      </c>
      <c r="I47" s="962">
        <f>ABRIL!$BQ24</f>
        <v>137254969</v>
      </c>
      <c r="J47" s="962">
        <f>MAYO!$BQ24</f>
        <v>119758098</v>
      </c>
      <c r="K47" s="962">
        <f>JUNIO!$BQ24</f>
        <v>116561004.5</v>
      </c>
      <c r="L47" s="962">
        <f>JULIO!$BQ24</f>
        <v>173076267</v>
      </c>
      <c r="M47" s="962">
        <f>AGOSTO!$BQ24</f>
        <v>146704469</v>
      </c>
      <c r="N47" s="962">
        <f>SEPTIEMBRE!$BQ24</f>
        <v>160296927</v>
      </c>
      <c r="O47" s="962">
        <f>OCTUBRE!$BQ24</f>
        <v>36085795</v>
      </c>
      <c r="P47" s="962">
        <f>NOVIEMBRE!$BQ24</f>
        <v>203659923</v>
      </c>
      <c r="Q47" s="963">
        <f>DICIEMBRE!$BQ24</f>
        <v>241907238</v>
      </c>
      <c r="R47" s="964">
        <f>SUM(F47:Q47)</f>
        <v>1599081515.5</v>
      </c>
    </row>
    <row r="48" spans="2:18" ht="47.25" customHeight="1">
      <c r="B48" s="607" t="s">
        <v>451</v>
      </c>
      <c r="C48" s="956">
        <f t="shared" ref="C48:R48" si="12">SUM(C49:C51)</f>
        <v>51584270413.333328</v>
      </c>
      <c r="D48" s="956">
        <f t="shared" si="12"/>
        <v>47241848388</v>
      </c>
      <c r="E48" s="956">
        <f t="shared" si="12"/>
        <v>47241848388</v>
      </c>
      <c r="F48" s="957">
        <f t="shared" si="12"/>
        <v>46268719</v>
      </c>
      <c r="G48" s="958">
        <f t="shared" si="12"/>
        <v>604752077</v>
      </c>
      <c r="H48" s="958">
        <f t="shared" si="12"/>
        <v>1362636237</v>
      </c>
      <c r="I48" s="958">
        <f t="shared" si="12"/>
        <v>2008152054</v>
      </c>
      <c r="J48" s="958">
        <f t="shared" si="12"/>
        <v>3451383659</v>
      </c>
      <c r="K48" s="958">
        <f t="shared" si="12"/>
        <v>3660022623</v>
      </c>
      <c r="L48" s="958">
        <f t="shared" si="12"/>
        <v>3436832543</v>
      </c>
      <c r="M48" s="958">
        <f t="shared" si="12"/>
        <v>1346709940</v>
      </c>
      <c r="N48" s="958">
        <f t="shared" si="12"/>
        <v>3326324858</v>
      </c>
      <c r="O48" s="958">
        <f t="shared" si="12"/>
        <v>1679791010</v>
      </c>
      <c r="P48" s="958">
        <f t="shared" si="12"/>
        <v>3455447690</v>
      </c>
      <c r="Q48" s="959">
        <f t="shared" si="12"/>
        <v>3590712461.5</v>
      </c>
      <c r="R48" s="956">
        <f t="shared" si="12"/>
        <v>27969033871.5</v>
      </c>
    </row>
    <row r="49" spans="1:19" ht="30.75" customHeight="1">
      <c r="B49" s="606" t="s">
        <v>172</v>
      </c>
      <c r="C49" s="960">
        <f>SUM(DICIEMBRE!BN26)</f>
        <v>10165487289.666666</v>
      </c>
      <c r="D49" s="960">
        <f>MARZO!$BO26*$G$4+JUNIO!$BO26*$I$4+SEPTIEMBRE!$BO26*$K$4+DICIEMBRE!$BO26*$M$4</f>
        <v>8901125493</v>
      </c>
      <c r="E49" s="960">
        <f>MARZO!$BP26*$G$4+JUNIO!$BP26*$I$4+SEPTIEMBRE!$BP26*$K$4+DICIEMBRE!$BP26*$M$4</f>
        <v>8901125493</v>
      </c>
      <c r="F49" s="961">
        <f>ENERO!$BQ26</f>
        <v>1702000</v>
      </c>
      <c r="G49" s="962">
        <f>FEBRERO!$BQ26</f>
        <v>1667000</v>
      </c>
      <c r="H49" s="962">
        <f>MARZO!$BQ26</f>
        <v>270688821</v>
      </c>
      <c r="I49" s="962">
        <f>ABRIL!$BQ26</f>
        <v>431440947</v>
      </c>
      <c r="J49" s="962">
        <f>MAYO!$BQ26</f>
        <v>645083704</v>
      </c>
      <c r="K49" s="962">
        <f>JUNIO!$BQ26</f>
        <v>565045255</v>
      </c>
      <c r="L49" s="962">
        <f>JULIO!$BQ26</f>
        <v>592482572</v>
      </c>
      <c r="M49" s="962">
        <f>AGOSTO!$BQ26</f>
        <v>164842854</v>
      </c>
      <c r="N49" s="962">
        <f>SEPTIEMBRE!$BQ26</f>
        <v>437835875</v>
      </c>
      <c r="O49" s="962">
        <f>OCTUBRE!$BQ26</f>
        <v>569096738</v>
      </c>
      <c r="P49" s="962">
        <f>NOVIEMBRE!$BQ26</f>
        <v>357581804</v>
      </c>
      <c r="Q49" s="963">
        <f>DICIEMBRE!$BQ26</f>
        <v>762407560</v>
      </c>
      <c r="R49" s="964">
        <f t="shared" ref="R49:R54" si="13">SUM(F49:Q49)</f>
        <v>4799875130</v>
      </c>
    </row>
    <row r="50" spans="1:19" ht="30.75" customHeight="1">
      <c r="B50" s="606" t="s">
        <v>452</v>
      </c>
      <c r="C50" s="960">
        <f>MARZO!$BN27*$G$4+JUNIO!$BN27*$I$4+SEPTIEMBRE!$BN27*$K$4+DICIEMBRE!$BN27*$M$4</f>
        <v>3000000</v>
      </c>
      <c r="D50" s="960">
        <f>MARZO!$BO27*$G$4+JUNIO!$BO27*$I$4+SEPTIEMBRE!$BO27*$K$4+DICIEMBRE!$BO27*$M$4</f>
        <v>0</v>
      </c>
      <c r="E50" s="960">
        <f>MARZO!$BP27*$G$4+JUNIO!$BP27*$I$4+SEPTIEMBRE!$BP27*$K$4+DICIEMBRE!$BP27*$M$4</f>
        <v>0</v>
      </c>
      <c r="F50" s="961">
        <f>ENERO!$BQ27</f>
        <v>0</v>
      </c>
      <c r="G50" s="962">
        <f>FEBRERO!$BQ27</f>
        <v>0</v>
      </c>
      <c r="H50" s="962">
        <f>MARZO!$BQ27</f>
        <v>0</v>
      </c>
      <c r="I50" s="962">
        <f>ABRIL!$BQ27</f>
        <v>0</v>
      </c>
      <c r="J50" s="962">
        <f>MAYO!$BQ27</f>
        <v>0</v>
      </c>
      <c r="K50" s="962">
        <f>JUNIO!$BQ27</f>
        <v>0</v>
      </c>
      <c r="L50" s="962">
        <f>JULIO!$BQ27</f>
        <v>0</v>
      </c>
      <c r="M50" s="962">
        <f>AGOSTO!$BQ27</f>
        <v>0</v>
      </c>
      <c r="N50" s="962">
        <f>SEPTIEMBRE!$BQ27</f>
        <v>0</v>
      </c>
      <c r="O50" s="962">
        <f>OCTUBRE!$BQ27</f>
        <v>0</v>
      </c>
      <c r="P50" s="962">
        <f>NOVIEMBRE!$BQ27</f>
        <v>0</v>
      </c>
      <c r="Q50" s="963">
        <f>DICIEMBRE!$BQ27</f>
        <v>0</v>
      </c>
      <c r="R50" s="964">
        <f t="shared" si="13"/>
        <v>0</v>
      </c>
    </row>
    <row r="51" spans="1:19" ht="32.25" customHeight="1">
      <c r="B51" s="606" t="s">
        <v>453</v>
      </c>
      <c r="C51" s="960">
        <f>SUM(DICIEMBRE!BN28)</f>
        <v>41415783123.666664</v>
      </c>
      <c r="D51" s="960">
        <f>MARZO!$BO28*$G$4+JUNIO!$BO28*$I$4+SEPTIEMBRE!$BO28*$K$4+DICIEMBRE!$BO28*$M$4</f>
        <v>38340722895</v>
      </c>
      <c r="E51" s="960">
        <f>MARZO!$BP28*$G$4+JUNIO!$BP28*$I$4+SEPTIEMBRE!$BP28*$K$4+DICIEMBRE!$BP28*$M$4</f>
        <v>38340722895</v>
      </c>
      <c r="F51" s="962">
        <f>ENERO!$BQ28</f>
        <v>44566719</v>
      </c>
      <c r="G51" s="962">
        <f>FEBRERO!$BQ28</f>
        <v>603085077</v>
      </c>
      <c r="H51" s="962">
        <f>MARZO!$BQ28</f>
        <v>1091947416</v>
      </c>
      <c r="I51" s="962">
        <f>ABRIL!$BQ28</f>
        <v>1576711107</v>
      </c>
      <c r="J51" s="962">
        <f>MAYO!$BQ28</f>
        <v>2806299955</v>
      </c>
      <c r="K51" s="962">
        <f>JUNIO!$BQ28</f>
        <v>3094977368</v>
      </c>
      <c r="L51" s="962">
        <f>JULIO!$BQ28</f>
        <v>2844349971</v>
      </c>
      <c r="M51" s="962">
        <f>AGOSTO!$BQ28</f>
        <v>1181867086</v>
      </c>
      <c r="N51" s="962">
        <f>SEPTIEMBRE!$BQ28</f>
        <v>2888488983</v>
      </c>
      <c r="O51" s="962">
        <f>OCTUBRE!$BQ28</f>
        <v>1110694272</v>
      </c>
      <c r="P51" s="962">
        <f>NOVIEMBRE!$BQ28</f>
        <v>3097865886</v>
      </c>
      <c r="Q51" s="963">
        <f>DICIEMBRE!$BQ28</f>
        <v>2828304901.5</v>
      </c>
      <c r="R51" s="964">
        <f t="shared" si="13"/>
        <v>23169158741.5</v>
      </c>
    </row>
    <row r="52" spans="1:19" ht="24.75" customHeight="1">
      <c r="B52" s="607" t="s">
        <v>117</v>
      </c>
      <c r="C52" s="956">
        <f>SUM(DICIEMBRE!BN29)</f>
        <v>38768439369</v>
      </c>
      <c r="D52" s="956">
        <f>MARZO!$BO29*$G$4+JUNIO!$BO29*$I$4+SEPTIEMBRE!$BO29*$K$4+DICIEMBRE!$BO29*$M$4</f>
        <v>22755317069</v>
      </c>
      <c r="E52" s="956">
        <f>MARZO!$BP29*$G$4+JUNIO!$BP29*$I$4+SEPTIEMBRE!$BP29*$K$4+DICIEMBRE!$BP29*$M$4</f>
        <v>22755317069</v>
      </c>
      <c r="F52" s="961">
        <f>ENERO!$BQ29</f>
        <v>0</v>
      </c>
      <c r="G52" s="962">
        <f>FEBRERO!$BQ29</f>
        <v>174958150</v>
      </c>
      <c r="H52" s="962">
        <f>MARZO!$BQ29</f>
        <v>1693288254</v>
      </c>
      <c r="I52" s="962">
        <f>ABRIL!$BQ29</f>
        <v>1039222801</v>
      </c>
      <c r="J52" s="962">
        <f>MAYO!$BQ29</f>
        <v>1754773957</v>
      </c>
      <c r="K52" s="962">
        <f>JUNIO!$BQ29</f>
        <v>1673489045</v>
      </c>
      <c r="L52" s="962">
        <f>JULIO!$BQ29</f>
        <v>786536536</v>
      </c>
      <c r="M52" s="962">
        <f>AGOSTO!$BQ29</f>
        <v>1178145939</v>
      </c>
      <c r="N52" s="962">
        <f>SEPTIEMBRE!$BQ29</f>
        <v>2535488971</v>
      </c>
      <c r="O52" s="962">
        <f>OCTUBRE!$BQ29</f>
        <v>1833778004</v>
      </c>
      <c r="P52" s="962">
        <f>NOVIEMBRE!$BQ29</f>
        <v>1683893061</v>
      </c>
      <c r="Q52" s="963">
        <f>DICIEMBRE!$BQ29</f>
        <v>4885288892</v>
      </c>
      <c r="R52" s="964">
        <f t="shared" si="13"/>
        <v>19238863610</v>
      </c>
    </row>
    <row r="53" spans="1:19" ht="24.75" customHeight="1">
      <c r="B53" s="607" t="s">
        <v>122</v>
      </c>
      <c r="C53" s="956">
        <f>MARZO!$BN30*$G$4+JUNIO!$BN30*$I$4+SEPTIEMBRE!$BN30*$K$4+DICIEMBRE!$BN30*$M$4</f>
        <v>2139175000</v>
      </c>
      <c r="D53" s="956">
        <f>MARZO!$BO30*$G$4+JUNIO!$BO30*$I$4+SEPTIEMBRE!$BO30*$K$4+DICIEMBRE!$BO30*$M$4</f>
        <v>1977286807</v>
      </c>
      <c r="E53" s="956">
        <f>MARZO!$BP30*$G$4+JUNIO!$BP30*$I$4+SEPTIEMBRE!$BP30*$K$4+DICIEMBRE!$BP30*$M$4</f>
        <v>1977286807</v>
      </c>
      <c r="F53" s="961">
        <f>ENERO!$BQ30</f>
        <v>108733333</v>
      </c>
      <c r="G53" s="962">
        <f>FEBRERO!$BQ30</f>
        <v>112691919</v>
      </c>
      <c r="H53" s="962">
        <f>MARZO!$BQ30</f>
        <v>109668570</v>
      </c>
      <c r="I53" s="962">
        <f>ABRIL!$BQ30</f>
        <v>109410330</v>
      </c>
      <c r="J53" s="962">
        <f>MAYO!$BQ30</f>
        <v>109027136</v>
      </c>
      <c r="K53" s="962">
        <f>JUNIO!$BQ30</f>
        <v>114970738</v>
      </c>
      <c r="L53" s="962">
        <f>JULIO!$BQ30</f>
        <v>121726814</v>
      </c>
      <c r="M53" s="962">
        <f>AGOSTO!$BQ30</f>
        <v>99792900</v>
      </c>
      <c r="N53" s="962">
        <f>SEPTIEMBRE!$BQ30</f>
        <v>280924315</v>
      </c>
      <c r="O53" s="962">
        <f>OCTUBRE!$BQ30</f>
        <v>271834274</v>
      </c>
      <c r="P53" s="962">
        <f>NOVIEMBRE!$BQ30</f>
        <v>270133025</v>
      </c>
      <c r="Q53" s="963">
        <f>DICIEMBRE!$BQ30</f>
        <v>268373453</v>
      </c>
      <c r="R53" s="964">
        <f t="shared" si="13"/>
        <v>1977286807</v>
      </c>
    </row>
    <row r="54" spans="1:19" ht="36.75" customHeight="1" thickBot="1">
      <c r="B54" s="608" t="s">
        <v>191</v>
      </c>
      <c r="C54" s="965">
        <f>SUM(DICIEMBRE!BN31)</f>
        <v>27343386787.222057</v>
      </c>
      <c r="D54" s="965">
        <f>SUM(DICIEMBRE!BO31)</f>
        <v>27178997387</v>
      </c>
      <c r="E54" s="965">
        <f>SUM(DICIEMBRE!BP31)</f>
        <v>27178997387</v>
      </c>
      <c r="F54" s="966">
        <f>ENERO!$BQ31</f>
        <v>8927749282</v>
      </c>
      <c r="G54" s="967">
        <f>FEBRERO!$BQ31</f>
        <v>7337797767</v>
      </c>
      <c r="H54" s="967">
        <f>MARZO!$BQ31</f>
        <v>7146624486</v>
      </c>
      <c r="I54" s="967">
        <f>ABRIL!$BQ31</f>
        <v>1097978895</v>
      </c>
      <c r="J54" s="967">
        <f>MAYO!$BQ31</f>
        <v>2375661444</v>
      </c>
      <c r="K54" s="967">
        <f>JUNIO!$BQ31</f>
        <v>227973535</v>
      </c>
      <c r="L54" s="967">
        <f>JULIO!$BQ31</f>
        <v>46906636</v>
      </c>
      <c r="M54" s="967">
        <f>AGOSTO!$BQ31</f>
        <v>0</v>
      </c>
      <c r="N54" s="967">
        <f>SEPTIEMBRE!$BQ31</f>
        <v>249817</v>
      </c>
      <c r="O54" s="967">
        <f>OCTUBRE!$BQ31</f>
        <v>0</v>
      </c>
      <c r="P54" s="967">
        <f>NOVIEMBRE!$BQ31</f>
        <v>3550001</v>
      </c>
      <c r="Q54" s="968">
        <f>DICIEMBRE!$BQ31</f>
        <v>0</v>
      </c>
      <c r="R54" s="969">
        <f t="shared" si="13"/>
        <v>27164491863</v>
      </c>
    </row>
    <row r="55" spans="1:19" ht="24.75" customHeight="1" thickBot="1">
      <c r="B55" s="609" t="s">
        <v>195</v>
      </c>
      <c r="C55" s="970">
        <f>A3+C29+C48+C52+C53+C54</f>
        <v>224749939113.16663</v>
      </c>
      <c r="D55" s="970">
        <f>D29+D48+D52+D53+D54</f>
        <v>197208267845</v>
      </c>
      <c r="E55" s="971">
        <f t="shared" ref="E55:R55" si="14">E29+E48+E52+E53+E54</f>
        <v>197208267845</v>
      </c>
      <c r="F55" s="972">
        <f t="shared" si="14"/>
        <v>9700282252</v>
      </c>
      <c r="G55" s="972">
        <f t="shared" si="14"/>
        <v>9917879504</v>
      </c>
      <c r="H55" s="972">
        <f t="shared" si="14"/>
        <v>12172219634</v>
      </c>
      <c r="I55" s="972">
        <f t="shared" si="14"/>
        <v>11361890433</v>
      </c>
      <c r="J55" s="972">
        <f t="shared" si="14"/>
        <v>14689687191</v>
      </c>
      <c r="K55" s="972">
        <f t="shared" si="14"/>
        <v>13168744356.5</v>
      </c>
      <c r="L55" s="972">
        <f t="shared" si="14"/>
        <v>13075750801</v>
      </c>
      <c r="M55" s="972">
        <f t="shared" si="14"/>
        <v>9810939909</v>
      </c>
      <c r="N55" s="972">
        <f t="shared" si="14"/>
        <v>14438481883</v>
      </c>
      <c r="O55" s="972">
        <f t="shared" si="14"/>
        <v>9604554332</v>
      </c>
      <c r="P55" s="972">
        <f t="shared" si="14"/>
        <v>13795862431</v>
      </c>
      <c r="Q55" s="972">
        <f t="shared" si="14"/>
        <v>16841223261.5</v>
      </c>
      <c r="R55" s="973">
        <f t="shared" si="14"/>
        <v>148577515988</v>
      </c>
    </row>
    <row r="56" spans="1:19" ht="24.75" hidden="1" customHeight="1" thickBot="1">
      <c r="B56" s="610" t="s">
        <v>197</v>
      </c>
      <c r="C56" s="974">
        <f>C25-C55</f>
        <v>0.309906005859375</v>
      </c>
      <c r="D56" s="974">
        <f>D25-D55</f>
        <v>42809650552</v>
      </c>
      <c r="E56" s="974">
        <f>+D25-E55</f>
        <v>42809650552</v>
      </c>
      <c r="F56" s="975">
        <f t="shared" ref="F56:R56" si="15">F25-F55</f>
        <v>710184082</v>
      </c>
      <c r="G56" s="975">
        <f t="shared" si="15"/>
        <v>1575341558</v>
      </c>
      <c r="H56" s="975">
        <f t="shared" si="15"/>
        <v>494320365</v>
      </c>
      <c r="I56" s="975">
        <f t="shared" si="15"/>
        <v>1760591411</v>
      </c>
      <c r="J56" s="975">
        <f t="shared" si="15"/>
        <v>-41419748</v>
      </c>
      <c r="K56" s="975">
        <f t="shared" si="15"/>
        <v>610872431.5</v>
      </c>
      <c r="L56" s="975">
        <f t="shared" si="15"/>
        <v>-1519409683</v>
      </c>
      <c r="M56" s="975">
        <f t="shared" si="15"/>
        <v>1587326638</v>
      </c>
      <c r="N56" s="975">
        <f t="shared" si="15"/>
        <v>234477142</v>
      </c>
      <c r="O56" s="975">
        <f t="shared" si="15"/>
        <v>418279605</v>
      </c>
      <c r="P56" s="975">
        <f t="shared" si="15"/>
        <v>668502065</v>
      </c>
      <c r="Q56" s="975">
        <f t="shared" si="15"/>
        <v>233001341.5</v>
      </c>
      <c r="R56" s="976">
        <f t="shared" si="15"/>
        <v>6732067208</v>
      </c>
    </row>
    <row r="58" spans="1:19" ht="15" customHeight="1">
      <c r="F58" s="1187">
        <v>9700282252</v>
      </c>
      <c r="G58" s="1187">
        <v>9917879504</v>
      </c>
      <c r="H58" s="1187">
        <v>12172219634</v>
      </c>
      <c r="I58" s="1187">
        <v>11361890433</v>
      </c>
      <c r="J58" s="1187">
        <v>14689687191</v>
      </c>
      <c r="K58" s="1187">
        <v>13168744356.5</v>
      </c>
      <c r="L58" s="1187">
        <v>13075750801</v>
      </c>
      <c r="M58" s="1187">
        <v>9810939909</v>
      </c>
      <c r="N58" s="1187">
        <v>14438481883</v>
      </c>
      <c r="O58" s="1187">
        <v>9604554332</v>
      </c>
      <c r="P58" s="1188">
        <v>13795862431</v>
      </c>
      <c r="Q58" s="1187">
        <v>16841223261.5</v>
      </c>
      <c r="R58" s="1187">
        <f>SUM(F58:Q58)</f>
        <v>148577515988</v>
      </c>
      <c r="S58" s="1187"/>
    </row>
    <row r="59" spans="1:19" ht="15" customHeight="1">
      <c r="F59" s="1189">
        <f>SUM(F58-F55)</f>
        <v>0</v>
      </c>
      <c r="G59" s="1189">
        <f t="shared" ref="G59:R59" si="16">SUM(G58-G55)</f>
        <v>0</v>
      </c>
      <c r="H59" s="1189">
        <f t="shared" si="16"/>
        <v>0</v>
      </c>
      <c r="I59" s="1189">
        <f t="shared" si="16"/>
        <v>0</v>
      </c>
      <c r="J59" s="1189">
        <f t="shared" si="16"/>
        <v>0</v>
      </c>
      <c r="K59" s="1189">
        <f t="shared" si="16"/>
        <v>0</v>
      </c>
      <c r="L59" s="1189">
        <f t="shared" si="16"/>
        <v>0</v>
      </c>
      <c r="M59" s="1189">
        <f t="shared" si="16"/>
        <v>0</v>
      </c>
      <c r="N59" s="1189">
        <f t="shared" si="16"/>
        <v>0</v>
      </c>
      <c r="O59" s="1189">
        <f t="shared" si="16"/>
        <v>0</v>
      </c>
      <c r="P59" s="1189">
        <f t="shared" si="16"/>
        <v>0</v>
      </c>
      <c r="Q59" s="1189">
        <f t="shared" si="16"/>
        <v>0</v>
      </c>
      <c r="R59" s="1189">
        <f t="shared" si="16"/>
        <v>0</v>
      </c>
      <c r="S59" s="1189"/>
    </row>
    <row r="61" spans="1:19" ht="15" customHeight="1">
      <c r="A61" s="1183"/>
      <c r="C61" s="1183" t="s">
        <v>789</v>
      </c>
      <c r="D61" s="1183"/>
      <c r="E61" s="1183" t="s">
        <v>791</v>
      </c>
    </row>
    <row r="62" spans="1:19" ht="15" customHeight="1">
      <c r="A62" s="1183"/>
      <c r="C62" s="1183" t="s">
        <v>790</v>
      </c>
      <c r="D62" s="1183"/>
      <c r="E62" s="1183" t="s">
        <v>792</v>
      </c>
    </row>
  </sheetData>
  <mergeCells count="33">
    <mergeCell ref="B27:B28"/>
    <mergeCell ref="C27:C28"/>
    <mergeCell ref="D27:D28"/>
    <mergeCell ref="F27:Q27"/>
    <mergeCell ref="R27:R28"/>
    <mergeCell ref="E27:E28"/>
    <mergeCell ref="D22:E22"/>
    <mergeCell ref="D23:E23"/>
    <mergeCell ref="D24:E24"/>
    <mergeCell ref="D25:E25"/>
    <mergeCell ref="D18:E18"/>
    <mergeCell ref="D19:E19"/>
    <mergeCell ref="D20:E20"/>
    <mergeCell ref="D21:E21"/>
    <mergeCell ref="D13:E13"/>
    <mergeCell ref="D14:E14"/>
    <mergeCell ref="D15:E15"/>
    <mergeCell ref="D16:E16"/>
    <mergeCell ref="D17:E17"/>
    <mergeCell ref="D8:E8"/>
    <mergeCell ref="D9:E9"/>
    <mergeCell ref="D10:E10"/>
    <mergeCell ref="D11:E11"/>
    <mergeCell ref="D12:E12"/>
    <mergeCell ref="F6:Q6"/>
    <mergeCell ref="R6:R7"/>
    <mergeCell ref="B1:J1"/>
    <mergeCell ref="H2:R2"/>
    <mergeCell ref="B3:M3"/>
    <mergeCell ref="B4:D4"/>
    <mergeCell ref="B6:B7"/>
    <mergeCell ref="C6:C7"/>
    <mergeCell ref="D6:E7"/>
  </mergeCells>
  <dataValidations count="1">
    <dataValidation type="custom" allowBlank="1" showInputMessage="1" showErrorMessage="1" prompt="CUIDADO... - Debe registrar el número 1 en el cuadro correspondiente al trimestre que consolidará. o puede seleccionar mas de un trimestre a la vez_x000a__x000a_CANOBO - 2010" sqref="G4 I4 K4 M4" xr:uid="{00000000-0002-0000-0D00-000000000000}">
      <formula1>+SUM($G$4:$M$4)=1</formula1>
    </dataValidation>
  </dataValidations>
  <printOptions horizontalCentered="1" verticalCentered="1"/>
  <pageMargins left="0.39370078740157483" right="0.39370078740157483" top="0.23622047244094491" bottom="0.19685039370078741" header="0" footer="0"/>
  <pageSetup scale="36" orientation="landscape" r:id="rId1"/>
  <headerFooter>
    <oddFooter>&amp;CPágina &amp;P de</oddFooter>
  </headerFooter>
  <rowBreaks count="1" manualBreakCount="1">
    <brk id="2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J26"/>
  <sheetViews>
    <sheetView workbookViewId="0">
      <selection activeCell="H9" sqref="H9"/>
    </sheetView>
  </sheetViews>
  <sheetFormatPr baseColWidth="10" defaultColWidth="14.42578125" defaultRowHeight="15" customHeight="1"/>
  <cols>
    <col min="1" max="1" width="24.28515625" customWidth="1"/>
    <col min="2" max="2" width="25" customWidth="1"/>
    <col min="3" max="3" width="26" customWidth="1"/>
    <col min="4" max="4" width="23.140625" customWidth="1"/>
    <col min="5" max="5" width="19.140625" customWidth="1"/>
    <col min="6" max="6" width="18.28515625" customWidth="1"/>
    <col min="7" max="7" width="24.5703125" customWidth="1"/>
    <col min="8" max="8" width="22.5703125" customWidth="1"/>
    <col min="9" max="9" width="23.5703125" customWidth="1"/>
    <col min="10" max="10" width="25" customWidth="1"/>
    <col min="11" max="11" width="4.42578125" customWidth="1"/>
    <col min="12" max="26" width="10.7109375" customWidth="1"/>
  </cols>
  <sheetData>
    <row r="1" spans="1:10" ht="12.75" customHeight="1">
      <c r="A1" s="1521" t="str">
        <f>+CONCATENATE("SEGUIMIENTO A LA EJECUCION PRESUPUESTAL - VIGENCIA ",INSTRUCCIONES!F3)</f>
        <v>SEGUIMIENTO A LA EJECUCION PRESUPUESTAL - VIGENCIA 2025</v>
      </c>
      <c r="B1" s="1299"/>
      <c r="C1" s="1299"/>
      <c r="D1" s="1299"/>
      <c r="E1" s="1299"/>
      <c r="F1" s="1299"/>
      <c r="G1" s="1299"/>
      <c r="H1" s="1299"/>
      <c r="I1" s="1299"/>
      <c r="J1" s="579"/>
    </row>
    <row r="2" spans="1:10" ht="12.75" customHeight="1">
      <c r="A2" s="1522" t="str">
        <f>+CONCATENATE(INSTRUCCIONES!B5," - ",INSTRUCCIONES!B3)</f>
        <v>ESE HOSPITAL MARCO FIDEL SUAREZ - BELLO</v>
      </c>
      <c r="B2" s="1299"/>
      <c r="C2" s="1299"/>
      <c r="D2" s="1299"/>
      <c r="E2" s="1299"/>
      <c r="F2" s="1299"/>
      <c r="G2" s="1299"/>
      <c r="H2" s="1299"/>
      <c r="I2" s="579"/>
      <c r="J2" s="579"/>
    </row>
    <row r="3" spans="1:10" ht="12.75" customHeight="1">
      <c r="A3" s="1522"/>
      <c r="B3" s="1299"/>
      <c r="C3" s="1299"/>
      <c r="D3" s="1299"/>
      <c r="E3" s="1299"/>
      <c r="F3" s="1299"/>
      <c r="G3" s="1299"/>
      <c r="H3" s="1299"/>
      <c r="I3" s="577"/>
      <c r="J3" s="612"/>
    </row>
    <row r="4" spans="1:10" ht="12.75" customHeight="1">
      <c r="A4" s="613" t="s">
        <v>454</v>
      </c>
      <c r="B4" s="614"/>
      <c r="C4" s="614"/>
      <c r="D4" s="614"/>
      <c r="E4" s="614"/>
      <c r="F4" s="614"/>
      <c r="G4" s="614"/>
      <c r="H4" s="614"/>
      <c r="I4" s="577"/>
      <c r="J4" s="612"/>
    </row>
    <row r="5" spans="1:10" ht="12.75" customHeight="1">
      <c r="A5" s="577"/>
      <c r="B5" s="611"/>
      <c r="C5" s="615"/>
      <c r="D5" s="615"/>
      <c r="E5" s="616"/>
      <c r="F5" s="616"/>
      <c r="G5" s="617"/>
      <c r="H5" s="577"/>
      <c r="I5" s="577"/>
      <c r="J5" s="612"/>
    </row>
    <row r="6" spans="1:10" ht="12.75" customHeight="1">
      <c r="A6" s="1517" t="s">
        <v>75</v>
      </c>
      <c r="B6" s="1520" t="s">
        <v>50</v>
      </c>
      <c r="C6" s="1516"/>
      <c r="D6" s="1517" t="s">
        <v>455</v>
      </c>
      <c r="E6" s="1515" t="s">
        <v>92</v>
      </c>
      <c r="F6" s="1516"/>
      <c r="G6" s="1515" t="s">
        <v>456</v>
      </c>
      <c r="H6" s="1516"/>
      <c r="I6" s="1515" t="s">
        <v>457</v>
      </c>
      <c r="J6" s="1516"/>
    </row>
    <row r="7" spans="1:10" ht="12.75" customHeight="1">
      <c r="A7" s="1518"/>
      <c r="B7" s="618" t="s">
        <v>23</v>
      </c>
      <c r="C7" s="618" t="s">
        <v>26</v>
      </c>
      <c r="D7" s="1519"/>
      <c r="E7" s="619" t="s">
        <v>29</v>
      </c>
      <c r="F7" s="619" t="s">
        <v>34</v>
      </c>
      <c r="G7" s="619" t="s">
        <v>458</v>
      </c>
      <c r="H7" s="619" t="s">
        <v>459</v>
      </c>
      <c r="I7" s="619" t="s">
        <v>458</v>
      </c>
      <c r="J7" s="619" t="s">
        <v>459</v>
      </c>
    </row>
    <row r="8" spans="1:10" ht="17.25" customHeight="1">
      <c r="A8" s="1519"/>
      <c r="B8" s="620" t="s">
        <v>66</v>
      </c>
      <c r="C8" s="620" t="s">
        <v>294</v>
      </c>
      <c r="D8" s="621" t="s">
        <v>306</v>
      </c>
      <c r="E8" s="622" t="s">
        <v>312</v>
      </c>
      <c r="F8" s="622" t="s">
        <v>342</v>
      </c>
      <c r="G8" s="621" t="s">
        <v>460</v>
      </c>
      <c r="H8" s="621" t="s">
        <v>461</v>
      </c>
      <c r="I8" s="621" t="s">
        <v>462</v>
      </c>
      <c r="J8" s="621" t="s">
        <v>463</v>
      </c>
    </row>
    <row r="9" spans="1:10" ht="73.5" customHeight="1">
      <c r="A9" s="623">
        <f>+DICIEMBRE!$F$8</f>
        <v>224749939113.47653</v>
      </c>
      <c r="B9" s="623">
        <f>+DICIEMBRE!$I$8</f>
        <v>240017918397</v>
      </c>
      <c r="C9" s="623">
        <f>+DICIEMBRE!$L$8</f>
        <v>155247777063</v>
      </c>
      <c r="D9" s="624">
        <f>+C9/B9</f>
        <v>0.64681744638003846</v>
      </c>
      <c r="E9" s="623">
        <f>+DICIEMBRE!$AA$8</f>
        <v>197208267845</v>
      </c>
      <c r="F9" s="623">
        <f>+DICIEMBRE!$AG$8</f>
        <v>148577515988</v>
      </c>
      <c r="G9" s="625">
        <f>+B9/E9</f>
        <v>1.2170783761746091</v>
      </c>
      <c r="H9" s="625">
        <f>+C9/E9</f>
        <v>0.7872275273216246</v>
      </c>
      <c r="I9" s="623">
        <f>+B9-E9</f>
        <v>42809650552</v>
      </c>
      <c r="J9" s="623">
        <f>+C9-E9</f>
        <v>-41960490782</v>
      </c>
    </row>
    <row r="10" spans="1:10" ht="12.75" customHeight="1">
      <c r="A10" s="577"/>
      <c r="B10" s="577"/>
      <c r="C10" s="577"/>
      <c r="D10" s="577"/>
      <c r="E10" s="577"/>
      <c r="F10" s="577"/>
      <c r="G10" s="577"/>
      <c r="H10" s="577"/>
    </row>
    <row r="11" spans="1:10" ht="12.75" customHeight="1">
      <c r="A11" s="577"/>
      <c r="B11" s="577"/>
      <c r="C11" s="577"/>
      <c r="D11" s="577"/>
      <c r="E11" s="577"/>
      <c r="F11" s="577"/>
      <c r="G11" s="577"/>
      <c r="H11" s="577"/>
    </row>
    <row r="12" spans="1:10" ht="12.75" customHeight="1">
      <c r="A12" s="577"/>
      <c r="B12" s="577"/>
      <c r="C12" s="577"/>
      <c r="D12" s="577"/>
      <c r="E12" s="577"/>
      <c r="F12" s="577"/>
      <c r="G12" s="577"/>
      <c r="H12" s="577"/>
    </row>
    <row r="13" spans="1:10" ht="12.75" customHeight="1">
      <c r="A13" s="613" t="s">
        <v>464</v>
      </c>
      <c r="B13" s="577"/>
      <c r="C13" s="577"/>
      <c r="D13" s="577"/>
      <c r="E13" s="577"/>
      <c r="F13" s="577"/>
      <c r="G13" s="577"/>
      <c r="H13" s="577"/>
    </row>
    <row r="14" spans="1:10" ht="12.75" customHeight="1">
      <c r="A14" s="577"/>
      <c r="B14" s="577"/>
      <c r="C14" s="577"/>
      <c r="D14" s="577"/>
      <c r="E14" s="577"/>
      <c r="F14" s="577"/>
      <c r="G14" s="577"/>
      <c r="H14" s="577"/>
    </row>
    <row r="15" spans="1:10" ht="12.75" customHeight="1">
      <c r="A15" s="1517" t="s">
        <v>75</v>
      </c>
      <c r="B15" s="1520" t="s">
        <v>50</v>
      </c>
      <c r="C15" s="1516"/>
      <c r="D15" s="1517" t="s">
        <v>455</v>
      </c>
      <c r="E15" s="1515" t="s">
        <v>92</v>
      </c>
      <c r="F15" s="1516"/>
      <c r="G15" s="1515" t="s">
        <v>456</v>
      </c>
      <c r="H15" s="1516"/>
      <c r="I15" s="1515" t="s">
        <v>457</v>
      </c>
      <c r="J15" s="1516"/>
    </row>
    <row r="16" spans="1:10" ht="12.75" customHeight="1">
      <c r="A16" s="1518"/>
      <c r="B16" s="618" t="s">
        <v>23</v>
      </c>
      <c r="C16" s="618" t="s">
        <v>26</v>
      </c>
      <c r="D16" s="1519"/>
      <c r="E16" s="619" t="s">
        <v>29</v>
      </c>
      <c r="F16" s="619" t="s">
        <v>34</v>
      </c>
      <c r="G16" s="619" t="s">
        <v>458</v>
      </c>
      <c r="H16" s="619" t="s">
        <v>459</v>
      </c>
      <c r="I16" s="619" t="s">
        <v>458</v>
      </c>
      <c r="J16" s="619" t="s">
        <v>459</v>
      </c>
    </row>
    <row r="17" spans="1:10" ht="12.75" customHeight="1">
      <c r="A17" s="1519"/>
      <c r="B17" s="620" t="s">
        <v>66</v>
      </c>
      <c r="C17" s="620" t="s">
        <v>294</v>
      </c>
      <c r="D17" s="621" t="s">
        <v>306</v>
      </c>
      <c r="E17" s="622" t="s">
        <v>312</v>
      </c>
      <c r="F17" s="622" t="s">
        <v>342</v>
      </c>
      <c r="G17" s="621" t="s">
        <v>460</v>
      </c>
      <c r="H17" s="621" t="s">
        <v>461</v>
      </c>
      <c r="I17" s="621" t="s">
        <v>462</v>
      </c>
      <c r="J17" s="621" t="s">
        <v>463</v>
      </c>
    </row>
    <row r="18" spans="1:10" ht="73.5" customHeight="1">
      <c r="A18" s="623">
        <f>+DICIEMBRE!$F$126</f>
        <v>179389831090.37653</v>
      </c>
      <c r="B18" s="623">
        <f>+DICIEMBRE!$I$126</f>
        <v>188264177285</v>
      </c>
      <c r="C18" s="623">
        <f>+DICIEMBRE!$L$126</f>
        <v>103494035951</v>
      </c>
      <c r="D18" s="624">
        <f>+C18/B18</f>
        <v>0.54972771476502191</v>
      </c>
      <c r="E18" s="623">
        <f>+DICIEMBRE!$AA$259</f>
        <v>170029270458</v>
      </c>
      <c r="F18" s="623">
        <f>+DICIEMBRE!$AG$259</f>
        <v>121413024125</v>
      </c>
      <c r="G18" s="625">
        <f>+B18/E18</f>
        <v>1.1072456923321583</v>
      </c>
      <c r="H18" s="625">
        <f>+C18/E18</f>
        <v>0.60868364412917197</v>
      </c>
      <c r="I18" s="623">
        <f>+B18-E18</f>
        <v>18234906827</v>
      </c>
      <c r="J18" s="623">
        <f>+C18-E18</f>
        <v>-66535234507</v>
      </c>
    </row>
    <row r="19" spans="1:10" ht="12.75" customHeight="1">
      <c r="A19" s="577"/>
      <c r="B19" s="577"/>
      <c r="C19" s="577"/>
      <c r="D19" s="577"/>
      <c r="E19" s="577"/>
      <c r="F19" s="577"/>
      <c r="G19" s="577"/>
      <c r="H19" s="577"/>
    </row>
    <row r="20" spans="1:10" ht="12.75" customHeight="1">
      <c r="A20" s="577"/>
      <c r="B20" s="577"/>
      <c r="C20" s="577"/>
      <c r="D20" s="577"/>
      <c r="E20" s="577"/>
      <c r="F20" s="577"/>
      <c r="G20" s="577"/>
      <c r="H20" s="577"/>
    </row>
    <row r="21" spans="1:10" ht="12.75" customHeight="1">
      <c r="A21" s="577"/>
      <c r="B21" s="577"/>
      <c r="C21" s="577"/>
      <c r="D21" s="577"/>
      <c r="E21" s="577"/>
      <c r="F21" s="577"/>
      <c r="G21" s="577"/>
      <c r="H21" s="577"/>
    </row>
    <row r="22" spans="1:10" ht="12.75" customHeight="1">
      <c r="A22" s="577"/>
      <c r="B22" s="577"/>
      <c r="C22" s="577"/>
      <c r="D22" s="577"/>
      <c r="E22" s="577"/>
      <c r="F22" s="577"/>
      <c r="G22" s="577"/>
      <c r="H22" s="577"/>
    </row>
    <row r="23" spans="1:10" ht="12.75" customHeight="1">
      <c r="A23" s="577" t="s">
        <v>465</v>
      </c>
      <c r="B23" s="577"/>
      <c r="C23" s="577"/>
      <c r="D23" s="577"/>
      <c r="E23" s="577"/>
      <c r="F23" s="577"/>
      <c r="G23" s="577"/>
      <c r="H23" s="577"/>
    </row>
    <row r="24" spans="1:10" ht="12.75" customHeight="1">
      <c r="A24" s="577"/>
      <c r="B24" s="577"/>
      <c r="C24" s="577"/>
      <c r="D24" s="577"/>
      <c r="E24" s="577"/>
      <c r="F24" s="577"/>
      <c r="G24" s="577"/>
      <c r="H24" s="577"/>
    </row>
    <row r="25" spans="1:10" ht="12.75" customHeight="1">
      <c r="A25" s="577" t="s">
        <v>466</v>
      </c>
      <c r="B25" s="577"/>
      <c r="C25" s="577" t="s">
        <v>467</v>
      </c>
      <c r="D25" s="577"/>
      <c r="E25" s="577"/>
      <c r="F25" s="577"/>
      <c r="G25" s="577"/>
      <c r="H25" s="577"/>
    </row>
    <row r="26" spans="1:10" ht="12.75" customHeight="1">
      <c r="A26" s="577" t="s">
        <v>468</v>
      </c>
      <c r="B26" s="577"/>
      <c r="C26" s="577" t="s">
        <v>469</v>
      </c>
      <c r="D26" s="577"/>
      <c r="E26" s="577"/>
      <c r="F26" s="577"/>
      <c r="G26" s="577"/>
      <c r="H26" s="577"/>
    </row>
  </sheetData>
  <mergeCells count="15">
    <mergeCell ref="A1:I1"/>
    <mergeCell ref="A2:H2"/>
    <mergeCell ref="A3:H3"/>
    <mergeCell ref="A6:A8"/>
    <mergeCell ref="B6:C6"/>
    <mergeCell ref="D6:D7"/>
    <mergeCell ref="E6:F6"/>
    <mergeCell ref="G6:H6"/>
    <mergeCell ref="I6:J6"/>
    <mergeCell ref="I15:J15"/>
    <mergeCell ref="A15:A17"/>
    <mergeCell ref="B15:C15"/>
    <mergeCell ref="D15:D16"/>
    <mergeCell ref="E15:F15"/>
    <mergeCell ref="G15:H15"/>
  </mergeCells>
  <printOptions horizontalCentered="1" verticalCentered="1"/>
  <pageMargins left="0.59055118110236227" right="0.59055118110236227" top="0.43307086614173229" bottom="0.39370078740157483" header="0" footer="0"/>
  <pageSetup paperSize="14" scale="50" orientation="landscape" r:id="rId1"/>
  <headerFooter>
    <oddFooter>&amp;CPágina &amp;P de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W10"/>
  <sheetViews>
    <sheetView workbookViewId="0">
      <selection activeCell="J10" sqref="J10"/>
    </sheetView>
  </sheetViews>
  <sheetFormatPr baseColWidth="10" defaultColWidth="14.42578125" defaultRowHeight="15" customHeight="1"/>
  <cols>
    <col min="1" max="1" width="20.140625" customWidth="1"/>
    <col min="2" max="3" width="21.28515625" customWidth="1"/>
    <col min="4" max="22" width="17.85546875" customWidth="1"/>
    <col min="23" max="23" width="19.28515625" customWidth="1"/>
    <col min="24" max="26" width="11.42578125" customWidth="1"/>
  </cols>
  <sheetData>
    <row r="1" spans="1:23" ht="12.75" customHeight="1">
      <c r="A1" s="1525" t="str">
        <f>+CONCATENATE("EJECUCION DE RECURSOS DE MANTENIMIENTO HOSPITALARIO - VIGENCIA ",INSTRUCCIONES!F3)</f>
        <v>EJECUCION DE RECURSOS DE MANTENIMIENTO HOSPITALARIO - VIGENCIA 2025</v>
      </c>
      <c r="B1" s="1299"/>
      <c r="C1" s="1299"/>
      <c r="D1" s="1299"/>
      <c r="E1" s="1299"/>
      <c r="F1" s="1299"/>
      <c r="G1" s="1299"/>
      <c r="H1" s="1299"/>
      <c r="I1" s="1299"/>
      <c r="J1" s="1299"/>
      <c r="K1" s="1299"/>
      <c r="L1" s="1299"/>
      <c r="M1" s="1299"/>
      <c r="N1" s="1299"/>
      <c r="O1" s="1299"/>
      <c r="P1" s="1299"/>
      <c r="Q1" s="1299"/>
      <c r="R1" s="1299"/>
      <c r="S1" s="1299"/>
      <c r="T1" s="1299"/>
      <c r="U1" s="1299"/>
      <c r="V1" s="1299"/>
      <c r="W1" s="577"/>
    </row>
    <row r="2" spans="1:23" ht="12.75" customHeight="1">
      <c r="A2" s="1526" t="str">
        <f>+CONCATENATE(INSTRUCCIONES!B5," - ",INSTRUCCIONES!B3)</f>
        <v>ESE HOSPITAL MARCO FIDEL SUAREZ - BELLO</v>
      </c>
      <c r="B2" s="1299"/>
      <c r="C2" s="1299"/>
      <c r="D2" s="1299"/>
      <c r="E2" s="1299"/>
      <c r="F2" s="1299"/>
      <c r="G2" s="1299"/>
      <c r="H2" s="1299"/>
      <c r="I2" s="1299"/>
      <c r="J2" s="1299"/>
      <c r="K2" s="1299"/>
      <c r="L2" s="1299"/>
      <c r="M2" s="1299"/>
      <c r="N2" s="1299"/>
      <c r="O2" s="1299"/>
      <c r="P2" s="1299"/>
      <c r="Q2" s="1299"/>
      <c r="R2" s="1299"/>
      <c r="S2" s="1299"/>
      <c r="T2" s="1299"/>
      <c r="U2" s="1299"/>
      <c r="V2" s="1299"/>
      <c r="W2" s="577"/>
    </row>
    <row r="3" spans="1:23" ht="12.75" customHeight="1">
      <c r="A3" s="1526"/>
      <c r="B3" s="1299"/>
      <c r="C3" s="1299"/>
      <c r="D3" s="1299"/>
      <c r="E3" s="1299"/>
      <c r="F3" s="1299"/>
      <c r="G3" s="1299"/>
      <c r="H3" s="1299"/>
      <c r="I3" s="1299"/>
      <c r="J3" s="1299"/>
      <c r="K3" s="1299"/>
      <c r="L3" s="1299"/>
      <c r="M3" s="1299"/>
      <c r="N3" s="1299"/>
      <c r="O3" s="1299"/>
      <c r="P3" s="1299"/>
      <c r="Q3" s="1299"/>
      <c r="R3" s="1299"/>
      <c r="S3" s="1299"/>
      <c r="T3" s="1299"/>
      <c r="U3" s="1299"/>
      <c r="V3" s="1299"/>
      <c r="W3" s="577"/>
    </row>
    <row r="4" spans="1:23" ht="12.75" customHeight="1">
      <c r="A4" s="577"/>
      <c r="B4" s="577"/>
      <c r="C4" s="577"/>
      <c r="D4" s="577"/>
      <c r="E4" s="577"/>
      <c r="F4" s="577"/>
      <c r="G4" s="577"/>
      <c r="H4" s="577"/>
      <c r="I4" s="577"/>
      <c r="J4" s="577"/>
      <c r="K4" s="577"/>
      <c r="L4" s="577"/>
      <c r="M4" s="577"/>
      <c r="N4" s="577"/>
      <c r="O4" s="577"/>
      <c r="P4" s="577"/>
      <c r="Q4" s="577"/>
      <c r="R4" s="577"/>
      <c r="S4" s="577"/>
      <c r="T4" s="577"/>
      <c r="U4" s="577"/>
      <c r="V4" s="577"/>
      <c r="W4" s="577"/>
    </row>
    <row r="5" spans="1:23" ht="12.75" customHeight="1">
      <c r="A5" s="577"/>
      <c r="B5" s="577"/>
      <c r="C5" s="577"/>
      <c r="D5" s="577"/>
      <c r="E5" s="577"/>
      <c r="F5" s="577"/>
      <c r="G5" s="577"/>
      <c r="H5" s="577"/>
      <c r="I5" s="577"/>
      <c r="J5" s="577"/>
      <c r="K5" s="577"/>
      <c r="L5" s="577"/>
      <c r="M5" s="577"/>
      <c r="N5" s="577"/>
      <c r="O5" s="577"/>
      <c r="P5" s="577"/>
      <c r="Q5" s="577"/>
      <c r="R5" s="577"/>
      <c r="S5" s="577"/>
      <c r="T5" s="577"/>
      <c r="U5" s="577"/>
      <c r="V5" s="577"/>
      <c r="W5" s="577"/>
    </row>
    <row r="6" spans="1:23" ht="12.75" customHeight="1">
      <c r="A6" s="577"/>
      <c r="B6" s="577"/>
      <c r="C6" s="577"/>
      <c r="D6" s="577"/>
      <c r="E6" s="577"/>
      <c r="F6" s="577"/>
      <c r="G6" s="577"/>
      <c r="H6" s="577"/>
      <c r="I6" s="577"/>
      <c r="J6" s="577"/>
      <c r="K6" s="577"/>
      <c r="L6" s="577"/>
      <c r="M6" s="577"/>
      <c r="N6" s="577"/>
      <c r="O6" s="577"/>
      <c r="P6" s="577"/>
      <c r="Q6" s="577"/>
      <c r="R6" s="577"/>
      <c r="S6" s="577"/>
      <c r="T6" s="577"/>
      <c r="U6" s="577"/>
      <c r="V6" s="577"/>
      <c r="W6" s="577"/>
    </row>
    <row r="7" spans="1:23" ht="12.75" customHeight="1">
      <c r="A7" s="577"/>
      <c r="B7" s="577"/>
      <c r="C7" s="577"/>
      <c r="D7" s="577"/>
      <c r="E7" s="577"/>
      <c r="F7" s="577"/>
      <c r="G7" s="577"/>
      <c r="H7" s="577"/>
      <c r="I7" s="577"/>
      <c r="J7" s="577"/>
      <c r="K7" s="577"/>
      <c r="L7" s="577"/>
      <c r="M7" s="577"/>
      <c r="N7" s="577"/>
      <c r="O7" s="577"/>
      <c r="P7" s="577"/>
      <c r="Q7" s="577"/>
      <c r="R7" s="577"/>
      <c r="S7" s="577"/>
      <c r="T7" s="577"/>
      <c r="U7" s="577"/>
      <c r="V7" s="577"/>
      <c r="W7" s="577"/>
    </row>
    <row r="8" spans="1:23" ht="51" customHeight="1">
      <c r="A8" s="1523" t="s">
        <v>470</v>
      </c>
      <c r="B8" s="1523" t="s">
        <v>471</v>
      </c>
      <c r="C8" s="1523" t="s">
        <v>472</v>
      </c>
      <c r="D8" s="1524" t="s">
        <v>473</v>
      </c>
      <c r="E8" s="1516"/>
      <c r="F8" s="1523" t="s">
        <v>474</v>
      </c>
      <c r="G8" s="1523" t="s">
        <v>475</v>
      </c>
      <c r="H8" s="1523" t="s">
        <v>476</v>
      </c>
      <c r="I8" s="1524" t="s">
        <v>477</v>
      </c>
      <c r="J8" s="1516"/>
      <c r="K8" s="1523" t="s">
        <v>478</v>
      </c>
      <c r="L8" s="1523" t="s">
        <v>479</v>
      </c>
      <c r="M8" s="1523" t="s">
        <v>480</v>
      </c>
      <c r="N8" s="1524" t="s">
        <v>481</v>
      </c>
      <c r="O8" s="1516"/>
      <c r="P8" s="1523" t="s">
        <v>482</v>
      </c>
      <c r="Q8" s="1523" t="s">
        <v>483</v>
      </c>
      <c r="R8" s="1523" t="s">
        <v>484</v>
      </c>
      <c r="S8" s="1524" t="s">
        <v>485</v>
      </c>
      <c r="T8" s="1516"/>
      <c r="U8" s="1523" t="s">
        <v>486</v>
      </c>
      <c r="V8" s="1523" t="s">
        <v>487</v>
      </c>
      <c r="W8" s="1523" t="s">
        <v>488</v>
      </c>
    </row>
    <row r="9" spans="1:23" ht="60.75" customHeight="1">
      <c r="A9" s="1519"/>
      <c r="B9" s="1519"/>
      <c r="C9" s="1519"/>
      <c r="D9" s="626" t="s">
        <v>489</v>
      </c>
      <c r="E9" s="626" t="s">
        <v>490</v>
      </c>
      <c r="F9" s="1519"/>
      <c r="G9" s="1519"/>
      <c r="H9" s="1519"/>
      <c r="I9" s="626" t="s">
        <v>489</v>
      </c>
      <c r="J9" s="626" t="s">
        <v>490</v>
      </c>
      <c r="K9" s="1519"/>
      <c r="L9" s="1519"/>
      <c r="M9" s="1519"/>
      <c r="N9" s="626" t="s">
        <v>489</v>
      </c>
      <c r="O9" s="626" t="s">
        <v>490</v>
      </c>
      <c r="P9" s="1519"/>
      <c r="Q9" s="1519"/>
      <c r="R9" s="1519"/>
      <c r="S9" s="626" t="s">
        <v>489</v>
      </c>
      <c r="T9" s="626" t="s">
        <v>490</v>
      </c>
      <c r="U9" s="1519"/>
      <c r="V9" s="1519"/>
      <c r="W9" s="1519"/>
    </row>
    <row r="10" spans="1:23" ht="79.5" customHeight="1">
      <c r="A10" s="623">
        <f>SUM(DICIEMBRE!BC8)</f>
        <v>178210353825.37653</v>
      </c>
      <c r="B10" s="623">
        <f>SUM(DICIEMBRE!BD8)</f>
        <v>187084700020</v>
      </c>
      <c r="C10" s="623">
        <f>SUM(DICIEMBRE!L17)</f>
        <v>154068299798</v>
      </c>
      <c r="D10" s="623">
        <f>SUM(DICIEMBRE!X148+DICIEMBRE!X118+DICIEMBRE!X120)</f>
        <v>3775946652</v>
      </c>
      <c r="E10" s="623">
        <f>SUM(DICIEMBRE!X155)</f>
        <v>6581385119.2222223</v>
      </c>
      <c r="F10" s="627">
        <f>+IF(A10=0," ",($D$10+$E$10)/A10)</f>
        <v>5.8118574756723107E-2</v>
      </c>
      <c r="G10" s="627">
        <f>+IF(B10=0," ",($D$10+$E$10)/B10)</f>
        <v>5.5361725304714851E-2</v>
      </c>
      <c r="H10" s="627">
        <f>+IF(C10=0," ",($D$10+$E$10)/C10)</f>
        <v>6.7225586215995045E-2</v>
      </c>
      <c r="I10" s="623">
        <f>+DICIEMBRE!AA148+DICIEMBRE!AA118+DICIEMBRE!AA120</f>
        <v>1397935473</v>
      </c>
      <c r="J10" s="623">
        <f>SUM(DICIEMBRE!AA155)</f>
        <v>4098311898</v>
      </c>
      <c r="K10" s="628">
        <f>+IF(A10=0," ",($I$10+$J$10)/A10)</f>
        <v>3.0841347054311016E-2</v>
      </c>
      <c r="L10" s="628">
        <f>+IF(B10=0," ",($I$10+$J$10)/B10)</f>
        <v>2.9378390485231727E-2</v>
      </c>
      <c r="M10" s="628">
        <f>+IF(C10=0," ",($I$10+$J$10)/C10)</f>
        <v>3.5674096346919953E-2</v>
      </c>
      <c r="N10" s="623">
        <f>+DICIEMBRE!AD148+DICIEMBRE!AD118+DICIEMBRE!AD120</f>
        <v>1397935473</v>
      </c>
      <c r="O10" s="623">
        <f>SUM(DICIEMBRE!AD155)</f>
        <v>4098311898</v>
      </c>
      <c r="P10" s="628">
        <f>+IF(A10=0," ",($N$10+$O$10)/A10)</f>
        <v>3.0841347054311016E-2</v>
      </c>
      <c r="Q10" s="628">
        <f>+IF(B10=0," ",($N$10+$O$10)/B10)</f>
        <v>2.9378390485231727E-2</v>
      </c>
      <c r="R10" s="628">
        <f>+IF(C10=0," ",($N$10+$O$10)/C10)</f>
        <v>3.5674096346919953E-2</v>
      </c>
      <c r="S10" s="623">
        <f>+DICIEMBRE!AG148+DICIEMBRE!AG118+DICIEMBRE!AG120</f>
        <v>669026486</v>
      </c>
      <c r="T10" s="623">
        <f>SUM(DICIEMBRE!AG155)</f>
        <v>2537302437</v>
      </c>
      <c r="U10" s="628">
        <f>+IF(A10=0," ",($S$10+$T$10)/A10)</f>
        <v>1.7991821766662305E-2</v>
      </c>
      <c r="V10" s="628">
        <f>+IF(B10=0," ",($S$10+$T$10)/B10)</f>
        <v>1.7138381292843469E-2</v>
      </c>
      <c r="W10" s="628">
        <f>+IF(C10=0," ",($S$10+$T$10)/C10)</f>
        <v>2.0811087856514546E-2</v>
      </c>
    </row>
  </sheetData>
  <mergeCells count="22">
    <mergeCell ref="A1:V1"/>
    <mergeCell ref="A2:V2"/>
    <mergeCell ref="A3:V3"/>
    <mergeCell ref="A8:A9"/>
    <mergeCell ref="B8:B9"/>
    <mergeCell ref="C8:C9"/>
    <mergeCell ref="D8:E8"/>
    <mergeCell ref="R8:R9"/>
    <mergeCell ref="S8:T8"/>
    <mergeCell ref="U8:U9"/>
    <mergeCell ref="V8:V9"/>
    <mergeCell ref="F8:F9"/>
    <mergeCell ref="G8:G9"/>
    <mergeCell ref="H8:H9"/>
    <mergeCell ref="I8:J8"/>
    <mergeCell ref="K8:K9"/>
    <mergeCell ref="W8:W9"/>
    <mergeCell ref="L8:L9"/>
    <mergeCell ref="M8:M9"/>
    <mergeCell ref="N8:O8"/>
    <mergeCell ref="P8:P9"/>
    <mergeCell ref="Q8:Q9"/>
  </mergeCells>
  <printOptions horizontalCentered="1"/>
  <pageMargins left="0.59055118110236227" right="0.59055118110236227" top="0.43307086614173229" bottom="0.39370078740157483" header="0" footer="0"/>
  <pageSetup paperSize="14" scale="40" orientation="landscape" r:id="rId1"/>
  <headerFooter>
    <oddFooter>&amp;CPágina &amp;P de</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Q264"/>
  <sheetViews>
    <sheetView showGridLines="0" topLeftCell="BK17" zoomScale="112" zoomScaleNormal="112" workbookViewId="0">
      <selection activeCell="BT27" sqref="BT27"/>
    </sheetView>
  </sheetViews>
  <sheetFormatPr baseColWidth="10" defaultColWidth="14.42578125" defaultRowHeight="15" customHeight="1"/>
  <cols>
    <col min="1" max="1" width="28.140625" customWidth="1"/>
    <col min="2" max="2" width="52.140625" customWidth="1"/>
    <col min="3" max="3" width="18" customWidth="1"/>
    <col min="4" max="4" width="16.140625" customWidth="1"/>
    <col min="5" max="5" width="17.28515625" customWidth="1"/>
    <col min="6" max="6" width="18.140625" customWidth="1"/>
    <col min="7" max="7" width="17.85546875" customWidth="1"/>
    <col min="8" max="8" width="20.5703125" customWidth="1"/>
    <col min="9" max="9" width="19.85546875" customWidth="1"/>
    <col min="10" max="10" width="18" customWidth="1"/>
    <col min="11" max="11" width="23" customWidth="1"/>
    <col min="12" max="12" width="14.42578125" customWidth="1"/>
    <col min="13" max="14" width="16.7109375" customWidth="1"/>
    <col min="15" max="15" width="2.85546875" customWidth="1"/>
    <col min="16" max="17" width="23.7109375" customWidth="1"/>
    <col min="18" max="18" width="5.42578125" customWidth="1"/>
    <col min="19" max="19" width="21.42578125" customWidth="1"/>
    <col min="20" max="20" width="57.85546875" customWidth="1"/>
    <col min="21" max="21" width="17.42578125" customWidth="1"/>
    <col min="22" max="22" width="11.85546875" customWidth="1"/>
    <col min="23" max="23" width="12.7109375" customWidth="1"/>
    <col min="24" max="24" width="17.28515625" customWidth="1"/>
    <col min="25" max="25" width="12.5703125" customWidth="1"/>
    <col min="26" max="26" width="15.85546875" customWidth="1"/>
    <col min="27" max="27" width="17.5703125" customWidth="1"/>
    <col min="28" max="28" width="18" customWidth="1"/>
    <col min="29" max="29" width="17.7109375" customWidth="1"/>
    <col min="30" max="30" width="17.28515625" customWidth="1"/>
    <col min="31" max="31" width="13.140625" customWidth="1"/>
    <col min="32" max="32" width="16.140625" customWidth="1"/>
    <col min="33" max="33" width="18.140625" customWidth="1"/>
    <col min="34" max="34" width="19" customWidth="1"/>
    <col min="35" max="35" width="18" customWidth="1"/>
    <col min="36" max="36" width="20.140625" customWidth="1"/>
    <col min="37" max="37" width="8.85546875" customWidth="1"/>
    <col min="38" max="39" width="23.7109375" customWidth="1"/>
    <col min="40" max="40" width="4.85546875" customWidth="1"/>
    <col min="41" max="41" width="12.28515625" customWidth="1"/>
    <col min="42" max="42" width="43.28515625" customWidth="1"/>
    <col min="43" max="45" width="16.85546875" customWidth="1"/>
    <col min="46" max="46" width="12.7109375" customWidth="1"/>
    <col min="47" max="47" width="27.42578125" customWidth="1"/>
    <col min="48" max="48" width="25" customWidth="1"/>
    <col min="49" max="52" width="16.85546875" customWidth="1"/>
    <col min="53" max="53" width="11" customWidth="1"/>
    <col min="54" max="54" width="65.140625" customWidth="1"/>
    <col min="55" max="57" width="18.85546875" customWidth="1"/>
    <col min="58" max="58" width="6.140625" customWidth="1"/>
    <col min="59" max="59" width="73" customWidth="1"/>
    <col min="60" max="63" width="17.5703125" customWidth="1"/>
    <col min="64" max="64" width="11" customWidth="1"/>
    <col min="65" max="65" width="76" customWidth="1"/>
    <col min="66" max="66" width="19.7109375" customWidth="1"/>
    <col min="67" max="67" width="15.7109375" customWidth="1"/>
    <col min="68" max="68" width="16.85546875" customWidth="1"/>
    <col min="69" max="69" width="18.7109375" customWidth="1"/>
    <col min="70" max="70" width="11" customWidth="1"/>
  </cols>
  <sheetData>
    <row r="1" spans="1:69" ht="24.75" customHeight="1" thickBot="1">
      <c r="A1" s="1362"/>
      <c r="B1" s="1363"/>
      <c r="C1" s="30"/>
      <c r="D1" s="30"/>
      <c r="E1" s="30"/>
      <c r="F1" s="30"/>
      <c r="G1" s="30"/>
      <c r="H1" s="30"/>
      <c r="I1" s="30"/>
      <c r="J1" s="30"/>
      <c r="K1" s="1364" t="str">
        <f>+IF(L8&gt;I8,"OJO - SUS RECAUDOS SON SUPERIORES A SUS RECONOCIMIENTOS, VERIFIQUE","")</f>
        <v/>
      </c>
      <c r="L1" s="1365"/>
      <c r="M1" s="1365"/>
      <c r="N1" s="1366"/>
      <c r="O1" s="31"/>
      <c r="P1" s="32"/>
      <c r="Q1" s="32"/>
      <c r="R1" s="31"/>
      <c r="S1" s="33"/>
      <c r="T1" s="34"/>
      <c r="U1" s="1367" t="str">
        <f>+IF(AA8&gt;X8,"OJO - HA COMPROMETIDO MUCHO MAS DE LO QUE TIENE PRESUPUESTADO","")</f>
        <v/>
      </c>
      <c r="V1" s="1365"/>
      <c r="W1" s="1365"/>
      <c r="X1" s="1366"/>
      <c r="Y1" s="35" t="str">
        <f>+IF(AD8&gt;AA8,"OJO - SUS OBLIGACIONES SUPERAN SUS COMPROMISOS, VERIFIQUE","")</f>
        <v/>
      </c>
      <c r="Z1" s="31"/>
      <c r="AA1" s="31"/>
      <c r="AB1" s="31"/>
      <c r="AC1" s="35" t="str">
        <f>+IF(AG8&gt;AD8,"OJO - SUS PAGOS NO PUEDEN SUPERAR SUS OBLIGACIONES, VERIFIQUE","")</f>
        <v/>
      </c>
      <c r="AD1" s="31"/>
      <c r="AE1" s="31"/>
      <c r="AF1" s="31"/>
      <c r="AG1" s="31"/>
      <c r="AH1" s="31"/>
      <c r="AI1" s="31"/>
      <c r="AJ1" s="31"/>
      <c r="AK1" s="36"/>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r="2" spans="1:69" ht="53.25" customHeight="1" thickBot="1">
      <c r="A2" s="37"/>
      <c r="B2" s="38" t="s">
        <v>36</v>
      </c>
      <c r="C2" s="39"/>
      <c r="D2" s="1346" t="str">
        <f>+IF(F2="","","MUNICIPIO:")</f>
        <v>MUNICIPIO:</v>
      </c>
      <c r="E2" s="1327"/>
      <c r="F2" s="40" t="str">
        <f>IF(INSTRUCCIONES!B3=0,"",INSTRUCCIONES!B3)</f>
        <v>BELLO</v>
      </c>
      <c r="G2" s="41"/>
      <c r="H2" s="41"/>
      <c r="I2" s="41"/>
      <c r="J2" s="41"/>
      <c r="K2" s="42"/>
      <c r="L2" s="1368" t="s">
        <v>37</v>
      </c>
      <c r="M2" s="1340"/>
      <c r="N2" s="43" t="s">
        <v>38</v>
      </c>
      <c r="O2" s="31"/>
      <c r="P2" s="1341" t="s">
        <v>39</v>
      </c>
      <c r="Q2" s="1338"/>
      <c r="R2" s="31"/>
      <c r="S2" s="44"/>
      <c r="T2" s="45" t="s">
        <v>36</v>
      </c>
      <c r="U2" s="39"/>
      <c r="V2" s="1369" t="str">
        <f>+IF(Y2="","","M U N I C I P I O:")</f>
        <v>M U N I C I P I O:</v>
      </c>
      <c r="W2" s="1337"/>
      <c r="X2" s="1327"/>
      <c r="Y2" s="1336" t="str">
        <f>IF(INSTRUCCIONES!B3=0,"",INSTRUCCIONES!B3)</f>
        <v>BELLO</v>
      </c>
      <c r="Z2" s="1337"/>
      <c r="AA2" s="1337"/>
      <c r="AB2" s="1337"/>
      <c r="AC2" s="1337"/>
      <c r="AD2" s="1337"/>
      <c r="AE2" s="1337"/>
      <c r="AF2" s="1337"/>
      <c r="AG2" s="1338"/>
      <c r="AH2" s="1339" t="s">
        <v>37</v>
      </c>
      <c r="AI2" s="1340"/>
      <c r="AJ2" s="43" t="s">
        <v>38</v>
      </c>
      <c r="AK2" s="36"/>
      <c r="AL2" s="1341" t="s">
        <v>39</v>
      </c>
      <c r="AM2" s="1338"/>
      <c r="AN2" s="31"/>
      <c r="AO2" s="46">
        <v>1</v>
      </c>
      <c r="AP2" s="1342" t="s">
        <v>40</v>
      </c>
      <c r="AQ2" s="1322"/>
      <c r="AR2" s="1322"/>
      <c r="AS2" s="1322"/>
      <c r="AT2" s="1322"/>
      <c r="AU2" s="1322"/>
      <c r="AV2" s="1322"/>
      <c r="AW2" s="1322"/>
      <c r="AX2" s="1322"/>
      <c r="AY2" s="1322"/>
      <c r="AZ2" s="1323"/>
      <c r="BA2" s="31"/>
      <c r="BB2" s="1341" t="s">
        <v>41</v>
      </c>
      <c r="BC2" s="1327"/>
      <c r="BD2" s="47" t="s">
        <v>37</v>
      </c>
      <c r="BE2" s="43" t="str">
        <f>+L3</f>
        <v>ENERO</v>
      </c>
      <c r="BF2" s="35"/>
      <c r="BG2" s="1341" t="s">
        <v>42</v>
      </c>
      <c r="BH2" s="1337"/>
      <c r="BI2" s="1327"/>
      <c r="BJ2" s="47" t="s">
        <v>37</v>
      </c>
      <c r="BK2" s="43" t="str">
        <f>+BE2</f>
        <v>ENERO</v>
      </c>
      <c r="BL2" s="31"/>
      <c r="BM2" s="1343" t="s">
        <v>42</v>
      </c>
      <c r="BN2" s="1344"/>
      <c r="BO2" s="1345"/>
      <c r="BP2" s="732" t="s">
        <v>37</v>
      </c>
      <c r="BQ2" s="733" t="str">
        <f>+BK2</f>
        <v>ENERO</v>
      </c>
    </row>
    <row r="3" spans="1:69" ht="24.75" customHeight="1" thickBot="1">
      <c r="A3" s="48"/>
      <c r="B3" s="1355" t="s">
        <v>43</v>
      </c>
      <c r="C3" s="49"/>
      <c r="D3" s="1347" t="str">
        <f>+IF(F3="","","INSTITUCION:")</f>
        <v>INSTITUCION:</v>
      </c>
      <c r="E3" s="1348"/>
      <c r="F3" s="1308" t="str">
        <f>IF(INSTRUCCIONES!B5=0,"",INSTRUCCIONES!B5)</f>
        <v>ESE HOSPITAL MARCO FIDEL SUAREZ</v>
      </c>
      <c r="G3" s="1309"/>
      <c r="H3" s="1309"/>
      <c r="I3" s="1309"/>
      <c r="J3" s="1309"/>
      <c r="K3" s="1310"/>
      <c r="L3" s="1312" t="s">
        <v>44</v>
      </c>
      <c r="M3" s="1313"/>
      <c r="N3" s="1331">
        <v>2025</v>
      </c>
      <c r="O3" s="31"/>
      <c r="P3" s="1315" t="s">
        <v>45</v>
      </c>
      <c r="Q3" s="1318" t="s">
        <v>46</v>
      </c>
      <c r="R3" s="31"/>
      <c r="S3" s="50"/>
      <c r="T3" s="1332" t="s">
        <v>47</v>
      </c>
      <c r="U3" s="51"/>
      <c r="V3" s="1357" t="str">
        <f>+IF(F3="","","E.S.E. HOSPITAL:")</f>
        <v>E.S.E. HOSPITAL:</v>
      </c>
      <c r="W3" s="1309"/>
      <c r="X3" s="1348"/>
      <c r="Y3" s="1308" t="str">
        <f>IF(INSTRUCCIONES!B5=0,"",INSTRUCCIONES!B5)</f>
        <v>ESE HOSPITAL MARCO FIDEL SUAREZ</v>
      </c>
      <c r="Z3" s="1309"/>
      <c r="AA3" s="1309"/>
      <c r="AB3" s="1309"/>
      <c r="AC3" s="1309"/>
      <c r="AD3" s="1309"/>
      <c r="AE3" s="1309"/>
      <c r="AF3" s="1309"/>
      <c r="AG3" s="1310"/>
      <c r="AH3" s="1334" t="str">
        <f>+L3</f>
        <v>ENERO</v>
      </c>
      <c r="AI3" s="1313"/>
      <c r="AJ3" s="1331">
        <f>+N3</f>
        <v>2025</v>
      </c>
      <c r="AK3" s="36"/>
      <c r="AL3" s="1315" t="s">
        <v>48</v>
      </c>
      <c r="AM3" s="1318" t="s">
        <v>49</v>
      </c>
      <c r="AN3" s="31"/>
      <c r="AO3" s="52"/>
      <c r="AP3" s="1373" t="s">
        <v>50</v>
      </c>
      <c r="AQ3" s="1374"/>
      <c r="AR3" s="1374"/>
      <c r="AS3" s="1374"/>
      <c r="AT3" s="1374"/>
      <c r="AU3" s="1374"/>
      <c r="AV3" s="1374"/>
      <c r="AW3" s="1374"/>
      <c r="AX3" s="1374"/>
      <c r="AY3" s="1374"/>
      <c r="AZ3" s="1375"/>
      <c r="BA3" s="31"/>
      <c r="BB3" s="1376" t="str">
        <f>+CONCATENATE(INSTRUCCIONES!B5, " - ", INSTRUCCIONES!B3)</f>
        <v>ESE HOSPITAL MARCO FIDEL SUAREZ - BELLO</v>
      </c>
      <c r="BC3" s="1377"/>
      <c r="BD3" s="53" t="s">
        <v>38</v>
      </c>
      <c r="BE3" s="54">
        <f>+N3</f>
        <v>2025</v>
      </c>
      <c r="BF3" s="55" t="s">
        <v>51</v>
      </c>
      <c r="BG3" s="1376" t="str">
        <f>+CONCATENATE(INSTRUCCIONES!B5, " - ", INSTRUCCIONES!B3)</f>
        <v>ESE HOSPITAL MARCO FIDEL SUAREZ - BELLO</v>
      </c>
      <c r="BH3" s="1378"/>
      <c r="BI3" s="1377"/>
      <c r="BJ3" s="53" t="s">
        <v>38</v>
      </c>
      <c r="BK3" s="54">
        <f>+BE3</f>
        <v>2025</v>
      </c>
      <c r="BL3" s="31"/>
      <c r="BM3" s="1379" t="str">
        <f>+CONCATENATE(INSTRUCCIONES!B5, " - ", INSTRUCCIONES!B3)</f>
        <v>ESE HOSPITAL MARCO FIDEL SUAREZ - BELLO</v>
      </c>
      <c r="BN3" s="1380"/>
      <c r="BO3" s="1381"/>
      <c r="BP3" s="53" t="s">
        <v>38</v>
      </c>
      <c r="BQ3" s="734">
        <f>+BK3</f>
        <v>2025</v>
      </c>
    </row>
    <row r="4" spans="1:69" ht="24.75" customHeight="1" thickBot="1">
      <c r="A4" s="48"/>
      <c r="B4" s="1356"/>
      <c r="C4" s="56"/>
      <c r="D4" s="1311"/>
      <c r="E4" s="1349"/>
      <c r="F4" s="1311"/>
      <c r="G4" s="1295"/>
      <c r="H4" s="1295"/>
      <c r="I4" s="1295"/>
      <c r="J4" s="1295"/>
      <c r="K4" s="1296"/>
      <c r="L4" s="1300"/>
      <c r="M4" s="1314"/>
      <c r="N4" s="1320"/>
      <c r="O4" s="31"/>
      <c r="P4" s="1316"/>
      <c r="Q4" s="1319"/>
      <c r="R4" s="31"/>
      <c r="S4" s="50"/>
      <c r="T4" s="1333"/>
      <c r="U4" s="56"/>
      <c r="V4" s="1311"/>
      <c r="W4" s="1295"/>
      <c r="X4" s="1349"/>
      <c r="Y4" s="1311"/>
      <c r="Z4" s="1295"/>
      <c r="AA4" s="1295"/>
      <c r="AB4" s="1295"/>
      <c r="AC4" s="1295"/>
      <c r="AD4" s="1295"/>
      <c r="AE4" s="1295"/>
      <c r="AF4" s="1295"/>
      <c r="AG4" s="1296"/>
      <c r="AH4" s="1311"/>
      <c r="AI4" s="1314"/>
      <c r="AJ4" s="1320"/>
      <c r="AK4" s="36"/>
      <c r="AL4" s="1316"/>
      <c r="AM4" s="1319"/>
      <c r="AN4" s="31"/>
      <c r="AO4" s="52"/>
      <c r="AP4" s="57"/>
      <c r="AQ4" s="58" t="s">
        <v>52</v>
      </c>
      <c r="AR4" s="58" t="s">
        <v>53</v>
      </c>
      <c r="AS4" s="58" t="s">
        <v>54</v>
      </c>
      <c r="AT4" s="58" t="s">
        <v>55</v>
      </c>
      <c r="AU4" s="58" t="s">
        <v>55</v>
      </c>
      <c r="AV4" s="59" t="s">
        <v>55</v>
      </c>
      <c r="AW4" s="1382" t="str">
        <f>+CONCATENATE("PROYECCION A DICIEMBRE 31 DEL ",N3)</f>
        <v>PROYECCION A DICIEMBRE 31 DEL 2025</v>
      </c>
      <c r="AX4" s="1374"/>
      <c r="AY4" s="1374"/>
      <c r="AZ4" s="1375"/>
      <c r="BA4" s="31"/>
      <c r="BB4" s="60"/>
      <c r="BC4" s="61"/>
      <c r="BD4" s="62"/>
      <c r="BE4" s="63"/>
      <c r="BF4" s="64"/>
      <c r="BG4" s="60"/>
      <c r="BH4" s="61"/>
      <c r="BI4" s="62"/>
      <c r="BJ4" s="62"/>
      <c r="BK4" s="65"/>
      <c r="BL4" s="66"/>
      <c r="BM4" s="735"/>
      <c r="BN4" s="736"/>
      <c r="BO4" s="737"/>
      <c r="BP4" s="737"/>
      <c r="BQ4" s="738"/>
    </row>
    <row r="5" spans="1:69" ht="42" customHeight="1" thickBot="1">
      <c r="A5" s="1350" t="s">
        <v>56</v>
      </c>
      <c r="B5" s="1352" t="str">
        <f>IF(SUM(C8:N125)=0,"DESCRIPCIÓN",IF(I10&gt;0,"DESCRIPCIÓN",IF(MARZO!I10=0,"OJO - RECUERDE RECAUDAR LA DISPONIBLIDAD INICIAL EN ESTE TRIMESTRE, haga clik en H9 para ampliar la información","")))</f>
        <v/>
      </c>
      <c r="C5" s="1354" t="s">
        <v>57</v>
      </c>
      <c r="D5" s="1322"/>
      <c r="E5" s="1322"/>
      <c r="F5" s="1323"/>
      <c r="G5" s="1321" t="s">
        <v>58</v>
      </c>
      <c r="H5" s="1322"/>
      <c r="I5" s="1323"/>
      <c r="J5" s="1324" t="str">
        <f>+IF(L8&gt;I8,"OJO - RECAUDOS MAYORES QUE RECONOCIMIENTOS","RECAUDO")</f>
        <v>RECAUDO</v>
      </c>
      <c r="K5" s="1322"/>
      <c r="L5" s="1323"/>
      <c r="M5" s="1325" t="s">
        <v>59</v>
      </c>
      <c r="N5" s="1323"/>
      <c r="O5" s="31"/>
      <c r="P5" s="1317"/>
      <c r="Q5" s="1320"/>
      <c r="R5" s="31"/>
      <c r="S5" s="1358" t="s">
        <v>60</v>
      </c>
      <c r="T5" s="1359" t="s">
        <v>61</v>
      </c>
      <c r="U5" s="1360" t="s">
        <v>57</v>
      </c>
      <c r="V5" s="1322"/>
      <c r="W5" s="1322"/>
      <c r="X5" s="1323"/>
      <c r="Y5" s="1335" t="s">
        <v>62</v>
      </c>
      <c r="Z5" s="1322"/>
      <c r="AA5" s="1340"/>
      <c r="AB5" s="1335" t="s">
        <v>63</v>
      </c>
      <c r="AC5" s="1322"/>
      <c r="AD5" s="1323"/>
      <c r="AE5" s="1335" t="s">
        <v>34</v>
      </c>
      <c r="AF5" s="1322"/>
      <c r="AG5" s="1323"/>
      <c r="AH5" s="1335" t="s">
        <v>64</v>
      </c>
      <c r="AI5" s="1322"/>
      <c r="AJ5" s="1323"/>
      <c r="AK5" s="36"/>
      <c r="AL5" s="1317"/>
      <c r="AM5" s="1320"/>
      <c r="AN5" s="31"/>
      <c r="AO5" s="68"/>
      <c r="AP5" s="69" t="s">
        <v>65</v>
      </c>
      <c r="AQ5" s="58"/>
      <c r="AR5" s="58" t="s">
        <v>66</v>
      </c>
      <c r="AS5" s="58" t="s">
        <v>66</v>
      </c>
      <c r="AT5" s="58" t="s">
        <v>67</v>
      </c>
      <c r="AU5" s="58" t="s">
        <v>68</v>
      </c>
      <c r="AV5" s="58" t="s">
        <v>68</v>
      </c>
      <c r="AW5" s="58" t="s">
        <v>23</v>
      </c>
      <c r="AX5" s="58" t="s">
        <v>26</v>
      </c>
      <c r="AY5" s="58" t="s">
        <v>69</v>
      </c>
      <c r="AZ5" s="70" t="s">
        <v>69</v>
      </c>
      <c r="BA5" s="31"/>
      <c r="BB5" s="71" t="s">
        <v>70</v>
      </c>
      <c r="BC5" s="72" t="str">
        <f>+CONCATENATE("ACUMULADO ",N3)</f>
        <v>ACUMULADO 2025</v>
      </c>
      <c r="BD5" s="73"/>
      <c r="BE5" s="74"/>
      <c r="BF5" s="75" t="s">
        <v>51</v>
      </c>
      <c r="BG5" s="1383" t="s">
        <v>71</v>
      </c>
      <c r="BH5" s="1361" t="str">
        <f>+CONCATENATE("ACUMULADO ",N3)</f>
        <v>ACUMULADO 2025</v>
      </c>
      <c r="BI5" s="1322"/>
      <c r="BJ5" s="1322"/>
      <c r="BK5" s="1323"/>
      <c r="BL5" s="31"/>
      <c r="BM5" s="1384" t="s">
        <v>71</v>
      </c>
      <c r="BN5" s="1370" t="str">
        <f>+CONCATENATE("ACUMULADO ",BQ3)</f>
        <v>ACUMULADO 2025</v>
      </c>
      <c r="BO5" s="1371"/>
      <c r="BP5" s="1371"/>
      <c r="BQ5" s="1372"/>
    </row>
    <row r="6" spans="1:69" ht="24.75" customHeight="1" thickBot="1">
      <c r="A6" s="1351"/>
      <c r="B6" s="1353"/>
      <c r="C6" s="76" t="s">
        <v>72</v>
      </c>
      <c r="D6" s="77" t="s">
        <v>73</v>
      </c>
      <c r="E6" s="77" t="s">
        <v>74</v>
      </c>
      <c r="F6" s="78" t="s">
        <v>75</v>
      </c>
      <c r="G6" s="76" t="s">
        <v>76</v>
      </c>
      <c r="H6" s="77" t="s">
        <v>77</v>
      </c>
      <c r="I6" s="78" t="s">
        <v>78</v>
      </c>
      <c r="J6" s="76" t="s">
        <v>76</v>
      </c>
      <c r="K6" s="77" t="s">
        <v>77</v>
      </c>
      <c r="L6" s="78" t="s">
        <v>78</v>
      </c>
      <c r="M6" s="76" t="s">
        <v>79</v>
      </c>
      <c r="N6" s="78" t="s">
        <v>80</v>
      </c>
      <c r="O6" s="31"/>
      <c r="P6" s="79" t="s">
        <v>81</v>
      </c>
      <c r="Q6" s="80" t="s">
        <v>82</v>
      </c>
      <c r="R6" s="31"/>
      <c r="S6" s="1317"/>
      <c r="T6" s="1320"/>
      <c r="U6" s="81" t="s">
        <v>72</v>
      </c>
      <c r="V6" s="82" t="s">
        <v>73</v>
      </c>
      <c r="W6" s="82" t="s">
        <v>74</v>
      </c>
      <c r="X6" s="83" t="s">
        <v>75</v>
      </c>
      <c r="Y6" s="84" t="s">
        <v>76</v>
      </c>
      <c r="Z6" s="82" t="s">
        <v>77</v>
      </c>
      <c r="AA6" s="82" t="s">
        <v>78</v>
      </c>
      <c r="AB6" s="84" t="s">
        <v>76</v>
      </c>
      <c r="AC6" s="82" t="s">
        <v>77</v>
      </c>
      <c r="AD6" s="82" t="s">
        <v>78</v>
      </c>
      <c r="AE6" s="84" t="s">
        <v>76</v>
      </c>
      <c r="AF6" s="82" t="s">
        <v>77</v>
      </c>
      <c r="AG6" s="82" t="s">
        <v>78</v>
      </c>
      <c r="AH6" s="84" t="s">
        <v>29</v>
      </c>
      <c r="AI6" s="82" t="s">
        <v>31</v>
      </c>
      <c r="AJ6" s="83" t="s">
        <v>34</v>
      </c>
      <c r="AK6" s="36"/>
      <c r="AL6" s="76" t="s">
        <v>81</v>
      </c>
      <c r="AM6" s="78" t="s">
        <v>82</v>
      </c>
      <c r="AN6" s="31"/>
      <c r="AO6" s="85"/>
      <c r="AP6" s="86"/>
      <c r="AQ6" s="87" t="s">
        <v>75</v>
      </c>
      <c r="AR6" s="87" t="str">
        <f>+L3</f>
        <v>ENERO</v>
      </c>
      <c r="AS6" s="87" t="str">
        <f>AR6</f>
        <v>ENERO</v>
      </c>
      <c r="AT6" s="87" t="str">
        <f>AR6</f>
        <v>ENERO</v>
      </c>
      <c r="AU6" s="87" t="s">
        <v>53</v>
      </c>
      <c r="AV6" s="87" t="s">
        <v>26</v>
      </c>
      <c r="AW6" s="87"/>
      <c r="AX6" s="87"/>
      <c r="AY6" s="87" t="s">
        <v>53</v>
      </c>
      <c r="AZ6" s="88" t="s">
        <v>26</v>
      </c>
      <c r="BA6" s="31"/>
      <c r="BB6" s="89"/>
      <c r="BC6" s="90" t="s">
        <v>83</v>
      </c>
      <c r="BD6" s="91" t="s">
        <v>84</v>
      </c>
      <c r="BE6" s="92" t="s">
        <v>85</v>
      </c>
      <c r="BF6" s="93"/>
      <c r="BG6" s="1317"/>
      <c r="BH6" s="94" t="s">
        <v>83</v>
      </c>
      <c r="BI6" s="94" t="s">
        <v>86</v>
      </c>
      <c r="BJ6" s="94" t="s">
        <v>87</v>
      </c>
      <c r="BK6" s="95" t="s">
        <v>88</v>
      </c>
      <c r="BL6" s="31"/>
      <c r="BM6" s="1385"/>
      <c r="BN6" s="96" t="s">
        <v>83</v>
      </c>
      <c r="BO6" s="739" t="s">
        <v>86</v>
      </c>
      <c r="BP6" s="739" t="s">
        <v>87</v>
      </c>
      <c r="BQ6" s="740" t="s">
        <v>88</v>
      </c>
    </row>
    <row r="7" spans="1:69" ht="24.75" customHeight="1" thickBot="1">
      <c r="A7" s="97"/>
      <c r="B7" s="731"/>
      <c r="C7" s="98"/>
      <c r="D7" s="98"/>
      <c r="E7" s="98"/>
      <c r="F7" s="98"/>
      <c r="G7" s="98"/>
      <c r="H7" s="98"/>
      <c r="I7" s="98"/>
      <c r="J7" s="98"/>
      <c r="K7" s="98"/>
      <c r="L7" s="98"/>
      <c r="M7" s="98"/>
      <c r="N7" s="99"/>
      <c r="O7" s="31"/>
      <c r="P7" s="100"/>
      <c r="Q7" s="99"/>
      <c r="R7" s="101"/>
      <c r="S7" s="102"/>
      <c r="T7" s="103"/>
      <c r="U7" s="104"/>
      <c r="V7" s="104"/>
      <c r="W7" s="104"/>
      <c r="X7" s="104"/>
      <c r="Y7" s="104"/>
      <c r="Z7" s="104"/>
      <c r="AA7" s="104"/>
      <c r="AB7" s="104"/>
      <c r="AC7" s="104"/>
      <c r="AD7" s="104"/>
      <c r="AE7" s="104"/>
      <c r="AF7" s="104"/>
      <c r="AG7" s="104"/>
      <c r="AH7" s="104"/>
      <c r="AI7" s="104"/>
      <c r="AJ7" s="105"/>
      <c r="AK7" s="36"/>
      <c r="AL7" s="106"/>
      <c r="AM7" s="107"/>
      <c r="AN7" s="101"/>
      <c r="AO7" s="108"/>
      <c r="AP7" s="109" t="s">
        <v>89</v>
      </c>
      <c r="AQ7" s="110">
        <f>F22</f>
        <v>56030749893.586876</v>
      </c>
      <c r="AR7" s="110">
        <f>I22</f>
        <v>8619609747</v>
      </c>
      <c r="AS7" s="110">
        <f>L22</f>
        <v>3199509191</v>
      </c>
      <c r="AT7" s="101"/>
      <c r="AU7" s="111">
        <f t="shared" ref="AU7:AU17" si="0">IF(AQ7=0," ",AR7/AQ7)</f>
        <v>0.15383712985048906</v>
      </c>
      <c r="AV7" s="111">
        <f t="shared" ref="AV7:AV17" si="1">IF(AQ7=0," ",AS7/AQ7)</f>
        <v>5.7102737284017803E-2</v>
      </c>
      <c r="AW7" s="110">
        <f>I23/AO$2*12+I24</f>
        <v>68829058937</v>
      </c>
      <c r="AX7" s="110">
        <f>L23/AO$2*12+L24</f>
        <v>3787852265</v>
      </c>
      <c r="AY7" s="110">
        <f t="shared" ref="AY7:AY16" si="2">AW7-AQ7</f>
        <v>12798309043.413124</v>
      </c>
      <c r="AZ7" s="112">
        <f t="shared" ref="AZ7:AZ16" si="3">AX7-AQ7</f>
        <v>-52242897628.586876</v>
      </c>
      <c r="BA7" s="101"/>
      <c r="BB7" s="113" t="s">
        <v>90</v>
      </c>
      <c r="BC7" s="114">
        <f>F10</f>
        <v>0</v>
      </c>
      <c r="BD7" s="115">
        <f>I10</f>
        <v>0</v>
      </c>
      <c r="BE7" s="116">
        <f>K10</f>
        <v>0</v>
      </c>
      <c r="BF7" s="117"/>
      <c r="BG7" s="118" t="s">
        <v>91</v>
      </c>
      <c r="BH7" s="119">
        <f>+SUM(BH8:BH11)</f>
        <v>97905220402.611267</v>
      </c>
      <c r="BI7" s="119">
        <f>+SUM(BI8:BI11)</f>
        <v>44633699547</v>
      </c>
      <c r="BJ7" s="119">
        <f>+SUM(BJ8:BJ11)</f>
        <v>7349803314</v>
      </c>
      <c r="BK7" s="120">
        <f>+SUM(BK8:BK11)</f>
        <v>617530918</v>
      </c>
      <c r="BL7" s="101"/>
      <c r="BM7" s="741" t="s">
        <v>91</v>
      </c>
      <c r="BN7" s="121">
        <f>BN8+BN15+BN22</f>
        <v>97905220402.611298</v>
      </c>
      <c r="BO7" s="122">
        <f>BO8+BO15+BO22</f>
        <v>44633699547</v>
      </c>
      <c r="BP7" s="122">
        <f>BP8+BP15+BP22</f>
        <v>7349803314</v>
      </c>
      <c r="BQ7" s="742">
        <f>BQ8+BQ15+BQ22</f>
        <v>617530918</v>
      </c>
    </row>
    <row r="8" spans="1:69" ht="24.75" customHeight="1" thickBot="1">
      <c r="A8" s="123">
        <v>1</v>
      </c>
      <c r="B8" s="124" t="s">
        <v>50</v>
      </c>
      <c r="C8" s="125">
        <f t="shared" ref="C8:N8" si="4">C10+C17+C113</f>
        <v>158143153137.47653</v>
      </c>
      <c r="D8" s="125">
        <f t="shared" si="4"/>
        <v>0</v>
      </c>
      <c r="E8" s="125">
        <f t="shared" si="4"/>
        <v>6401468507</v>
      </c>
      <c r="F8" s="125">
        <f t="shared" si="4"/>
        <v>164544621644.47653</v>
      </c>
      <c r="G8" s="125">
        <f t="shared" si="4"/>
        <v>0</v>
      </c>
      <c r="H8" s="125">
        <f t="shared" si="4"/>
        <v>27080206820</v>
      </c>
      <c r="I8" s="125">
        <f>I10+I17+I113</f>
        <v>27080206820</v>
      </c>
      <c r="J8" s="125">
        <f t="shared" si="4"/>
        <v>0</v>
      </c>
      <c r="K8" s="125">
        <f t="shared" si="4"/>
        <v>10410466334</v>
      </c>
      <c r="L8" s="125">
        <f t="shared" si="4"/>
        <v>10410466334</v>
      </c>
      <c r="M8" s="125">
        <f t="shared" si="4"/>
        <v>137464414824.4765</v>
      </c>
      <c r="N8" s="125">
        <f t="shared" si="4"/>
        <v>154134155310.47653</v>
      </c>
      <c r="O8" s="126"/>
      <c r="P8" s="127">
        <f>P10+P17+P113</f>
        <v>0</v>
      </c>
      <c r="Q8" s="128">
        <f>Q10+Q17+Q113</f>
        <v>6401468507</v>
      </c>
      <c r="R8" s="101"/>
      <c r="S8" s="639" t="s">
        <v>532</v>
      </c>
      <c r="T8" s="130" t="s">
        <v>92</v>
      </c>
      <c r="U8" s="134">
        <f t="shared" ref="U8:AJ8" si="5">U10+U193+U220+U232</f>
        <v>158143153137.16666</v>
      </c>
      <c r="V8" s="132">
        <f t="shared" si="5"/>
        <v>0</v>
      </c>
      <c r="W8" s="132">
        <f t="shared" si="5"/>
        <v>6401468407</v>
      </c>
      <c r="X8" s="134">
        <f t="shared" si="5"/>
        <v>164544621544.16666</v>
      </c>
      <c r="Y8" s="134">
        <f t="shared" si="5"/>
        <v>0</v>
      </c>
      <c r="Z8" s="132">
        <f t="shared" si="5"/>
        <v>71091031371</v>
      </c>
      <c r="AA8" s="133">
        <f t="shared" si="5"/>
        <v>71091031371</v>
      </c>
      <c r="AB8" s="134">
        <f t="shared" si="5"/>
        <v>0</v>
      </c>
      <c r="AC8" s="132">
        <f t="shared" si="5"/>
        <v>20629350083</v>
      </c>
      <c r="AD8" s="133">
        <f t="shared" si="5"/>
        <v>20629350083</v>
      </c>
      <c r="AE8" s="134">
        <f t="shared" si="5"/>
        <v>0</v>
      </c>
      <c r="AF8" s="132">
        <f t="shared" si="5"/>
        <v>9700282252</v>
      </c>
      <c r="AG8" s="133">
        <f t="shared" si="5"/>
        <v>9700282252</v>
      </c>
      <c r="AH8" s="134">
        <f t="shared" si="5"/>
        <v>93453590173.166656</v>
      </c>
      <c r="AI8" s="132">
        <f t="shared" si="5"/>
        <v>143915271461.16666</v>
      </c>
      <c r="AJ8" s="135">
        <f t="shared" si="5"/>
        <v>154844339292.16666</v>
      </c>
      <c r="AK8" s="101"/>
      <c r="AL8" s="136">
        <f>AL10+AL193+AL220+AL232</f>
        <v>0</v>
      </c>
      <c r="AM8" s="137">
        <f>AM10+AM193+AM220+AM232</f>
        <v>6401468407</v>
      </c>
      <c r="AN8" s="101"/>
      <c r="AO8" s="108"/>
      <c r="AP8" s="109" t="s">
        <v>93</v>
      </c>
      <c r="AQ8" s="138">
        <f>F25</f>
        <v>91588666596</v>
      </c>
      <c r="AR8" s="138">
        <f>I25</f>
        <v>13195761074</v>
      </c>
      <c r="AS8" s="138">
        <f>L25</f>
        <v>6655454622</v>
      </c>
      <c r="AT8" s="101"/>
      <c r="AU8" s="139">
        <f t="shared" si="0"/>
        <v>0.1440763531606683</v>
      </c>
      <c r="AV8" s="139">
        <f t="shared" si="1"/>
        <v>7.2666792403009689E-2</v>
      </c>
      <c r="AW8" s="138">
        <f>I26/AO$2*12+I27</f>
        <v>85534664766</v>
      </c>
      <c r="AX8" s="138">
        <f>L26/AO$2*12+L27</f>
        <v>7050987342</v>
      </c>
      <c r="AY8" s="138">
        <f t="shared" si="2"/>
        <v>-6054001830</v>
      </c>
      <c r="AZ8" s="140">
        <f t="shared" si="3"/>
        <v>-84537679254</v>
      </c>
      <c r="BA8" s="101"/>
      <c r="BB8" s="141" t="s">
        <v>94</v>
      </c>
      <c r="BC8" s="142">
        <f>SUM(BC9+BC19+BC18)</f>
        <v>144385305797.37653</v>
      </c>
      <c r="BD8" s="143">
        <f>BD9+BD19</f>
        <v>14579173678</v>
      </c>
      <c r="BE8" s="142">
        <f>SUM(BE9+BE19+BE18)</f>
        <v>124593192</v>
      </c>
      <c r="BF8" s="117"/>
      <c r="BG8" s="145" t="s">
        <v>95</v>
      </c>
      <c r="BH8" s="146">
        <f>BN9+BN13</f>
        <v>10633231842.212667</v>
      </c>
      <c r="BI8" s="146">
        <f>BO9+BO13</f>
        <v>575200453</v>
      </c>
      <c r="BJ8" s="146">
        <f>BP9+BP13</f>
        <v>575200453</v>
      </c>
      <c r="BK8" s="147">
        <f>BQ9+BQ13</f>
        <v>569146145</v>
      </c>
      <c r="BL8" s="101"/>
      <c r="BM8" s="743" t="s">
        <v>96</v>
      </c>
      <c r="BN8" s="148">
        <f>BN9+BN14+BN13</f>
        <v>76976236632.212677</v>
      </c>
      <c r="BO8" s="146">
        <f>BO9+BO14+BO13</f>
        <v>38514553994</v>
      </c>
      <c r="BP8" s="146">
        <f>BP9+BP14+BP13</f>
        <v>5551796434</v>
      </c>
      <c r="BQ8" s="744">
        <f>BQ9+BQ14+BQ13</f>
        <v>569146145</v>
      </c>
    </row>
    <row r="9" spans="1:69" ht="24.75" customHeight="1" thickBot="1">
      <c r="A9" s="149"/>
      <c r="B9" s="150"/>
      <c r="C9" s="151"/>
      <c r="D9" s="151"/>
      <c r="E9" s="151"/>
      <c r="F9" s="151"/>
      <c r="G9" s="151"/>
      <c r="H9" s="151"/>
      <c r="I9" s="151"/>
      <c r="J9" s="151"/>
      <c r="K9" s="151"/>
      <c r="L9" s="151"/>
      <c r="M9" s="151"/>
      <c r="N9" s="152"/>
      <c r="O9" s="126"/>
      <c r="P9" s="153"/>
      <c r="Q9" s="152"/>
      <c r="R9" s="101"/>
      <c r="S9" s="102"/>
      <c r="T9" s="103"/>
      <c r="U9" s="104"/>
      <c r="V9" s="104"/>
      <c r="W9" s="104"/>
      <c r="X9" s="104"/>
      <c r="Y9" s="104"/>
      <c r="Z9" s="104"/>
      <c r="AA9" s="104"/>
      <c r="AB9" s="104"/>
      <c r="AC9" s="104"/>
      <c r="AD9" s="104"/>
      <c r="AE9" s="104"/>
      <c r="AF9" s="104"/>
      <c r="AG9" s="104"/>
      <c r="AH9" s="104"/>
      <c r="AI9" s="104"/>
      <c r="AJ9" s="105"/>
      <c r="AK9" s="101"/>
      <c r="AL9" s="154"/>
      <c r="AM9" s="155"/>
      <c r="AN9" s="101"/>
      <c r="AO9" s="156"/>
      <c r="AP9" s="109" t="s">
        <v>97</v>
      </c>
      <c r="AQ9" s="138">
        <f>F28+F75</f>
        <v>2299679776</v>
      </c>
      <c r="AR9" s="138">
        <f>I28+I75</f>
        <v>184613220</v>
      </c>
      <c r="AS9" s="138">
        <f>L28+L75</f>
        <v>0</v>
      </c>
      <c r="AT9" s="101"/>
      <c r="AU9" s="157">
        <f t="shared" si="0"/>
        <v>8.0277794294086963E-2</v>
      </c>
      <c r="AV9" s="157">
        <f t="shared" si="1"/>
        <v>0</v>
      </c>
      <c r="AW9" s="158">
        <f>(I30+I33+I36+I76)/AO$2*12+I31+I34+I37+I38+I39+I40+I77</f>
        <v>2215358640</v>
      </c>
      <c r="AX9" s="158">
        <f>(L30+L33+L36+L76)/AO$2*12+L31+L34+L37+L38+L39+L40+L77</f>
        <v>0</v>
      </c>
      <c r="AY9" s="158">
        <f t="shared" si="2"/>
        <v>-84321136</v>
      </c>
      <c r="AZ9" s="159">
        <f t="shared" si="3"/>
        <v>-2299679776</v>
      </c>
      <c r="BA9" s="101"/>
      <c r="BB9" s="160" t="s">
        <v>98</v>
      </c>
      <c r="BC9" s="161">
        <f>BC10+BC16</f>
        <v>143500305797.37653</v>
      </c>
      <c r="BD9" s="161">
        <f>BD10+BD16</f>
        <v>12848300374</v>
      </c>
      <c r="BE9" s="161">
        <f>BE10+BE16</f>
        <v>94413073</v>
      </c>
      <c r="BF9" s="164"/>
      <c r="BG9" s="165" t="s">
        <v>99</v>
      </c>
      <c r="BH9" s="166">
        <f t="shared" ref="BH9:BK10" si="6">BN14</f>
        <v>66343004790</v>
      </c>
      <c r="BI9" s="166">
        <f t="shared" si="6"/>
        <v>37939353541</v>
      </c>
      <c r="BJ9" s="166">
        <f t="shared" si="6"/>
        <v>4976595981</v>
      </c>
      <c r="BK9" s="167">
        <f t="shared" si="6"/>
        <v>0</v>
      </c>
      <c r="BL9" s="101"/>
      <c r="BM9" s="745" t="s">
        <v>100</v>
      </c>
      <c r="BN9" s="168">
        <f>SUM(BN10:BN12)</f>
        <v>7937580438.916667</v>
      </c>
      <c r="BO9" s="574">
        <f>SUM(BO10:BO12)</f>
        <v>435068897</v>
      </c>
      <c r="BP9" s="166">
        <f>SUM(BP10:BP12)</f>
        <v>435068897</v>
      </c>
      <c r="BQ9" s="746">
        <f>SUM(BQ10:BQ12)</f>
        <v>431572945</v>
      </c>
    </row>
    <row r="10" spans="1:69" ht="24.75" customHeight="1">
      <c r="A10" s="169" t="s">
        <v>523</v>
      </c>
      <c r="B10" s="170" t="s">
        <v>101</v>
      </c>
      <c r="C10" s="171">
        <f t="shared" ref="C10:N10" si="7">SUM(C12:C15)</f>
        <v>0</v>
      </c>
      <c r="D10" s="172">
        <f t="shared" si="7"/>
        <v>0</v>
      </c>
      <c r="E10" s="172">
        <f t="shared" si="7"/>
        <v>0</v>
      </c>
      <c r="F10" s="173">
        <f t="shared" si="7"/>
        <v>0</v>
      </c>
      <c r="G10" s="174">
        <f t="shared" si="7"/>
        <v>0</v>
      </c>
      <c r="H10" s="172">
        <f t="shared" si="7"/>
        <v>0</v>
      </c>
      <c r="I10" s="175">
        <f t="shared" si="7"/>
        <v>0</v>
      </c>
      <c r="J10" s="171">
        <f t="shared" si="7"/>
        <v>0</v>
      </c>
      <c r="K10" s="172">
        <f t="shared" si="7"/>
        <v>0</v>
      </c>
      <c r="L10" s="173">
        <f t="shared" si="7"/>
        <v>0</v>
      </c>
      <c r="M10" s="171">
        <f t="shared" si="7"/>
        <v>0</v>
      </c>
      <c r="N10" s="173">
        <f t="shared" si="7"/>
        <v>0</v>
      </c>
      <c r="O10" s="101"/>
      <c r="P10" s="171">
        <f>SUM(P12:P15)</f>
        <v>0</v>
      </c>
      <c r="Q10" s="173">
        <f>SUM(Q12:Q15)</f>
        <v>0</v>
      </c>
      <c r="R10" s="101"/>
      <c r="S10" s="639" t="s">
        <v>531</v>
      </c>
      <c r="T10" s="177" t="s">
        <v>91</v>
      </c>
      <c r="U10" s="181">
        <f t="shared" ref="U10:AJ10" si="8">U12+U110+U169</f>
        <v>112528788023.5</v>
      </c>
      <c r="V10" s="179">
        <f t="shared" si="8"/>
        <v>0</v>
      </c>
      <c r="W10" s="179">
        <f t="shared" si="8"/>
        <v>0</v>
      </c>
      <c r="X10" s="180">
        <f t="shared" si="8"/>
        <v>112528788023.5</v>
      </c>
      <c r="Y10" s="181">
        <f t="shared" si="8"/>
        <v>0</v>
      </c>
      <c r="Z10" s="179">
        <f t="shared" si="8"/>
        <v>51290672797</v>
      </c>
      <c r="AA10" s="180">
        <f t="shared" si="8"/>
        <v>51290672797</v>
      </c>
      <c r="AB10" s="181">
        <f t="shared" si="8"/>
        <v>0</v>
      </c>
      <c r="AC10" s="179">
        <f t="shared" si="8"/>
        <v>14006776564</v>
      </c>
      <c r="AD10" s="182">
        <f t="shared" si="8"/>
        <v>14006776564</v>
      </c>
      <c r="AE10" s="181">
        <f t="shared" si="8"/>
        <v>0</v>
      </c>
      <c r="AF10" s="179">
        <f t="shared" si="8"/>
        <v>7361631231</v>
      </c>
      <c r="AG10" s="180">
        <f t="shared" si="8"/>
        <v>7361631231</v>
      </c>
      <c r="AH10" s="181">
        <f t="shared" si="8"/>
        <v>61238115226.5</v>
      </c>
      <c r="AI10" s="179">
        <f t="shared" si="8"/>
        <v>98522011459.5</v>
      </c>
      <c r="AJ10" s="180">
        <f t="shared" si="8"/>
        <v>105167156792.5</v>
      </c>
      <c r="AK10" s="101"/>
      <c r="AL10" s="183">
        <f>AL12+AL110+AL169</f>
        <v>0</v>
      </c>
      <c r="AM10" s="184"/>
      <c r="AN10" s="101"/>
      <c r="AO10" s="156"/>
      <c r="AP10" s="109" t="s">
        <v>102</v>
      </c>
      <c r="AQ10" s="138">
        <f>F42</f>
        <v>287170800</v>
      </c>
      <c r="AR10" s="138">
        <f>I42</f>
        <v>3942154</v>
      </c>
      <c r="AS10" s="138">
        <f>L42</f>
        <v>0</v>
      </c>
      <c r="AT10" s="101"/>
      <c r="AU10" s="157">
        <f t="shared" si="0"/>
        <v>1.3727558651506351E-2</v>
      </c>
      <c r="AV10" s="157">
        <f t="shared" si="1"/>
        <v>0</v>
      </c>
      <c r="AW10" s="158">
        <f>I43/AO$2*12+I44</f>
        <v>47305848</v>
      </c>
      <c r="AX10" s="158">
        <f>L43/AO$2*12+L44</f>
        <v>0</v>
      </c>
      <c r="AY10" s="158">
        <f t="shared" si="2"/>
        <v>-239864952</v>
      </c>
      <c r="AZ10" s="159">
        <f t="shared" si="3"/>
        <v>-287170800</v>
      </c>
      <c r="BA10" s="101"/>
      <c r="BB10" s="185" t="s">
        <v>103</v>
      </c>
      <c r="BC10" s="161">
        <f>SUM(BC11+BC12+BC13+BC14+BC17)</f>
        <v>137098837290.37653</v>
      </c>
      <c r="BD10" s="161">
        <f>SUM(BD11+BD12+BD13+BD14+BD17)</f>
        <v>12848300374</v>
      </c>
      <c r="BE10" s="161">
        <f>SUM(BE11+BE12+BE13+BE14+BE17)</f>
        <v>94413073</v>
      </c>
      <c r="BF10" s="164"/>
      <c r="BG10" s="145" t="s">
        <v>104</v>
      </c>
      <c r="BH10" s="186">
        <f t="shared" si="6"/>
        <v>18735923185.398613</v>
      </c>
      <c r="BI10" s="186">
        <f t="shared" si="6"/>
        <v>5880132202</v>
      </c>
      <c r="BJ10" s="186">
        <f t="shared" si="6"/>
        <v>1558993529</v>
      </c>
      <c r="BK10" s="187">
        <f t="shared" si="6"/>
        <v>24860684</v>
      </c>
      <c r="BL10" s="101"/>
      <c r="BM10" s="747" t="s">
        <v>105</v>
      </c>
      <c r="BN10" s="188">
        <f>X17+X66</f>
        <v>6311977741</v>
      </c>
      <c r="BO10" s="575">
        <f>AA17+AA66</f>
        <v>399373359</v>
      </c>
      <c r="BP10" s="186">
        <f>AD17+AD66</f>
        <v>399373359</v>
      </c>
      <c r="BQ10" s="748">
        <f>AF17+AF66</f>
        <v>399373359</v>
      </c>
    </row>
    <row r="11" spans="1:69" ht="24.75" customHeight="1">
      <c r="A11" s="149"/>
      <c r="B11" s="150"/>
      <c r="C11" s="151"/>
      <c r="D11" s="151"/>
      <c r="E11" s="151"/>
      <c r="F11" s="151"/>
      <c r="G11" s="151"/>
      <c r="H11" s="151"/>
      <c r="I11" s="151"/>
      <c r="J11" s="151"/>
      <c r="K11" s="151"/>
      <c r="L11" s="151"/>
      <c r="M11" s="151"/>
      <c r="N11" s="152"/>
      <c r="O11" s="126"/>
      <c r="P11" s="153"/>
      <c r="Q11" s="152"/>
      <c r="R11" s="101"/>
      <c r="S11" s="189"/>
      <c r="T11" s="190"/>
      <c r="U11" s="191"/>
      <c r="V11" s="191"/>
      <c r="W11" s="191"/>
      <c r="X11" s="192"/>
      <c r="Y11" s="193"/>
      <c r="Z11" s="191"/>
      <c r="AA11" s="192"/>
      <c r="AB11" s="193"/>
      <c r="AC11" s="191"/>
      <c r="AD11" s="191"/>
      <c r="AE11" s="193"/>
      <c r="AF11" s="191"/>
      <c r="AG11" s="192"/>
      <c r="AH11" s="193"/>
      <c r="AI11" s="191"/>
      <c r="AJ11" s="192"/>
      <c r="AK11" s="101"/>
      <c r="AL11" s="194"/>
      <c r="AM11" s="195"/>
      <c r="AN11" s="101"/>
      <c r="AO11" s="196" t="s">
        <v>50</v>
      </c>
      <c r="AP11" s="388" t="s">
        <v>677</v>
      </c>
      <c r="AQ11" s="138">
        <f>F88</f>
        <v>1684010668</v>
      </c>
      <c r="AR11" s="138">
        <f>I88</f>
        <v>0</v>
      </c>
      <c r="AS11" s="138">
        <f>L88</f>
        <v>0</v>
      </c>
      <c r="AT11" s="198">
        <f>AO2/12</f>
        <v>8.3333333333333329E-2</v>
      </c>
      <c r="AU11" s="157">
        <f t="shared" si="0"/>
        <v>0</v>
      </c>
      <c r="AV11" s="157">
        <f t="shared" si="1"/>
        <v>0</v>
      </c>
      <c r="AW11" s="158">
        <f>I88</f>
        <v>0</v>
      </c>
      <c r="AX11" s="158">
        <f>L88</f>
        <v>0</v>
      </c>
      <c r="AY11" s="158">
        <f t="shared" si="2"/>
        <v>-1684010668</v>
      </c>
      <c r="AZ11" s="159">
        <f t="shared" si="3"/>
        <v>-1684010668</v>
      </c>
      <c r="BA11" s="101"/>
      <c r="BB11" s="185" t="s">
        <v>107</v>
      </c>
      <c r="BC11" s="161">
        <f>SUM(F26)</f>
        <v>81866799864</v>
      </c>
      <c r="BD11" s="161">
        <f>SUM(I26)</f>
        <v>6576263972</v>
      </c>
      <c r="BE11" s="161">
        <f>SUM(K26)</f>
        <v>35957520</v>
      </c>
      <c r="BF11" s="164"/>
      <c r="BG11" s="145" t="s">
        <v>108</v>
      </c>
      <c r="BH11" s="199">
        <f>BN22</f>
        <v>2193060585</v>
      </c>
      <c r="BI11" s="199">
        <f>BO22</f>
        <v>239013351</v>
      </c>
      <c r="BJ11" s="199">
        <f>BP22</f>
        <v>239013351</v>
      </c>
      <c r="BK11" s="200">
        <f>BQ22</f>
        <v>23524089</v>
      </c>
      <c r="BL11" s="101"/>
      <c r="BM11" s="749" t="s">
        <v>109</v>
      </c>
      <c r="BN11" s="201">
        <f>X18+X67</f>
        <v>17000000</v>
      </c>
      <c r="BO11" s="576">
        <f>AA18+AA67</f>
        <v>912727</v>
      </c>
      <c r="BP11" s="199">
        <f>AD18+AD67</f>
        <v>912727</v>
      </c>
      <c r="BQ11" s="750">
        <f>AF18+AF67</f>
        <v>912727</v>
      </c>
    </row>
    <row r="12" spans="1:69" ht="24.75" customHeight="1">
      <c r="A12" s="637" t="s">
        <v>525</v>
      </c>
      <c r="B12" s="638" t="s">
        <v>526</v>
      </c>
      <c r="C12" s="204">
        <v>0</v>
      </c>
      <c r="D12" s="205">
        <f>P12</f>
        <v>0</v>
      </c>
      <c r="E12" s="205">
        <f>Q12</f>
        <v>0</v>
      </c>
      <c r="F12" s="206">
        <f>SUM(C12:E12)</f>
        <v>0</v>
      </c>
      <c r="G12" s="207">
        <v>0</v>
      </c>
      <c r="H12" s="208">
        <v>0</v>
      </c>
      <c r="I12" s="206">
        <f>SUM(G12:H12)</f>
        <v>0</v>
      </c>
      <c r="J12" s="207">
        <v>0</v>
      </c>
      <c r="K12" s="209">
        <f>+H12</f>
        <v>0</v>
      </c>
      <c r="L12" s="206">
        <f>SUM(J12:K12)</f>
        <v>0</v>
      </c>
      <c r="M12" s="207">
        <f>F12-I12</f>
        <v>0</v>
      </c>
      <c r="N12" s="206">
        <f>F12-L12</f>
        <v>0</v>
      </c>
      <c r="O12" s="67"/>
      <c r="P12" s="204">
        <v>0</v>
      </c>
      <c r="Q12" s="210"/>
      <c r="R12" s="101"/>
      <c r="S12" s="640" t="s">
        <v>533</v>
      </c>
      <c r="T12" s="212" t="s">
        <v>110</v>
      </c>
      <c r="U12" s="183">
        <f t="shared" ref="U12:AJ12" si="9">U14+U63</f>
        <v>88367557767.879166</v>
      </c>
      <c r="V12" s="214">
        <f t="shared" si="9"/>
        <v>-198873359</v>
      </c>
      <c r="W12" s="214">
        <f t="shared" si="9"/>
        <v>0</v>
      </c>
      <c r="X12" s="184">
        <f t="shared" si="9"/>
        <v>88168684408.879166</v>
      </c>
      <c r="Y12" s="183">
        <f t="shared" si="9"/>
        <v>0</v>
      </c>
      <c r="Z12" s="214">
        <f t="shared" si="9"/>
        <v>44366469013</v>
      </c>
      <c r="AA12" s="184">
        <f t="shared" si="9"/>
        <v>44366469013</v>
      </c>
      <c r="AB12" s="183">
        <f t="shared" si="9"/>
        <v>0</v>
      </c>
      <c r="AC12" s="214">
        <f t="shared" si="9"/>
        <v>11403711453</v>
      </c>
      <c r="AD12" s="215">
        <f t="shared" si="9"/>
        <v>11403711453</v>
      </c>
      <c r="AE12" s="183">
        <f t="shared" si="9"/>
        <v>0</v>
      </c>
      <c r="AF12" s="214">
        <f t="shared" si="9"/>
        <v>6421061164</v>
      </c>
      <c r="AG12" s="184">
        <f t="shared" si="9"/>
        <v>6421061164</v>
      </c>
      <c r="AH12" s="183">
        <f t="shared" si="9"/>
        <v>43802215395.879166</v>
      </c>
      <c r="AI12" s="214">
        <f t="shared" si="9"/>
        <v>76764972955.879166</v>
      </c>
      <c r="AJ12" s="184">
        <f t="shared" si="9"/>
        <v>81747623244.879166</v>
      </c>
      <c r="AK12" s="216"/>
      <c r="AL12" s="217">
        <f>AL14+AL63</f>
        <v>-198873359</v>
      </c>
      <c r="AM12" s="218"/>
      <c r="AN12" s="101"/>
      <c r="AO12" s="196"/>
      <c r="AP12" s="197" t="s">
        <v>111</v>
      </c>
      <c r="AQ12" s="138">
        <f>F89</f>
        <v>2520457839</v>
      </c>
      <c r="AR12" s="138">
        <f>I89</f>
        <v>0</v>
      </c>
      <c r="AS12" s="138">
        <f>L89</f>
        <v>0</v>
      </c>
      <c r="AT12" s="101"/>
      <c r="AU12" s="157">
        <f t="shared" si="0"/>
        <v>0</v>
      </c>
      <c r="AV12" s="157">
        <f t="shared" si="1"/>
        <v>0</v>
      </c>
      <c r="AW12" s="158">
        <f>I89</f>
        <v>0</v>
      </c>
      <c r="AX12" s="158">
        <f>L89</f>
        <v>0</v>
      </c>
      <c r="AY12" s="158">
        <f t="shared" si="2"/>
        <v>-2520457839</v>
      </c>
      <c r="AZ12" s="159">
        <f t="shared" si="3"/>
        <v>-2520457839</v>
      </c>
      <c r="BA12" s="101"/>
      <c r="BB12" s="185" t="s">
        <v>112</v>
      </c>
      <c r="BC12" s="161">
        <f>SUM(F23)</f>
        <v>49300076925.586876</v>
      </c>
      <c r="BD12" s="161">
        <f>SUM(I23)</f>
        <v>5473586290</v>
      </c>
      <c r="BE12" s="161">
        <f>SUM(K23)</f>
        <v>53485734</v>
      </c>
      <c r="BF12" s="164"/>
      <c r="BG12" s="219" t="s">
        <v>113</v>
      </c>
      <c r="BH12" s="199">
        <f>BN25</f>
        <v>33765849515.333328</v>
      </c>
      <c r="BI12" s="220">
        <f>BO25</f>
        <v>12325820567</v>
      </c>
      <c r="BJ12" s="199">
        <f>BP25</f>
        <v>3650322202</v>
      </c>
      <c r="BK12" s="200">
        <f>BQ25</f>
        <v>46268719</v>
      </c>
      <c r="BL12" s="101"/>
      <c r="BM12" s="751" t="s">
        <v>114</v>
      </c>
      <c r="BN12" s="201">
        <f>X16+X65-X81-X33-BN10-BN11</f>
        <v>1608602697.916667</v>
      </c>
      <c r="BO12" s="576">
        <f>AA16+AA65-AA81-AA33-BO10-BO11</f>
        <v>34782811</v>
      </c>
      <c r="BP12" s="199">
        <f>AD16+AD65-AD81-AD33-BP10-BP11</f>
        <v>34782811</v>
      </c>
      <c r="BQ12" s="750">
        <f>AF16+AF65-AF81-AF33-BQ10-BQ11</f>
        <v>31286859</v>
      </c>
    </row>
    <row r="13" spans="1:69" ht="24.75" customHeight="1">
      <c r="A13" s="637" t="s">
        <v>527</v>
      </c>
      <c r="B13" s="638" t="s">
        <v>528</v>
      </c>
      <c r="C13" s="204">
        <v>0</v>
      </c>
      <c r="D13" s="205">
        <f>P13</f>
        <v>0</v>
      </c>
      <c r="E13" s="205"/>
      <c r="F13" s="206">
        <f>SUM(C13:E13)</f>
        <v>0</v>
      </c>
      <c r="G13" s="207">
        <v>0</v>
      </c>
      <c r="H13" s="208">
        <v>0</v>
      </c>
      <c r="I13" s="206">
        <f>SUM(G13:H13)</f>
        <v>0</v>
      </c>
      <c r="J13" s="207">
        <v>0</v>
      </c>
      <c r="K13" s="209">
        <f>+H13</f>
        <v>0</v>
      </c>
      <c r="L13" s="206">
        <f>SUM(J13:K13)</f>
        <v>0</v>
      </c>
      <c r="M13" s="207">
        <f>F13-I13</f>
        <v>0</v>
      </c>
      <c r="N13" s="206">
        <f>F13-L13</f>
        <v>0</v>
      </c>
      <c r="O13" s="67"/>
      <c r="P13" s="204">
        <v>0</v>
      </c>
      <c r="Q13" s="210"/>
      <c r="R13" s="101"/>
      <c r="S13" s="189"/>
      <c r="T13" s="190"/>
      <c r="U13" s="191"/>
      <c r="V13" s="191"/>
      <c r="W13" s="191"/>
      <c r="X13" s="192"/>
      <c r="Y13" s="193"/>
      <c r="Z13" s="191"/>
      <c r="AA13" s="192"/>
      <c r="AB13" s="193"/>
      <c r="AC13" s="191"/>
      <c r="AD13" s="191"/>
      <c r="AE13" s="193"/>
      <c r="AF13" s="191"/>
      <c r="AG13" s="192"/>
      <c r="AH13" s="193"/>
      <c r="AI13" s="191"/>
      <c r="AJ13" s="192"/>
      <c r="AK13" s="216"/>
      <c r="AL13" s="194"/>
      <c r="AM13" s="195"/>
      <c r="AN13" s="101"/>
      <c r="AO13" s="221"/>
      <c r="AP13" s="197" t="s">
        <v>749</v>
      </c>
      <c r="AQ13" s="138">
        <f>F94+F104</f>
        <v>885000000</v>
      </c>
      <c r="AR13" s="138">
        <f>I94+I104</f>
        <v>1749228833</v>
      </c>
      <c r="AS13" s="138">
        <f>L94+L104</f>
        <v>48535648</v>
      </c>
      <c r="AT13" s="101"/>
      <c r="AU13" s="157">
        <f t="shared" si="0"/>
        <v>1.9765297548022598</v>
      </c>
      <c r="AV13" s="157">
        <f t="shared" si="1"/>
        <v>5.4842540112994352E-2</v>
      </c>
      <c r="AW13" s="158">
        <f>I90</f>
        <v>2215160000</v>
      </c>
      <c r="AX13" s="158">
        <f>L90</f>
        <v>0</v>
      </c>
      <c r="AY13" s="158">
        <f t="shared" si="2"/>
        <v>1330160000</v>
      </c>
      <c r="AZ13" s="159">
        <f t="shared" si="3"/>
        <v>-885000000</v>
      </c>
      <c r="BA13" s="67"/>
      <c r="BB13" s="222" t="s">
        <v>116</v>
      </c>
      <c r="BC13" s="161">
        <f>SUM(F33)</f>
        <v>1140706891</v>
      </c>
      <c r="BD13" s="161">
        <f>SUM(I33)</f>
        <v>173431065</v>
      </c>
      <c r="BE13" s="161">
        <f>SUM(K33)</f>
        <v>0</v>
      </c>
      <c r="BF13" s="226"/>
      <c r="BG13" s="227" t="s">
        <v>117</v>
      </c>
      <c r="BH13" s="199">
        <f t="shared" ref="BH13:BK15" si="10">BN29</f>
        <v>6401468407</v>
      </c>
      <c r="BI13" s="199">
        <f t="shared" si="10"/>
        <v>5164181771</v>
      </c>
      <c r="BJ13" s="199">
        <f t="shared" si="10"/>
        <v>661895081</v>
      </c>
      <c r="BK13" s="200">
        <f t="shared" si="10"/>
        <v>0</v>
      </c>
      <c r="BL13" s="101"/>
      <c r="BM13" s="745" t="s">
        <v>118</v>
      </c>
      <c r="BN13" s="188">
        <f>X43-X55+X57-X61+X90-X102+X104-X108</f>
        <v>2695651403.2960005</v>
      </c>
      <c r="BO13" s="575">
        <f>AA43-AA55+AA57-AA61+AA90-AA102+AA104-AA108</f>
        <v>140131556</v>
      </c>
      <c r="BP13" s="186">
        <f>AD43-AD55+AD57-AD61+AD90-AD102+AD104-AD108</f>
        <v>140131556</v>
      </c>
      <c r="BQ13" s="748">
        <f>AF43-AF55+AF57-AF61+AF90-AF102+AF104-AF108</f>
        <v>137573200</v>
      </c>
    </row>
    <row r="14" spans="1:69" ht="24.75" customHeight="1">
      <c r="A14" s="637" t="s">
        <v>529</v>
      </c>
      <c r="B14" s="638" t="s">
        <v>530</v>
      </c>
      <c r="C14" s="204">
        <v>0</v>
      </c>
      <c r="D14" s="205">
        <f>P14</f>
        <v>0</v>
      </c>
      <c r="E14" s="205"/>
      <c r="F14" s="206">
        <f>SUM(C14:E14)</f>
        <v>0</v>
      </c>
      <c r="G14" s="207">
        <v>0</v>
      </c>
      <c r="H14" s="208">
        <v>0</v>
      </c>
      <c r="I14" s="206">
        <f>SUM(G14:H14)</f>
        <v>0</v>
      </c>
      <c r="J14" s="207">
        <v>0</v>
      </c>
      <c r="K14" s="209">
        <f>+H14</f>
        <v>0</v>
      </c>
      <c r="L14" s="206">
        <f>SUM(J14:K14)</f>
        <v>0</v>
      </c>
      <c r="M14" s="207">
        <f>F14-I14</f>
        <v>0</v>
      </c>
      <c r="N14" s="206">
        <f>F14-L14</f>
        <v>0</v>
      </c>
      <c r="O14" s="67"/>
      <c r="P14" s="204">
        <v>0</v>
      </c>
      <c r="Q14" s="210"/>
      <c r="R14" s="101"/>
      <c r="S14" s="641" t="s">
        <v>534</v>
      </c>
      <c r="T14" s="229" t="s">
        <v>119</v>
      </c>
      <c r="U14" s="230">
        <f>U16+U35+U43+U57</f>
        <v>23848754297.879169</v>
      </c>
      <c r="V14" s="231">
        <f t="shared" ref="V14:AJ14" si="11">V16+V35+V43+V57</f>
        <v>-198873359</v>
      </c>
      <c r="W14" s="231">
        <f t="shared" si="11"/>
        <v>0</v>
      </c>
      <c r="X14" s="232">
        <f t="shared" si="11"/>
        <v>23649880938.879169</v>
      </c>
      <c r="Y14" s="233">
        <f t="shared" si="11"/>
        <v>0</v>
      </c>
      <c r="Z14" s="231">
        <f t="shared" si="11"/>
        <v>9025646148</v>
      </c>
      <c r="AA14" s="232">
        <f t="shared" si="11"/>
        <v>9025646148</v>
      </c>
      <c r="AB14" s="233">
        <f t="shared" si="11"/>
        <v>0</v>
      </c>
      <c r="AC14" s="231">
        <f t="shared" si="11"/>
        <v>1758966919</v>
      </c>
      <c r="AD14" s="234">
        <f t="shared" si="11"/>
        <v>1758966919</v>
      </c>
      <c r="AE14" s="233">
        <f t="shared" si="11"/>
        <v>0</v>
      </c>
      <c r="AF14" s="231">
        <f t="shared" si="11"/>
        <v>1393918379</v>
      </c>
      <c r="AG14" s="232">
        <f t="shared" si="11"/>
        <v>1393918379</v>
      </c>
      <c r="AH14" s="233">
        <f t="shared" si="11"/>
        <v>14624234790.879169</v>
      </c>
      <c r="AI14" s="231">
        <f t="shared" si="11"/>
        <v>21890914019.879169</v>
      </c>
      <c r="AJ14" s="232">
        <f t="shared" si="11"/>
        <v>22255962559.879169</v>
      </c>
      <c r="AK14" s="216"/>
      <c r="AL14" s="233">
        <f>AL16+AL35+AL43+AL57</f>
        <v>-198873359</v>
      </c>
      <c r="AM14" s="232"/>
      <c r="AN14" s="101"/>
      <c r="AO14" s="108"/>
      <c r="AP14" s="109" t="s">
        <v>120</v>
      </c>
      <c r="AQ14" s="138">
        <f>F19-AQ7-AQ8-AQ9-AQ10-AQ11-AQ12</f>
        <v>9248886071.8896484</v>
      </c>
      <c r="AR14" s="138">
        <f>I19-AR7-AR8-AR9-AR10-AR11-AR12</f>
        <v>3327051792</v>
      </c>
      <c r="AS14" s="138">
        <f>L19-AS7-AS8-AS9-AS10-AS11-AS12</f>
        <v>506966873</v>
      </c>
      <c r="AT14" s="67"/>
      <c r="AU14" s="157">
        <f t="shared" si="0"/>
        <v>0.35972459452300798</v>
      </c>
      <c r="AV14" s="157">
        <f t="shared" si="1"/>
        <v>5.4813830450440519E-2</v>
      </c>
      <c r="AW14" s="235">
        <f>(I41+I46+I49+I52+I55+I58+I61+I64+I67+I70+I73+I78+I81+I82+I83+I85+I94+I104)/AO$2*12+I47+I50+I53+I56+I59+I62+I65+I68+I71+I74</f>
        <v>56831381684</v>
      </c>
      <c r="AX14" s="158">
        <f>(L41+L46+L49+L52+L55+L58+L61+L64+L67+L70+L73+L78+L81+L82+L83+L85+L94+L104)/AO$2*12+L47+L50+L53+L56+L59+L62+L65+L68+L71+L74</f>
        <v>2240980136</v>
      </c>
      <c r="AY14" s="158">
        <f t="shared" si="2"/>
        <v>47582495612.110352</v>
      </c>
      <c r="AZ14" s="159">
        <f t="shared" si="3"/>
        <v>-7007905935.8896484</v>
      </c>
      <c r="BA14" s="101"/>
      <c r="BB14" s="236" t="s">
        <v>121</v>
      </c>
      <c r="BC14" s="237">
        <f>SUM(F64)</f>
        <v>2137731076.9417498</v>
      </c>
      <c r="BD14" s="238">
        <f>+I64</f>
        <v>192150562</v>
      </c>
      <c r="BE14" s="239">
        <f>K64</f>
        <v>2290827</v>
      </c>
      <c r="BF14" s="240"/>
      <c r="BG14" s="227" t="s">
        <v>122</v>
      </c>
      <c r="BH14" s="186">
        <f t="shared" si="10"/>
        <v>3239175000</v>
      </c>
      <c r="BI14" s="186">
        <f t="shared" si="10"/>
        <v>108733333</v>
      </c>
      <c r="BJ14" s="186">
        <f t="shared" si="10"/>
        <v>108733333</v>
      </c>
      <c r="BK14" s="187">
        <f t="shared" si="10"/>
        <v>108733333</v>
      </c>
      <c r="BL14" s="101"/>
      <c r="BM14" s="752" t="s">
        <v>123</v>
      </c>
      <c r="BN14" s="201">
        <f>X35-X41+X83-X88</f>
        <v>66343004790</v>
      </c>
      <c r="BO14" s="199">
        <f>AA35-AA41+AA83-AA88</f>
        <v>37939353541</v>
      </c>
      <c r="BP14" s="199">
        <f>AD35-AD41+AD83-AD88</f>
        <v>4976595981</v>
      </c>
      <c r="BQ14" s="753">
        <f>AF35-AF41+AF83-AF88</f>
        <v>0</v>
      </c>
    </row>
    <row r="15" spans="1:69" ht="24.75" customHeight="1" thickBot="1">
      <c r="A15" s="241">
        <v>1004</v>
      </c>
      <c r="B15" s="203" t="str">
        <f>+CONCATENATE("Cesantias Ley 50/1990 a Dic-31-",INSTRUCCIONES!$F$3-1)</f>
        <v>Cesantias Ley 50/1990 a Dic-31-2024</v>
      </c>
      <c r="C15" s="242">
        <v>0</v>
      </c>
      <c r="D15" s="243">
        <f>P15</f>
        <v>0</v>
      </c>
      <c r="E15" s="243"/>
      <c r="F15" s="244">
        <f>SUM(C15:E15)</f>
        <v>0</v>
      </c>
      <c r="G15" s="245">
        <v>0</v>
      </c>
      <c r="H15" s="246">
        <v>0</v>
      </c>
      <c r="I15" s="244">
        <f>SUM(G15:H15)</f>
        <v>0</v>
      </c>
      <c r="J15" s="245">
        <v>0</v>
      </c>
      <c r="K15" s="247">
        <f>+H15</f>
        <v>0</v>
      </c>
      <c r="L15" s="244">
        <f>SUM(J15:K15)</f>
        <v>0</v>
      </c>
      <c r="M15" s="245">
        <f>F15-I15</f>
        <v>0</v>
      </c>
      <c r="N15" s="244">
        <f>F15-L15</f>
        <v>0</v>
      </c>
      <c r="O15" s="67"/>
      <c r="P15" s="242">
        <v>0</v>
      </c>
      <c r="Q15" s="248"/>
      <c r="R15" s="101"/>
      <c r="S15" s="189"/>
      <c r="T15" s="190" t="s">
        <v>51</v>
      </c>
      <c r="U15" s="191"/>
      <c r="V15" s="191"/>
      <c r="W15" s="191"/>
      <c r="X15" s="192"/>
      <c r="Y15" s="193"/>
      <c r="Z15" s="191"/>
      <c r="AA15" s="192"/>
      <c r="AB15" s="193"/>
      <c r="AC15" s="191"/>
      <c r="AD15" s="191"/>
      <c r="AE15" s="193"/>
      <c r="AF15" s="191"/>
      <c r="AG15" s="192"/>
      <c r="AH15" s="193"/>
      <c r="AI15" s="191"/>
      <c r="AJ15" s="192"/>
      <c r="AK15" s="216"/>
      <c r="AL15" s="249"/>
      <c r="AM15" s="250"/>
      <c r="AN15" s="101"/>
      <c r="AO15" s="221"/>
      <c r="AP15" s="109" t="s">
        <v>124</v>
      </c>
      <c r="AQ15" s="138">
        <f>F113</f>
        <v>0</v>
      </c>
      <c r="AR15" s="138">
        <f>I113</f>
        <v>0</v>
      </c>
      <c r="AS15" s="138">
        <f>L113</f>
        <v>0</v>
      </c>
      <c r="AT15" s="101"/>
      <c r="AU15" s="157" t="str">
        <f t="shared" si="0"/>
        <v xml:space="preserve"> </v>
      </c>
      <c r="AV15" s="139" t="str">
        <f t="shared" si="1"/>
        <v xml:space="preserve"> </v>
      </c>
      <c r="AW15" s="138">
        <f t="shared" ref="AW15:AX17" si="12">+AR15</f>
        <v>0</v>
      </c>
      <c r="AX15" s="138">
        <f t="shared" si="12"/>
        <v>0</v>
      </c>
      <c r="AY15" s="138">
        <f t="shared" si="2"/>
        <v>0</v>
      </c>
      <c r="AZ15" s="140">
        <f t="shared" si="3"/>
        <v>0</v>
      </c>
      <c r="BA15" s="67"/>
      <c r="BB15" s="185" t="s">
        <v>125</v>
      </c>
      <c r="BC15" s="237">
        <f>F46+F49</f>
        <v>976431378</v>
      </c>
      <c r="BD15" s="238">
        <f>I46+I49</f>
        <v>44371112</v>
      </c>
      <c r="BE15" s="239">
        <f>K46</f>
        <v>0</v>
      </c>
      <c r="BF15" s="240"/>
      <c r="BG15" s="227" t="s">
        <v>126</v>
      </c>
      <c r="BH15" s="186">
        <f t="shared" si="10"/>
        <v>23632908219.222054</v>
      </c>
      <c r="BI15" s="186">
        <f t="shared" si="10"/>
        <v>8977610574</v>
      </c>
      <c r="BJ15" s="186">
        <f t="shared" si="10"/>
        <v>8977610574</v>
      </c>
      <c r="BK15" s="187">
        <f t="shared" si="10"/>
        <v>8927749282</v>
      </c>
      <c r="BL15" s="101"/>
      <c r="BM15" s="743" t="s">
        <v>104</v>
      </c>
      <c r="BN15" s="188">
        <f>SUM(BN16:BN21)</f>
        <v>18735923185.398613</v>
      </c>
      <c r="BO15" s="186">
        <f>SUM(BO16:BO21)</f>
        <v>5880132202</v>
      </c>
      <c r="BP15" s="186">
        <f>SUM(BP16:BP21)</f>
        <v>1558993529</v>
      </c>
      <c r="BQ15" s="754">
        <f>SUM(BQ16:BQ21)</f>
        <v>24860684</v>
      </c>
    </row>
    <row r="16" spans="1:69" ht="24.75" customHeight="1" thickBot="1">
      <c r="A16" s="251"/>
      <c r="B16" s="252"/>
      <c r="C16" s="253"/>
      <c r="D16" s="253"/>
      <c r="E16" s="253"/>
      <c r="F16" s="253"/>
      <c r="G16" s="253"/>
      <c r="H16" s="253"/>
      <c r="I16" s="253"/>
      <c r="J16" s="253"/>
      <c r="K16" s="253"/>
      <c r="L16" s="253"/>
      <c r="M16" s="253"/>
      <c r="N16" s="254"/>
      <c r="O16" s="67"/>
      <c r="P16" s="255"/>
      <c r="Q16" s="256"/>
      <c r="R16" s="101"/>
      <c r="S16" s="641" t="s">
        <v>535</v>
      </c>
      <c r="T16" s="258" t="s">
        <v>127</v>
      </c>
      <c r="U16" s="230">
        <f>SUM(U17:U20)+U33</f>
        <v>8136453797.916667</v>
      </c>
      <c r="V16" s="231">
        <f t="shared" ref="V16:AJ16" si="13">SUM(V17:V20)+V33</f>
        <v>-198873359</v>
      </c>
      <c r="W16" s="231">
        <f t="shared" si="13"/>
        <v>0</v>
      </c>
      <c r="X16" s="232">
        <f t="shared" si="13"/>
        <v>7937580438.916667</v>
      </c>
      <c r="Y16" s="233">
        <f t="shared" si="13"/>
        <v>0</v>
      </c>
      <c r="Z16" s="231">
        <f t="shared" si="13"/>
        <v>435068897</v>
      </c>
      <c r="AA16" s="232">
        <f t="shared" si="13"/>
        <v>435068897</v>
      </c>
      <c r="AB16" s="233">
        <f t="shared" si="13"/>
        <v>0</v>
      </c>
      <c r="AC16" s="231">
        <f t="shared" si="13"/>
        <v>435068897</v>
      </c>
      <c r="AD16" s="234">
        <f t="shared" si="13"/>
        <v>435068897</v>
      </c>
      <c r="AE16" s="233">
        <f t="shared" si="13"/>
        <v>0</v>
      </c>
      <c r="AF16" s="231">
        <f t="shared" si="13"/>
        <v>431572945</v>
      </c>
      <c r="AG16" s="232">
        <f t="shared" si="13"/>
        <v>431572945</v>
      </c>
      <c r="AH16" s="233">
        <f t="shared" si="13"/>
        <v>7502511541.916667</v>
      </c>
      <c r="AI16" s="231">
        <f t="shared" si="13"/>
        <v>7502511541.916667</v>
      </c>
      <c r="AJ16" s="232">
        <f t="shared" si="13"/>
        <v>7506007493.916667</v>
      </c>
      <c r="AK16" s="216"/>
      <c r="AL16" s="233">
        <f>SUM(AL17:AL20)+AL33</f>
        <v>-198873359</v>
      </c>
      <c r="AM16" s="232">
        <f>SUM(AM17:AM20)+AM33</f>
        <v>0</v>
      </c>
      <c r="AN16" s="101"/>
      <c r="AO16" s="108"/>
      <c r="AP16" s="259" t="s">
        <v>128</v>
      </c>
      <c r="AQ16" s="260">
        <v>0</v>
      </c>
      <c r="AR16" s="260">
        <f>I10</f>
        <v>0</v>
      </c>
      <c r="AS16" s="260">
        <f>L10</f>
        <v>0</v>
      </c>
      <c r="AT16" s="67"/>
      <c r="AU16" s="261" t="str">
        <f t="shared" si="0"/>
        <v xml:space="preserve"> </v>
      </c>
      <c r="AV16" s="261" t="str">
        <f t="shared" si="1"/>
        <v xml:space="preserve"> </v>
      </c>
      <c r="AW16" s="260">
        <f t="shared" si="12"/>
        <v>0</v>
      </c>
      <c r="AX16" s="260">
        <f t="shared" si="12"/>
        <v>0</v>
      </c>
      <c r="AY16" s="138">
        <f t="shared" si="2"/>
        <v>0</v>
      </c>
      <c r="AZ16" s="262">
        <f t="shared" si="3"/>
        <v>0</v>
      </c>
      <c r="BA16" s="67"/>
      <c r="BB16" s="197" t="s">
        <v>111</v>
      </c>
      <c r="BC16" s="237">
        <f>SUM(F86:F91)</f>
        <v>6401468507</v>
      </c>
      <c r="BD16" s="237">
        <v>0</v>
      </c>
      <c r="BE16" s="237">
        <f>SUM(K86:K91)</f>
        <v>0</v>
      </c>
      <c r="BF16" s="164"/>
      <c r="BG16" s="227" t="s">
        <v>130</v>
      </c>
      <c r="BH16" s="263">
        <f>BH7+BH12+BH13+BH14+BH15</f>
        <v>164944621544.16663</v>
      </c>
      <c r="BI16" s="263">
        <f>BI7+BI12+BI13+BI14+BI15</f>
        <v>71210045792</v>
      </c>
      <c r="BJ16" s="263">
        <f>BJ7+BJ12+BJ13+BJ14+BJ15</f>
        <v>20748364504</v>
      </c>
      <c r="BK16" s="264">
        <f>BK7+BK12+BK13+BK14+BK15</f>
        <v>9700282252</v>
      </c>
      <c r="BL16" s="101"/>
      <c r="BM16" s="745" t="s">
        <v>131</v>
      </c>
      <c r="BN16" s="188">
        <f>SUM(X115+X116+X117+X149)</f>
        <v>1583007702.1208334</v>
      </c>
      <c r="BO16" s="188">
        <f>SUM(AA115+AA116+AA117+AA149)</f>
        <v>294530493</v>
      </c>
      <c r="BP16" s="188">
        <f>SUM(AD115+AD116+AD117+AD149)</f>
        <v>120395717</v>
      </c>
      <c r="BQ16" s="188">
        <f>SUM(AF115+AF116+AF117+AF149)</f>
        <v>846000</v>
      </c>
    </row>
    <row r="17" spans="1:69" ht="24.75" customHeight="1" thickBot="1">
      <c r="A17" s="169" t="s">
        <v>524</v>
      </c>
      <c r="B17" s="265" t="s">
        <v>132</v>
      </c>
      <c r="C17" s="127">
        <f t="shared" ref="C17:N17" si="14">C19+C94+C104</f>
        <v>158143153137.47653</v>
      </c>
      <c r="D17" s="125">
        <f t="shared" si="14"/>
        <v>0</v>
      </c>
      <c r="E17" s="125">
        <f t="shared" si="14"/>
        <v>6401468507</v>
      </c>
      <c r="F17" s="125">
        <f t="shared" si="14"/>
        <v>164544621644.47653</v>
      </c>
      <c r="G17" s="125">
        <f t="shared" si="14"/>
        <v>0</v>
      </c>
      <c r="H17" s="125">
        <f t="shared" si="14"/>
        <v>27080206820</v>
      </c>
      <c r="I17" s="125">
        <f t="shared" si="14"/>
        <v>27080206820</v>
      </c>
      <c r="J17" s="125">
        <f t="shared" si="14"/>
        <v>0</v>
      </c>
      <c r="K17" s="125">
        <f t="shared" si="14"/>
        <v>10410466334</v>
      </c>
      <c r="L17" s="125">
        <f t="shared" si="14"/>
        <v>10410466334</v>
      </c>
      <c r="M17" s="125">
        <f t="shared" si="14"/>
        <v>137464414824.4765</v>
      </c>
      <c r="N17" s="128">
        <f t="shared" si="14"/>
        <v>154134155310.47653</v>
      </c>
      <c r="O17" s="67"/>
      <c r="P17" s="171">
        <f>P19+P94+P104</f>
        <v>0</v>
      </c>
      <c r="Q17" s="173">
        <f>Q19+Q94+Q104</f>
        <v>6401468507</v>
      </c>
      <c r="R17" s="101"/>
      <c r="S17" s="705" t="s">
        <v>536</v>
      </c>
      <c r="T17" s="267" t="s">
        <v>133</v>
      </c>
      <c r="U17" s="725">
        <v>6531851100</v>
      </c>
      <c r="V17" s="220">
        <f t="shared" ref="V17:W19" si="15">AL17</f>
        <v>-219873359</v>
      </c>
      <c r="W17" s="220">
        <f t="shared" si="15"/>
        <v>0</v>
      </c>
      <c r="X17" s="269">
        <f>SUM(U17:W17)</f>
        <v>6311977741</v>
      </c>
      <c r="Y17" s="270">
        <v>0</v>
      </c>
      <c r="Z17" s="208">
        <v>399373359</v>
      </c>
      <c r="AA17" s="269">
        <f>SUM(Y17:Z17)</f>
        <v>399373359</v>
      </c>
      <c r="AB17" s="270">
        <v>0</v>
      </c>
      <c r="AC17" s="208">
        <v>399373359</v>
      </c>
      <c r="AD17" s="271">
        <f>SUM(AB17:AC17)</f>
        <v>399373359</v>
      </c>
      <c r="AE17" s="270">
        <v>0</v>
      </c>
      <c r="AF17" s="208">
        <v>399373359</v>
      </c>
      <c r="AG17" s="269">
        <f>SUM(AE17:AF17)</f>
        <v>399373359</v>
      </c>
      <c r="AH17" s="270">
        <f>X17-AA17</f>
        <v>5912604382</v>
      </c>
      <c r="AI17" s="220">
        <f>X17-AD17</f>
        <v>5912604382</v>
      </c>
      <c r="AJ17" s="269">
        <f>X17-AG17</f>
        <v>5912604382</v>
      </c>
      <c r="AK17" s="101"/>
      <c r="AL17" s="204">
        <f>-169873052-29000307-21000000</f>
        <v>-219873359</v>
      </c>
      <c r="AM17" s="210">
        <v>0</v>
      </c>
      <c r="AN17" s="101"/>
      <c r="AO17" s="156"/>
      <c r="AP17" s="272" t="s">
        <v>134</v>
      </c>
      <c r="AQ17" s="274">
        <f>SUM(AQ7:AQ16)</f>
        <v>164544621644.47653</v>
      </c>
      <c r="AR17" s="274">
        <f>SUM(AR7:AR16)</f>
        <v>27080206820</v>
      </c>
      <c r="AS17" s="274">
        <f>SUM(AS7:AS16)</f>
        <v>10410466334</v>
      </c>
      <c r="AT17" s="276"/>
      <c r="AU17" s="274">
        <f t="shared" si="0"/>
        <v>0.16457667561149991</v>
      </c>
      <c r="AV17" s="274">
        <f t="shared" si="1"/>
        <v>6.3268347697765431E-2</v>
      </c>
      <c r="AW17" s="277">
        <f t="shared" si="12"/>
        <v>27080206820</v>
      </c>
      <c r="AX17" s="277">
        <f t="shared" si="12"/>
        <v>10410466334</v>
      </c>
      <c r="AY17" s="277">
        <f>SUM(AY7:AY16)</f>
        <v>51128308230.523476</v>
      </c>
      <c r="AZ17" s="278">
        <f>SUM(AZ7:AZ16)</f>
        <v>-151464801901.47653</v>
      </c>
      <c r="BA17" s="101"/>
      <c r="BB17" s="185" t="s">
        <v>135</v>
      </c>
      <c r="BC17" s="161">
        <f>F41+F52+F55+F58+F61+F67+F70+F73+F76+F79+F82</f>
        <v>2653522532.847888</v>
      </c>
      <c r="BD17" s="161">
        <f>SUM(I43+I46+I49+I52+I55+I58+I61+I67+I70+I73+I79+I76+I82)</f>
        <v>432868485</v>
      </c>
      <c r="BE17" s="161">
        <f>SUM(K43+K49+K46+K49+K52+K55+K58+K61+K67+K70+K73+K79+K76+K82)</f>
        <v>2678992</v>
      </c>
      <c r="BF17" s="164"/>
      <c r="BG17" s="279" t="s">
        <v>136</v>
      </c>
      <c r="BH17" s="280">
        <f>BC22-BH16</f>
        <v>-1376431277.690094</v>
      </c>
      <c r="BI17" s="280"/>
      <c r="BJ17" s="280"/>
      <c r="BK17" s="281"/>
      <c r="BL17" s="67"/>
      <c r="BM17" s="745" t="s">
        <v>137</v>
      </c>
      <c r="BN17" s="188">
        <f>X124+X127+X128+X129+X130+X131+X132+X133+X134+X135+X136+X125+X137+X138</f>
        <v>5307025789.2777777</v>
      </c>
      <c r="BO17" s="188">
        <f>AA124+AA127+AA128+AA129+AA130+AA131+AA132+AA133+AA134+AA135+AA136+AA125+AA137+AA138</f>
        <v>3823648062</v>
      </c>
      <c r="BP17" s="188">
        <f>AD124+AD127+AD128+AD129+AD130+AD131+AD132+AD133+AD134+AD135+AD136+AD125+AD137+AD138</f>
        <v>1063563494</v>
      </c>
      <c r="BQ17" s="188">
        <f>AF124+AF127+AF128+AF129+AF130+AF131+AF132+AF133+AF134+AF135+AF136+AF125+AF137+AF138</f>
        <v>0</v>
      </c>
    </row>
    <row r="18" spans="1:69" ht="24.75" customHeight="1" thickBot="1">
      <c r="A18" s="202"/>
      <c r="B18" s="282"/>
      <c r="C18" s="67"/>
      <c r="D18" s="67"/>
      <c r="E18" s="67"/>
      <c r="F18" s="67"/>
      <c r="G18" s="67"/>
      <c r="H18" s="67"/>
      <c r="I18" s="67"/>
      <c r="J18" s="67"/>
      <c r="K18" s="67"/>
      <c r="L18" s="67"/>
      <c r="M18" s="67"/>
      <c r="N18" s="283"/>
      <c r="O18" s="101"/>
      <c r="P18" s="284"/>
      <c r="Q18" s="285"/>
      <c r="R18" s="101"/>
      <c r="S18" s="642" t="s">
        <v>537</v>
      </c>
      <c r="T18" s="267" t="s">
        <v>138</v>
      </c>
      <c r="U18" s="723">
        <v>17000000</v>
      </c>
      <c r="V18" s="220">
        <f t="shared" si="15"/>
        <v>0</v>
      </c>
      <c r="W18" s="220">
        <f t="shared" si="15"/>
        <v>0</v>
      </c>
      <c r="X18" s="269">
        <f>SUM(U18:W18)</f>
        <v>17000000</v>
      </c>
      <c r="Y18" s="270">
        <v>0</v>
      </c>
      <c r="Z18" s="208">
        <v>912727</v>
      </c>
      <c r="AA18" s="269">
        <f>SUM(Y18:Z18)</f>
        <v>912727</v>
      </c>
      <c r="AB18" s="270">
        <v>0</v>
      </c>
      <c r="AC18" s="208">
        <v>912727</v>
      </c>
      <c r="AD18" s="271">
        <f>SUM(AB18:AC18)</f>
        <v>912727</v>
      </c>
      <c r="AE18" s="270">
        <v>0</v>
      </c>
      <c r="AF18" s="208">
        <v>912727</v>
      </c>
      <c r="AG18" s="269">
        <f>SUM(AE18:AF18)</f>
        <v>912727</v>
      </c>
      <c r="AH18" s="270">
        <f>X18-AA18</f>
        <v>16087273</v>
      </c>
      <c r="AI18" s="220">
        <f>X18-AD18</f>
        <v>16087273</v>
      </c>
      <c r="AJ18" s="269">
        <f>X18-AG18</f>
        <v>16087273</v>
      </c>
      <c r="AK18" s="101"/>
      <c r="AL18" s="204">
        <v>0</v>
      </c>
      <c r="AM18" s="210">
        <v>0</v>
      </c>
      <c r="AN18" s="101"/>
      <c r="AO18" s="108"/>
      <c r="AP18" s="67" t="s">
        <v>92</v>
      </c>
      <c r="AQ18" s="67"/>
      <c r="AR18" s="67"/>
      <c r="AS18" s="67"/>
      <c r="AT18" s="67"/>
      <c r="AU18" s="67"/>
      <c r="AV18" s="67"/>
      <c r="AW18" s="67"/>
      <c r="AX18" s="67"/>
      <c r="AY18" s="67"/>
      <c r="AZ18" s="67"/>
      <c r="BA18" s="67"/>
      <c r="BB18" s="236" t="s">
        <v>139</v>
      </c>
      <c r="BC18" s="161">
        <f>SUM(F95:F101)</f>
        <v>650000000</v>
      </c>
      <c r="BD18" s="162">
        <f>+I95+I96+I97+I99</f>
        <v>0</v>
      </c>
      <c r="BE18" s="163">
        <f>+K95+K96+K97+K99</f>
        <v>0</v>
      </c>
      <c r="BF18" s="240"/>
      <c r="BG18" s="101"/>
      <c r="BH18" s="101"/>
      <c r="BI18" s="101"/>
      <c r="BJ18" s="101"/>
      <c r="BK18" s="101"/>
      <c r="BL18" s="101"/>
      <c r="BM18" s="745" t="s">
        <v>140</v>
      </c>
      <c r="BN18" s="188">
        <f>X118+X120+X148+X156+X157</f>
        <v>8493867035</v>
      </c>
      <c r="BO18" s="188">
        <f>AA118+AA120+AA148+AA156+AA157</f>
        <v>1684986207</v>
      </c>
      <c r="BP18" s="188">
        <f>AD118+AD120+AD148+AD156+AD157</f>
        <v>298807478</v>
      </c>
      <c r="BQ18" s="188">
        <f>AF118+AF120+AF148+AF156+AF157</f>
        <v>0</v>
      </c>
    </row>
    <row r="19" spans="1:69" ht="24.75" customHeight="1" thickBot="1">
      <c r="A19" s="286">
        <v>113</v>
      </c>
      <c r="B19" s="287" t="s">
        <v>141</v>
      </c>
      <c r="C19" s="127">
        <f t="shared" ref="C19:N19" si="16">C21+C85</f>
        <v>157258153137.47653</v>
      </c>
      <c r="D19" s="125">
        <f t="shared" si="16"/>
        <v>0</v>
      </c>
      <c r="E19" s="125">
        <f t="shared" si="16"/>
        <v>6401468507</v>
      </c>
      <c r="F19" s="128">
        <f t="shared" si="16"/>
        <v>163659621644.47653</v>
      </c>
      <c r="G19" s="127">
        <f t="shared" si="16"/>
        <v>0</v>
      </c>
      <c r="H19" s="125">
        <f t="shared" si="16"/>
        <v>25330977987</v>
      </c>
      <c r="I19" s="128">
        <f>I21+I85</f>
        <v>25330977987</v>
      </c>
      <c r="J19" s="127">
        <f t="shared" si="16"/>
        <v>0</v>
      </c>
      <c r="K19" s="125">
        <f t="shared" si="16"/>
        <v>10361930686</v>
      </c>
      <c r="L19" s="128">
        <f t="shared" si="16"/>
        <v>10361930686</v>
      </c>
      <c r="M19" s="127">
        <f t="shared" si="16"/>
        <v>138328643657.4765</v>
      </c>
      <c r="N19" s="128">
        <f t="shared" si="16"/>
        <v>153297690958.47653</v>
      </c>
      <c r="O19" s="67"/>
      <c r="P19" s="288">
        <f>P21+P85</f>
        <v>0</v>
      </c>
      <c r="Q19" s="289">
        <f>Q21+Q85</f>
        <v>6401468507</v>
      </c>
      <c r="R19" s="101"/>
      <c r="S19" s="266">
        <v>1010103</v>
      </c>
      <c r="T19" s="267" t="s">
        <v>142</v>
      </c>
      <c r="U19" s="268"/>
      <c r="V19" s="220">
        <f t="shared" si="15"/>
        <v>0</v>
      </c>
      <c r="W19" s="220">
        <f t="shared" si="15"/>
        <v>0</v>
      </c>
      <c r="X19" s="269">
        <f>SUM(U19:W19)</f>
        <v>0</v>
      </c>
      <c r="Y19" s="270">
        <v>0</v>
      </c>
      <c r="Z19" s="208">
        <v>0</v>
      </c>
      <c r="AA19" s="269">
        <f>SUM(Y19:Z19)</f>
        <v>0</v>
      </c>
      <c r="AB19" s="270">
        <v>0</v>
      </c>
      <c r="AC19" s="208">
        <v>0</v>
      </c>
      <c r="AD19" s="271">
        <f>SUM(AB19:AC19)</f>
        <v>0</v>
      </c>
      <c r="AE19" s="270">
        <v>0</v>
      </c>
      <c r="AF19" s="208">
        <v>0</v>
      </c>
      <c r="AG19" s="269">
        <f>SUM(AE19:AF19)</f>
        <v>0</v>
      </c>
      <c r="AH19" s="270">
        <f>X19-AA19</f>
        <v>0</v>
      </c>
      <c r="AI19" s="220">
        <f>X19-AD19</f>
        <v>0</v>
      </c>
      <c r="AJ19" s="269">
        <f>X19-AG19</f>
        <v>0</v>
      </c>
      <c r="AK19" s="101"/>
      <c r="AL19" s="204">
        <v>0</v>
      </c>
      <c r="AM19" s="210">
        <v>0</v>
      </c>
      <c r="AN19" s="101"/>
      <c r="AO19" s="108"/>
      <c r="AP19" s="290"/>
      <c r="AQ19" s="291" t="s">
        <v>52</v>
      </c>
      <c r="AR19" s="292" t="s">
        <v>31</v>
      </c>
      <c r="AS19" s="293" t="s">
        <v>143</v>
      </c>
      <c r="AT19" s="292" t="s">
        <v>55</v>
      </c>
      <c r="AU19" s="294" t="s">
        <v>55</v>
      </c>
      <c r="AV19" s="295" t="s">
        <v>55</v>
      </c>
      <c r="AW19" s="1328" t="str">
        <f>+CONCATENATE("PROYECCION A DICIEMBRE 31 DEL ",N3)</f>
        <v>PROYECCION A DICIEMBRE 31 DEL 2025</v>
      </c>
      <c r="AX19" s="1322"/>
      <c r="AY19" s="1322"/>
      <c r="AZ19" s="1323"/>
      <c r="BA19" s="67"/>
      <c r="BB19" s="296" t="s">
        <v>144</v>
      </c>
      <c r="BC19" s="297">
        <f>+F105+F106+F107+F108+F109+F110</f>
        <v>235000000</v>
      </c>
      <c r="BD19" s="238">
        <f>+I105+I106+I107+I108+I109+I110+I98+I100+I101</f>
        <v>1730873304</v>
      </c>
      <c r="BE19" s="239">
        <f>+K105+K106+K107+K108+K109+K110+K98+K100+K101</f>
        <v>30180119</v>
      </c>
      <c r="BF19" s="117"/>
      <c r="BG19" s="67"/>
      <c r="BH19" s="67"/>
      <c r="BI19" s="67"/>
      <c r="BJ19" s="67"/>
      <c r="BK19" s="67"/>
      <c r="BL19" s="101"/>
      <c r="BM19" s="745" t="s">
        <v>145</v>
      </c>
      <c r="BN19" s="188">
        <f>X126</f>
        <v>2804022659</v>
      </c>
      <c r="BO19" s="188">
        <f>AA126</f>
        <v>68087380</v>
      </c>
      <c r="BP19" s="188">
        <f>AD126</f>
        <v>67346780</v>
      </c>
      <c r="BQ19" s="755">
        <f>AF126</f>
        <v>15134624</v>
      </c>
    </row>
    <row r="20" spans="1:69" ht="24.75" customHeight="1" thickBot="1">
      <c r="A20" s="202"/>
      <c r="B20" s="298"/>
      <c r="C20" s="67"/>
      <c r="D20" s="67"/>
      <c r="E20" s="67"/>
      <c r="F20" s="67"/>
      <c r="G20" s="67"/>
      <c r="H20" s="67"/>
      <c r="I20" s="67"/>
      <c r="J20" s="67"/>
      <c r="K20" s="67"/>
      <c r="L20" s="67"/>
      <c r="M20" s="67"/>
      <c r="N20" s="283"/>
      <c r="O20" s="101"/>
      <c r="P20" s="284"/>
      <c r="Q20" s="285"/>
      <c r="R20" s="101"/>
      <c r="S20" s="266">
        <v>1010104</v>
      </c>
      <c r="T20" s="267" t="s">
        <v>146</v>
      </c>
      <c r="U20" s="405">
        <f t="shared" ref="U20:AJ20" si="17">SUM(U21:U32)</f>
        <v>1587602697.9166667</v>
      </c>
      <c r="V20" s="220">
        <f t="shared" si="17"/>
        <v>21000000</v>
      </c>
      <c r="W20" s="220">
        <f t="shared" si="17"/>
        <v>0</v>
      </c>
      <c r="X20" s="269">
        <f t="shared" si="17"/>
        <v>1608602697.9166667</v>
      </c>
      <c r="Y20" s="270">
        <f t="shared" si="17"/>
        <v>0</v>
      </c>
      <c r="Z20" s="300">
        <f t="shared" si="17"/>
        <v>34782811</v>
      </c>
      <c r="AA20" s="269">
        <f t="shared" si="17"/>
        <v>34782811</v>
      </c>
      <c r="AB20" s="270">
        <f t="shared" si="17"/>
        <v>0</v>
      </c>
      <c r="AC20" s="300">
        <f t="shared" si="17"/>
        <v>34782811</v>
      </c>
      <c r="AD20" s="271">
        <f t="shared" si="17"/>
        <v>34782811</v>
      </c>
      <c r="AE20" s="270">
        <f t="shared" si="17"/>
        <v>0</v>
      </c>
      <c r="AF20" s="300">
        <f t="shared" si="17"/>
        <v>31286859</v>
      </c>
      <c r="AG20" s="269">
        <f t="shared" si="17"/>
        <v>31286859</v>
      </c>
      <c r="AH20" s="270">
        <f t="shared" si="17"/>
        <v>1573819886.9166667</v>
      </c>
      <c r="AI20" s="220">
        <f t="shared" si="17"/>
        <v>1573819886.9166667</v>
      </c>
      <c r="AJ20" s="269">
        <f t="shared" si="17"/>
        <v>1577315838.9166667</v>
      </c>
      <c r="AK20" s="101"/>
      <c r="AL20" s="301">
        <f>SUM(AL21:AL32)</f>
        <v>21000000</v>
      </c>
      <c r="AM20" s="302">
        <f>SUM(AM21:AM32)</f>
        <v>0</v>
      </c>
      <c r="AN20" s="101"/>
      <c r="AO20" s="156"/>
      <c r="AP20" s="303" t="s">
        <v>65</v>
      </c>
      <c r="AQ20" s="304" t="s">
        <v>75</v>
      </c>
      <c r="AR20" s="304" t="s">
        <v>66</v>
      </c>
      <c r="AS20" s="305" t="s">
        <v>66</v>
      </c>
      <c r="AT20" s="304" t="s">
        <v>67</v>
      </c>
      <c r="AU20" s="306" t="s">
        <v>68</v>
      </c>
      <c r="AV20" s="306" t="s">
        <v>68</v>
      </c>
      <c r="AW20" s="306" t="s">
        <v>31</v>
      </c>
      <c r="AX20" s="306" t="s">
        <v>34</v>
      </c>
      <c r="AY20" s="306" t="s">
        <v>147</v>
      </c>
      <c r="AZ20" s="307" t="s">
        <v>147</v>
      </c>
      <c r="BA20" s="67"/>
      <c r="BB20" s="308" t="s">
        <v>148</v>
      </c>
      <c r="BC20" s="142">
        <f>+F115+F117+F119+F120+F121+F123+F124</f>
        <v>0</v>
      </c>
      <c r="BD20" s="143">
        <f>+I115+I117+I119+I120+I121+I123+I124</f>
        <v>0</v>
      </c>
      <c r="BE20" s="144">
        <f>+K115+K117+K119+K120+K121+K123+K124</f>
        <v>0</v>
      </c>
      <c r="BF20" s="117"/>
      <c r="BG20" s="67"/>
      <c r="BH20" s="67"/>
      <c r="BI20" s="67"/>
      <c r="BJ20" s="67"/>
      <c r="BK20" s="67"/>
      <c r="BL20" s="67"/>
      <c r="BM20" s="745" t="s">
        <v>149</v>
      </c>
      <c r="BN20" s="188">
        <f>+X141</f>
        <v>548000000</v>
      </c>
      <c r="BO20" s="188">
        <f>+AA141</f>
        <v>8880060</v>
      </c>
      <c r="BP20" s="188">
        <f>+AD141</f>
        <v>8880060</v>
      </c>
      <c r="BQ20" s="755">
        <f>+AF141</f>
        <v>8880060</v>
      </c>
    </row>
    <row r="21" spans="1:69" ht="24.75" customHeight="1" thickBot="1">
      <c r="A21" s="632" t="s">
        <v>494</v>
      </c>
      <c r="B21" s="310" t="s">
        <v>150</v>
      </c>
      <c r="C21" s="171">
        <f>C22+C25+C28+C41+C42+C45+C48+C51+C54+C57+C60+C63+C66+C69+C72+C75+C78+C81</f>
        <v>157258153137.47653</v>
      </c>
      <c r="D21" s="172">
        <f t="shared" ref="D21:N21" si="18">D22+D25+D28+D41+D42+D45+D48+D51+D54+D57+D60+D63+D66+D69+D72+D75+D78+D81</f>
        <v>0</v>
      </c>
      <c r="E21" s="172">
        <f t="shared" si="18"/>
        <v>0</v>
      </c>
      <c r="F21" s="172">
        <f t="shared" si="18"/>
        <v>157258153137.47653</v>
      </c>
      <c r="G21" s="172">
        <f t="shared" si="18"/>
        <v>0</v>
      </c>
      <c r="H21" s="172">
        <f>H22+H25+H28+H41+H42+H45+H48+H51+H54+H57+H60+H63+H66+H69+H72+H75+H78+H81</f>
        <v>23115817987</v>
      </c>
      <c r="I21" s="172">
        <f>I22+I25+I28+I41+I42+I45+I48+I51+I54+I57+I60+I63+I66+I69+I72+I75+I78+I81</f>
        <v>23115817987</v>
      </c>
      <c r="J21" s="172">
        <f t="shared" si="18"/>
        <v>0</v>
      </c>
      <c r="K21" s="172">
        <f t="shared" si="18"/>
        <v>10361930686</v>
      </c>
      <c r="L21" s="172">
        <f t="shared" si="18"/>
        <v>10361930686</v>
      </c>
      <c r="M21" s="172">
        <f t="shared" si="18"/>
        <v>134142335150.47652</v>
      </c>
      <c r="N21" s="173">
        <f t="shared" si="18"/>
        <v>146896222451.47653</v>
      </c>
      <c r="O21" s="67"/>
      <c r="P21" s="288">
        <f>P22+P25+P28+P41+P42+P45+P48+P51+P54+P57+P60+P63+P66+P69+P72+P75+P78+P81</f>
        <v>0</v>
      </c>
      <c r="Q21" s="289">
        <f>Q22+Q25+Q28+Q41+Q42+Q45+Q48+Q51+Q54+Q57+Q60+Q63+Q66+Q69+Q72+Q75+Q78+Q81</f>
        <v>0</v>
      </c>
      <c r="R21" s="101"/>
      <c r="S21" s="642" t="s">
        <v>538</v>
      </c>
      <c r="T21" s="312" t="s">
        <v>151</v>
      </c>
      <c r="U21" s="723">
        <v>544320925</v>
      </c>
      <c r="V21" s="220">
        <f t="shared" ref="V21:V33" si="19">AL21</f>
        <v>0</v>
      </c>
      <c r="W21" s="220">
        <f t="shared" ref="W21:W33" si="20">AM21</f>
        <v>0</v>
      </c>
      <c r="X21" s="269">
        <f t="shared" ref="X21:X33" si="21">SUM(U21:W21)</f>
        <v>544320925</v>
      </c>
      <c r="Y21" s="270">
        <v>0</v>
      </c>
      <c r="Z21" s="208"/>
      <c r="AA21" s="269">
        <f t="shared" ref="AA21:AA33" si="22">SUM(Y21:Z21)</f>
        <v>0</v>
      </c>
      <c r="AB21" s="270">
        <v>0</v>
      </c>
      <c r="AC21" s="208">
        <v>0</v>
      </c>
      <c r="AD21" s="271">
        <f t="shared" ref="AD21:AD33" si="23">SUM(AB21:AC21)</f>
        <v>0</v>
      </c>
      <c r="AE21" s="270">
        <v>0</v>
      </c>
      <c r="AF21" s="208">
        <v>0</v>
      </c>
      <c r="AG21" s="269">
        <f t="shared" ref="AG21:AG33" si="24">SUM(AE21:AF21)</f>
        <v>0</v>
      </c>
      <c r="AH21" s="270">
        <f t="shared" ref="AH21:AH33" si="25">X21-AA21</f>
        <v>544320925</v>
      </c>
      <c r="AI21" s="220">
        <f t="shared" ref="AI21:AI33" si="26">X21-AD21</f>
        <v>544320925</v>
      </c>
      <c r="AJ21" s="269">
        <f t="shared" ref="AJ21:AJ33" si="27">X21-AG21</f>
        <v>544320925</v>
      </c>
      <c r="AK21" s="101"/>
      <c r="AL21" s="204">
        <v>0</v>
      </c>
      <c r="AM21" s="210">
        <v>0</v>
      </c>
      <c r="AN21" s="101"/>
      <c r="AO21" s="156"/>
      <c r="AP21" s="313"/>
      <c r="AQ21" s="314"/>
      <c r="AR21" s="315" t="str">
        <f>AR6</f>
        <v>ENERO</v>
      </c>
      <c r="AS21" s="316" t="str">
        <f>AR6</f>
        <v>ENERO</v>
      </c>
      <c r="AT21" s="315" t="str">
        <f>AR6</f>
        <v>ENERO</v>
      </c>
      <c r="AU21" s="315" t="s">
        <v>31</v>
      </c>
      <c r="AV21" s="315" t="s">
        <v>34</v>
      </c>
      <c r="AW21" s="317"/>
      <c r="AX21" s="317"/>
      <c r="AY21" s="315" t="s">
        <v>31</v>
      </c>
      <c r="AZ21" s="318" t="s">
        <v>34</v>
      </c>
      <c r="BA21" s="101"/>
      <c r="BB21" s="308" t="s">
        <v>152</v>
      </c>
      <c r="BC21" s="142">
        <f>SUM(F128)</f>
        <v>19182884469.099998</v>
      </c>
      <c r="BD21" s="142">
        <f>SUM(I128)</f>
        <v>10285873142</v>
      </c>
      <c r="BE21" s="142">
        <f>SUM(K128)</f>
        <v>10285873142</v>
      </c>
      <c r="BF21" s="117"/>
      <c r="BG21" s="67"/>
      <c r="BH21" s="67"/>
      <c r="BI21" s="67"/>
      <c r="BJ21" s="67"/>
      <c r="BK21" s="67"/>
      <c r="BL21" s="67"/>
      <c r="BM21" s="745" t="s">
        <v>153</v>
      </c>
      <c r="BN21" s="188">
        <v>0</v>
      </c>
      <c r="BO21" s="186">
        <v>0</v>
      </c>
      <c r="BP21" s="186">
        <v>0</v>
      </c>
      <c r="BQ21" s="754">
        <v>0</v>
      </c>
    </row>
    <row r="22" spans="1:69" ht="24.75" customHeight="1" thickBot="1">
      <c r="A22" s="631" t="s">
        <v>493</v>
      </c>
      <c r="B22" s="319" t="s">
        <v>154</v>
      </c>
      <c r="C22" s="288">
        <f t="shared" ref="C22:N22" si="28">SUM(C23:C24)</f>
        <v>56030749893.586876</v>
      </c>
      <c r="D22" s="320">
        <f t="shared" si="28"/>
        <v>0</v>
      </c>
      <c r="E22" s="320">
        <f t="shared" si="28"/>
        <v>0</v>
      </c>
      <c r="F22" s="320">
        <f t="shared" si="28"/>
        <v>56030749893.586876</v>
      </c>
      <c r="G22" s="320">
        <f t="shared" si="28"/>
        <v>0</v>
      </c>
      <c r="H22" s="320">
        <f t="shared" si="28"/>
        <v>8619609747</v>
      </c>
      <c r="I22" s="320">
        <f t="shared" si="28"/>
        <v>8619609747</v>
      </c>
      <c r="J22" s="320">
        <f t="shared" si="28"/>
        <v>0</v>
      </c>
      <c r="K22" s="320">
        <f t="shared" si="28"/>
        <v>3199509191</v>
      </c>
      <c r="L22" s="320">
        <f t="shared" si="28"/>
        <v>3199509191</v>
      </c>
      <c r="M22" s="320">
        <f t="shared" si="28"/>
        <v>47411140146.586876</v>
      </c>
      <c r="N22" s="289">
        <f t="shared" si="28"/>
        <v>52831240702.586876</v>
      </c>
      <c r="O22" s="101"/>
      <c r="P22" s="288">
        <f>SUM(P23:P24)</f>
        <v>0</v>
      </c>
      <c r="Q22" s="289">
        <f>SUM(Q23:Q24)</f>
        <v>0</v>
      </c>
      <c r="R22" s="101"/>
      <c r="S22" s="642" t="s">
        <v>539</v>
      </c>
      <c r="T22" s="312" t="s">
        <v>155</v>
      </c>
      <c r="U22" s="723">
        <v>272160462.5</v>
      </c>
      <c r="V22" s="220">
        <f t="shared" si="19"/>
        <v>0</v>
      </c>
      <c r="W22" s="220">
        <f t="shared" si="20"/>
        <v>0</v>
      </c>
      <c r="X22" s="269">
        <f t="shared" si="21"/>
        <v>272160462.5</v>
      </c>
      <c r="Y22" s="270">
        <v>0</v>
      </c>
      <c r="Z22" s="208">
        <v>6822128</v>
      </c>
      <c r="AA22" s="269">
        <f t="shared" si="22"/>
        <v>6822128</v>
      </c>
      <c r="AB22" s="270">
        <v>0</v>
      </c>
      <c r="AC22" s="208">
        <v>6822128</v>
      </c>
      <c r="AD22" s="271">
        <f t="shared" si="23"/>
        <v>6822128</v>
      </c>
      <c r="AE22" s="270">
        <v>0</v>
      </c>
      <c r="AF22" s="208">
        <v>5799124</v>
      </c>
      <c r="AG22" s="269">
        <f t="shared" si="24"/>
        <v>5799124</v>
      </c>
      <c r="AH22" s="270">
        <f t="shared" si="25"/>
        <v>265338334.5</v>
      </c>
      <c r="AI22" s="220">
        <f t="shared" si="26"/>
        <v>265338334.5</v>
      </c>
      <c r="AJ22" s="269">
        <f t="shared" si="27"/>
        <v>266361338.5</v>
      </c>
      <c r="AK22" s="101"/>
      <c r="AL22" s="204">
        <v>0</v>
      </c>
      <c r="AM22" s="210">
        <v>0</v>
      </c>
      <c r="AN22" s="101"/>
      <c r="AO22" s="321"/>
      <c r="AP22" s="322" t="s">
        <v>156</v>
      </c>
      <c r="AQ22" s="323">
        <f>X17+X66</f>
        <v>6311977741</v>
      </c>
      <c r="AR22" s="323">
        <f>AD17+AD66</f>
        <v>399373359</v>
      </c>
      <c r="AS22" s="323">
        <f>AG17+AG66</f>
        <v>399373359</v>
      </c>
      <c r="AT22" s="324"/>
      <c r="AU22" s="325">
        <f t="shared" ref="AU22:AU32" si="29">IF(AQ22=0," ",AR22/AQ22)</f>
        <v>6.3272301549138182E-2</v>
      </c>
      <c r="AV22" s="325">
        <f t="shared" ref="AV22:AV32" si="30">IF(AQ22=0," ",AS22/AQ22)</f>
        <v>6.3272301549138182E-2</v>
      </c>
      <c r="AW22" s="323">
        <f>AR22/$AO$2*12</f>
        <v>4792480308</v>
      </c>
      <c r="AX22" s="323">
        <f>AS22/$AO$2*12</f>
        <v>4792480308</v>
      </c>
      <c r="AY22" s="323">
        <f t="shared" ref="AY22:AY28" si="31">AQ22-AW22</f>
        <v>1519497433</v>
      </c>
      <c r="AZ22" s="326">
        <f t="shared" ref="AZ22:AZ31" si="32">AQ22-AX22</f>
        <v>1519497433</v>
      </c>
      <c r="BA22" s="67"/>
      <c r="BB22" s="327" t="s">
        <v>157</v>
      </c>
      <c r="BC22" s="328">
        <f>SUM(BC8+BC21)</f>
        <v>163568190266.47653</v>
      </c>
      <c r="BD22" s="328">
        <f>SUM(BD8+BD21)</f>
        <v>24865046820</v>
      </c>
      <c r="BE22" s="328">
        <f>SUM(BE8+BE21)</f>
        <v>10410466334</v>
      </c>
      <c r="BF22" s="117"/>
      <c r="BG22" s="67"/>
      <c r="BH22" s="67"/>
      <c r="BI22" s="67"/>
      <c r="BJ22" s="67"/>
      <c r="BK22" s="67"/>
      <c r="BL22" s="101"/>
      <c r="BM22" s="743" t="s">
        <v>108</v>
      </c>
      <c r="BN22" s="188">
        <f>BN23+BN24</f>
        <v>2193060585</v>
      </c>
      <c r="BO22" s="186">
        <f>BO23+BO24</f>
        <v>239013351</v>
      </c>
      <c r="BP22" s="186">
        <f>BP23+BP24</f>
        <v>239013351</v>
      </c>
      <c r="BQ22" s="748">
        <f>BQ23+BQ24</f>
        <v>23524089</v>
      </c>
    </row>
    <row r="23" spans="1:69" ht="24.75" customHeight="1">
      <c r="A23" s="631" t="s">
        <v>493</v>
      </c>
      <c r="B23" s="331" t="str">
        <f>+CONCATENATE("Vigencia ",INSTRUCCIONES!$F$3)</f>
        <v>Vigencia 2025</v>
      </c>
      <c r="C23" s="204">
        <v>49300076925.586876</v>
      </c>
      <c r="D23" s="205">
        <f>P23</f>
        <v>0</v>
      </c>
      <c r="E23" s="205">
        <f>Q23</f>
        <v>0</v>
      </c>
      <c r="F23" s="205">
        <f>SUM(C23:E23)</f>
        <v>49300076925.586876</v>
      </c>
      <c r="G23" s="205">
        <v>0</v>
      </c>
      <c r="H23" s="208">
        <v>5473586290</v>
      </c>
      <c r="I23" s="205">
        <f>SUM(G23:H23)</f>
        <v>5473586290</v>
      </c>
      <c r="J23" s="205">
        <v>0</v>
      </c>
      <c r="K23" s="208">
        <v>53485734</v>
      </c>
      <c r="L23" s="205">
        <f>SUM(J23:K23)</f>
        <v>53485734</v>
      </c>
      <c r="M23" s="205">
        <f>F23-I23</f>
        <v>43826490635.586876</v>
      </c>
      <c r="N23" s="206">
        <f>F23-L23</f>
        <v>49246591191.586876</v>
      </c>
      <c r="O23" s="101"/>
      <c r="P23" s="204">
        <v>0</v>
      </c>
      <c r="Q23" s="210">
        <v>0</v>
      </c>
      <c r="R23" s="101"/>
      <c r="S23" s="642" t="s">
        <v>541</v>
      </c>
      <c r="T23" s="312" t="s">
        <v>158</v>
      </c>
      <c r="U23" s="723">
        <v>190512323.74999997</v>
      </c>
      <c r="V23" s="220">
        <f t="shared" si="19"/>
        <v>0</v>
      </c>
      <c r="W23" s="220">
        <f t="shared" si="20"/>
        <v>0</v>
      </c>
      <c r="X23" s="269">
        <f t="shared" si="21"/>
        <v>190512323.74999997</v>
      </c>
      <c r="Y23" s="270">
        <v>0</v>
      </c>
      <c r="Z23" s="208">
        <v>15794572</v>
      </c>
      <c r="AA23" s="269">
        <f t="shared" si="22"/>
        <v>15794572</v>
      </c>
      <c r="AB23" s="270">
        <v>0</v>
      </c>
      <c r="AC23" s="208">
        <v>15794572</v>
      </c>
      <c r="AD23" s="271">
        <f t="shared" si="23"/>
        <v>15794572</v>
      </c>
      <c r="AE23" s="270">
        <v>0</v>
      </c>
      <c r="AF23" s="208">
        <v>15128603</v>
      </c>
      <c r="AG23" s="269">
        <f t="shared" si="24"/>
        <v>15128603</v>
      </c>
      <c r="AH23" s="270">
        <f t="shared" si="25"/>
        <v>174717751.74999997</v>
      </c>
      <c r="AI23" s="220">
        <f t="shared" si="26"/>
        <v>174717751.74999997</v>
      </c>
      <c r="AJ23" s="269">
        <f t="shared" si="27"/>
        <v>175383720.74999997</v>
      </c>
      <c r="AK23" s="101"/>
      <c r="AL23" s="204">
        <v>0</v>
      </c>
      <c r="AM23" s="210">
        <v>0</v>
      </c>
      <c r="AN23" s="101"/>
      <c r="AO23" s="332"/>
      <c r="AP23" s="333" t="s">
        <v>159</v>
      </c>
      <c r="AQ23" s="334">
        <f>X16+X65-AQ22</f>
        <v>1625602697.916667</v>
      </c>
      <c r="AR23" s="334">
        <f>AD16+AD65-AR22</f>
        <v>35695538</v>
      </c>
      <c r="AS23" s="334">
        <f>AG16+AG65-AS22</f>
        <v>32199586</v>
      </c>
      <c r="AT23" s="110"/>
      <c r="AU23" s="139">
        <f t="shared" si="29"/>
        <v>2.1958340771546785E-2</v>
      </c>
      <c r="AV23" s="139">
        <f t="shared" si="30"/>
        <v>1.9807783317083695E-2</v>
      </c>
      <c r="AW23" s="334">
        <f>(AR23-AD21-AD22-AD23-AD25-AD30-AD33-AD70-AD71-AD72-AD74-AD78-AD81)/$AO$2*12+AX22/12*2.5+AD30+AD33+AD78+AD81</f>
        <v>1145795516.5</v>
      </c>
      <c r="AX23" s="334">
        <f>(AS23-AG21-AG22-AG23-AG25-AG30-AG33-AG70-AG71-AG72-AG74-AG78-AG81)/$AO$2*12+AX22/12*2.5+AG30+AG33+AG78+AG81</f>
        <v>1125507129.5</v>
      </c>
      <c r="AY23" s="334">
        <f t="shared" si="31"/>
        <v>479807181.41666698</v>
      </c>
      <c r="AZ23" s="335">
        <f t="shared" si="32"/>
        <v>500095568.41666698</v>
      </c>
      <c r="BA23" s="67"/>
      <c r="BB23" s="336"/>
      <c r="BC23" s="336"/>
      <c r="BD23" s="336"/>
      <c r="BE23" s="336"/>
      <c r="BF23" s="67"/>
      <c r="BG23" s="67"/>
      <c r="BH23" s="67"/>
      <c r="BI23" s="67"/>
      <c r="BJ23" s="67"/>
      <c r="BK23" s="67"/>
      <c r="BL23" s="67"/>
      <c r="BM23" s="745" t="s">
        <v>160</v>
      </c>
      <c r="BN23" s="188">
        <f>X176</f>
        <v>0</v>
      </c>
      <c r="BO23" s="186">
        <f>AA176</f>
        <v>0</v>
      </c>
      <c r="BP23" s="186">
        <f>AD176</f>
        <v>0</v>
      </c>
      <c r="BQ23" s="748">
        <f>AF176</f>
        <v>0</v>
      </c>
    </row>
    <row r="24" spans="1:69" ht="24.75" customHeight="1">
      <c r="A24" s="631" t="s">
        <v>777</v>
      </c>
      <c r="B24" s="331" t="s">
        <v>161</v>
      </c>
      <c r="C24" s="204">
        <v>6730672968</v>
      </c>
      <c r="D24" s="205">
        <f>P24</f>
        <v>0</v>
      </c>
      <c r="E24" s="205">
        <f>Q24</f>
        <v>0</v>
      </c>
      <c r="F24" s="205">
        <f>SUM(C24:E24)</f>
        <v>6730672968</v>
      </c>
      <c r="G24" s="205">
        <v>0</v>
      </c>
      <c r="H24" s="208">
        <f>3141311765+4711692</f>
        <v>3146023457</v>
      </c>
      <c r="I24" s="205">
        <f>SUM(G24:H24)</f>
        <v>3146023457</v>
      </c>
      <c r="J24" s="205">
        <v>0</v>
      </c>
      <c r="K24" s="208">
        <f>3141311765+4711692</f>
        <v>3146023457</v>
      </c>
      <c r="L24" s="205">
        <f>SUM(J24:K24)</f>
        <v>3146023457</v>
      </c>
      <c r="M24" s="205">
        <f>F24-I24</f>
        <v>3584649511</v>
      </c>
      <c r="N24" s="206">
        <f>F24-L24</f>
        <v>3584649511</v>
      </c>
      <c r="O24" s="67"/>
      <c r="P24" s="204">
        <v>0</v>
      </c>
      <c r="Q24" s="210">
        <v>0</v>
      </c>
      <c r="R24" s="101"/>
      <c r="S24" s="642" t="s">
        <v>540</v>
      </c>
      <c r="T24" s="312" t="s">
        <v>162</v>
      </c>
      <c r="U24" s="723">
        <v>272160462.5</v>
      </c>
      <c r="V24" s="220">
        <f t="shared" si="19"/>
        <v>0</v>
      </c>
      <c r="W24" s="220">
        <f t="shared" si="20"/>
        <v>0</v>
      </c>
      <c r="X24" s="269">
        <f t="shared" si="21"/>
        <v>272160462.5</v>
      </c>
      <c r="Y24" s="270">
        <v>0</v>
      </c>
      <c r="Z24" s="208">
        <v>657124</v>
      </c>
      <c r="AA24" s="269">
        <f t="shared" si="22"/>
        <v>657124</v>
      </c>
      <c r="AB24" s="270">
        <v>0</v>
      </c>
      <c r="AC24" s="208">
        <v>657124</v>
      </c>
      <c r="AD24" s="271">
        <f t="shared" si="23"/>
        <v>657124</v>
      </c>
      <c r="AE24" s="270">
        <v>0</v>
      </c>
      <c r="AF24" s="208"/>
      <c r="AG24" s="269">
        <f t="shared" si="24"/>
        <v>0</v>
      </c>
      <c r="AH24" s="270">
        <f t="shared" si="25"/>
        <v>271503338.5</v>
      </c>
      <c r="AI24" s="220">
        <f t="shared" si="26"/>
        <v>271503338.5</v>
      </c>
      <c r="AJ24" s="269">
        <f t="shared" si="27"/>
        <v>272160462.5</v>
      </c>
      <c r="AK24" s="101"/>
      <c r="AL24" s="204">
        <v>0</v>
      </c>
      <c r="AM24" s="210">
        <v>0</v>
      </c>
      <c r="AN24" s="101"/>
      <c r="AO24" s="332"/>
      <c r="AP24" s="337" t="s">
        <v>163</v>
      </c>
      <c r="AQ24" s="338">
        <f>X35+X83</f>
        <v>77033311477</v>
      </c>
      <c r="AR24" s="338">
        <f>AD35+AD83</f>
        <v>10776381133</v>
      </c>
      <c r="AS24" s="338">
        <f>AG35+AG83</f>
        <v>5799785152</v>
      </c>
      <c r="AT24" s="338"/>
      <c r="AU24" s="205">
        <f t="shared" si="29"/>
        <v>0.13989248191955928</v>
      </c>
      <c r="AV24" s="205">
        <f t="shared" si="30"/>
        <v>7.5289313685179618E-2</v>
      </c>
      <c r="AW24" s="205">
        <f>(AR24-AD41-AD88)/$AO$2*12+AD41+AD88</f>
        <v>65518936924</v>
      </c>
      <c r="AX24" s="205">
        <f>(AS24-AG41-AG88)/$AO$2*12+AG41+AG88</f>
        <v>5799785152</v>
      </c>
      <c r="AY24" s="205">
        <f t="shared" si="31"/>
        <v>11514374553</v>
      </c>
      <c r="AZ24" s="206">
        <f t="shared" si="32"/>
        <v>71233526325</v>
      </c>
      <c r="BA24" s="101"/>
      <c r="BB24" s="339"/>
      <c r="BC24" s="67"/>
      <c r="BD24" s="67"/>
      <c r="BE24" s="67"/>
      <c r="BF24" s="67"/>
      <c r="BG24" s="67"/>
      <c r="BH24" s="67"/>
      <c r="BI24" s="67"/>
      <c r="BJ24" s="67"/>
      <c r="BK24" s="67"/>
      <c r="BL24" s="67"/>
      <c r="BM24" s="745" t="s">
        <v>164</v>
      </c>
      <c r="BN24" s="188">
        <f>X169-X182</f>
        <v>2193060585</v>
      </c>
      <c r="BO24" s="188">
        <f>AA169-AA182</f>
        <v>239013351</v>
      </c>
      <c r="BP24" s="188">
        <f>AD169-AD182</f>
        <v>239013351</v>
      </c>
      <c r="BQ24" s="188">
        <f>AF169-AF182-AF191</f>
        <v>23524089</v>
      </c>
    </row>
    <row r="25" spans="1:69" ht="24.75" customHeight="1">
      <c r="A25" s="631" t="s">
        <v>495</v>
      </c>
      <c r="B25" s="319" t="s">
        <v>165</v>
      </c>
      <c r="C25" s="288">
        <f t="shared" ref="C25:N25" si="33">SUM(C26:C27)</f>
        <v>91588666596</v>
      </c>
      <c r="D25" s="320">
        <f t="shared" si="33"/>
        <v>0</v>
      </c>
      <c r="E25" s="320">
        <f t="shared" si="33"/>
        <v>0</v>
      </c>
      <c r="F25" s="320">
        <f t="shared" si="33"/>
        <v>91588666596</v>
      </c>
      <c r="G25" s="320">
        <f t="shared" si="33"/>
        <v>0</v>
      </c>
      <c r="H25" s="320">
        <f t="shared" si="33"/>
        <v>13195761074</v>
      </c>
      <c r="I25" s="320">
        <f t="shared" si="33"/>
        <v>13195761074</v>
      </c>
      <c r="J25" s="320">
        <f t="shared" si="33"/>
        <v>0</v>
      </c>
      <c r="K25" s="320">
        <f t="shared" si="33"/>
        <v>6655454622</v>
      </c>
      <c r="L25" s="320">
        <f t="shared" si="33"/>
        <v>6655454622</v>
      </c>
      <c r="M25" s="320">
        <f t="shared" si="33"/>
        <v>78392905522</v>
      </c>
      <c r="N25" s="289">
        <f t="shared" si="33"/>
        <v>84933211974</v>
      </c>
      <c r="O25" s="67"/>
      <c r="P25" s="288">
        <f>SUM(P26:P27)</f>
        <v>0</v>
      </c>
      <c r="Q25" s="289">
        <f>SUM(Q26:Q27)</f>
        <v>0</v>
      </c>
      <c r="R25" s="101"/>
      <c r="S25" s="311" t="s">
        <v>166</v>
      </c>
      <c r="T25" s="312" t="s">
        <v>167</v>
      </c>
      <c r="U25" s="722"/>
      <c r="V25" s="220">
        <f t="shared" si="19"/>
        <v>0</v>
      </c>
      <c r="W25" s="220">
        <f t="shared" si="20"/>
        <v>0</v>
      </c>
      <c r="X25" s="269">
        <f t="shared" si="21"/>
        <v>0</v>
      </c>
      <c r="Y25" s="270">
        <v>0</v>
      </c>
      <c r="Z25" s="208"/>
      <c r="AA25" s="269">
        <f t="shared" si="22"/>
        <v>0</v>
      </c>
      <c r="AB25" s="270">
        <v>0</v>
      </c>
      <c r="AC25" s="208"/>
      <c r="AD25" s="271">
        <f t="shared" si="23"/>
        <v>0</v>
      </c>
      <c r="AE25" s="270">
        <v>0</v>
      </c>
      <c r="AF25" s="208"/>
      <c r="AG25" s="269">
        <f t="shared" si="24"/>
        <v>0</v>
      </c>
      <c r="AH25" s="270">
        <f t="shared" si="25"/>
        <v>0</v>
      </c>
      <c r="AI25" s="220">
        <f t="shared" si="26"/>
        <v>0</v>
      </c>
      <c r="AJ25" s="269">
        <f t="shared" si="27"/>
        <v>0</v>
      </c>
      <c r="AK25" s="101"/>
      <c r="AL25" s="204">
        <v>0</v>
      </c>
      <c r="AM25" s="210">
        <v>0</v>
      </c>
      <c r="AN25" s="101"/>
      <c r="AO25" s="321"/>
      <c r="AP25" s="207" t="s">
        <v>168</v>
      </c>
      <c r="AQ25" s="205">
        <f>X43+X57+X90+X104</f>
        <v>3197792492.9625015</v>
      </c>
      <c r="AR25" s="205">
        <f>AD43+AD57+AD90+AD104</f>
        <v>192261423</v>
      </c>
      <c r="AS25" s="205">
        <f>AG43+AG57+AG90+AG104</f>
        <v>189703067</v>
      </c>
      <c r="AT25" s="338"/>
      <c r="AU25" s="205">
        <f t="shared" si="29"/>
        <v>6.0123170413063615E-2</v>
      </c>
      <c r="AV25" s="205">
        <f t="shared" si="30"/>
        <v>5.9323132259984493E-2</v>
      </c>
      <c r="AW25" s="205">
        <f>(AR25-AD55-AD61-AD102-AD108)/$AO$2*12+AD55+AD61+AD102+AD108</f>
        <v>1733708539</v>
      </c>
      <c r="AX25" s="205">
        <f>(AS25-AG55-AG61-AG102-AG108)/$AO$2*12+AG55+AG61+AG102+AG108</f>
        <v>1703008267</v>
      </c>
      <c r="AY25" s="205">
        <f t="shared" si="31"/>
        <v>1464083953.9625015</v>
      </c>
      <c r="AZ25" s="206">
        <f t="shared" si="32"/>
        <v>1494784225.9625015</v>
      </c>
      <c r="BA25" s="67"/>
      <c r="BB25" s="339"/>
      <c r="BC25" s="67"/>
      <c r="BD25" s="67"/>
      <c r="BE25" s="67"/>
      <c r="BF25" s="67"/>
      <c r="BG25" s="67"/>
      <c r="BH25" s="67"/>
      <c r="BI25" s="67"/>
      <c r="BJ25" s="67"/>
      <c r="BK25" s="67"/>
      <c r="BL25" s="67"/>
      <c r="BM25" s="756" t="s">
        <v>169</v>
      </c>
      <c r="BN25" s="340">
        <f>+SUM(BN26:BN28)</f>
        <v>33765849515.333328</v>
      </c>
      <c r="BO25" s="341">
        <f>+SUM(BO26:BO28)</f>
        <v>12325820567</v>
      </c>
      <c r="BP25" s="341">
        <f>+SUM(BP26:BP28)</f>
        <v>3650322202</v>
      </c>
      <c r="BQ25" s="757">
        <f>+SUM(BQ26:BQ28)</f>
        <v>46268719</v>
      </c>
    </row>
    <row r="26" spans="1:69" ht="24.75" customHeight="1">
      <c r="A26" s="631" t="s">
        <v>495</v>
      </c>
      <c r="B26" s="331" t="str">
        <f>+CONCATENATE("Vigencia ",INSTRUCCIONES!$F$3)</f>
        <v>Vigencia 2025</v>
      </c>
      <c r="C26" s="204">
        <v>81866799864</v>
      </c>
      <c r="D26" s="205">
        <f>P26</f>
        <v>0</v>
      </c>
      <c r="E26" s="205">
        <f>Q26</f>
        <v>0</v>
      </c>
      <c r="F26" s="205">
        <f>SUM(C26:E26)</f>
        <v>81866799864</v>
      </c>
      <c r="G26" s="205">
        <v>0</v>
      </c>
      <c r="H26" s="208">
        <v>6576263972</v>
      </c>
      <c r="I26" s="205">
        <f>SUM(G26:H26)</f>
        <v>6576263972</v>
      </c>
      <c r="J26" s="205">
        <v>0</v>
      </c>
      <c r="K26" s="208">
        <v>35957520</v>
      </c>
      <c r="L26" s="205">
        <f>SUM(J26:K26)</f>
        <v>35957520</v>
      </c>
      <c r="M26" s="205">
        <f>F26-I26</f>
        <v>75290535892</v>
      </c>
      <c r="N26" s="206">
        <f>F26-L26</f>
        <v>81830842344</v>
      </c>
      <c r="O26" s="101"/>
      <c r="P26" s="204">
        <v>0</v>
      </c>
      <c r="Q26" s="210">
        <v>0</v>
      </c>
      <c r="R26" s="101"/>
      <c r="S26" s="642" t="s">
        <v>542</v>
      </c>
      <c r="T26" s="312" t="s">
        <v>170</v>
      </c>
      <c r="U26" s="723"/>
      <c r="V26" s="220">
        <f t="shared" si="19"/>
        <v>21000000</v>
      </c>
      <c r="W26" s="220">
        <f t="shared" si="20"/>
        <v>0</v>
      </c>
      <c r="X26" s="269">
        <f t="shared" si="21"/>
        <v>21000000</v>
      </c>
      <c r="Y26" s="270">
        <v>0</v>
      </c>
      <c r="Z26" s="208">
        <v>2280000</v>
      </c>
      <c r="AA26" s="269">
        <f t="shared" si="22"/>
        <v>2280000</v>
      </c>
      <c r="AB26" s="270">
        <v>0</v>
      </c>
      <c r="AC26" s="208">
        <v>2280000</v>
      </c>
      <c r="AD26" s="271">
        <f t="shared" si="23"/>
        <v>2280000</v>
      </c>
      <c r="AE26" s="270">
        <v>0</v>
      </c>
      <c r="AF26" s="208">
        <v>2280000</v>
      </c>
      <c r="AG26" s="269">
        <f t="shared" si="24"/>
        <v>2280000</v>
      </c>
      <c r="AH26" s="270">
        <f t="shared" si="25"/>
        <v>18720000</v>
      </c>
      <c r="AI26" s="220">
        <f t="shared" si="26"/>
        <v>18720000</v>
      </c>
      <c r="AJ26" s="269">
        <f t="shared" si="27"/>
        <v>18720000</v>
      </c>
      <c r="AK26" s="101"/>
      <c r="AL26" s="204">
        <v>21000000</v>
      </c>
      <c r="AM26" s="210">
        <v>0</v>
      </c>
      <c r="AN26" s="101"/>
      <c r="AO26" s="321"/>
      <c r="AP26" s="342" t="s">
        <v>171</v>
      </c>
      <c r="AQ26" s="110">
        <f>X110</f>
        <v>22167043029.620834</v>
      </c>
      <c r="AR26" s="110">
        <f>AD110</f>
        <v>2364051760</v>
      </c>
      <c r="AS26" s="110">
        <f>AG110</f>
        <v>829918915</v>
      </c>
      <c r="AT26" s="198">
        <f>AO2/12</f>
        <v>8.3333333333333329E-2</v>
      </c>
      <c r="AU26" s="139">
        <f t="shared" si="29"/>
        <v>0.10664714084061742</v>
      </c>
      <c r="AV26" s="139">
        <f t="shared" si="30"/>
        <v>3.7439315378736633E-2</v>
      </c>
      <c r="AW26" s="334">
        <f>(AR26-AD121-AD139-AD143-AD153-AD167)/$AO$2*12+AD121+AD139+AD143+AD153+AD167</f>
        <v>19415299919</v>
      </c>
      <c r="AX26" s="334">
        <f>(AS26-AG121-AG139-AG143-AG153-AG167)/$AO$2*12+AG121+AG139+AG143+AG153+AG167</f>
        <v>1005705779</v>
      </c>
      <c r="AY26" s="334">
        <f t="shared" si="31"/>
        <v>2751743110.6208344</v>
      </c>
      <c r="AZ26" s="335">
        <f t="shared" si="32"/>
        <v>21161337250.620834</v>
      </c>
      <c r="BA26" s="67"/>
      <c r="BB26" s="67"/>
      <c r="BC26" s="67"/>
      <c r="BD26" s="67"/>
      <c r="BE26" s="67"/>
      <c r="BF26" s="67"/>
      <c r="BG26" s="67"/>
      <c r="BH26" s="67"/>
      <c r="BI26" s="67"/>
      <c r="BJ26" s="67"/>
      <c r="BK26" s="67"/>
      <c r="BL26" s="101"/>
      <c r="BM26" s="758" t="s">
        <v>172</v>
      </c>
      <c r="BN26" s="199">
        <f>+X198</f>
        <v>7396066391.666666</v>
      </c>
      <c r="BO26" s="199">
        <f>+AA198+AA212</f>
        <v>1504731509</v>
      </c>
      <c r="BP26" s="199">
        <f>+AD198+AD212</f>
        <v>677738526</v>
      </c>
      <c r="BQ26" s="750">
        <f>+AF198+AF212</f>
        <v>1702000</v>
      </c>
    </row>
    <row r="27" spans="1:69" ht="24.75" customHeight="1">
      <c r="A27" s="631" t="s">
        <v>496</v>
      </c>
      <c r="B27" s="331" t="s">
        <v>161</v>
      </c>
      <c r="C27" s="204">
        <v>9721866732</v>
      </c>
      <c r="D27" s="205">
        <f>P27</f>
        <v>0</v>
      </c>
      <c r="E27" s="205">
        <f>Q27</f>
        <v>0</v>
      </c>
      <c r="F27" s="205">
        <f>SUM(C27:E27)</f>
        <v>9721866732</v>
      </c>
      <c r="G27" s="205">
        <v>0</v>
      </c>
      <c r="H27" s="208">
        <f>6420134689+199362413</f>
        <v>6619497102</v>
      </c>
      <c r="I27" s="205">
        <f>SUM(G27:H27)</f>
        <v>6619497102</v>
      </c>
      <c r="J27" s="205">
        <v>0</v>
      </c>
      <c r="K27" s="208">
        <f>6420134689+199362413</f>
        <v>6619497102</v>
      </c>
      <c r="L27" s="205">
        <f>SUM(J27:K27)</f>
        <v>6619497102</v>
      </c>
      <c r="M27" s="205">
        <f>F27-I27</f>
        <v>3102369630</v>
      </c>
      <c r="N27" s="206">
        <f>F27-L27</f>
        <v>3102369630</v>
      </c>
      <c r="O27" s="67"/>
      <c r="P27" s="204">
        <v>0</v>
      </c>
      <c r="Q27" s="210">
        <v>0</v>
      </c>
      <c r="R27" s="101"/>
      <c r="S27" s="642" t="s">
        <v>543</v>
      </c>
      <c r="T27" s="312" t="s">
        <v>173</v>
      </c>
      <c r="U27" s="723"/>
      <c r="V27" s="220">
        <f t="shared" si="19"/>
        <v>0</v>
      </c>
      <c r="W27" s="220">
        <f t="shared" si="20"/>
        <v>0</v>
      </c>
      <c r="X27" s="269">
        <f t="shared" si="21"/>
        <v>0</v>
      </c>
      <c r="Y27" s="270">
        <v>0</v>
      </c>
      <c r="Z27" s="208"/>
      <c r="AA27" s="269">
        <f t="shared" si="22"/>
        <v>0</v>
      </c>
      <c r="AB27" s="270">
        <v>0</v>
      </c>
      <c r="AC27" s="208"/>
      <c r="AD27" s="271">
        <f t="shared" si="23"/>
        <v>0</v>
      </c>
      <c r="AE27" s="270">
        <v>0</v>
      </c>
      <c r="AF27" s="208"/>
      <c r="AG27" s="269">
        <f t="shared" si="24"/>
        <v>0</v>
      </c>
      <c r="AH27" s="270">
        <f t="shared" si="25"/>
        <v>0</v>
      </c>
      <c r="AI27" s="220">
        <f t="shared" si="26"/>
        <v>0</v>
      </c>
      <c r="AJ27" s="269">
        <f t="shared" si="27"/>
        <v>0</v>
      </c>
      <c r="AK27" s="101"/>
      <c r="AL27" s="204">
        <v>0</v>
      </c>
      <c r="AM27" s="210">
        <v>0</v>
      </c>
      <c r="AN27" s="101"/>
      <c r="AO27" s="343"/>
      <c r="AP27" s="207" t="s">
        <v>174</v>
      </c>
      <c r="AQ27" s="205">
        <f>X169</f>
        <v>2193060585</v>
      </c>
      <c r="AR27" s="205">
        <f>AD169</f>
        <v>239013351</v>
      </c>
      <c r="AS27" s="205">
        <f>AG169</f>
        <v>110651152</v>
      </c>
      <c r="AT27" s="338"/>
      <c r="AU27" s="205">
        <f t="shared" si="29"/>
        <v>0.10898620523062294</v>
      </c>
      <c r="AV27" s="205">
        <f t="shared" si="30"/>
        <v>5.045512775927255E-2</v>
      </c>
      <c r="AW27" s="205">
        <f>(AR27-AD173-AD182-AD191)/$AO$2*12+AD173+AD182+AD191</f>
        <v>1656682241</v>
      </c>
      <c r="AX27" s="205">
        <f>(AS27-AG173-AG182-AG191)/$AO$2*12+AG173+AG182+AG191</f>
        <v>116335853</v>
      </c>
      <c r="AY27" s="205">
        <f t="shared" si="31"/>
        <v>536378344</v>
      </c>
      <c r="AZ27" s="206">
        <f t="shared" si="32"/>
        <v>2076724732</v>
      </c>
      <c r="BA27" s="101"/>
      <c r="BB27" s="67"/>
      <c r="BC27" s="67"/>
      <c r="BD27" s="67"/>
      <c r="BE27" s="67"/>
      <c r="BF27" s="67"/>
      <c r="BG27" s="67"/>
      <c r="BH27" s="67"/>
      <c r="BI27" s="67"/>
      <c r="BJ27" s="67"/>
      <c r="BK27" s="67"/>
      <c r="BL27" s="67"/>
      <c r="BM27" s="758" t="s">
        <v>175</v>
      </c>
      <c r="BN27" s="201">
        <f>+X209-X212-X218</f>
        <v>3000000</v>
      </c>
      <c r="BO27" s="199">
        <f>+AA209-AA212-AA218</f>
        <v>0</v>
      </c>
      <c r="BP27" s="199">
        <f>+AD209-AD212-AD218</f>
        <v>0</v>
      </c>
      <c r="BQ27" s="750">
        <f>+AF209-AF212-AF218</f>
        <v>0</v>
      </c>
    </row>
    <row r="28" spans="1:69" ht="24.75" customHeight="1">
      <c r="A28" s="286">
        <v>1130103</v>
      </c>
      <c r="B28" s="344" t="s">
        <v>176</v>
      </c>
      <c r="C28" s="217">
        <f>C29+C32+C35+C38+C39+C40</f>
        <v>1850957800</v>
      </c>
      <c r="D28" s="320">
        <f>+D29+D32+D35+D38+D39+D40</f>
        <v>0</v>
      </c>
      <c r="E28" s="320">
        <f>+E29+E32+E35+E38+E39+E40</f>
        <v>0</v>
      </c>
      <c r="F28" s="320">
        <f>+F29+F32+F35+F38+F39+F40</f>
        <v>1850957800</v>
      </c>
      <c r="G28" s="320">
        <f t="shared" ref="G28:N28" si="34">G29+G32+G35+G38+G39+G40</f>
        <v>0</v>
      </c>
      <c r="H28" s="320">
        <f t="shared" si="34"/>
        <v>173431065</v>
      </c>
      <c r="I28" s="320">
        <f>I29+I32+I35+I38+I39+I40</f>
        <v>173431065</v>
      </c>
      <c r="J28" s="320">
        <f t="shared" si="34"/>
        <v>0</v>
      </c>
      <c r="K28" s="320">
        <f t="shared" si="34"/>
        <v>0</v>
      </c>
      <c r="L28" s="320">
        <f t="shared" si="34"/>
        <v>0</v>
      </c>
      <c r="M28" s="320">
        <f t="shared" si="34"/>
        <v>1677526735</v>
      </c>
      <c r="N28" s="289">
        <f t="shared" si="34"/>
        <v>1850957800</v>
      </c>
      <c r="O28" s="67"/>
      <c r="P28" s="288">
        <f>P29+P32+P35+P38+P39+P940</f>
        <v>0</v>
      </c>
      <c r="Q28" s="289">
        <f>Q29+Q32+Q35+Q38+Q39+Q40</f>
        <v>0</v>
      </c>
      <c r="R28" s="101"/>
      <c r="S28" s="311" t="s">
        <v>177</v>
      </c>
      <c r="T28" s="312" t="s">
        <v>178</v>
      </c>
      <c r="U28" s="722"/>
      <c r="V28" s="220">
        <f t="shared" si="19"/>
        <v>0</v>
      </c>
      <c r="W28" s="220">
        <f t="shared" si="20"/>
        <v>0</v>
      </c>
      <c r="X28" s="269">
        <f t="shared" si="21"/>
        <v>0</v>
      </c>
      <c r="Y28" s="270">
        <v>0</v>
      </c>
      <c r="Z28" s="208"/>
      <c r="AA28" s="269">
        <f t="shared" si="22"/>
        <v>0</v>
      </c>
      <c r="AB28" s="270">
        <v>0</v>
      </c>
      <c r="AC28" s="208"/>
      <c r="AD28" s="271">
        <f t="shared" si="23"/>
        <v>0</v>
      </c>
      <c r="AE28" s="270">
        <v>0</v>
      </c>
      <c r="AF28" s="208"/>
      <c r="AG28" s="269">
        <f t="shared" si="24"/>
        <v>0</v>
      </c>
      <c r="AH28" s="270">
        <f t="shared" si="25"/>
        <v>0</v>
      </c>
      <c r="AI28" s="220">
        <f t="shared" si="26"/>
        <v>0</v>
      </c>
      <c r="AJ28" s="269">
        <f t="shared" si="27"/>
        <v>0</v>
      </c>
      <c r="AK28" s="101"/>
      <c r="AL28" s="204">
        <v>0</v>
      </c>
      <c r="AM28" s="210">
        <v>0</v>
      </c>
      <c r="AN28" s="101"/>
      <c r="AO28" s="343"/>
      <c r="AP28" s="333" t="s">
        <v>179</v>
      </c>
      <c r="AQ28" s="205">
        <f>X195</f>
        <v>39676630478.666664</v>
      </c>
      <c r="AR28" s="205">
        <f>AD195</f>
        <v>4718847722</v>
      </c>
      <c r="AS28" s="205">
        <f>AG195</f>
        <v>1096820305</v>
      </c>
      <c r="AT28" s="338"/>
      <c r="AU28" s="205">
        <f t="shared" si="29"/>
        <v>0.11893267308919367</v>
      </c>
      <c r="AV28" s="205">
        <f t="shared" si="30"/>
        <v>2.7643988205846726E-2</v>
      </c>
      <c r="AW28" s="205">
        <f>(AR28-AD207)/$AO$2*12+AD207</f>
        <v>44872391944</v>
      </c>
      <c r="AX28" s="205">
        <f>(AS28-AG207)/$AO$2*12+AG207</f>
        <v>1605776214</v>
      </c>
      <c r="AY28" s="205">
        <f t="shared" si="31"/>
        <v>-5195761465.3333359</v>
      </c>
      <c r="AZ28" s="206">
        <f t="shared" si="32"/>
        <v>38070854264.666664</v>
      </c>
      <c r="BA28" s="67"/>
      <c r="BB28" s="67"/>
      <c r="BC28" s="67"/>
      <c r="BD28" s="67"/>
      <c r="BE28" s="67"/>
      <c r="BF28" s="67"/>
      <c r="BG28" s="67"/>
      <c r="BH28" s="67"/>
      <c r="BI28" s="67"/>
      <c r="BJ28" s="67"/>
      <c r="BK28" s="67"/>
      <c r="BL28" s="67"/>
      <c r="BM28" s="743" t="s">
        <v>180</v>
      </c>
      <c r="BN28" s="186">
        <f>+X196-X198-X207</f>
        <v>26366783123.666664</v>
      </c>
      <c r="BO28" s="186">
        <f>+AA196-AA198-AA207</f>
        <v>10821089058</v>
      </c>
      <c r="BP28" s="186">
        <f>+AD196-AD198-AD207</f>
        <v>2972583676</v>
      </c>
      <c r="BQ28" s="748">
        <f>+AF196-AF198-AF207</f>
        <v>44566719</v>
      </c>
    </row>
    <row r="29" spans="1:69" ht="24.75" customHeight="1">
      <c r="A29" s="202" t="s">
        <v>181</v>
      </c>
      <c r="B29" s="345" t="s">
        <v>182</v>
      </c>
      <c r="C29" s="270">
        <f t="shared" ref="C29:N29" si="35">SUM(C30:C31)</f>
        <v>0</v>
      </c>
      <c r="D29" s="220">
        <f t="shared" si="35"/>
        <v>0</v>
      </c>
      <c r="E29" s="220">
        <f t="shared" si="35"/>
        <v>0</v>
      </c>
      <c r="F29" s="220">
        <f t="shared" si="35"/>
        <v>0</v>
      </c>
      <c r="G29" s="220">
        <f t="shared" si="35"/>
        <v>0</v>
      </c>
      <c r="H29" s="220">
        <f t="shared" si="35"/>
        <v>0</v>
      </c>
      <c r="I29" s="220">
        <f t="shared" si="35"/>
        <v>0</v>
      </c>
      <c r="J29" s="220">
        <f t="shared" si="35"/>
        <v>0</v>
      </c>
      <c r="K29" s="220">
        <f t="shared" si="35"/>
        <v>0</v>
      </c>
      <c r="L29" s="220">
        <f t="shared" si="35"/>
        <v>0</v>
      </c>
      <c r="M29" s="220">
        <f t="shared" si="35"/>
        <v>0</v>
      </c>
      <c r="N29" s="269">
        <f t="shared" si="35"/>
        <v>0</v>
      </c>
      <c r="O29" s="67"/>
      <c r="P29" s="346">
        <f>SUM(P30:P31)</f>
        <v>0</v>
      </c>
      <c r="Q29" s="347">
        <f>SUM(Q30:Q31)</f>
        <v>0</v>
      </c>
      <c r="R29" s="101"/>
      <c r="S29" s="311" t="s">
        <v>183</v>
      </c>
      <c r="T29" s="312" t="s">
        <v>184</v>
      </c>
      <c r="U29" s="722"/>
      <c r="V29" s="220">
        <f t="shared" si="19"/>
        <v>0</v>
      </c>
      <c r="W29" s="220">
        <f t="shared" si="20"/>
        <v>0</v>
      </c>
      <c r="X29" s="269">
        <f t="shared" si="21"/>
        <v>0</v>
      </c>
      <c r="Y29" s="270">
        <v>0</v>
      </c>
      <c r="Z29" s="208"/>
      <c r="AA29" s="269">
        <f t="shared" si="22"/>
        <v>0</v>
      </c>
      <c r="AB29" s="270">
        <v>0</v>
      </c>
      <c r="AC29" s="208"/>
      <c r="AD29" s="271">
        <f t="shared" si="23"/>
        <v>0</v>
      </c>
      <c r="AE29" s="270">
        <v>0</v>
      </c>
      <c r="AF29" s="208"/>
      <c r="AG29" s="269">
        <f t="shared" si="24"/>
        <v>0</v>
      </c>
      <c r="AH29" s="270">
        <f t="shared" si="25"/>
        <v>0</v>
      </c>
      <c r="AI29" s="220">
        <f t="shared" si="26"/>
        <v>0</v>
      </c>
      <c r="AJ29" s="269">
        <f t="shared" si="27"/>
        <v>0</v>
      </c>
      <c r="AK29" s="101"/>
      <c r="AL29" s="204">
        <v>0</v>
      </c>
      <c r="AM29" s="210">
        <v>0</v>
      </c>
      <c r="AN29" s="101"/>
      <c r="AO29" s="321"/>
      <c r="AP29" s="333" t="s">
        <v>185</v>
      </c>
      <c r="AQ29" s="205">
        <f>X209</f>
        <v>2698559635</v>
      </c>
      <c r="AR29" s="205">
        <f>AD209</f>
        <v>1133097383</v>
      </c>
      <c r="AS29" s="205">
        <f>AG209</f>
        <v>1133097383</v>
      </c>
      <c r="AT29" s="110"/>
      <c r="AU29" s="139">
        <f t="shared" si="29"/>
        <v>0.41988969534112225</v>
      </c>
      <c r="AV29" s="139">
        <f t="shared" si="30"/>
        <v>0.41988969534112225</v>
      </c>
      <c r="AW29" s="334">
        <f>(AR29-AD218)/$AO$2*12+AD218</f>
        <v>1133097383</v>
      </c>
      <c r="AX29" s="334">
        <f>(AS29-AG218)/$AO$2*12+AG218</f>
        <v>1133097383</v>
      </c>
      <c r="AY29" s="334">
        <v>0</v>
      </c>
      <c r="AZ29" s="335">
        <f t="shared" si="32"/>
        <v>1565462252</v>
      </c>
      <c r="BA29" s="67"/>
      <c r="BB29" s="67"/>
      <c r="BC29" s="67"/>
      <c r="BD29" s="67"/>
      <c r="BE29" s="67"/>
      <c r="BF29" s="336"/>
      <c r="BG29" s="67"/>
      <c r="BH29" s="67"/>
      <c r="BI29" s="67"/>
      <c r="BJ29" s="67"/>
      <c r="BK29" s="67"/>
      <c r="BL29" s="101"/>
      <c r="BM29" s="759" t="s">
        <v>117</v>
      </c>
      <c r="BN29" s="340">
        <f>X235</f>
        <v>6401468407</v>
      </c>
      <c r="BO29" s="341">
        <f>AA232-AA256-AA241</f>
        <v>5164181771</v>
      </c>
      <c r="BP29" s="341">
        <f>AD232-AD256-AD241</f>
        <v>661895081</v>
      </c>
      <c r="BQ29" s="757">
        <f>AF232-AF256-AF241</f>
        <v>0</v>
      </c>
    </row>
    <row r="30" spans="1:69" ht="24.75" customHeight="1">
      <c r="A30" s="202" t="s">
        <v>186</v>
      </c>
      <c r="B30" s="331" t="str">
        <f>+CONCATENATE("Vigencia ",INSTRUCCIONES!$F$3)</f>
        <v>Vigencia 2025</v>
      </c>
      <c r="C30" s="204">
        <v>0</v>
      </c>
      <c r="D30" s="205">
        <f>P30</f>
        <v>0</v>
      </c>
      <c r="E30" s="205">
        <f>Q30</f>
        <v>0</v>
      </c>
      <c r="F30" s="205">
        <f>SUM(C30:E30)</f>
        <v>0</v>
      </c>
      <c r="G30" s="205">
        <v>0</v>
      </c>
      <c r="H30" s="208">
        <v>0</v>
      </c>
      <c r="I30" s="205">
        <f>SUM(G30:H30)</f>
        <v>0</v>
      </c>
      <c r="J30" s="205">
        <v>0</v>
      </c>
      <c r="K30" s="208"/>
      <c r="L30" s="205">
        <f>SUM(J30:K30)</f>
        <v>0</v>
      </c>
      <c r="M30" s="205">
        <f>F30-I30</f>
        <v>0</v>
      </c>
      <c r="N30" s="206">
        <f>F30-L30</f>
        <v>0</v>
      </c>
      <c r="O30" s="101"/>
      <c r="P30" s="204">
        <v>0</v>
      </c>
      <c r="Q30" s="210">
        <v>0</v>
      </c>
      <c r="R30" s="101"/>
      <c r="S30" s="642" t="s">
        <v>546</v>
      </c>
      <c r="T30" s="312" t="s">
        <v>187</v>
      </c>
      <c r="U30" s="723">
        <v>36288061.666666657</v>
      </c>
      <c r="V30" s="220">
        <f t="shared" si="19"/>
        <v>0</v>
      </c>
      <c r="W30" s="220">
        <f t="shared" si="20"/>
        <v>0</v>
      </c>
      <c r="X30" s="269">
        <f t="shared" si="21"/>
        <v>36288061.666666657</v>
      </c>
      <c r="Y30" s="270">
        <v>0</v>
      </c>
      <c r="Z30" s="208">
        <v>871267</v>
      </c>
      <c r="AA30" s="269">
        <f t="shared" si="22"/>
        <v>871267</v>
      </c>
      <c r="AB30" s="270">
        <v>0</v>
      </c>
      <c r="AC30" s="208">
        <v>871267</v>
      </c>
      <c r="AD30" s="271">
        <f t="shared" si="23"/>
        <v>871267</v>
      </c>
      <c r="AE30" s="270">
        <v>0</v>
      </c>
      <c r="AF30" s="208">
        <v>744416</v>
      </c>
      <c r="AG30" s="269">
        <f t="shared" si="24"/>
        <v>744416</v>
      </c>
      <c r="AH30" s="270">
        <f t="shared" si="25"/>
        <v>35416794.666666657</v>
      </c>
      <c r="AI30" s="220">
        <f t="shared" si="26"/>
        <v>35416794.666666657</v>
      </c>
      <c r="AJ30" s="269">
        <f t="shared" si="27"/>
        <v>35543645.666666657</v>
      </c>
      <c r="AK30" s="101"/>
      <c r="AL30" s="204">
        <v>0</v>
      </c>
      <c r="AM30" s="210">
        <v>0</v>
      </c>
      <c r="AN30" s="101"/>
      <c r="AO30" s="332" t="s">
        <v>92</v>
      </c>
      <c r="AP30" s="207" t="s">
        <v>188</v>
      </c>
      <c r="AQ30" s="205">
        <f>X220+X232</f>
        <v>9640643407</v>
      </c>
      <c r="AR30" s="205">
        <f>AD220+AD232</f>
        <v>770628414</v>
      </c>
      <c r="AS30" s="205">
        <f>AG220+AG232</f>
        <v>108733333</v>
      </c>
      <c r="AT30" s="338"/>
      <c r="AU30" s="205">
        <f t="shared" si="29"/>
        <v>7.9935371682812409E-2</v>
      </c>
      <c r="AV30" s="205">
        <f t="shared" si="30"/>
        <v>1.1278638614622912E-2</v>
      </c>
      <c r="AW30" s="205">
        <f>(AR30-AD225-AD230-AD241-AD256)/$AO$2*12+AD225+AD230+AD241+AD256</f>
        <v>9247540968</v>
      </c>
      <c r="AX30" s="205">
        <f>(AS30-AG225-AG230-AG241-AG256)/$AO$2*12+AG225+AG230+AG241+AG256</f>
        <v>1304799996</v>
      </c>
      <c r="AY30" s="205">
        <f>AQ30-AW30</f>
        <v>393102439</v>
      </c>
      <c r="AZ30" s="206">
        <f t="shared" si="32"/>
        <v>8335843411</v>
      </c>
      <c r="BA30" s="67"/>
      <c r="BB30" s="336"/>
      <c r="BC30" s="336"/>
      <c r="BD30" s="336"/>
      <c r="BE30" s="336"/>
      <c r="BF30" s="336"/>
      <c r="BG30" s="67"/>
      <c r="BH30" s="67"/>
      <c r="BI30" s="67"/>
      <c r="BJ30" s="67"/>
      <c r="BK30" s="67"/>
      <c r="BL30" s="67"/>
      <c r="BM30" s="759" t="s">
        <v>122</v>
      </c>
      <c r="BN30" s="340">
        <f>X220-X225-X230</f>
        <v>3239175000</v>
      </c>
      <c r="BO30" s="341">
        <f>AA220-AA225-AA230</f>
        <v>108733333</v>
      </c>
      <c r="BP30" s="341">
        <f>AD220-AD225-AD230</f>
        <v>108733333</v>
      </c>
      <c r="BQ30" s="757">
        <f>AF220-AF225-AF230</f>
        <v>108733333</v>
      </c>
    </row>
    <row r="31" spans="1:69" ht="24.75" customHeight="1">
      <c r="A31" s="202" t="s">
        <v>189</v>
      </c>
      <c r="B31" s="331" t="s">
        <v>161</v>
      </c>
      <c r="C31" s="204">
        <v>0</v>
      </c>
      <c r="D31" s="205">
        <f>P31</f>
        <v>0</v>
      </c>
      <c r="E31" s="205">
        <f>Q31</f>
        <v>0</v>
      </c>
      <c r="F31" s="205">
        <f>SUM(C31:E31)</f>
        <v>0</v>
      </c>
      <c r="G31" s="205">
        <v>0</v>
      </c>
      <c r="H31" s="208">
        <v>0</v>
      </c>
      <c r="I31" s="205">
        <f>SUM(G31:H31)</f>
        <v>0</v>
      </c>
      <c r="J31" s="205">
        <v>0</v>
      </c>
      <c r="K31" s="208"/>
      <c r="L31" s="205">
        <f>SUM(J31:K31)</f>
        <v>0</v>
      </c>
      <c r="M31" s="205">
        <f>F31-I31</f>
        <v>0</v>
      </c>
      <c r="N31" s="206">
        <f>F31-L31</f>
        <v>0</v>
      </c>
      <c r="O31" s="67"/>
      <c r="P31" s="204">
        <v>0</v>
      </c>
      <c r="Q31" s="210">
        <v>0</v>
      </c>
      <c r="R31" s="101"/>
      <c r="S31" s="642" t="s">
        <v>544</v>
      </c>
      <c r="T31" s="643" t="s">
        <v>545</v>
      </c>
      <c r="U31" s="723">
        <v>272160462.5</v>
      </c>
      <c r="V31" s="220">
        <f t="shared" si="19"/>
        <v>0</v>
      </c>
      <c r="W31" s="220">
        <f t="shared" si="20"/>
        <v>0</v>
      </c>
      <c r="X31" s="269">
        <f t="shared" si="21"/>
        <v>272160462.5</v>
      </c>
      <c r="Y31" s="270">
        <v>0</v>
      </c>
      <c r="Z31" s="208">
        <v>8357720</v>
      </c>
      <c r="AA31" s="269">
        <f t="shared" si="22"/>
        <v>8357720</v>
      </c>
      <c r="AB31" s="270">
        <v>0</v>
      </c>
      <c r="AC31" s="208">
        <v>8357720</v>
      </c>
      <c r="AD31" s="271">
        <f t="shared" si="23"/>
        <v>8357720</v>
      </c>
      <c r="AE31" s="270">
        <v>0</v>
      </c>
      <c r="AF31" s="208">
        <v>7334716</v>
      </c>
      <c r="AG31" s="269">
        <f t="shared" si="24"/>
        <v>7334716</v>
      </c>
      <c r="AH31" s="270">
        <f t="shared" si="25"/>
        <v>263802742.5</v>
      </c>
      <c r="AI31" s="220">
        <f t="shared" si="26"/>
        <v>263802742.5</v>
      </c>
      <c r="AJ31" s="269">
        <f t="shared" si="27"/>
        <v>264825746.5</v>
      </c>
      <c r="AK31" s="101"/>
      <c r="AL31" s="204">
        <v>0</v>
      </c>
      <c r="AM31" s="210">
        <v>0</v>
      </c>
      <c r="AN31" s="101"/>
      <c r="AO31" s="343"/>
      <c r="AP31" s="337" t="s">
        <v>190</v>
      </c>
      <c r="AQ31" s="338">
        <f>X258</f>
        <v>100.30987548828125</v>
      </c>
      <c r="AR31" s="338">
        <f>AD258</f>
        <v>-10218883749</v>
      </c>
      <c r="AS31" s="338">
        <f>AG258</f>
        <v>-9700282252</v>
      </c>
      <c r="AT31" s="338"/>
      <c r="AU31" s="205">
        <f t="shared" si="29"/>
        <v>-101873157.54562795</v>
      </c>
      <c r="AV31" s="205">
        <f t="shared" si="30"/>
        <v>-96703163.121095091</v>
      </c>
      <c r="AW31" s="205">
        <f>AQ31</f>
        <v>100.30987548828125</v>
      </c>
      <c r="AX31" s="205">
        <f>AQ31</f>
        <v>100.30987548828125</v>
      </c>
      <c r="AY31" s="205">
        <f>AQ31-AW31</f>
        <v>0</v>
      </c>
      <c r="AZ31" s="206">
        <f t="shared" si="32"/>
        <v>0</v>
      </c>
      <c r="BA31" s="67"/>
      <c r="BB31" s="336"/>
      <c r="BC31" s="336"/>
      <c r="BD31" s="336"/>
      <c r="BE31" s="336"/>
      <c r="BF31" s="67"/>
      <c r="BG31" s="67"/>
      <c r="BH31" s="67"/>
      <c r="BI31" s="67"/>
      <c r="BJ31" s="67"/>
      <c r="BK31" s="67"/>
      <c r="BL31" s="67"/>
      <c r="BM31" s="759" t="s">
        <v>191</v>
      </c>
      <c r="BN31" s="340">
        <f>X33+X41+X55+X61+X81+X88+X102+X108+X121+X139+X153+X167+X182+X191+X207+X218+X230+X241+X256+X225</f>
        <v>23632908219.222054</v>
      </c>
      <c r="BO31" s="341">
        <f>AA33+AA41+AA55+AA61+AA81+AA88+AA102+AA108+AA121+AA139+AA143+AA153+AA167+AA173+AA182+AA191+AA207+AA218+AA230+AA241+AA256+AA225</f>
        <v>8977610574</v>
      </c>
      <c r="BP31" s="341">
        <f>AD33+AD41+AD55+AD61+AD81+AD88+AD102+AD108+AD121+AD139+AD143+AD153+AD167+AD173+AD182+AD191+AD207+AD218+AD230+AD241+AD256+AD225</f>
        <v>8977610574</v>
      </c>
      <c r="BQ31" s="847">
        <f>SUM(AF262)</f>
        <v>8927749282</v>
      </c>
    </row>
    <row r="32" spans="1:69" ht="24.75" customHeight="1">
      <c r="A32" s="631" t="s">
        <v>497</v>
      </c>
      <c r="B32" s="345" t="s">
        <v>192</v>
      </c>
      <c r="C32" s="270">
        <f t="shared" ref="C32:N32" si="36">SUM(C33:C34)</f>
        <v>1850957800</v>
      </c>
      <c r="D32" s="220">
        <f t="shared" si="36"/>
        <v>0</v>
      </c>
      <c r="E32" s="220">
        <f t="shared" si="36"/>
        <v>0</v>
      </c>
      <c r="F32" s="220">
        <f t="shared" si="36"/>
        <v>1850957800</v>
      </c>
      <c r="G32" s="220">
        <f t="shared" si="36"/>
        <v>0</v>
      </c>
      <c r="H32" s="220">
        <f t="shared" si="36"/>
        <v>173431065</v>
      </c>
      <c r="I32" s="220">
        <f t="shared" si="36"/>
        <v>173431065</v>
      </c>
      <c r="J32" s="220">
        <f t="shared" si="36"/>
        <v>0</v>
      </c>
      <c r="K32" s="220">
        <f t="shared" si="36"/>
        <v>0</v>
      </c>
      <c r="L32" s="220">
        <f t="shared" si="36"/>
        <v>0</v>
      </c>
      <c r="M32" s="220">
        <f t="shared" si="36"/>
        <v>1677526735</v>
      </c>
      <c r="N32" s="269">
        <f t="shared" si="36"/>
        <v>1850957800</v>
      </c>
      <c r="O32" s="67"/>
      <c r="P32" s="346">
        <f>SUM(P33:P34)</f>
        <v>0</v>
      </c>
      <c r="Q32" s="347">
        <f>SUM(Q33:Q34)</f>
        <v>0</v>
      </c>
      <c r="R32" s="101"/>
      <c r="S32" s="311" t="s">
        <v>193</v>
      </c>
      <c r="T32" s="312"/>
      <c r="U32" s="722"/>
      <c r="V32" s="220">
        <f t="shared" si="19"/>
        <v>0</v>
      </c>
      <c r="W32" s="220">
        <f t="shared" si="20"/>
        <v>0</v>
      </c>
      <c r="X32" s="269">
        <f t="shared" si="21"/>
        <v>0</v>
      </c>
      <c r="Y32" s="270">
        <v>0</v>
      </c>
      <c r="Z32" s="208"/>
      <c r="AA32" s="269">
        <f t="shared" si="22"/>
        <v>0</v>
      </c>
      <c r="AB32" s="270">
        <v>0</v>
      </c>
      <c r="AC32" s="208"/>
      <c r="AD32" s="271">
        <f t="shared" si="23"/>
        <v>0</v>
      </c>
      <c r="AE32" s="270">
        <v>0</v>
      </c>
      <c r="AF32" s="208"/>
      <c r="AG32" s="269">
        <f t="shared" si="24"/>
        <v>0</v>
      </c>
      <c r="AH32" s="270">
        <f t="shared" si="25"/>
        <v>0</v>
      </c>
      <c r="AI32" s="220">
        <f t="shared" si="26"/>
        <v>0</v>
      </c>
      <c r="AJ32" s="269">
        <f t="shared" si="27"/>
        <v>0</v>
      </c>
      <c r="AK32" s="101"/>
      <c r="AL32" s="204">
        <v>0</v>
      </c>
      <c r="AM32" s="210">
        <v>0</v>
      </c>
      <c r="AN32" s="101"/>
      <c r="AO32" s="321"/>
      <c r="AP32" s="348" t="s">
        <v>194</v>
      </c>
      <c r="AQ32" s="730">
        <f>SUM(AQ22:AQ31)</f>
        <v>164544621644.47656</v>
      </c>
      <c r="AR32" s="260">
        <f>SUM(AR22:AR31)</f>
        <v>10410466334</v>
      </c>
      <c r="AS32" s="260">
        <f>SUM(AS22:AS31)</f>
        <v>0</v>
      </c>
      <c r="AT32" s="349"/>
      <c r="AU32" s="350">
        <f t="shared" si="29"/>
        <v>6.3268347697765417E-2</v>
      </c>
      <c r="AV32" s="350">
        <f t="shared" si="30"/>
        <v>0</v>
      </c>
      <c r="AW32" s="243">
        <f>SUM(AW22:AW31)</f>
        <v>149515933842.80988</v>
      </c>
      <c r="AX32" s="243">
        <f>SUM(AX22:AX31)</f>
        <v>18586496181.809875</v>
      </c>
      <c r="AY32" s="243">
        <f>SUM(AY22:AY31)</f>
        <v>13463225549.666668</v>
      </c>
      <c r="AZ32" s="244">
        <f>SUM(AZ22:AZ31)</f>
        <v>145958125462.66669</v>
      </c>
      <c r="BA32" s="67"/>
      <c r="BB32" s="67"/>
      <c r="BC32" s="67"/>
      <c r="BD32" s="67"/>
      <c r="BE32" s="67"/>
      <c r="BF32" s="336"/>
      <c r="BG32" s="67"/>
      <c r="BH32" s="67"/>
      <c r="BI32" s="67"/>
      <c r="BJ32" s="67"/>
      <c r="BK32" s="67"/>
      <c r="BL32" s="101"/>
      <c r="BM32" s="759" t="s">
        <v>195</v>
      </c>
      <c r="BN32" s="340">
        <f>+BN7+BN25+BN29+BN30+BN31</f>
        <v>164944621544.16669</v>
      </c>
      <c r="BO32" s="340">
        <f>+BO7+BO25+BO29+BO30+BO31</f>
        <v>71210045792</v>
      </c>
      <c r="BP32" s="340">
        <f>+BP7+BP25+BP29+BP30+BP31</f>
        <v>20748364504</v>
      </c>
      <c r="BQ32" s="760">
        <f>+BQ7+BQ25+BQ29+BQ30+BQ31</f>
        <v>9700282252</v>
      </c>
    </row>
    <row r="33" spans="1:69" ht="24.75" customHeight="1">
      <c r="A33" s="631" t="s">
        <v>497</v>
      </c>
      <c r="B33" s="331" t="str">
        <f>+CONCATENATE("Vigencia ",INSTRUCCIONES!$F$3)</f>
        <v>Vigencia 2025</v>
      </c>
      <c r="C33" s="204">
        <f>1080066798+60640093</f>
        <v>1140706891</v>
      </c>
      <c r="D33" s="205">
        <f>P33</f>
        <v>0</v>
      </c>
      <c r="E33" s="205">
        <f>Q33</f>
        <v>0</v>
      </c>
      <c r="F33" s="205">
        <f>SUM(C33:E33)</f>
        <v>1140706891</v>
      </c>
      <c r="G33" s="205">
        <v>0</v>
      </c>
      <c r="H33" s="208">
        <f>172457065+974000</f>
        <v>173431065</v>
      </c>
      <c r="I33" s="205">
        <f>SUM(G33:H33)</f>
        <v>173431065</v>
      </c>
      <c r="J33" s="205">
        <v>0</v>
      </c>
      <c r="K33" s="208">
        <v>0</v>
      </c>
      <c r="L33" s="205">
        <f>SUM(J33:K33)</f>
        <v>0</v>
      </c>
      <c r="M33" s="205">
        <f>F33-I33</f>
        <v>967275826</v>
      </c>
      <c r="N33" s="206">
        <f>F33-L33</f>
        <v>1140706891</v>
      </c>
      <c r="O33" s="101"/>
      <c r="P33" s="204">
        <v>0</v>
      </c>
      <c r="Q33" s="210">
        <v>0</v>
      </c>
      <c r="R33" s="101"/>
      <c r="S33" s="266">
        <v>1010199</v>
      </c>
      <c r="T33" s="267" t="s">
        <v>196</v>
      </c>
      <c r="U33" s="722"/>
      <c r="V33" s="220">
        <f t="shared" si="19"/>
        <v>0</v>
      </c>
      <c r="W33" s="220">
        <f t="shared" si="20"/>
        <v>0</v>
      </c>
      <c r="X33" s="269">
        <f t="shared" si="21"/>
        <v>0</v>
      </c>
      <c r="Y33" s="270">
        <v>0</v>
      </c>
      <c r="Z33" s="208"/>
      <c r="AA33" s="269">
        <f t="shared" si="22"/>
        <v>0</v>
      </c>
      <c r="AB33" s="270">
        <v>0</v>
      </c>
      <c r="AC33" s="208"/>
      <c r="AD33" s="271">
        <f t="shared" si="23"/>
        <v>0</v>
      </c>
      <c r="AE33" s="270">
        <v>0</v>
      </c>
      <c r="AF33" s="208"/>
      <c r="AG33" s="269">
        <f t="shared" si="24"/>
        <v>0</v>
      </c>
      <c r="AH33" s="270">
        <f t="shared" si="25"/>
        <v>0</v>
      </c>
      <c r="AI33" s="220">
        <f t="shared" si="26"/>
        <v>0</v>
      </c>
      <c r="AJ33" s="269">
        <f t="shared" si="27"/>
        <v>0</v>
      </c>
      <c r="AK33" s="101"/>
      <c r="AL33" s="204">
        <v>0</v>
      </c>
      <c r="AM33" s="210">
        <v>0</v>
      </c>
      <c r="AN33" s="101"/>
      <c r="AO33" s="156"/>
      <c r="AP33" s="351"/>
      <c r="AQ33" s="352">
        <f>IF((AQ32-X8)&lt;&gt;0,(AQ32-X8),"")</f>
        <v>100.30990600585938</v>
      </c>
      <c r="AR33" s="352"/>
      <c r="AS33" s="352"/>
      <c r="AT33" s="352"/>
      <c r="AU33" s="353"/>
      <c r="AV33" s="325"/>
      <c r="AW33" s="323"/>
      <c r="AX33" s="323"/>
      <c r="AY33" s="323"/>
      <c r="AZ33" s="326"/>
      <c r="BA33" s="67"/>
      <c r="BB33" s="336"/>
      <c r="BC33" s="336"/>
      <c r="BD33" s="336"/>
      <c r="BE33" s="336"/>
      <c r="BF33" s="336"/>
      <c r="BG33" s="67"/>
      <c r="BH33" s="67"/>
      <c r="BI33" s="67"/>
      <c r="BJ33" s="67"/>
      <c r="BK33" s="67"/>
      <c r="BL33" s="67"/>
      <c r="BM33" s="761" t="s">
        <v>197</v>
      </c>
      <c r="BN33" s="762">
        <f>X258</f>
        <v>100.30987548828125</v>
      </c>
      <c r="BO33" s="763">
        <f>AA258</f>
        <v>-44010824551</v>
      </c>
      <c r="BP33" s="763">
        <f>AD258</f>
        <v>-10218883749</v>
      </c>
      <c r="BQ33" s="764">
        <f>AF258</f>
        <v>144433873058.47653</v>
      </c>
    </row>
    <row r="34" spans="1:69" ht="24.75" customHeight="1" thickBot="1">
      <c r="A34" s="631" t="s">
        <v>498</v>
      </c>
      <c r="B34" s="331" t="s">
        <v>161</v>
      </c>
      <c r="C34" s="204">
        <f>423080108+287170801</f>
        <v>710250909</v>
      </c>
      <c r="D34" s="205">
        <f>P34</f>
        <v>0</v>
      </c>
      <c r="E34" s="205">
        <f>Q34</f>
        <v>0</v>
      </c>
      <c r="F34" s="205">
        <f>SUM(C34:E34)</f>
        <v>710250909</v>
      </c>
      <c r="G34" s="205">
        <v>0</v>
      </c>
      <c r="H34" s="208">
        <v>0</v>
      </c>
      <c r="I34" s="205">
        <f>SUM(G34:H34)</f>
        <v>0</v>
      </c>
      <c r="J34" s="205">
        <v>0</v>
      </c>
      <c r="K34" s="208">
        <v>0</v>
      </c>
      <c r="L34" s="205">
        <f>SUM(J34:K34)</f>
        <v>0</v>
      </c>
      <c r="M34" s="205">
        <f>F34-I34</f>
        <v>710250909</v>
      </c>
      <c r="N34" s="206">
        <f>F34-L34</f>
        <v>710250909</v>
      </c>
      <c r="O34" s="67"/>
      <c r="P34" s="204">
        <v>0</v>
      </c>
      <c r="Q34" s="210">
        <v>0</v>
      </c>
      <c r="R34" s="101"/>
      <c r="S34" s="189"/>
      <c r="T34" s="190"/>
      <c r="U34" s="1133"/>
      <c r="V34" s="191"/>
      <c r="W34" s="191"/>
      <c r="X34" s="192"/>
      <c r="Y34" s="193"/>
      <c r="Z34" s="191"/>
      <c r="AA34" s="192"/>
      <c r="AB34" s="193"/>
      <c r="AC34" s="191"/>
      <c r="AD34" s="191"/>
      <c r="AE34" s="193"/>
      <c r="AF34" s="191"/>
      <c r="AG34" s="192"/>
      <c r="AH34" s="193"/>
      <c r="AI34" s="191"/>
      <c r="AJ34" s="192"/>
      <c r="AK34" s="101"/>
      <c r="AL34" s="249"/>
      <c r="AM34" s="250"/>
      <c r="AN34" s="101"/>
      <c r="AO34" s="156"/>
      <c r="AP34" s="354"/>
      <c r="AQ34" s="101"/>
      <c r="AR34" s="101"/>
      <c r="AS34" s="101" t="s">
        <v>198</v>
      </c>
      <c r="AT34" s="101"/>
      <c r="AU34" s="355" t="s">
        <v>199</v>
      </c>
      <c r="AV34" s="356" t="s">
        <v>200</v>
      </c>
      <c r="AW34" s="243" t="s">
        <v>198</v>
      </c>
      <c r="AX34" s="357"/>
      <c r="AY34" s="243" t="s">
        <v>201</v>
      </c>
      <c r="AZ34" s="244" t="s">
        <v>202</v>
      </c>
      <c r="BA34" s="67"/>
      <c r="BB34" s="336"/>
      <c r="BC34" s="336"/>
      <c r="BD34" s="336"/>
      <c r="BE34" s="336"/>
      <c r="BF34" s="67"/>
      <c r="BG34" s="67"/>
      <c r="BH34" s="67"/>
      <c r="BI34" s="67"/>
      <c r="BJ34" s="67"/>
      <c r="BK34" s="67"/>
      <c r="BL34" s="67"/>
      <c r="BM34" s="101"/>
      <c r="BN34" s="101"/>
      <c r="BO34" s="101"/>
      <c r="BP34" s="101"/>
      <c r="BQ34" s="101"/>
    </row>
    <row r="35" spans="1:69" ht="24.75" customHeight="1" thickBot="1">
      <c r="A35" s="202" t="s">
        <v>203</v>
      </c>
      <c r="B35" s="345" t="s">
        <v>204</v>
      </c>
      <c r="C35" s="270">
        <f t="shared" ref="C35:N35" si="37">SUM(C36:C37)</f>
        <v>0</v>
      </c>
      <c r="D35" s="220">
        <f t="shared" si="37"/>
        <v>0</v>
      </c>
      <c r="E35" s="220">
        <f t="shared" si="37"/>
        <v>0</v>
      </c>
      <c r="F35" s="220">
        <f t="shared" si="37"/>
        <v>0</v>
      </c>
      <c r="G35" s="220">
        <f t="shared" si="37"/>
        <v>0</v>
      </c>
      <c r="H35" s="220">
        <f t="shared" si="37"/>
        <v>0</v>
      </c>
      <c r="I35" s="220">
        <f t="shared" si="37"/>
        <v>0</v>
      </c>
      <c r="J35" s="220">
        <f t="shared" si="37"/>
        <v>0</v>
      </c>
      <c r="K35" s="220">
        <f t="shared" si="37"/>
        <v>0</v>
      </c>
      <c r="L35" s="220">
        <f t="shared" si="37"/>
        <v>0</v>
      </c>
      <c r="M35" s="220">
        <f t="shared" si="37"/>
        <v>0</v>
      </c>
      <c r="N35" s="269">
        <f t="shared" si="37"/>
        <v>0</v>
      </c>
      <c r="O35" s="67"/>
      <c r="P35" s="346">
        <f>SUM(P36:P37)</f>
        <v>0</v>
      </c>
      <c r="Q35" s="347">
        <f>SUM(Q36:Q37)</f>
        <v>0</v>
      </c>
      <c r="R35" s="101"/>
      <c r="S35" s="631" t="s">
        <v>556</v>
      </c>
      <c r="T35" s="1115" t="s">
        <v>163</v>
      </c>
      <c r="U35" s="1118">
        <f t="shared" ref="U35:AJ35" si="38">SUM(U36:U41)</f>
        <v>12514508007</v>
      </c>
      <c r="V35" s="883">
        <f t="shared" si="38"/>
        <v>0</v>
      </c>
      <c r="W35" s="231">
        <f t="shared" si="38"/>
        <v>0</v>
      </c>
      <c r="X35" s="232">
        <f t="shared" si="38"/>
        <v>12514508007</v>
      </c>
      <c r="Y35" s="233">
        <f t="shared" si="38"/>
        <v>0</v>
      </c>
      <c r="Z35" s="231">
        <f t="shared" si="38"/>
        <v>8398315828</v>
      </c>
      <c r="AA35" s="232">
        <f t="shared" si="38"/>
        <v>8398315828</v>
      </c>
      <c r="AB35" s="233">
        <f t="shared" si="38"/>
        <v>0</v>
      </c>
      <c r="AC35" s="231">
        <f t="shared" si="38"/>
        <v>1131636599</v>
      </c>
      <c r="AD35" s="234">
        <f t="shared" si="38"/>
        <v>1131636599</v>
      </c>
      <c r="AE35" s="233">
        <f t="shared" si="38"/>
        <v>0</v>
      </c>
      <c r="AF35" s="231">
        <f t="shared" si="38"/>
        <v>772642367</v>
      </c>
      <c r="AG35" s="232">
        <f t="shared" si="38"/>
        <v>772642367</v>
      </c>
      <c r="AH35" s="233">
        <f t="shared" si="38"/>
        <v>4116192179</v>
      </c>
      <c r="AI35" s="231">
        <f t="shared" si="38"/>
        <v>11382871408</v>
      </c>
      <c r="AJ35" s="232">
        <f t="shared" si="38"/>
        <v>11741865640</v>
      </c>
      <c r="AK35" s="101"/>
      <c r="AL35" s="233">
        <f>SUM(AL36:AL41)</f>
        <v>0</v>
      </c>
      <c r="AM35" s="232">
        <f>SUM(AM36:AM41)</f>
        <v>0</v>
      </c>
      <c r="AN35" s="101"/>
      <c r="AO35" s="156"/>
      <c r="AP35" s="358"/>
      <c r="AQ35" s="61"/>
      <c r="AR35" s="359"/>
      <c r="AS35" s="359"/>
      <c r="AT35" s="359"/>
      <c r="AU35" s="360">
        <f>AR17-AR32</f>
        <v>16669740486</v>
      </c>
      <c r="AV35" s="361">
        <f>AS17-AR32</f>
        <v>0</v>
      </c>
      <c r="AW35" s="1329" t="s">
        <v>205</v>
      </c>
      <c r="AX35" s="1330"/>
      <c r="AY35" s="361">
        <f>AY17+AY32</f>
        <v>64591533780.19014</v>
      </c>
      <c r="AZ35" s="362">
        <f>AZ17+AY32</f>
        <v>-138001576351.80988</v>
      </c>
      <c r="BA35" s="67"/>
      <c r="BB35" s="67"/>
      <c r="BC35" s="67"/>
      <c r="BD35" s="67"/>
      <c r="BE35" s="67"/>
      <c r="BF35" s="336"/>
      <c r="BG35" s="67"/>
      <c r="BH35" s="67"/>
      <c r="BI35" s="67"/>
      <c r="BJ35" s="67"/>
      <c r="BK35" s="67"/>
      <c r="BL35" s="67"/>
      <c r="BM35" s="67"/>
      <c r="BN35" s="67"/>
      <c r="BO35" s="67"/>
      <c r="BP35" s="67"/>
      <c r="BQ35" s="67"/>
    </row>
    <row r="36" spans="1:69" ht="24.75" customHeight="1" thickBot="1">
      <c r="A36" s="202" t="s">
        <v>206</v>
      </c>
      <c r="B36" s="331" t="str">
        <f>+CONCATENATE("Vigencia ",INSTRUCCIONES!$F$3)</f>
        <v>Vigencia 2025</v>
      </c>
      <c r="C36" s="204">
        <v>0</v>
      </c>
      <c r="D36" s="205">
        <f t="shared" ref="D36:E41" si="39">P36</f>
        <v>0</v>
      </c>
      <c r="E36" s="205">
        <f t="shared" si="39"/>
        <v>0</v>
      </c>
      <c r="F36" s="205">
        <f t="shared" ref="F36:F41" si="40">SUM(C36:E36)</f>
        <v>0</v>
      </c>
      <c r="G36" s="205">
        <v>0</v>
      </c>
      <c r="H36" s="208">
        <v>0</v>
      </c>
      <c r="I36" s="205">
        <f t="shared" ref="I36:I41" si="41">SUM(G36:H36)</f>
        <v>0</v>
      </c>
      <c r="J36" s="205">
        <v>0</v>
      </c>
      <c r="K36" s="208">
        <v>0</v>
      </c>
      <c r="L36" s="205">
        <f t="shared" ref="L36:L41" si="42">SUM(J36:K36)</f>
        <v>0</v>
      </c>
      <c r="M36" s="205">
        <f t="shared" ref="M36:M41" si="43">F36-I36</f>
        <v>0</v>
      </c>
      <c r="N36" s="206">
        <f t="shared" ref="N36:N41" si="44">F36-L36</f>
        <v>0</v>
      </c>
      <c r="O36" s="101"/>
      <c r="P36" s="204">
        <v>0</v>
      </c>
      <c r="Q36" s="210">
        <v>0</v>
      </c>
      <c r="R36" s="101"/>
      <c r="S36" s="709" t="s">
        <v>557</v>
      </c>
      <c r="T36" s="635" t="s">
        <v>561</v>
      </c>
      <c r="U36" s="722">
        <v>771615965</v>
      </c>
      <c r="V36" s="1027">
        <f t="shared" ref="V36:W41" si="45">AL36</f>
        <v>0</v>
      </c>
      <c r="W36" s="220">
        <f t="shared" si="45"/>
        <v>0</v>
      </c>
      <c r="X36" s="269">
        <f t="shared" ref="X36:X41" si="46">SUM(U36:W36)</f>
        <v>771615965</v>
      </c>
      <c r="Y36" s="270">
        <v>0</v>
      </c>
      <c r="Z36" s="208">
        <v>101643060</v>
      </c>
      <c r="AA36" s="269">
        <f t="shared" ref="AA36:AA41" si="47">SUM(Y36:Z36)</f>
        <v>101643060</v>
      </c>
      <c r="AB36" s="270">
        <v>0</v>
      </c>
      <c r="AC36" s="208">
        <v>29595009</v>
      </c>
      <c r="AD36" s="271">
        <f t="shared" ref="AD36:AD41" si="48">SUM(AB36:AC36)</f>
        <v>29595009</v>
      </c>
      <c r="AE36" s="270">
        <v>0</v>
      </c>
      <c r="AF36" s="208"/>
      <c r="AG36" s="269">
        <f t="shared" ref="AG36:AG41" si="49">SUM(AE36:AF36)</f>
        <v>0</v>
      </c>
      <c r="AH36" s="270">
        <f t="shared" ref="AH36:AH41" si="50">X36-AA36</f>
        <v>669972905</v>
      </c>
      <c r="AI36" s="220">
        <f t="shared" ref="AI36:AI41" si="51">X36-AD36</f>
        <v>742020956</v>
      </c>
      <c r="AJ36" s="269">
        <f t="shared" ref="AJ36:AJ41" si="52">X36-AG36</f>
        <v>771615965</v>
      </c>
      <c r="AK36" s="101"/>
      <c r="AL36" s="204">
        <v>0</v>
      </c>
      <c r="AM36" s="210">
        <v>0</v>
      </c>
      <c r="AN36" s="101"/>
      <c r="AO36" s="363"/>
      <c r="AP36" s="364"/>
      <c r="AQ36" s="364"/>
      <c r="AR36" s="364"/>
      <c r="AS36" s="364"/>
      <c r="AT36" s="364"/>
      <c r="AU36" s="364"/>
      <c r="AV36" s="364"/>
      <c r="AW36" s="364"/>
      <c r="AX36" s="364"/>
      <c r="AY36" s="364"/>
      <c r="AZ36" s="365"/>
      <c r="BA36" s="67"/>
      <c r="BB36" s="336"/>
      <c r="BC36" s="336"/>
      <c r="BD36" s="336"/>
      <c r="BE36" s="336"/>
      <c r="BF36" s="336"/>
      <c r="BG36" s="67"/>
      <c r="BH36" s="67"/>
      <c r="BI36" s="67"/>
      <c r="BJ36" s="67"/>
      <c r="BK36" s="67"/>
      <c r="BL36" s="67"/>
      <c r="BM36" s="67"/>
      <c r="BN36" s="67"/>
      <c r="BO36" s="67"/>
      <c r="BP36" s="67"/>
      <c r="BQ36" s="67"/>
    </row>
    <row r="37" spans="1:69" ht="24.75" customHeight="1">
      <c r="A37" s="202" t="s">
        <v>207</v>
      </c>
      <c r="B37" s="331" t="s">
        <v>161</v>
      </c>
      <c r="C37" s="204">
        <v>0</v>
      </c>
      <c r="D37" s="205">
        <f t="shared" si="39"/>
        <v>0</v>
      </c>
      <c r="E37" s="205">
        <f t="shared" si="39"/>
        <v>0</v>
      </c>
      <c r="F37" s="205">
        <f t="shared" si="40"/>
        <v>0</v>
      </c>
      <c r="G37" s="205">
        <v>0</v>
      </c>
      <c r="H37" s="208">
        <v>0</v>
      </c>
      <c r="I37" s="205">
        <f t="shared" si="41"/>
        <v>0</v>
      </c>
      <c r="J37" s="205">
        <v>0</v>
      </c>
      <c r="K37" s="208">
        <v>0</v>
      </c>
      <c r="L37" s="205">
        <f t="shared" si="42"/>
        <v>0</v>
      </c>
      <c r="M37" s="205">
        <f t="shared" si="43"/>
        <v>0</v>
      </c>
      <c r="N37" s="206">
        <f t="shared" si="44"/>
        <v>0</v>
      </c>
      <c r="O37" s="67"/>
      <c r="P37" s="204">
        <v>0</v>
      </c>
      <c r="Q37" s="210">
        <v>0</v>
      </c>
      <c r="R37" s="101"/>
      <c r="S37" s="711" t="s">
        <v>576</v>
      </c>
      <c r="T37" s="534" t="s">
        <v>208</v>
      </c>
      <c r="U37" s="1112">
        <v>0</v>
      </c>
      <c r="V37" s="1027">
        <f t="shared" si="45"/>
        <v>0</v>
      </c>
      <c r="W37" s="220">
        <f t="shared" si="45"/>
        <v>0</v>
      </c>
      <c r="X37" s="269">
        <f t="shared" si="46"/>
        <v>0</v>
      </c>
      <c r="Y37" s="270">
        <v>0</v>
      </c>
      <c r="Z37" s="208"/>
      <c r="AA37" s="269">
        <f t="shared" si="47"/>
        <v>0</v>
      </c>
      <c r="AB37" s="270">
        <v>0</v>
      </c>
      <c r="AC37" s="208"/>
      <c r="AD37" s="271">
        <f t="shared" si="48"/>
        <v>0</v>
      </c>
      <c r="AE37" s="270">
        <v>0</v>
      </c>
      <c r="AF37" s="208"/>
      <c r="AG37" s="269">
        <f t="shared" si="49"/>
        <v>0</v>
      </c>
      <c r="AH37" s="270">
        <f t="shared" si="50"/>
        <v>0</v>
      </c>
      <c r="AI37" s="220">
        <f t="shared" si="51"/>
        <v>0</v>
      </c>
      <c r="AJ37" s="269">
        <f t="shared" si="52"/>
        <v>0</v>
      </c>
      <c r="AK37" s="101"/>
      <c r="AL37" s="204">
        <v>0</v>
      </c>
      <c r="AM37" s="210">
        <v>0</v>
      </c>
      <c r="AN37" s="101"/>
      <c r="AO37" s="366" t="s">
        <v>209</v>
      </c>
      <c r="AP37" s="67"/>
      <c r="AQ37" s="67"/>
      <c r="AR37" s="67"/>
      <c r="AS37" s="67"/>
      <c r="AT37" s="67"/>
      <c r="AU37" s="67"/>
      <c r="AV37" s="67"/>
      <c r="AW37" s="67"/>
      <c r="AX37" s="67"/>
      <c r="AY37" s="67"/>
      <c r="AZ37" s="67"/>
      <c r="BA37" s="67"/>
      <c r="BB37" s="336"/>
      <c r="BC37" s="336"/>
      <c r="BD37" s="336"/>
      <c r="BE37" s="336"/>
      <c r="BF37" s="67"/>
      <c r="BG37" s="67"/>
      <c r="BH37" s="67"/>
      <c r="BI37" s="67"/>
      <c r="BJ37" s="67"/>
      <c r="BK37" s="67"/>
      <c r="BL37" s="67"/>
      <c r="BM37" s="67"/>
      <c r="BN37" s="67"/>
      <c r="BO37" s="67"/>
      <c r="BP37" s="67"/>
      <c r="BQ37" s="67"/>
    </row>
    <row r="38" spans="1:69" ht="24.75" customHeight="1">
      <c r="A38" s="367" t="s">
        <v>210</v>
      </c>
      <c r="B38" s="368" t="s">
        <v>211</v>
      </c>
      <c r="C38" s="204">
        <v>0</v>
      </c>
      <c r="D38" s="205">
        <f t="shared" si="39"/>
        <v>0</v>
      </c>
      <c r="E38" s="205">
        <f t="shared" si="39"/>
        <v>0</v>
      </c>
      <c r="F38" s="205">
        <f t="shared" si="40"/>
        <v>0</v>
      </c>
      <c r="G38" s="205">
        <v>0</v>
      </c>
      <c r="H38" s="208">
        <v>0</v>
      </c>
      <c r="I38" s="205">
        <f t="shared" si="41"/>
        <v>0</v>
      </c>
      <c r="J38" s="205">
        <v>0</v>
      </c>
      <c r="K38" s="208">
        <v>0</v>
      </c>
      <c r="L38" s="205">
        <f t="shared" si="42"/>
        <v>0</v>
      </c>
      <c r="M38" s="205">
        <f t="shared" si="43"/>
        <v>0</v>
      </c>
      <c r="N38" s="206">
        <f t="shared" si="44"/>
        <v>0</v>
      </c>
      <c r="O38" s="369"/>
      <c r="P38" s="204">
        <v>0</v>
      </c>
      <c r="Q38" s="210">
        <v>0</v>
      </c>
      <c r="R38" s="101"/>
      <c r="S38" s="706" t="s">
        <v>606</v>
      </c>
      <c r="T38" s="534" t="s">
        <v>212</v>
      </c>
      <c r="U38" s="1111">
        <v>38518134</v>
      </c>
      <c r="V38" s="1027">
        <f t="shared" si="45"/>
        <v>0</v>
      </c>
      <c r="W38" s="220">
        <f t="shared" si="45"/>
        <v>0</v>
      </c>
      <c r="X38" s="269">
        <f t="shared" si="46"/>
        <v>38518134</v>
      </c>
      <c r="Y38" s="270">
        <v>0</v>
      </c>
      <c r="Z38" s="208"/>
      <c r="AA38" s="269">
        <f t="shared" si="47"/>
        <v>0</v>
      </c>
      <c r="AB38" s="270">
        <v>0</v>
      </c>
      <c r="AC38" s="208"/>
      <c r="AD38" s="271">
        <f t="shared" si="48"/>
        <v>0</v>
      </c>
      <c r="AE38" s="270">
        <v>0</v>
      </c>
      <c r="AF38" s="208"/>
      <c r="AG38" s="269">
        <f t="shared" si="49"/>
        <v>0</v>
      </c>
      <c r="AH38" s="270">
        <f t="shared" si="50"/>
        <v>38518134</v>
      </c>
      <c r="AI38" s="220">
        <f t="shared" si="51"/>
        <v>38518134</v>
      </c>
      <c r="AJ38" s="269">
        <f t="shared" si="52"/>
        <v>38518134</v>
      </c>
      <c r="AK38" s="101"/>
      <c r="AL38" s="204">
        <v>0</v>
      </c>
      <c r="AM38" s="210">
        <v>0</v>
      </c>
      <c r="AN38" s="101"/>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row>
    <row r="39" spans="1:69" ht="24.75" customHeight="1">
      <c r="A39" s="367" t="s">
        <v>213</v>
      </c>
      <c r="B39" s="368" t="s">
        <v>214</v>
      </c>
      <c r="C39" s="204">
        <v>0</v>
      </c>
      <c r="D39" s="205">
        <f t="shared" si="39"/>
        <v>0</v>
      </c>
      <c r="E39" s="205">
        <f t="shared" si="39"/>
        <v>0</v>
      </c>
      <c r="F39" s="205">
        <f t="shared" si="40"/>
        <v>0</v>
      </c>
      <c r="G39" s="205">
        <v>0</v>
      </c>
      <c r="H39" s="208">
        <v>0</v>
      </c>
      <c r="I39" s="205">
        <f t="shared" si="41"/>
        <v>0</v>
      </c>
      <c r="J39" s="205">
        <v>0</v>
      </c>
      <c r="K39" s="208">
        <v>0</v>
      </c>
      <c r="L39" s="205">
        <f t="shared" si="42"/>
        <v>0</v>
      </c>
      <c r="M39" s="205">
        <f t="shared" si="43"/>
        <v>0</v>
      </c>
      <c r="N39" s="206">
        <f t="shared" si="44"/>
        <v>0</v>
      </c>
      <c r="O39" s="369"/>
      <c r="P39" s="204">
        <v>0</v>
      </c>
      <c r="Q39" s="210">
        <v>0</v>
      </c>
      <c r="R39" s="101"/>
      <c r="S39" s="711" t="s">
        <v>559</v>
      </c>
      <c r="T39" s="635" t="s">
        <v>560</v>
      </c>
      <c r="U39" s="722">
        <v>9849382921</v>
      </c>
      <c r="V39" s="1027">
        <f t="shared" si="45"/>
        <v>0</v>
      </c>
      <c r="W39" s="220">
        <f t="shared" si="45"/>
        <v>0</v>
      </c>
      <c r="X39" s="269">
        <f t="shared" si="46"/>
        <v>9849382921</v>
      </c>
      <c r="Y39" s="270">
        <v>0</v>
      </c>
      <c r="Z39" s="208">
        <v>7524030401</v>
      </c>
      <c r="AA39" s="269">
        <f t="shared" si="47"/>
        <v>7524030401</v>
      </c>
      <c r="AB39" s="270">
        <v>0</v>
      </c>
      <c r="AC39" s="208">
        <v>329399223</v>
      </c>
      <c r="AD39" s="271">
        <f t="shared" si="48"/>
        <v>329399223</v>
      </c>
      <c r="AE39" s="270">
        <v>0</v>
      </c>
      <c r="AF39" s="208"/>
      <c r="AG39" s="269">
        <f t="shared" si="49"/>
        <v>0</v>
      </c>
      <c r="AH39" s="270">
        <f t="shared" si="50"/>
        <v>2325352520</v>
      </c>
      <c r="AI39" s="220">
        <f t="shared" si="51"/>
        <v>9519983698</v>
      </c>
      <c r="AJ39" s="269">
        <f t="shared" si="52"/>
        <v>9849382921</v>
      </c>
      <c r="AK39" s="101"/>
      <c r="AL39" s="204">
        <v>0</v>
      </c>
      <c r="AM39" s="210"/>
      <c r="AN39" s="101"/>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row>
    <row r="40" spans="1:69" ht="24.75" customHeight="1">
      <c r="A40" s="367" t="s">
        <v>216</v>
      </c>
      <c r="B40" s="368" t="s">
        <v>217</v>
      </c>
      <c r="C40" s="204">
        <v>0</v>
      </c>
      <c r="D40" s="205">
        <f t="shared" si="39"/>
        <v>0</v>
      </c>
      <c r="E40" s="205">
        <f t="shared" si="39"/>
        <v>0</v>
      </c>
      <c r="F40" s="205">
        <f t="shared" si="40"/>
        <v>0</v>
      </c>
      <c r="G40" s="205">
        <v>0</v>
      </c>
      <c r="H40" s="208">
        <v>0</v>
      </c>
      <c r="I40" s="205">
        <f t="shared" si="41"/>
        <v>0</v>
      </c>
      <c r="J40" s="205">
        <v>0</v>
      </c>
      <c r="K40" s="208">
        <v>0</v>
      </c>
      <c r="L40" s="205">
        <f t="shared" si="42"/>
        <v>0</v>
      </c>
      <c r="M40" s="205">
        <f t="shared" si="43"/>
        <v>0</v>
      </c>
      <c r="N40" s="206">
        <f t="shared" si="44"/>
        <v>0</v>
      </c>
      <c r="O40" s="369"/>
      <c r="P40" s="204">
        <v>0</v>
      </c>
      <c r="Q40" s="210">
        <v>0</v>
      </c>
      <c r="R40" s="101"/>
      <c r="S40" s="266"/>
      <c r="T40" s="534" t="s">
        <v>218</v>
      </c>
      <c r="U40" s="1111"/>
      <c r="V40" s="1027">
        <f t="shared" si="45"/>
        <v>0</v>
      </c>
      <c r="W40" s="220">
        <f t="shared" si="45"/>
        <v>0</v>
      </c>
      <c r="X40" s="269">
        <f t="shared" si="46"/>
        <v>0</v>
      </c>
      <c r="Y40" s="270">
        <v>0</v>
      </c>
      <c r="Z40" s="208"/>
      <c r="AA40" s="269">
        <f t="shared" si="47"/>
        <v>0</v>
      </c>
      <c r="AB40" s="270">
        <v>0</v>
      </c>
      <c r="AC40" s="208"/>
      <c r="AD40" s="271">
        <f t="shared" si="48"/>
        <v>0</v>
      </c>
      <c r="AE40" s="270">
        <v>0</v>
      </c>
      <c r="AF40" s="208"/>
      <c r="AG40" s="269">
        <f t="shared" si="49"/>
        <v>0</v>
      </c>
      <c r="AH40" s="270">
        <f t="shared" si="50"/>
        <v>0</v>
      </c>
      <c r="AI40" s="220">
        <f t="shared" si="51"/>
        <v>0</v>
      </c>
      <c r="AJ40" s="269">
        <f t="shared" si="52"/>
        <v>0</v>
      </c>
      <c r="AK40" s="101"/>
      <c r="AL40" s="204">
        <v>0</v>
      </c>
      <c r="AM40" s="210">
        <v>0</v>
      </c>
      <c r="AN40" s="101"/>
      <c r="AO40" s="67"/>
      <c r="AP40" s="67"/>
      <c r="AQ40" s="67"/>
      <c r="AR40" s="67"/>
      <c r="AS40" s="67"/>
      <c r="AT40" s="67"/>
      <c r="AU40" s="67"/>
      <c r="AV40" s="67"/>
      <c r="AW40" s="67"/>
      <c r="AX40" s="67"/>
      <c r="AY40" s="67"/>
      <c r="AZ40" s="67"/>
      <c r="BA40" s="67"/>
      <c r="BB40" s="67"/>
      <c r="BC40" s="67"/>
      <c r="BD40" s="67"/>
      <c r="BE40" s="67"/>
      <c r="BF40" s="67"/>
      <c r="BG40" s="67"/>
      <c r="BH40" s="67"/>
      <c r="BI40" s="67"/>
      <c r="BJ40" s="67"/>
      <c r="BK40" s="67"/>
      <c r="BL40" s="67"/>
      <c r="BM40" s="67"/>
      <c r="BN40" s="67"/>
      <c r="BO40" s="67"/>
      <c r="BP40" s="67"/>
      <c r="BQ40" s="67"/>
    </row>
    <row r="41" spans="1:69" ht="24.75" customHeight="1" thickBot="1">
      <c r="A41" s="286">
        <v>1130104</v>
      </c>
      <c r="B41" s="319" t="s">
        <v>219</v>
      </c>
      <c r="C41" s="204">
        <v>0</v>
      </c>
      <c r="D41" s="231">
        <f t="shared" si="39"/>
        <v>0</v>
      </c>
      <c r="E41" s="231">
        <f t="shared" si="39"/>
        <v>0</v>
      </c>
      <c r="F41" s="231">
        <f t="shared" si="40"/>
        <v>0</v>
      </c>
      <c r="G41" s="231">
        <v>0</v>
      </c>
      <c r="H41" s="208">
        <v>0</v>
      </c>
      <c r="I41" s="231">
        <f t="shared" si="41"/>
        <v>0</v>
      </c>
      <c r="J41" s="231">
        <v>0</v>
      </c>
      <c r="K41" s="208">
        <v>0</v>
      </c>
      <c r="L41" s="231">
        <f t="shared" si="42"/>
        <v>0</v>
      </c>
      <c r="M41" s="231">
        <f t="shared" si="43"/>
        <v>0</v>
      </c>
      <c r="N41" s="232">
        <f t="shared" si="44"/>
        <v>0</v>
      </c>
      <c r="O41" s="67"/>
      <c r="P41" s="208">
        <v>0</v>
      </c>
      <c r="Q41" s="210">
        <v>0</v>
      </c>
      <c r="R41" s="101"/>
      <c r="S41" s="716" t="s">
        <v>728</v>
      </c>
      <c r="T41" s="534" t="s">
        <v>729</v>
      </c>
      <c r="U41" s="1125">
        <v>1854990987</v>
      </c>
      <c r="V41" s="1027">
        <f t="shared" si="45"/>
        <v>0</v>
      </c>
      <c r="W41" s="220">
        <f t="shared" si="45"/>
        <v>0</v>
      </c>
      <c r="X41" s="269">
        <f t="shared" si="46"/>
        <v>1854990987</v>
      </c>
      <c r="Y41" s="270">
        <v>0</v>
      </c>
      <c r="Z41" s="208">
        <v>772642367</v>
      </c>
      <c r="AA41" s="269">
        <f t="shared" si="47"/>
        <v>772642367</v>
      </c>
      <c r="AB41" s="270">
        <v>0</v>
      </c>
      <c r="AC41" s="208">
        <v>772642367</v>
      </c>
      <c r="AD41" s="271">
        <f t="shared" si="48"/>
        <v>772642367</v>
      </c>
      <c r="AE41" s="270">
        <v>0</v>
      </c>
      <c r="AF41" s="208">
        <v>772642367</v>
      </c>
      <c r="AG41" s="269">
        <f t="shared" si="49"/>
        <v>772642367</v>
      </c>
      <c r="AH41" s="270">
        <f t="shared" si="50"/>
        <v>1082348620</v>
      </c>
      <c r="AI41" s="220">
        <f t="shared" si="51"/>
        <v>1082348620</v>
      </c>
      <c r="AJ41" s="269">
        <f t="shared" si="52"/>
        <v>1082348620</v>
      </c>
      <c r="AK41" s="101"/>
      <c r="AL41" s="204">
        <v>0</v>
      </c>
      <c r="AM41" s="210">
        <v>0</v>
      </c>
      <c r="AN41" s="101"/>
      <c r="AO41" s="67"/>
      <c r="AP41" s="67"/>
      <c r="AQ41" s="67"/>
      <c r="AR41" s="67"/>
      <c r="AS41" s="67"/>
      <c r="AT41" s="67"/>
      <c r="AU41" s="67"/>
      <c r="AV41" s="67"/>
      <c r="AW41" s="67"/>
      <c r="AX41" s="67"/>
      <c r="AY41" s="67"/>
      <c r="AZ41" s="67"/>
      <c r="BA41" s="67"/>
      <c r="BB41" s="336"/>
      <c r="BC41" s="336"/>
      <c r="BD41" s="336"/>
      <c r="BE41" s="336"/>
      <c r="BF41" s="67"/>
      <c r="BG41" s="67"/>
      <c r="BH41" s="67"/>
      <c r="BI41" s="67"/>
      <c r="BJ41" s="67"/>
      <c r="BK41" s="67"/>
      <c r="BL41" s="67"/>
      <c r="BM41" s="336"/>
      <c r="BN41" s="336"/>
      <c r="BO41" s="336"/>
      <c r="BP41" s="336"/>
      <c r="BQ41" s="336"/>
    </row>
    <row r="42" spans="1:69" ht="24.75" customHeight="1">
      <c r="A42" s="286" t="s">
        <v>778</v>
      </c>
      <c r="B42" s="319" t="s">
        <v>220</v>
      </c>
      <c r="C42" s="288">
        <f t="shared" ref="C42:N42" si="53">SUM(C43:C44)</f>
        <v>287170800</v>
      </c>
      <c r="D42" s="320">
        <f t="shared" si="53"/>
        <v>0</v>
      </c>
      <c r="E42" s="320">
        <f t="shared" si="53"/>
        <v>0</v>
      </c>
      <c r="F42" s="320">
        <f t="shared" si="53"/>
        <v>287170800</v>
      </c>
      <c r="G42" s="320">
        <f t="shared" si="53"/>
        <v>0</v>
      </c>
      <c r="H42" s="320">
        <f t="shared" si="53"/>
        <v>3942154</v>
      </c>
      <c r="I42" s="320">
        <f t="shared" si="53"/>
        <v>3942154</v>
      </c>
      <c r="J42" s="320">
        <f t="shared" si="53"/>
        <v>0</v>
      </c>
      <c r="K42" s="320">
        <f t="shared" si="53"/>
        <v>0</v>
      </c>
      <c r="L42" s="320">
        <f t="shared" si="53"/>
        <v>0</v>
      </c>
      <c r="M42" s="320">
        <f t="shared" si="53"/>
        <v>283228646</v>
      </c>
      <c r="N42" s="289">
        <f t="shared" si="53"/>
        <v>287170800</v>
      </c>
      <c r="O42" s="67"/>
      <c r="P42" s="288">
        <f>SUM(P43:P44)</f>
        <v>0</v>
      </c>
      <c r="Q42" s="289">
        <f>SUM(Q43:Q44)</f>
        <v>0</v>
      </c>
      <c r="R42" s="101"/>
      <c r="S42" s="189"/>
      <c r="T42" s="190"/>
      <c r="U42" s="1060"/>
      <c r="V42" s="191"/>
      <c r="W42" s="191"/>
      <c r="X42" s="192"/>
      <c r="Y42" s="193"/>
      <c r="Z42" s="191"/>
      <c r="AA42" s="192"/>
      <c r="AB42" s="193"/>
      <c r="AC42" s="191"/>
      <c r="AD42" s="191"/>
      <c r="AE42" s="193"/>
      <c r="AF42" s="191"/>
      <c r="AG42" s="192"/>
      <c r="AH42" s="193"/>
      <c r="AI42" s="191"/>
      <c r="AJ42" s="192"/>
      <c r="AK42" s="216"/>
      <c r="AL42" s="370"/>
      <c r="AM42" s="371"/>
      <c r="AN42" s="101"/>
      <c r="AO42" s="67"/>
      <c r="AP42" s="67"/>
      <c r="AQ42" s="67"/>
      <c r="AR42" s="67"/>
      <c r="AS42" s="67"/>
      <c r="AT42" s="67"/>
      <c r="AU42" s="67"/>
      <c r="AV42" s="67"/>
      <c r="AW42" s="67"/>
      <c r="AX42" s="67"/>
      <c r="AY42" s="67"/>
      <c r="AZ42" s="67"/>
      <c r="BA42" s="67"/>
      <c r="BB42" s="336"/>
      <c r="BC42" s="336"/>
      <c r="BD42" s="336"/>
      <c r="BE42" s="336"/>
      <c r="BF42" s="67"/>
      <c r="BG42" s="67"/>
      <c r="BH42" s="67"/>
      <c r="BI42" s="67"/>
      <c r="BJ42" s="67"/>
      <c r="BK42" s="67"/>
      <c r="BL42" s="67"/>
      <c r="BM42" s="67"/>
      <c r="BN42" s="67"/>
      <c r="BO42" s="67"/>
      <c r="BP42" s="67"/>
      <c r="BQ42" s="67"/>
    </row>
    <row r="43" spans="1:69" ht="24.75" customHeight="1">
      <c r="A43" s="286" t="s">
        <v>778</v>
      </c>
      <c r="B43" s="331" t="str">
        <f>+CONCATENATE("Vigencia ",INSTRUCCIONES!$F$3)</f>
        <v>Vigencia 2025</v>
      </c>
      <c r="C43" s="204">
        <v>0</v>
      </c>
      <c r="D43" s="205">
        <f>P43</f>
        <v>0</v>
      </c>
      <c r="E43" s="205">
        <f>Q43</f>
        <v>0</v>
      </c>
      <c r="F43" s="205">
        <f>SUM(C43:E43)</f>
        <v>0</v>
      </c>
      <c r="G43" s="205">
        <v>0</v>
      </c>
      <c r="H43" s="208">
        <v>3942154</v>
      </c>
      <c r="I43" s="205">
        <f>SUM(G43:H43)</f>
        <v>3942154</v>
      </c>
      <c r="J43" s="205">
        <v>0</v>
      </c>
      <c r="K43" s="208">
        <v>0</v>
      </c>
      <c r="L43" s="205">
        <f>SUM(J43:K43)</f>
        <v>0</v>
      </c>
      <c r="M43" s="205">
        <f>F43-I43</f>
        <v>-3942154</v>
      </c>
      <c r="N43" s="206">
        <f>F43-L43</f>
        <v>0</v>
      </c>
      <c r="O43" s="67"/>
      <c r="P43" s="204">
        <v>0</v>
      </c>
      <c r="Q43" s="210">
        <v>0</v>
      </c>
      <c r="R43" s="101"/>
      <c r="S43" s="257">
        <v>1010300</v>
      </c>
      <c r="T43" s="258" t="s">
        <v>221</v>
      </c>
      <c r="U43" s="230">
        <f>U44+U49+U55</f>
        <v>2871199937.9625015</v>
      </c>
      <c r="V43" s="231">
        <f t="shared" ref="V43:AJ43" si="54">V44+V49+V55</f>
        <v>0</v>
      </c>
      <c r="W43" s="231">
        <f t="shared" si="54"/>
        <v>0</v>
      </c>
      <c r="X43" s="232">
        <f t="shared" si="54"/>
        <v>2871199937.9625015</v>
      </c>
      <c r="Y43" s="233">
        <f t="shared" si="54"/>
        <v>0</v>
      </c>
      <c r="Z43" s="231">
        <f t="shared" si="54"/>
        <v>170476323</v>
      </c>
      <c r="AA43" s="232">
        <f t="shared" si="54"/>
        <v>170476323</v>
      </c>
      <c r="AB43" s="233">
        <f t="shared" si="54"/>
        <v>0</v>
      </c>
      <c r="AC43" s="231">
        <f t="shared" si="54"/>
        <v>170476323</v>
      </c>
      <c r="AD43" s="234">
        <f t="shared" si="54"/>
        <v>170476323</v>
      </c>
      <c r="AE43" s="233">
        <f t="shared" si="54"/>
        <v>0</v>
      </c>
      <c r="AF43" s="231">
        <f t="shared" si="54"/>
        <v>167917967</v>
      </c>
      <c r="AG43" s="232">
        <f t="shared" si="54"/>
        <v>167917967</v>
      </c>
      <c r="AH43" s="233">
        <f t="shared" si="54"/>
        <v>2700723614.9625015</v>
      </c>
      <c r="AI43" s="231">
        <f t="shared" si="54"/>
        <v>2700723614.9625015</v>
      </c>
      <c r="AJ43" s="232">
        <f t="shared" si="54"/>
        <v>2703281970.9625015</v>
      </c>
      <c r="AK43" s="101"/>
      <c r="AL43" s="233">
        <f>AL44+AL49+AL55</f>
        <v>0</v>
      </c>
      <c r="AM43" s="232"/>
      <c r="AN43" s="101"/>
      <c r="AO43" s="67"/>
      <c r="AP43" s="372"/>
      <c r="AQ43" s="67"/>
      <c r="AR43" s="67"/>
      <c r="AS43" s="67"/>
      <c r="AT43" s="67"/>
      <c r="AU43" s="67"/>
      <c r="AV43" s="67"/>
      <c r="AW43" s="67"/>
      <c r="AX43" s="67"/>
      <c r="AY43" s="67"/>
      <c r="AZ43" s="67"/>
      <c r="BA43" s="67"/>
      <c r="BB43" s="67"/>
      <c r="BC43" s="67"/>
      <c r="BD43" s="67"/>
      <c r="BE43" s="67"/>
      <c r="BF43" s="67"/>
      <c r="BG43" s="67"/>
      <c r="BH43" s="67"/>
      <c r="BI43" s="67"/>
      <c r="BJ43" s="67"/>
      <c r="BK43" s="67"/>
      <c r="BL43" s="67"/>
      <c r="BM43" s="67"/>
      <c r="BN43" s="67"/>
      <c r="BO43" s="67"/>
      <c r="BP43" s="67"/>
      <c r="BQ43" s="67"/>
    </row>
    <row r="44" spans="1:69" ht="24.75" customHeight="1">
      <c r="A44" s="286" t="s">
        <v>779</v>
      </c>
      <c r="B44" s="331" t="s">
        <v>161</v>
      </c>
      <c r="C44" s="204">
        <v>287170800</v>
      </c>
      <c r="D44" s="205">
        <f>P44</f>
        <v>0</v>
      </c>
      <c r="E44" s="205">
        <f>Q44</f>
        <v>0</v>
      </c>
      <c r="F44" s="205">
        <f>SUM(C44:E44)</f>
        <v>287170800</v>
      </c>
      <c r="G44" s="205">
        <v>0</v>
      </c>
      <c r="H44" s="208">
        <v>0</v>
      </c>
      <c r="I44" s="205">
        <f>SUM(G44:H44)</f>
        <v>0</v>
      </c>
      <c r="J44" s="205">
        <v>0</v>
      </c>
      <c r="K44" s="208">
        <v>0</v>
      </c>
      <c r="L44" s="205">
        <f>SUM(J44:K44)</f>
        <v>0</v>
      </c>
      <c r="M44" s="205">
        <f>F44-I44</f>
        <v>287170800</v>
      </c>
      <c r="N44" s="206">
        <f>F44-L44</f>
        <v>287170800</v>
      </c>
      <c r="O44" s="67"/>
      <c r="P44" s="204">
        <v>0</v>
      </c>
      <c r="Q44" s="210">
        <v>0</v>
      </c>
      <c r="R44" s="101"/>
      <c r="S44" s="266">
        <v>1010301</v>
      </c>
      <c r="T44" s="267" t="s">
        <v>222</v>
      </c>
      <c r="U44" s="373">
        <f t="shared" ref="U44:AJ44" si="55">SUM(U45:U48)</f>
        <v>0</v>
      </c>
      <c r="V44" s="374">
        <f t="shared" si="55"/>
        <v>0</v>
      </c>
      <c r="W44" s="374">
        <f t="shared" si="55"/>
        <v>0</v>
      </c>
      <c r="X44" s="302">
        <f t="shared" si="55"/>
        <v>0</v>
      </c>
      <c r="Y44" s="301">
        <f t="shared" si="55"/>
        <v>0</v>
      </c>
      <c r="Z44" s="374">
        <f t="shared" si="55"/>
        <v>0</v>
      </c>
      <c r="AA44" s="302">
        <f t="shared" si="55"/>
        <v>0</v>
      </c>
      <c r="AB44" s="301">
        <f t="shared" si="55"/>
        <v>0</v>
      </c>
      <c r="AC44" s="374">
        <f t="shared" si="55"/>
        <v>0</v>
      </c>
      <c r="AD44" s="375">
        <f t="shared" si="55"/>
        <v>0</v>
      </c>
      <c r="AE44" s="301">
        <f t="shared" si="55"/>
        <v>0</v>
      </c>
      <c r="AF44" s="374">
        <f t="shared" si="55"/>
        <v>0</v>
      </c>
      <c r="AG44" s="302">
        <f t="shared" si="55"/>
        <v>0</v>
      </c>
      <c r="AH44" s="270">
        <f t="shared" si="55"/>
        <v>0</v>
      </c>
      <c r="AI44" s="220">
        <f t="shared" si="55"/>
        <v>0</v>
      </c>
      <c r="AJ44" s="269">
        <f t="shared" si="55"/>
        <v>0</v>
      </c>
      <c r="AK44" s="101"/>
      <c r="AL44" s="301">
        <f>SUM(AL45:AL48)</f>
        <v>0</v>
      </c>
      <c r="AM44" s="302">
        <f>SUM(AM45:AM48)</f>
        <v>0</v>
      </c>
      <c r="AN44" s="101"/>
      <c r="AO44" s="67"/>
      <c r="AP44" s="67"/>
      <c r="AQ44" s="67"/>
      <c r="AR44" s="67"/>
      <c r="AS44" s="67"/>
      <c r="AT44" s="67"/>
      <c r="AU44" s="67"/>
      <c r="AV44" s="67"/>
      <c r="AW44" s="67"/>
      <c r="AX44" s="67"/>
      <c r="AY44" s="67"/>
      <c r="AZ44" s="67"/>
      <c r="BA44" s="67"/>
      <c r="BB44" s="336"/>
      <c r="BC44" s="336"/>
      <c r="BD44" s="336"/>
      <c r="BE44" s="336"/>
      <c r="BF44" s="67"/>
      <c r="BG44" s="67"/>
      <c r="BH44" s="67"/>
      <c r="BI44" s="67"/>
      <c r="BJ44" s="67"/>
      <c r="BK44" s="67"/>
      <c r="BL44" s="67"/>
      <c r="BM44" s="67"/>
      <c r="BN44" s="67"/>
      <c r="BO44" s="67"/>
      <c r="BP44" s="67"/>
      <c r="BQ44" s="67"/>
    </row>
    <row r="45" spans="1:69" ht="24.75" customHeight="1">
      <c r="A45" s="1141" t="s">
        <v>758</v>
      </c>
      <c r="B45" s="319" t="s">
        <v>764</v>
      </c>
      <c r="C45" s="217">
        <f t="shared" ref="C45:N45" si="56">SUM(C46:C47)</f>
        <v>1301505717</v>
      </c>
      <c r="D45" s="320">
        <f t="shared" si="56"/>
        <v>0</v>
      </c>
      <c r="E45" s="320">
        <f t="shared" si="56"/>
        <v>0</v>
      </c>
      <c r="F45" s="320">
        <f t="shared" si="56"/>
        <v>1301505717</v>
      </c>
      <c r="G45" s="320">
        <f t="shared" si="56"/>
        <v>0</v>
      </c>
      <c r="H45" s="320">
        <f t="shared" si="56"/>
        <v>34590951</v>
      </c>
      <c r="I45" s="320">
        <f t="shared" si="56"/>
        <v>34590951</v>
      </c>
      <c r="J45" s="320">
        <f t="shared" si="56"/>
        <v>0</v>
      </c>
      <c r="K45" s="320">
        <f t="shared" si="56"/>
        <v>738423</v>
      </c>
      <c r="L45" s="320">
        <f t="shared" si="56"/>
        <v>738423</v>
      </c>
      <c r="M45" s="320">
        <f t="shared" si="56"/>
        <v>1266914766</v>
      </c>
      <c r="N45" s="289">
        <f t="shared" si="56"/>
        <v>1300767294</v>
      </c>
      <c r="O45" s="67"/>
      <c r="P45" s="288">
        <f>SUM(P46:P47)</f>
        <v>0</v>
      </c>
      <c r="Q45" s="289">
        <f>SUM(Q46:Q47)</f>
        <v>0</v>
      </c>
      <c r="R45" s="101"/>
      <c r="S45" s="311" t="s">
        <v>223</v>
      </c>
      <c r="T45" s="312" t="s">
        <v>224</v>
      </c>
      <c r="U45" s="268">
        <v>0</v>
      </c>
      <c r="V45" s="220">
        <f t="shared" ref="V45:W48" si="57">AL45</f>
        <v>0</v>
      </c>
      <c r="W45" s="220">
        <f t="shared" si="57"/>
        <v>0</v>
      </c>
      <c r="X45" s="269">
        <f>SUM(U45:W45)</f>
        <v>0</v>
      </c>
      <c r="Y45" s="270">
        <v>0</v>
      </c>
      <c r="Z45" s="208">
        <v>0</v>
      </c>
      <c r="AA45" s="269">
        <f>SUM(Y45:Z45)</f>
        <v>0</v>
      </c>
      <c r="AB45" s="270">
        <v>0</v>
      </c>
      <c r="AC45" s="208">
        <v>0</v>
      </c>
      <c r="AD45" s="271">
        <f>SUM(AB45:AC45)</f>
        <v>0</v>
      </c>
      <c r="AE45" s="270">
        <v>0</v>
      </c>
      <c r="AF45" s="208">
        <v>0</v>
      </c>
      <c r="AG45" s="269">
        <f>SUM(AE45:AF45)</f>
        <v>0</v>
      </c>
      <c r="AH45" s="270">
        <f>X45-AA45</f>
        <v>0</v>
      </c>
      <c r="AI45" s="220">
        <f>X45-AD45</f>
        <v>0</v>
      </c>
      <c r="AJ45" s="269">
        <f>X45-AG45</f>
        <v>0</v>
      </c>
      <c r="AK45" s="101"/>
      <c r="AL45" s="204">
        <v>0</v>
      </c>
      <c r="AM45" s="210">
        <v>0</v>
      </c>
      <c r="AN45" s="101"/>
      <c r="AO45" s="67"/>
      <c r="AP45" s="67"/>
      <c r="AQ45" s="67"/>
      <c r="AR45" s="67"/>
      <c r="AS45" s="67"/>
      <c r="AT45" s="67"/>
      <c r="AU45" s="67"/>
      <c r="AV45" s="67"/>
      <c r="AW45" s="67"/>
      <c r="AX45" s="67"/>
      <c r="AY45" s="67"/>
      <c r="AZ45" s="67"/>
      <c r="BA45" s="67"/>
      <c r="BB45" s="336"/>
      <c r="BC45" s="336"/>
      <c r="BD45" s="336"/>
      <c r="BE45" s="336"/>
      <c r="BF45" s="67"/>
      <c r="BG45" s="67"/>
      <c r="BH45" s="67"/>
      <c r="BI45" s="67"/>
      <c r="BJ45" s="67"/>
      <c r="BK45" s="67"/>
      <c r="BL45" s="67"/>
      <c r="BM45" s="67"/>
      <c r="BN45" s="67"/>
      <c r="BO45" s="67"/>
      <c r="BP45" s="67"/>
      <c r="BQ45" s="67"/>
    </row>
    <row r="46" spans="1:69" ht="24.75" customHeight="1">
      <c r="A46" s="1141" t="s">
        <v>758</v>
      </c>
      <c r="B46" s="331" t="str">
        <f>+CONCATENATE("Vigencia ",INSTRUCCIONES!$F$3)</f>
        <v>Vigencia 2025</v>
      </c>
      <c r="C46" s="204">
        <v>795758987</v>
      </c>
      <c r="D46" s="205">
        <f>P46</f>
        <v>0</v>
      </c>
      <c r="E46" s="205">
        <f>Q46</f>
        <v>0</v>
      </c>
      <c r="F46" s="205">
        <f>SUM(C46:E46)</f>
        <v>795758987</v>
      </c>
      <c r="G46" s="205">
        <v>0</v>
      </c>
      <c r="H46" s="208">
        <v>33852528</v>
      </c>
      <c r="I46" s="205">
        <f>SUM(G46:H46)</f>
        <v>33852528</v>
      </c>
      <c r="J46" s="205">
        <v>0</v>
      </c>
      <c r="K46" s="208">
        <v>0</v>
      </c>
      <c r="L46" s="205">
        <f>SUM(J46:K46)</f>
        <v>0</v>
      </c>
      <c r="M46" s="205">
        <f>F46-I46</f>
        <v>761906459</v>
      </c>
      <c r="N46" s="206">
        <f>F46-L46</f>
        <v>795758987</v>
      </c>
      <c r="O46" s="67"/>
      <c r="P46" s="204">
        <v>0</v>
      </c>
      <c r="Q46" s="210">
        <v>0</v>
      </c>
      <c r="R46" s="101"/>
      <c r="S46" s="311" t="s">
        <v>225</v>
      </c>
      <c r="T46" s="312" t="s">
        <v>226</v>
      </c>
      <c r="U46" s="268">
        <v>0</v>
      </c>
      <c r="V46" s="220">
        <f t="shared" si="57"/>
        <v>0</v>
      </c>
      <c r="W46" s="220">
        <f t="shared" si="57"/>
        <v>0</v>
      </c>
      <c r="X46" s="269">
        <f>SUM(U46:W46)</f>
        <v>0</v>
      </c>
      <c r="Y46" s="270">
        <v>0</v>
      </c>
      <c r="Z46" s="208">
        <v>0</v>
      </c>
      <c r="AA46" s="269">
        <f>SUM(Y46:Z46)</f>
        <v>0</v>
      </c>
      <c r="AB46" s="270">
        <v>0</v>
      </c>
      <c r="AC46" s="208">
        <v>0</v>
      </c>
      <c r="AD46" s="271">
        <f>SUM(AB46:AC46)</f>
        <v>0</v>
      </c>
      <c r="AE46" s="270">
        <v>0</v>
      </c>
      <c r="AF46" s="208">
        <v>0</v>
      </c>
      <c r="AG46" s="269">
        <f>SUM(AE46:AF46)</f>
        <v>0</v>
      </c>
      <c r="AH46" s="270">
        <f>X46-AA46</f>
        <v>0</v>
      </c>
      <c r="AI46" s="220">
        <f>X46-AD46</f>
        <v>0</v>
      </c>
      <c r="AJ46" s="269">
        <f>X46-AG46</f>
        <v>0</v>
      </c>
      <c r="AK46" s="101"/>
      <c r="AL46" s="204">
        <v>0</v>
      </c>
      <c r="AM46" s="210">
        <v>0</v>
      </c>
      <c r="AN46" s="101"/>
      <c r="AO46" s="376"/>
      <c r="AP46" s="372"/>
      <c r="AQ46" s="67"/>
      <c r="AR46" s="67"/>
      <c r="AS46" s="67"/>
      <c r="AT46" s="67"/>
      <c r="AU46" s="67"/>
      <c r="AV46" s="67"/>
      <c r="AW46" s="67"/>
      <c r="AX46" s="67"/>
      <c r="AY46" s="67"/>
      <c r="AZ46" s="67"/>
      <c r="BA46" s="67"/>
      <c r="BB46" s="67"/>
      <c r="BC46" s="67"/>
      <c r="BD46" s="67"/>
      <c r="BE46" s="67"/>
      <c r="BF46" s="67"/>
      <c r="BG46" s="67"/>
      <c r="BH46" s="67"/>
      <c r="BI46" s="67"/>
      <c r="BJ46" s="67"/>
      <c r="BK46" s="67"/>
      <c r="BL46" s="67"/>
      <c r="BM46" s="336"/>
      <c r="BN46" s="336"/>
      <c r="BO46" s="336"/>
      <c r="BP46" s="336"/>
      <c r="BQ46" s="336"/>
    </row>
    <row r="47" spans="1:69" ht="24.75" customHeight="1">
      <c r="A47" s="1141" t="s">
        <v>759</v>
      </c>
      <c r="B47" s="331" t="s">
        <v>161</v>
      </c>
      <c r="C47" s="204">
        <v>505746730</v>
      </c>
      <c r="D47" s="205">
        <f>P47</f>
        <v>0</v>
      </c>
      <c r="E47" s="205">
        <f>Q47</f>
        <v>0</v>
      </c>
      <c r="F47" s="205">
        <f>SUM(C47:E47)</f>
        <v>505746730</v>
      </c>
      <c r="G47" s="205">
        <v>0</v>
      </c>
      <c r="H47" s="208">
        <v>738423</v>
      </c>
      <c r="I47" s="205">
        <f>SUM(G47:H47)</f>
        <v>738423</v>
      </c>
      <c r="J47" s="205">
        <v>0</v>
      </c>
      <c r="K47" s="208">
        <v>738423</v>
      </c>
      <c r="L47" s="205">
        <f>SUM(J47:K47)</f>
        <v>738423</v>
      </c>
      <c r="M47" s="205">
        <f>F47-I47</f>
        <v>505008307</v>
      </c>
      <c r="N47" s="206">
        <f>F47-L47</f>
        <v>505008307</v>
      </c>
      <c r="O47" s="67"/>
      <c r="P47" s="204">
        <v>0</v>
      </c>
      <c r="Q47" s="210">
        <v>0</v>
      </c>
      <c r="R47" s="101"/>
      <c r="S47" s="311" t="s">
        <v>227</v>
      </c>
      <c r="T47" s="312" t="s">
        <v>228</v>
      </c>
      <c r="U47" s="268">
        <v>0</v>
      </c>
      <c r="V47" s="220">
        <f t="shared" si="57"/>
        <v>0</v>
      </c>
      <c r="W47" s="220">
        <f t="shared" si="57"/>
        <v>0</v>
      </c>
      <c r="X47" s="269">
        <f>SUM(U47:W47)</f>
        <v>0</v>
      </c>
      <c r="Y47" s="270">
        <v>0</v>
      </c>
      <c r="Z47" s="208">
        <v>0</v>
      </c>
      <c r="AA47" s="269">
        <f>SUM(Y47:Z47)</f>
        <v>0</v>
      </c>
      <c r="AB47" s="270">
        <v>0</v>
      </c>
      <c r="AC47" s="208">
        <v>0</v>
      </c>
      <c r="AD47" s="271">
        <f>SUM(AB47:AC47)</f>
        <v>0</v>
      </c>
      <c r="AE47" s="270">
        <v>0</v>
      </c>
      <c r="AF47" s="208">
        <v>0</v>
      </c>
      <c r="AG47" s="269">
        <f>SUM(AE47:AF47)</f>
        <v>0</v>
      </c>
      <c r="AH47" s="270">
        <f>X47-AA47</f>
        <v>0</v>
      </c>
      <c r="AI47" s="220">
        <f>X47-AD47</f>
        <v>0</v>
      </c>
      <c r="AJ47" s="269">
        <f>X47-AG47</f>
        <v>0</v>
      </c>
      <c r="AK47" s="101"/>
      <c r="AL47" s="204">
        <v>0</v>
      </c>
      <c r="AM47" s="210">
        <v>0</v>
      </c>
      <c r="AN47" s="101"/>
      <c r="AO47" s="67"/>
      <c r="AP47" s="67"/>
      <c r="AQ47" s="67"/>
      <c r="AR47" s="67"/>
      <c r="AS47" s="67"/>
      <c r="AT47" s="67"/>
      <c r="AU47" s="67"/>
      <c r="AV47" s="67"/>
      <c r="AW47" s="67"/>
      <c r="AX47" s="67"/>
      <c r="AY47" s="67"/>
      <c r="AZ47" s="67"/>
      <c r="BA47" s="67"/>
      <c r="BB47" s="336"/>
      <c r="BC47" s="336"/>
      <c r="BD47" s="336"/>
      <c r="BE47" s="336"/>
      <c r="BF47" s="67"/>
      <c r="BG47" s="67"/>
      <c r="BH47" s="67"/>
      <c r="BI47" s="67"/>
      <c r="BJ47" s="67"/>
      <c r="BK47" s="67"/>
      <c r="BL47" s="67"/>
      <c r="BM47" s="67"/>
      <c r="BN47" s="67"/>
      <c r="BO47" s="67"/>
      <c r="BP47" s="67"/>
      <c r="BQ47" s="67"/>
    </row>
    <row r="48" spans="1:69" ht="24.75" customHeight="1">
      <c r="A48" s="1151" t="s">
        <v>499</v>
      </c>
      <c r="B48" s="319" t="s">
        <v>768</v>
      </c>
      <c r="C48" s="288">
        <f t="shared" ref="C48:N48" si="58">SUM(C49:C50)</f>
        <v>225672391</v>
      </c>
      <c r="D48" s="320">
        <f t="shared" si="58"/>
        <v>0</v>
      </c>
      <c r="E48" s="320">
        <f t="shared" si="58"/>
        <v>0</v>
      </c>
      <c r="F48" s="320">
        <f t="shared" si="58"/>
        <v>225672391</v>
      </c>
      <c r="G48" s="320">
        <f t="shared" si="58"/>
        <v>0</v>
      </c>
      <c r="H48" s="320">
        <f t="shared" si="58"/>
        <v>26156810</v>
      </c>
      <c r="I48" s="320">
        <f t="shared" si="58"/>
        <v>26156810</v>
      </c>
      <c r="J48" s="320">
        <f t="shared" si="58"/>
        <v>0</v>
      </c>
      <c r="K48" s="320">
        <f t="shared" si="58"/>
        <v>15638226</v>
      </c>
      <c r="L48" s="320">
        <f t="shared" si="58"/>
        <v>15638226</v>
      </c>
      <c r="M48" s="320">
        <f t="shared" si="58"/>
        <v>199515581</v>
      </c>
      <c r="N48" s="289">
        <f t="shared" si="58"/>
        <v>210034165</v>
      </c>
      <c r="O48" s="67"/>
      <c r="P48" s="288">
        <f>SUM(P49:P50)</f>
        <v>0</v>
      </c>
      <c r="Q48" s="289">
        <f>SUM(Q49:Q50)</f>
        <v>0</v>
      </c>
      <c r="R48" s="101"/>
      <c r="S48" s="311" t="s">
        <v>229</v>
      </c>
      <c r="T48" s="312" t="s">
        <v>230</v>
      </c>
      <c r="U48" s="268">
        <v>0</v>
      </c>
      <c r="V48" s="220">
        <f t="shared" si="57"/>
        <v>0</v>
      </c>
      <c r="W48" s="220">
        <f t="shared" si="57"/>
        <v>0</v>
      </c>
      <c r="X48" s="269">
        <f>SUM(U48:W48)</f>
        <v>0</v>
      </c>
      <c r="Y48" s="270">
        <v>0</v>
      </c>
      <c r="Z48" s="208">
        <v>0</v>
      </c>
      <c r="AA48" s="269">
        <f>SUM(Y48:Z48)</f>
        <v>0</v>
      </c>
      <c r="AB48" s="270">
        <v>0</v>
      </c>
      <c r="AC48" s="208">
        <v>0</v>
      </c>
      <c r="AD48" s="271">
        <f>SUM(AB48:AC48)</f>
        <v>0</v>
      </c>
      <c r="AE48" s="270">
        <v>0</v>
      </c>
      <c r="AF48" s="208">
        <v>0</v>
      </c>
      <c r="AG48" s="269">
        <f>SUM(AE48:AF48)</f>
        <v>0</v>
      </c>
      <c r="AH48" s="270">
        <f>X48-AA48</f>
        <v>0</v>
      </c>
      <c r="AI48" s="220">
        <f>X48-AD48</f>
        <v>0</v>
      </c>
      <c r="AJ48" s="269">
        <f>X48-AG48</f>
        <v>0</v>
      </c>
      <c r="AK48" s="101"/>
      <c r="AL48" s="204">
        <v>0</v>
      </c>
      <c r="AM48" s="210">
        <v>0</v>
      </c>
      <c r="AN48" s="101"/>
      <c r="AO48" s="67"/>
      <c r="AP48" s="67"/>
      <c r="AQ48" s="67"/>
      <c r="AR48" s="67"/>
      <c r="AS48" s="67"/>
      <c r="AT48" s="67"/>
      <c r="AU48" s="67"/>
      <c r="AV48" s="67"/>
      <c r="AW48" s="67"/>
      <c r="AX48" s="67"/>
      <c r="AY48" s="67"/>
      <c r="AZ48" s="67"/>
      <c r="BA48" s="67"/>
      <c r="BB48" s="336"/>
      <c r="BC48" s="336"/>
      <c r="BD48" s="336"/>
      <c r="BE48" s="336"/>
      <c r="BF48" s="67"/>
      <c r="BG48" s="67"/>
      <c r="BH48" s="67"/>
      <c r="BI48" s="67"/>
      <c r="BJ48" s="67"/>
      <c r="BK48" s="67"/>
      <c r="BL48" s="67"/>
      <c r="BM48" s="67"/>
      <c r="BN48" s="67"/>
      <c r="BO48" s="67"/>
      <c r="BP48" s="67"/>
      <c r="BQ48" s="67"/>
    </row>
    <row r="49" spans="1:39" ht="24.75" customHeight="1">
      <c r="A49" s="631" t="s">
        <v>499</v>
      </c>
      <c r="B49" s="331" t="str">
        <f>+CONCATENATE("Vigencia ",INSTRUCCIONES!$F$3)</f>
        <v>Vigencia 2025</v>
      </c>
      <c r="C49" s="204">
        <v>180672391</v>
      </c>
      <c r="D49" s="205">
        <f>P49</f>
        <v>0</v>
      </c>
      <c r="E49" s="205">
        <f>Q49</f>
        <v>0</v>
      </c>
      <c r="F49" s="205">
        <f>SUM(C49:E49)</f>
        <v>180672391</v>
      </c>
      <c r="G49" s="205">
        <v>0</v>
      </c>
      <c r="H49" s="208">
        <v>10518584</v>
      </c>
      <c r="I49" s="205">
        <f>SUM(G49:H49)</f>
        <v>10518584</v>
      </c>
      <c r="J49" s="205">
        <v>0</v>
      </c>
      <c r="K49" s="208">
        <v>0</v>
      </c>
      <c r="L49" s="205">
        <f>SUM(J49:K49)</f>
        <v>0</v>
      </c>
      <c r="M49" s="205">
        <f>F49-I49</f>
        <v>170153807</v>
      </c>
      <c r="N49" s="206">
        <f>F49-L49</f>
        <v>180672391</v>
      </c>
      <c r="O49" s="67"/>
      <c r="P49" s="204">
        <v>0</v>
      </c>
      <c r="Q49" s="210">
        <v>0</v>
      </c>
      <c r="R49" s="101"/>
      <c r="S49" s="266">
        <v>1010302</v>
      </c>
      <c r="T49" s="267" t="s">
        <v>231</v>
      </c>
      <c r="U49" s="405">
        <f t="shared" ref="U49:AJ49" si="59">SUM(U50:U54)</f>
        <v>2369058848.2960005</v>
      </c>
      <c r="V49" s="406">
        <f t="shared" si="59"/>
        <v>0</v>
      </c>
      <c r="W49" s="406">
        <f t="shared" si="59"/>
        <v>0</v>
      </c>
      <c r="X49" s="218">
        <f t="shared" si="59"/>
        <v>2369058848.2960005</v>
      </c>
      <c r="Y49" s="270">
        <f t="shared" si="59"/>
        <v>0</v>
      </c>
      <c r="Z49" s="300">
        <f t="shared" si="59"/>
        <v>118346456</v>
      </c>
      <c r="AA49" s="269">
        <f t="shared" si="59"/>
        <v>118346456</v>
      </c>
      <c r="AB49" s="270">
        <f t="shared" si="59"/>
        <v>0</v>
      </c>
      <c r="AC49" s="300">
        <f t="shared" si="59"/>
        <v>118346456</v>
      </c>
      <c r="AD49" s="271">
        <f t="shared" si="59"/>
        <v>118346456</v>
      </c>
      <c r="AE49" s="270">
        <f t="shared" si="59"/>
        <v>0</v>
      </c>
      <c r="AF49" s="300">
        <f t="shared" si="59"/>
        <v>115788100</v>
      </c>
      <c r="AG49" s="269">
        <f t="shared" si="59"/>
        <v>115788100</v>
      </c>
      <c r="AH49" s="270">
        <f t="shared" si="59"/>
        <v>2250712392.2960005</v>
      </c>
      <c r="AI49" s="220">
        <f t="shared" si="59"/>
        <v>2250712392.2960005</v>
      </c>
      <c r="AJ49" s="269">
        <f t="shared" si="59"/>
        <v>2253270748.2960005</v>
      </c>
      <c r="AK49" s="101"/>
      <c r="AL49" s="301">
        <f>SUM(AL50:AL54)</f>
        <v>0</v>
      </c>
      <c r="AM49" s="302">
        <f>SUM(AM50:AM54)</f>
        <v>0</v>
      </c>
    </row>
    <row r="50" spans="1:39" ht="24.75" customHeight="1">
      <c r="A50" s="631" t="s">
        <v>500</v>
      </c>
      <c r="B50" s="331" t="s">
        <v>161</v>
      </c>
      <c r="C50" s="204">
        <v>45000000</v>
      </c>
      <c r="D50" s="205">
        <f>P50</f>
        <v>0</v>
      </c>
      <c r="E50" s="205">
        <f>Q50</f>
        <v>0</v>
      </c>
      <c r="F50" s="205">
        <f>SUM(C50:E50)</f>
        <v>45000000</v>
      </c>
      <c r="G50" s="205">
        <v>0</v>
      </c>
      <c r="H50" s="208">
        <v>15638226</v>
      </c>
      <c r="I50" s="205">
        <f>SUM(G50:H50)</f>
        <v>15638226</v>
      </c>
      <c r="J50" s="205">
        <v>0</v>
      </c>
      <c r="K50" s="208">
        <v>15638226</v>
      </c>
      <c r="L50" s="205">
        <f>SUM(J50:K50)</f>
        <v>15638226</v>
      </c>
      <c r="M50" s="205">
        <f>F50-I50</f>
        <v>29361774</v>
      </c>
      <c r="N50" s="206">
        <f>F50-L50</f>
        <v>29361774</v>
      </c>
      <c r="O50" s="67"/>
      <c r="P50" s="204">
        <v>0</v>
      </c>
      <c r="Q50" s="210">
        <v>0</v>
      </c>
      <c r="R50" s="101"/>
      <c r="S50" s="642" t="s">
        <v>551</v>
      </c>
      <c r="T50" s="312" t="s">
        <v>232</v>
      </c>
      <c r="U50" s="723">
        <v>555207343.50000024</v>
      </c>
      <c r="V50" s="220">
        <f t="shared" ref="V50:W55" si="60">AL50</f>
        <v>0</v>
      </c>
      <c r="W50" s="220">
        <f t="shared" si="60"/>
        <v>0</v>
      </c>
      <c r="X50" s="269">
        <f t="shared" ref="X50:X55" si="61">SUM(U50:W50)</f>
        <v>555207343.50000024</v>
      </c>
      <c r="Y50" s="270">
        <v>0</v>
      </c>
      <c r="Z50" s="208">
        <v>37587400</v>
      </c>
      <c r="AA50" s="269">
        <f t="shared" ref="AA50:AA55" si="62">SUM(Y50:Z50)</f>
        <v>37587400</v>
      </c>
      <c r="AB50" s="270">
        <v>0</v>
      </c>
      <c r="AC50" s="208">
        <v>37587400</v>
      </c>
      <c r="AD50" s="271">
        <f t="shared" ref="AD50:AD55" si="63">SUM(AB50:AC50)</f>
        <v>37587400</v>
      </c>
      <c r="AE50" s="270">
        <v>0</v>
      </c>
      <c r="AF50" s="208">
        <v>37587400</v>
      </c>
      <c r="AG50" s="269">
        <f t="shared" ref="AG50:AG55" si="64">SUM(AE50:AF50)</f>
        <v>37587400</v>
      </c>
      <c r="AH50" s="270">
        <f t="shared" ref="AH50:AH55" si="65">X50-AA50</f>
        <v>517619943.50000024</v>
      </c>
      <c r="AI50" s="220">
        <f t="shared" ref="AI50:AI55" si="66">X50-AD50</f>
        <v>517619943.50000024</v>
      </c>
      <c r="AJ50" s="269">
        <f t="shared" ref="AJ50:AJ55" si="67">X50-AG50</f>
        <v>517619943.50000024</v>
      </c>
      <c r="AK50" s="101"/>
      <c r="AL50" s="204">
        <v>0</v>
      </c>
      <c r="AM50" s="210">
        <v>0</v>
      </c>
    </row>
    <row r="51" spans="1:39" ht="24.75" customHeight="1">
      <c r="A51" s="631" t="s">
        <v>769</v>
      </c>
      <c r="B51" s="319" t="s">
        <v>770</v>
      </c>
      <c r="C51" s="288">
        <f t="shared" ref="C51:N51" si="68">SUM(C52:C53)</f>
        <v>168856</v>
      </c>
      <c r="D51" s="320">
        <f t="shared" si="68"/>
        <v>0</v>
      </c>
      <c r="E51" s="320">
        <f t="shared" si="68"/>
        <v>0</v>
      </c>
      <c r="F51" s="320">
        <f t="shared" si="68"/>
        <v>168856</v>
      </c>
      <c r="G51" s="320">
        <f t="shared" si="68"/>
        <v>0</v>
      </c>
      <c r="H51" s="320">
        <f t="shared" si="68"/>
        <v>7915391</v>
      </c>
      <c r="I51" s="320">
        <f t="shared" si="68"/>
        <v>7915391</v>
      </c>
      <c r="J51" s="320">
        <f t="shared" si="68"/>
        <v>0</v>
      </c>
      <c r="K51" s="320">
        <f t="shared" si="68"/>
        <v>0</v>
      </c>
      <c r="L51" s="320">
        <f t="shared" si="68"/>
        <v>0</v>
      </c>
      <c r="M51" s="320">
        <f t="shared" si="68"/>
        <v>-7746535</v>
      </c>
      <c r="N51" s="289">
        <f t="shared" si="68"/>
        <v>168856</v>
      </c>
      <c r="O51" s="67"/>
      <c r="P51" s="288">
        <f>SUM(P52:P53)</f>
        <v>0</v>
      </c>
      <c r="Q51" s="289">
        <f>SUM(Q52:Q53)</f>
        <v>0</v>
      </c>
      <c r="R51" s="101"/>
      <c r="S51" s="642" t="s">
        <v>550</v>
      </c>
      <c r="T51" s="312" t="s">
        <v>233</v>
      </c>
      <c r="U51" s="723">
        <v>783822132</v>
      </c>
      <c r="V51" s="220">
        <f t="shared" si="60"/>
        <v>0</v>
      </c>
      <c r="W51" s="220">
        <f t="shared" si="60"/>
        <v>0</v>
      </c>
      <c r="X51" s="269">
        <f t="shared" si="61"/>
        <v>783822132</v>
      </c>
      <c r="Y51" s="270">
        <v>0</v>
      </c>
      <c r="Z51" s="208">
        <v>53472200</v>
      </c>
      <c r="AA51" s="269">
        <f t="shared" si="62"/>
        <v>53472200</v>
      </c>
      <c r="AB51" s="270">
        <v>0</v>
      </c>
      <c r="AC51" s="208">
        <v>53472200</v>
      </c>
      <c r="AD51" s="271">
        <f t="shared" si="63"/>
        <v>53472200</v>
      </c>
      <c r="AE51" s="270">
        <v>0</v>
      </c>
      <c r="AF51" s="208">
        <v>53472200</v>
      </c>
      <c r="AG51" s="269">
        <f t="shared" si="64"/>
        <v>53472200</v>
      </c>
      <c r="AH51" s="270">
        <f t="shared" si="65"/>
        <v>730349932</v>
      </c>
      <c r="AI51" s="220">
        <f t="shared" si="66"/>
        <v>730349932</v>
      </c>
      <c r="AJ51" s="269">
        <f t="shared" si="67"/>
        <v>730349932</v>
      </c>
      <c r="AK51" s="101"/>
      <c r="AL51" s="204">
        <v>0</v>
      </c>
      <c r="AM51" s="210">
        <v>0</v>
      </c>
    </row>
    <row r="52" spans="1:39" ht="24.75" customHeight="1">
      <c r="A52" s="631" t="s">
        <v>769</v>
      </c>
      <c r="B52" s="331" t="str">
        <f>+CONCATENATE("Vigencia ",INSTRUCCIONES!$F$3)</f>
        <v>Vigencia 2025</v>
      </c>
      <c r="C52" s="204">
        <v>168856</v>
      </c>
      <c r="D52" s="205">
        <f>P52</f>
        <v>0</v>
      </c>
      <c r="E52" s="205">
        <f>Q52</f>
        <v>0</v>
      </c>
      <c r="F52" s="205">
        <f>SUM(C52:E52)</f>
        <v>168856</v>
      </c>
      <c r="G52" s="205">
        <v>0</v>
      </c>
      <c r="H52" s="208">
        <v>7915391</v>
      </c>
      <c r="I52" s="205">
        <f>SUM(G52:H52)</f>
        <v>7915391</v>
      </c>
      <c r="J52" s="205">
        <v>0</v>
      </c>
      <c r="K52" s="208">
        <v>0</v>
      </c>
      <c r="L52" s="205">
        <f>SUM(J52:K52)</f>
        <v>0</v>
      </c>
      <c r="M52" s="205">
        <f>F52-I52</f>
        <v>-7746535</v>
      </c>
      <c r="N52" s="206">
        <f>F52-L52</f>
        <v>168856</v>
      </c>
      <c r="O52" s="67"/>
      <c r="P52" s="204">
        <v>0</v>
      </c>
      <c r="Q52" s="210">
        <v>0</v>
      </c>
      <c r="R52" s="101"/>
      <c r="S52" s="642" t="s">
        <v>547</v>
      </c>
      <c r="T52" s="312" t="s">
        <v>234</v>
      </c>
      <c r="U52" s="723">
        <v>609639436</v>
      </c>
      <c r="V52" s="220">
        <f t="shared" si="60"/>
        <v>0</v>
      </c>
      <c r="W52" s="220">
        <f t="shared" si="60"/>
        <v>0</v>
      </c>
      <c r="X52" s="269">
        <f t="shared" si="61"/>
        <v>609639436</v>
      </c>
      <c r="Y52" s="270">
        <v>0</v>
      </c>
      <c r="Z52" s="208">
        <v>2558356</v>
      </c>
      <c r="AA52" s="269">
        <f t="shared" si="62"/>
        <v>2558356</v>
      </c>
      <c r="AB52" s="270">
        <v>0</v>
      </c>
      <c r="AC52" s="208">
        <v>2558356</v>
      </c>
      <c r="AD52" s="271">
        <f t="shared" si="63"/>
        <v>2558356</v>
      </c>
      <c r="AE52" s="270">
        <v>0</v>
      </c>
      <c r="AF52" s="208">
        <v>0</v>
      </c>
      <c r="AG52" s="269">
        <f t="shared" si="64"/>
        <v>0</v>
      </c>
      <c r="AH52" s="270">
        <f t="shared" si="65"/>
        <v>607081080</v>
      </c>
      <c r="AI52" s="220">
        <f t="shared" si="66"/>
        <v>607081080</v>
      </c>
      <c r="AJ52" s="269">
        <f t="shared" si="67"/>
        <v>609639436</v>
      </c>
      <c r="AK52" s="101"/>
      <c r="AL52" s="204">
        <v>0</v>
      </c>
      <c r="AM52" s="210">
        <v>0</v>
      </c>
    </row>
    <row r="53" spans="1:39" ht="24.75" customHeight="1">
      <c r="A53" s="631" t="s">
        <v>771</v>
      </c>
      <c r="B53" s="331" t="s">
        <v>161</v>
      </c>
      <c r="C53" s="204">
        <v>0</v>
      </c>
      <c r="D53" s="205">
        <f>P53</f>
        <v>0</v>
      </c>
      <c r="E53" s="205">
        <f>Q53</f>
        <v>0</v>
      </c>
      <c r="F53" s="205">
        <f>SUM(C53:E53)</f>
        <v>0</v>
      </c>
      <c r="G53" s="205">
        <v>0</v>
      </c>
      <c r="H53" s="208">
        <v>0</v>
      </c>
      <c r="I53" s="205">
        <f>SUM(G53:H53)</f>
        <v>0</v>
      </c>
      <c r="J53" s="205">
        <v>0</v>
      </c>
      <c r="K53" s="208">
        <v>0</v>
      </c>
      <c r="L53" s="205">
        <f>SUM(J53:K53)</f>
        <v>0</v>
      </c>
      <c r="M53" s="205">
        <f>F53-I53</f>
        <v>0</v>
      </c>
      <c r="N53" s="206">
        <f>F53-L53</f>
        <v>0</v>
      </c>
      <c r="O53" s="67"/>
      <c r="P53" s="204">
        <v>0</v>
      </c>
      <c r="Q53" s="210">
        <v>0</v>
      </c>
      <c r="R53" s="101"/>
      <c r="S53" s="642" t="s">
        <v>553</v>
      </c>
      <c r="T53" s="312" t="s">
        <v>235</v>
      </c>
      <c r="U53" s="723">
        <v>159115892.79599997</v>
      </c>
      <c r="V53" s="220">
        <f t="shared" si="60"/>
        <v>0</v>
      </c>
      <c r="W53" s="220">
        <f t="shared" si="60"/>
        <v>0</v>
      </c>
      <c r="X53" s="269">
        <f t="shared" si="61"/>
        <v>159115892.79599997</v>
      </c>
      <c r="Y53" s="270">
        <v>0</v>
      </c>
      <c r="Z53" s="208">
        <v>7304000</v>
      </c>
      <c r="AA53" s="269">
        <f t="shared" si="62"/>
        <v>7304000</v>
      </c>
      <c r="AB53" s="270">
        <v>0</v>
      </c>
      <c r="AC53" s="208">
        <v>7304000</v>
      </c>
      <c r="AD53" s="271">
        <f t="shared" si="63"/>
        <v>7304000</v>
      </c>
      <c r="AE53" s="270">
        <v>0</v>
      </c>
      <c r="AF53" s="208">
        <v>7304000</v>
      </c>
      <c r="AG53" s="269">
        <f t="shared" si="64"/>
        <v>7304000</v>
      </c>
      <c r="AH53" s="270">
        <f t="shared" si="65"/>
        <v>151811892.79599997</v>
      </c>
      <c r="AI53" s="220">
        <f t="shared" si="66"/>
        <v>151811892.79599997</v>
      </c>
      <c r="AJ53" s="269">
        <f t="shared" si="67"/>
        <v>151811892.79599997</v>
      </c>
      <c r="AK53" s="101"/>
      <c r="AL53" s="204">
        <v>0</v>
      </c>
      <c r="AM53" s="210">
        <v>0</v>
      </c>
    </row>
    <row r="54" spans="1:39" ht="24.75" customHeight="1">
      <c r="A54" s="631" t="s">
        <v>501</v>
      </c>
      <c r="B54" s="319" t="s">
        <v>236</v>
      </c>
      <c r="C54" s="288">
        <f t="shared" ref="C54:N54" si="69">SUM(C55:C56)</f>
        <v>968592.84788797423</v>
      </c>
      <c r="D54" s="320">
        <f t="shared" si="69"/>
        <v>0</v>
      </c>
      <c r="E54" s="320">
        <f t="shared" si="69"/>
        <v>0</v>
      </c>
      <c r="F54" s="320">
        <f t="shared" si="69"/>
        <v>968592.84788797423</v>
      </c>
      <c r="G54" s="320">
        <f t="shared" si="69"/>
        <v>0</v>
      </c>
      <c r="H54" s="320">
        <f t="shared" si="69"/>
        <v>10340909</v>
      </c>
      <c r="I54" s="320">
        <f t="shared" si="69"/>
        <v>10340909</v>
      </c>
      <c r="J54" s="320">
        <f t="shared" si="69"/>
        <v>0</v>
      </c>
      <c r="K54" s="320">
        <f t="shared" si="69"/>
        <v>10340909</v>
      </c>
      <c r="L54" s="320">
        <f t="shared" si="69"/>
        <v>10340909</v>
      </c>
      <c r="M54" s="320">
        <f t="shared" si="69"/>
        <v>-9372316.1521120258</v>
      </c>
      <c r="N54" s="289">
        <f t="shared" si="69"/>
        <v>-9372316.1521120258</v>
      </c>
      <c r="O54" s="67"/>
      <c r="P54" s="288">
        <f>SUM(P55:P56)</f>
        <v>0</v>
      </c>
      <c r="Q54" s="289">
        <f>SUM(Q55:Q56)</f>
        <v>0</v>
      </c>
      <c r="R54" s="101"/>
      <c r="S54" s="642" t="s">
        <v>552</v>
      </c>
      <c r="T54" s="312" t="s">
        <v>237</v>
      </c>
      <c r="U54" s="723">
        <v>261274044</v>
      </c>
      <c r="V54" s="220">
        <f t="shared" si="60"/>
        <v>0</v>
      </c>
      <c r="W54" s="220">
        <f t="shared" si="60"/>
        <v>0</v>
      </c>
      <c r="X54" s="269">
        <f t="shared" si="61"/>
        <v>261274044</v>
      </c>
      <c r="Y54" s="270">
        <v>0</v>
      </c>
      <c r="Z54" s="208">
        <v>17424500</v>
      </c>
      <c r="AA54" s="269">
        <f t="shared" si="62"/>
        <v>17424500</v>
      </c>
      <c r="AB54" s="270">
        <v>0</v>
      </c>
      <c r="AC54" s="208">
        <v>17424500</v>
      </c>
      <c r="AD54" s="271">
        <f t="shared" si="63"/>
        <v>17424500</v>
      </c>
      <c r="AE54" s="270">
        <v>0</v>
      </c>
      <c r="AF54" s="208">
        <v>17424500</v>
      </c>
      <c r="AG54" s="269">
        <f t="shared" si="64"/>
        <v>17424500</v>
      </c>
      <c r="AH54" s="270">
        <f t="shared" si="65"/>
        <v>243849544</v>
      </c>
      <c r="AI54" s="220">
        <f t="shared" si="66"/>
        <v>243849544</v>
      </c>
      <c r="AJ54" s="269">
        <f t="shared" si="67"/>
        <v>243849544</v>
      </c>
      <c r="AK54" s="101"/>
      <c r="AL54" s="204">
        <v>0</v>
      </c>
      <c r="AM54" s="210">
        <v>0</v>
      </c>
    </row>
    <row r="55" spans="1:39" ht="24.75" customHeight="1">
      <c r="A55" s="631" t="s">
        <v>501</v>
      </c>
      <c r="B55" s="331" t="str">
        <f>+CONCATENATE("Vigencia ",INSTRUCCIONES!$F$3)</f>
        <v>Vigencia 2025</v>
      </c>
      <c r="C55" s="204">
        <v>968592.84788797423</v>
      </c>
      <c r="D55" s="205">
        <f>P55</f>
        <v>0</v>
      </c>
      <c r="E55" s="205">
        <f>Q55</f>
        <v>0</v>
      </c>
      <c r="F55" s="205">
        <f>SUM(C55:E55)</f>
        <v>968592.84788797423</v>
      </c>
      <c r="G55" s="205">
        <v>0</v>
      </c>
      <c r="H55" s="208">
        <v>0</v>
      </c>
      <c r="I55" s="205">
        <f>SUM(G55:H55)</f>
        <v>0</v>
      </c>
      <c r="J55" s="205">
        <v>0</v>
      </c>
      <c r="K55" s="208">
        <v>0</v>
      </c>
      <c r="L55" s="205">
        <f>SUM(J55:K55)</f>
        <v>0</v>
      </c>
      <c r="M55" s="205">
        <f>F55-I55</f>
        <v>968592.84788797423</v>
      </c>
      <c r="N55" s="206">
        <f>F55-L55</f>
        <v>968592.84788797423</v>
      </c>
      <c r="O55" s="67"/>
      <c r="P55" s="204">
        <v>0</v>
      </c>
      <c r="Q55" s="210">
        <v>0</v>
      </c>
      <c r="R55" s="101"/>
      <c r="S55" s="642" t="s">
        <v>548</v>
      </c>
      <c r="T55" s="717" t="s">
        <v>639</v>
      </c>
      <c r="U55" s="723">
        <v>502141089.6665011</v>
      </c>
      <c r="V55" s="220">
        <f t="shared" si="60"/>
        <v>0</v>
      </c>
      <c r="W55" s="220">
        <f t="shared" si="60"/>
        <v>0</v>
      </c>
      <c r="X55" s="269">
        <f t="shared" si="61"/>
        <v>502141089.6665011</v>
      </c>
      <c r="Y55" s="270">
        <v>0</v>
      </c>
      <c r="Z55" s="208">
        <v>52129867</v>
      </c>
      <c r="AA55" s="269">
        <f t="shared" si="62"/>
        <v>52129867</v>
      </c>
      <c r="AB55" s="270">
        <v>0</v>
      </c>
      <c r="AC55" s="208">
        <v>52129867</v>
      </c>
      <c r="AD55" s="271">
        <f t="shared" si="63"/>
        <v>52129867</v>
      </c>
      <c r="AE55" s="270">
        <v>0</v>
      </c>
      <c r="AF55" s="208">
        <v>52129867</v>
      </c>
      <c r="AG55" s="269">
        <f t="shared" si="64"/>
        <v>52129867</v>
      </c>
      <c r="AH55" s="270">
        <f t="shared" si="65"/>
        <v>450011222.6665011</v>
      </c>
      <c r="AI55" s="220">
        <f t="shared" si="66"/>
        <v>450011222.6665011</v>
      </c>
      <c r="AJ55" s="269">
        <f t="shared" si="67"/>
        <v>450011222.6665011</v>
      </c>
      <c r="AK55" s="101"/>
      <c r="AL55" s="204">
        <v>0</v>
      </c>
      <c r="AM55" s="210"/>
    </row>
    <row r="56" spans="1:39" ht="24.75" customHeight="1">
      <c r="A56" s="631" t="s">
        <v>502</v>
      </c>
      <c r="B56" s="331" t="s">
        <v>161</v>
      </c>
      <c r="C56" s="204">
        <v>0</v>
      </c>
      <c r="D56" s="205">
        <f>P56</f>
        <v>0</v>
      </c>
      <c r="E56" s="205">
        <f>Q56</f>
        <v>0</v>
      </c>
      <c r="F56" s="205">
        <f>SUM(C56:E56)</f>
        <v>0</v>
      </c>
      <c r="G56" s="205">
        <v>0</v>
      </c>
      <c r="H56" s="208">
        <v>10340909</v>
      </c>
      <c r="I56" s="205">
        <f>SUM(G56:H56)</f>
        <v>10340909</v>
      </c>
      <c r="J56" s="205">
        <v>0</v>
      </c>
      <c r="K56" s="208">
        <v>10340909</v>
      </c>
      <c r="L56" s="205">
        <f>SUM(J56:K56)</f>
        <v>10340909</v>
      </c>
      <c r="M56" s="205">
        <f>F56-I56</f>
        <v>-10340909</v>
      </c>
      <c r="N56" s="206">
        <f>F56-L56</f>
        <v>-10340909</v>
      </c>
      <c r="O56" s="67"/>
      <c r="P56" s="204">
        <v>0</v>
      </c>
      <c r="Q56" s="210">
        <v>0</v>
      </c>
      <c r="R56" s="101"/>
      <c r="S56" s="189"/>
      <c r="T56" s="190"/>
      <c r="U56" s="191"/>
      <c r="V56" s="191"/>
      <c r="W56" s="191"/>
      <c r="X56" s="192"/>
      <c r="Y56" s="193"/>
      <c r="Z56" s="191"/>
      <c r="AA56" s="192"/>
      <c r="AB56" s="193"/>
      <c r="AC56" s="191"/>
      <c r="AD56" s="191"/>
      <c r="AE56" s="193"/>
      <c r="AF56" s="191"/>
      <c r="AG56" s="192"/>
      <c r="AH56" s="193"/>
      <c r="AI56" s="191"/>
      <c r="AJ56" s="192"/>
      <c r="AK56" s="216"/>
      <c r="AL56" s="370"/>
      <c r="AM56" s="371"/>
    </row>
    <row r="57" spans="1:39" ht="24.75" customHeight="1">
      <c r="A57" s="631" t="s">
        <v>503</v>
      </c>
      <c r="B57" s="319" t="s">
        <v>238</v>
      </c>
      <c r="C57" s="288">
        <f t="shared" ref="C57:N57" si="70">SUM(C58:C59)</f>
        <v>8042608</v>
      </c>
      <c r="D57" s="320">
        <f t="shared" si="70"/>
        <v>0</v>
      </c>
      <c r="E57" s="320">
        <f t="shared" si="70"/>
        <v>0</v>
      </c>
      <c r="F57" s="320">
        <f t="shared" si="70"/>
        <v>8042608</v>
      </c>
      <c r="G57" s="320">
        <f t="shared" si="70"/>
        <v>0</v>
      </c>
      <c r="H57" s="320">
        <f t="shared" si="70"/>
        <v>0</v>
      </c>
      <c r="I57" s="320">
        <f t="shared" si="70"/>
        <v>0</v>
      </c>
      <c r="J57" s="320">
        <f t="shared" si="70"/>
        <v>0</v>
      </c>
      <c r="K57" s="320">
        <f t="shared" si="70"/>
        <v>0</v>
      </c>
      <c r="L57" s="320">
        <f t="shared" si="70"/>
        <v>0</v>
      </c>
      <c r="M57" s="320">
        <f t="shared" si="70"/>
        <v>8042608</v>
      </c>
      <c r="N57" s="289">
        <f t="shared" si="70"/>
        <v>8042608</v>
      </c>
      <c r="O57" s="67"/>
      <c r="P57" s="288">
        <f>SUM(P58:P59)</f>
        <v>0</v>
      </c>
      <c r="Q57" s="289">
        <f>SUM(Q58:Q59)</f>
        <v>0</v>
      </c>
      <c r="R57" s="101"/>
      <c r="S57" s="257">
        <v>1010400</v>
      </c>
      <c r="T57" s="258" t="s">
        <v>239</v>
      </c>
      <c r="U57" s="230">
        <f t="shared" ref="U57:AJ57" si="71">U58+U61</f>
        <v>326592555</v>
      </c>
      <c r="V57" s="231">
        <f t="shared" si="71"/>
        <v>0</v>
      </c>
      <c r="W57" s="231">
        <f t="shared" si="71"/>
        <v>0</v>
      </c>
      <c r="X57" s="232">
        <f t="shared" si="71"/>
        <v>326592555</v>
      </c>
      <c r="Y57" s="233">
        <f t="shared" si="71"/>
        <v>0</v>
      </c>
      <c r="Z57" s="231">
        <f t="shared" si="71"/>
        <v>21785100</v>
      </c>
      <c r="AA57" s="232">
        <f t="shared" si="71"/>
        <v>21785100</v>
      </c>
      <c r="AB57" s="233">
        <f t="shared" si="71"/>
        <v>0</v>
      </c>
      <c r="AC57" s="231">
        <f t="shared" si="71"/>
        <v>21785100</v>
      </c>
      <c r="AD57" s="234">
        <f t="shared" si="71"/>
        <v>21785100</v>
      </c>
      <c r="AE57" s="233">
        <f t="shared" si="71"/>
        <v>0</v>
      </c>
      <c r="AF57" s="231">
        <f t="shared" si="71"/>
        <v>21785100</v>
      </c>
      <c r="AG57" s="232">
        <f t="shared" si="71"/>
        <v>21785100</v>
      </c>
      <c r="AH57" s="233">
        <f t="shared" si="71"/>
        <v>304807455</v>
      </c>
      <c r="AI57" s="231">
        <f t="shared" si="71"/>
        <v>304807455</v>
      </c>
      <c r="AJ57" s="232">
        <f t="shared" si="71"/>
        <v>304807455</v>
      </c>
      <c r="AK57" s="101"/>
      <c r="AL57" s="233">
        <f>AL58+AL61</f>
        <v>0</v>
      </c>
      <c r="AM57" s="232">
        <f>AM58+AM61</f>
        <v>0</v>
      </c>
    </row>
    <row r="58" spans="1:39" ht="24.75" customHeight="1">
      <c r="A58" s="631" t="s">
        <v>503</v>
      </c>
      <c r="B58" s="331" t="str">
        <f>+CONCATENATE("Vigencia ",INSTRUCCIONES!$F$3)</f>
        <v>Vigencia 2025</v>
      </c>
      <c r="C58" s="204">
        <v>8042608</v>
      </c>
      <c r="D58" s="205">
        <f>P58</f>
        <v>0</v>
      </c>
      <c r="E58" s="205">
        <f>Q58</f>
        <v>0</v>
      </c>
      <c r="F58" s="205">
        <f>SUM(C58:E58)</f>
        <v>8042608</v>
      </c>
      <c r="G58" s="205">
        <v>0</v>
      </c>
      <c r="H58" s="208">
        <v>0</v>
      </c>
      <c r="I58" s="205">
        <f>SUM(G58:H58)</f>
        <v>0</v>
      </c>
      <c r="J58" s="205">
        <v>0</v>
      </c>
      <c r="K58" s="208">
        <v>0</v>
      </c>
      <c r="L58" s="205">
        <f>SUM(J58:K58)</f>
        <v>0</v>
      </c>
      <c r="M58" s="205">
        <f>F58-I58</f>
        <v>8042608</v>
      </c>
      <c r="N58" s="206">
        <f>F58-L58</f>
        <v>8042608</v>
      </c>
      <c r="O58" s="67"/>
      <c r="P58" s="204">
        <v>0</v>
      </c>
      <c r="Q58" s="210">
        <v>0</v>
      </c>
      <c r="R58" s="101"/>
      <c r="S58" s="266">
        <v>1010402</v>
      </c>
      <c r="T58" s="267" t="s">
        <v>231</v>
      </c>
      <c r="U58" s="405">
        <f t="shared" ref="U58:AJ58" si="72">SUM(U59:U60)</f>
        <v>326592555</v>
      </c>
      <c r="V58" s="220">
        <f t="shared" si="72"/>
        <v>0</v>
      </c>
      <c r="W58" s="220">
        <f t="shared" si="72"/>
        <v>0</v>
      </c>
      <c r="X58" s="269">
        <f t="shared" si="72"/>
        <v>326592555</v>
      </c>
      <c r="Y58" s="270">
        <f t="shared" si="72"/>
        <v>0</v>
      </c>
      <c r="Z58" s="300">
        <f t="shared" si="72"/>
        <v>21785100</v>
      </c>
      <c r="AA58" s="269">
        <f t="shared" si="72"/>
        <v>21785100</v>
      </c>
      <c r="AB58" s="270">
        <f t="shared" si="72"/>
        <v>0</v>
      </c>
      <c r="AC58" s="300">
        <f t="shared" si="72"/>
        <v>21785100</v>
      </c>
      <c r="AD58" s="271">
        <f t="shared" si="72"/>
        <v>21785100</v>
      </c>
      <c r="AE58" s="270">
        <f t="shared" si="72"/>
        <v>0</v>
      </c>
      <c r="AF58" s="300">
        <f t="shared" si="72"/>
        <v>21785100</v>
      </c>
      <c r="AG58" s="269">
        <f t="shared" si="72"/>
        <v>21785100</v>
      </c>
      <c r="AH58" s="270">
        <f t="shared" si="72"/>
        <v>304807455</v>
      </c>
      <c r="AI58" s="220">
        <f t="shared" si="72"/>
        <v>304807455</v>
      </c>
      <c r="AJ58" s="269">
        <f t="shared" si="72"/>
        <v>304807455</v>
      </c>
      <c r="AK58" s="101"/>
      <c r="AL58" s="301">
        <f>SUM(AL59:AL60)</f>
        <v>0</v>
      </c>
      <c r="AM58" s="302">
        <f>SUM(AM59:AM60)</f>
        <v>0</v>
      </c>
    </row>
    <row r="59" spans="1:39" ht="24.75" customHeight="1">
      <c r="A59" s="631" t="s">
        <v>504</v>
      </c>
      <c r="B59" s="331" t="s">
        <v>161</v>
      </c>
      <c r="C59" s="204">
        <v>0</v>
      </c>
      <c r="D59" s="205">
        <f>P59</f>
        <v>0</v>
      </c>
      <c r="E59" s="205">
        <f>Q59</f>
        <v>0</v>
      </c>
      <c r="F59" s="205">
        <f>SUM(C59:E59)</f>
        <v>0</v>
      </c>
      <c r="G59" s="205">
        <v>0</v>
      </c>
      <c r="H59" s="208">
        <v>0</v>
      </c>
      <c r="I59" s="205">
        <f>SUM(G59:H59)</f>
        <v>0</v>
      </c>
      <c r="J59" s="205">
        <v>0</v>
      </c>
      <c r="K59" s="208">
        <v>0</v>
      </c>
      <c r="L59" s="205">
        <f>SUM(J59:K59)</f>
        <v>0</v>
      </c>
      <c r="M59" s="205">
        <f>F59-I59</f>
        <v>0</v>
      </c>
      <c r="N59" s="206">
        <f>F59-L59</f>
        <v>0</v>
      </c>
      <c r="O59" s="67"/>
      <c r="P59" s="204">
        <v>0</v>
      </c>
      <c r="Q59" s="210">
        <v>0</v>
      </c>
      <c r="R59" s="101"/>
      <c r="S59" s="642" t="s">
        <v>554</v>
      </c>
      <c r="T59" s="312" t="s">
        <v>242</v>
      </c>
      <c r="U59" s="723">
        <v>195955533</v>
      </c>
      <c r="V59" s="220">
        <f t="shared" ref="V59:W61" si="73">AL59</f>
        <v>0</v>
      </c>
      <c r="W59" s="220">
        <f t="shared" si="73"/>
        <v>0</v>
      </c>
      <c r="X59" s="269">
        <f>SUM(U59:W59)</f>
        <v>195955533</v>
      </c>
      <c r="Y59" s="270">
        <v>0</v>
      </c>
      <c r="Z59" s="208">
        <v>8715600</v>
      </c>
      <c r="AA59" s="269">
        <f>SUM(Y59:Z59)</f>
        <v>8715600</v>
      </c>
      <c r="AB59" s="270">
        <v>0</v>
      </c>
      <c r="AC59" s="208">
        <v>8715600</v>
      </c>
      <c r="AD59" s="271">
        <f>SUM(AB59:AC59)</f>
        <v>8715600</v>
      </c>
      <c r="AE59" s="270">
        <v>0</v>
      </c>
      <c r="AF59" s="208">
        <v>8715600</v>
      </c>
      <c r="AG59" s="269">
        <f>SUM(AE59:AF59)</f>
        <v>8715600</v>
      </c>
      <c r="AH59" s="270">
        <f>X59-AA59</f>
        <v>187239933</v>
      </c>
      <c r="AI59" s="220">
        <f>X59-AD59</f>
        <v>187239933</v>
      </c>
      <c r="AJ59" s="269">
        <f>X59-AG59</f>
        <v>187239933</v>
      </c>
      <c r="AK59" s="101"/>
      <c r="AL59" s="204">
        <v>0</v>
      </c>
      <c r="AM59" s="210">
        <v>0</v>
      </c>
    </row>
    <row r="60" spans="1:39" ht="24.75" customHeight="1">
      <c r="A60" s="631" t="s">
        <v>505</v>
      </c>
      <c r="B60" s="319" t="s">
        <v>241</v>
      </c>
      <c r="C60" s="288">
        <f t="shared" ref="C60:N60" si="74">SUM(C61:C62)</f>
        <v>46623238</v>
      </c>
      <c r="D60" s="320">
        <f t="shared" si="74"/>
        <v>0</v>
      </c>
      <c r="E60" s="320">
        <f t="shared" si="74"/>
        <v>0</v>
      </c>
      <c r="F60" s="320">
        <f t="shared" si="74"/>
        <v>46623238</v>
      </c>
      <c r="G60" s="320">
        <f t="shared" si="74"/>
        <v>0</v>
      </c>
      <c r="H60" s="320">
        <f t="shared" si="74"/>
        <v>1286141</v>
      </c>
      <c r="I60" s="320">
        <f t="shared" si="74"/>
        <v>1286141</v>
      </c>
      <c r="J60" s="320">
        <f t="shared" si="74"/>
        <v>0</v>
      </c>
      <c r="K60" s="320">
        <f t="shared" si="74"/>
        <v>1174808</v>
      </c>
      <c r="L60" s="320">
        <f t="shared" si="74"/>
        <v>1174808</v>
      </c>
      <c r="M60" s="320">
        <f t="shared" si="74"/>
        <v>45337097</v>
      </c>
      <c r="N60" s="289">
        <f t="shared" si="74"/>
        <v>45448430</v>
      </c>
      <c r="O60" s="67"/>
      <c r="P60" s="288">
        <f>SUM(P61:P62)</f>
        <v>0</v>
      </c>
      <c r="Q60" s="289">
        <f>SUM(Q61:Q62)</f>
        <v>0</v>
      </c>
      <c r="R60" s="101"/>
      <c r="S60" s="642" t="s">
        <v>555</v>
      </c>
      <c r="T60" s="312" t="s">
        <v>793</v>
      </c>
      <c r="U60" s="723">
        <v>130637022</v>
      </c>
      <c r="V60" s="220">
        <f t="shared" si="73"/>
        <v>0</v>
      </c>
      <c r="W60" s="220">
        <f t="shared" si="73"/>
        <v>0</v>
      </c>
      <c r="X60" s="269">
        <f>SUM(U60:W60)</f>
        <v>130637022</v>
      </c>
      <c r="Y60" s="270">
        <v>0</v>
      </c>
      <c r="Z60" s="208">
        <v>13069500</v>
      </c>
      <c r="AA60" s="269">
        <f>SUM(Y60:Z60)</f>
        <v>13069500</v>
      </c>
      <c r="AB60" s="270">
        <v>0</v>
      </c>
      <c r="AC60" s="208">
        <v>13069500</v>
      </c>
      <c r="AD60" s="271">
        <f>SUM(AB60:AC60)</f>
        <v>13069500</v>
      </c>
      <c r="AE60" s="270">
        <v>0</v>
      </c>
      <c r="AF60" s="208">
        <v>13069500</v>
      </c>
      <c r="AG60" s="269">
        <f>SUM(AE60:AF60)</f>
        <v>13069500</v>
      </c>
      <c r="AH60" s="270">
        <f>X60-AA60</f>
        <v>117567522</v>
      </c>
      <c r="AI60" s="220">
        <f>X60-AD60</f>
        <v>117567522</v>
      </c>
      <c r="AJ60" s="269">
        <f>X60-AG60</f>
        <v>117567522</v>
      </c>
      <c r="AK60" s="101"/>
      <c r="AL60" s="204">
        <v>0</v>
      </c>
      <c r="AM60" s="210">
        <v>0</v>
      </c>
    </row>
    <row r="61" spans="1:39" ht="24.75" customHeight="1">
      <c r="A61" s="631" t="s">
        <v>505</v>
      </c>
      <c r="B61" s="331" t="str">
        <f>+CONCATENATE("Vigencia ",INSTRUCCIONES!$F$3)</f>
        <v>Vigencia 2025</v>
      </c>
      <c r="C61" s="204">
        <v>46623238</v>
      </c>
      <c r="D61" s="205">
        <f>P61</f>
        <v>0</v>
      </c>
      <c r="E61" s="205">
        <f>Q61</f>
        <v>0</v>
      </c>
      <c r="F61" s="205">
        <f>SUM(C61:E61)</f>
        <v>46623238</v>
      </c>
      <c r="G61" s="205">
        <v>0</v>
      </c>
      <c r="H61" s="208">
        <v>111333</v>
      </c>
      <c r="I61" s="205">
        <f>SUM(G61:H61)</f>
        <v>111333</v>
      </c>
      <c r="J61" s="205">
        <v>0</v>
      </c>
      <c r="K61" s="208">
        <v>0</v>
      </c>
      <c r="L61" s="205">
        <f>SUM(J61:K61)</f>
        <v>0</v>
      </c>
      <c r="M61" s="205">
        <f>F61-I61</f>
        <v>46511905</v>
      </c>
      <c r="N61" s="206">
        <f>F61-L61</f>
        <v>46623238</v>
      </c>
      <c r="O61" s="67"/>
      <c r="P61" s="204">
        <v>0</v>
      </c>
      <c r="Q61" s="210">
        <v>0</v>
      </c>
      <c r="R61" s="101"/>
      <c r="S61" s="266">
        <v>1010499</v>
      </c>
      <c r="T61" s="267" t="s">
        <v>196</v>
      </c>
      <c r="U61" s="268"/>
      <c r="V61" s="220">
        <f t="shared" si="73"/>
        <v>0</v>
      </c>
      <c r="W61" s="220">
        <f t="shared" si="73"/>
        <v>0</v>
      </c>
      <c r="X61" s="269">
        <f>SUM(U61:W61)</f>
        <v>0</v>
      </c>
      <c r="Y61" s="270">
        <v>0</v>
      </c>
      <c r="Z61" s="208"/>
      <c r="AA61" s="269">
        <f>SUM(Y61:Z61)</f>
        <v>0</v>
      </c>
      <c r="AB61" s="270">
        <v>0</v>
      </c>
      <c r="AC61" s="208"/>
      <c r="AD61" s="271">
        <f>SUM(AB61:AC61)</f>
        <v>0</v>
      </c>
      <c r="AE61" s="270">
        <v>0</v>
      </c>
      <c r="AF61" s="208"/>
      <c r="AG61" s="269">
        <f>SUM(AE61:AF61)</f>
        <v>0</v>
      </c>
      <c r="AH61" s="270">
        <f>X61-AA61</f>
        <v>0</v>
      </c>
      <c r="AI61" s="220">
        <f>X61-AD61</f>
        <v>0</v>
      </c>
      <c r="AJ61" s="269">
        <f>X61-AG61</f>
        <v>0</v>
      </c>
      <c r="AK61" s="101"/>
      <c r="AL61" s="204">
        <v>0</v>
      </c>
      <c r="AM61" s="210">
        <v>0</v>
      </c>
    </row>
    <row r="62" spans="1:39" ht="24.75" customHeight="1">
      <c r="A62" s="631" t="s">
        <v>506</v>
      </c>
      <c r="B62" s="331" t="s">
        <v>161</v>
      </c>
      <c r="C62" s="204">
        <v>0</v>
      </c>
      <c r="D62" s="205">
        <f>P62</f>
        <v>0</v>
      </c>
      <c r="E62" s="205">
        <f>Q62</f>
        <v>0</v>
      </c>
      <c r="F62" s="205">
        <f>SUM(C62:E62)</f>
        <v>0</v>
      </c>
      <c r="G62" s="205">
        <v>0</v>
      </c>
      <c r="H62" s="208">
        <f>174808+1000000</f>
        <v>1174808</v>
      </c>
      <c r="I62" s="205">
        <f>SUM(G62:H62)</f>
        <v>1174808</v>
      </c>
      <c r="J62" s="205">
        <v>0</v>
      </c>
      <c r="K62" s="208">
        <f>174808+1000000</f>
        <v>1174808</v>
      </c>
      <c r="L62" s="205">
        <f>SUM(J62:K62)</f>
        <v>1174808</v>
      </c>
      <c r="M62" s="205">
        <f>F62-I62</f>
        <v>-1174808</v>
      </c>
      <c r="N62" s="206">
        <f>F62-L62</f>
        <v>-1174808</v>
      </c>
      <c r="O62" s="67"/>
      <c r="P62" s="204">
        <v>0</v>
      </c>
      <c r="Q62" s="210">
        <v>0</v>
      </c>
      <c r="R62" s="101"/>
      <c r="S62" s="189"/>
      <c r="T62" s="190"/>
      <c r="U62" s="191"/>
      <c r="V62" s="191"/>
      <c r="W62" s="191"/>
      <c r="X62" s="192"/>
      <c r="Y62" s="193"/>
      <c r="Z62" s="191"/>
      <c r="AA62" s="192"/>
      <c r="AB62" s="193"/>
      <c r="AC62" s="191"/>
      <c r="AD62" s="191"/>
      <c r="AE62" s="193"/>
      <c r="AF62" s="191"/>
      <c r="AG62" s="192"/>
      <c r="AH62" s="193"/>
      <c r="AI62" s="191"/>
      <c r="AJ62" s="192"/>
      <c r="AK62" s="216"/>
      <c r="AL62" s="370"/>
      <c r="AM62" s="371"/>
    </row>
    <row r="63" spans="1:39" ht="24.75" customHeight="1">
      <c r="A63" s="633" t="s">
        <v>507</v>
      </c>
      <c r="B63" s="319" t="s">
        <v>243</v>
      </c>
      <c r="C63" s="288">
        <f t="shared" ref="C63:N63" si="75">SUM(C64:C65)</f>
        <v>2461795617.04175</v>
      </c>
      <c r="D63" s="320">
        <f t="shared" si="75"/>
        <v>0</v>
      </c>
      <c r="E63" s="320">
        <f t="shared" si="75"/>
        <v>0</v>
      </c>
      <c r="F63" s="320">
        <f t="shared" si="75"/>
        <v>2461795617.04175</v>
      </c>
      <c r="G63" s="320">
        <f t="shared" si="75"/>
        <v>0</v>
      </c>
      <c r="H63" s="320">
        <f t="shared" si="75"/>
        <v>393327713</v>
      </c>
      <c r="I63" s="320">
        <f t="shared" si="75"/>
        <v>393327713</v>
      </c>
      <c r="J63" s="320">
        <f t="shared" si="75"/>
        <v>0</v>
      </c>
      <c r="K63" s="320">
        <f t="shared" si="75"/>
        <v>203467978</v>
      </c>
      <c r="L63" s="320">
        <f t="shared" si="75"/>
        <v>203467978</v>
      </c>
      <c r="M63" s="320">
        <f t="shared" si="75"/>
        <v>2068467904.04175</v>
      </c>
      <c r="N63" s="289">
        <f t="shared" si="75"/>
        <v>2258327639.04175</v>
      </c>
      <c r="O63" s="67"/>
      <c r="P63" s="288">
        <f>SUM(P64:P65)</f>
        <v>0</v>
      </c>
      <c r="Q63" s="289">
        <f>SUM(Q64:Q65)</f>
        <v>0</v>
      </c>
      <c r="R63" s="101"/>
      <c r="S63" s="228">
        <v>1020010</v>
      </c>
      <c r="T63" s="229" t="s">
        <v>244</v>
      </c>
      <c r="U63" s="230">
        <f t="shared" ref="U63:AJ63" si="76">U65+U83+U90+U104</f>
        <v>64518803470</v>
      </c>
      <c r="V63" s="231">
        <f t="shared" si="76"/>
        <v>0</v>
      </c>
      <c r="W63" s="231">
        <f t="shared" si="76"/>
        <v>0</v>
      </c>
      <c r="X63" s="232">
        <f t="shared" si="76"/>
        <v>64518803470</v>
      </c>
      <c r="Y63" s="233">
        <f t="shared" si="76"/>
        <v>0</v>
      </c>
      <c r="Z63" s="231">
        <f t="shared" si="76"/>
        <v>35340822865</v>
      </c>
      <c r="AA63" s="232">
        <f t="shared" si="76"/>
        <v>35340822865</v>
      </c>
      <c r="AB63" s="233">
        <f t="shared" si="76"/>
        <v>0</v>
      </c>
      <c r="AC63" s="231">
        <f t="shared" si="76"/>
        <v>9644744534</v>
      </c>
      <c r="AD63" s="234">
        <f t="shared" si="76"/>
        <v>9644744534</v>
      </c>
      <c r="AE63" s="233">
        <f t="shared" si="76"/>
        <v>0</v>
      </c>
      <c r="AF63" s="231">
        <f t="shared" si="76"/>
        <v>5027142785</v>
      </c>
      <c r="AG63" s="232">
        <f t="shared" si="76"/>
        <v>5027142785</v>
      </c>
      <c r="AH63" s="233">
        <f t="shared" si="76"/>
        <v>29177980605</v>
      </c>
      <c r="AI63" s="231">
        <f t="shared" si="76"/>
        <v>54874058936</v>
      </c>
      <c r="AJ63" s="232">
        <f t="shared" si="76"/>
        <v>59491660685</v>
      </c>
      <c r="AK63" s="101"/>
      <c r="AL63" s="233">
        <f>AL65+AL83+AL90+AL104</f>
        <v>0</v>
      </c>
      <c r="AM63" s="232">
        <f>AM65+AM83+AM90+AM104</f>
        <v>0</v>
      </c>
    </row>
    <row r="64" spans="1:39" ht="24.75" customHeight="1">
      <c r="A64" s="633" t="s">
        <v>507</v>
      </c>
      <c r="B64" s="331" t="str">
        <f>+CONCATENATE("Vigencia ",INSTRUCCIONES!$F$3)</f>
        <v>Vigencia 2025</v>
      </c>
      <c r="C64" s="204">
        <v>2137731076.9417498</v>
      </c>
      <c r="D64" s="205">
        <f>P64</f>
        <v>0</v>
      </c>
      <c r="E64" s="205">
        <f>Q64</f>
        <v>0</v>
      </c>
      <c r="F64" s="205">
        <f>SUM(C64:E64)</f>
        <v>2137731076.9417498</v>
      </c>
      <c r="G64" s="205">
        <v>0</v>
      </c>
      <c r="H64" s="208">
        <v>192150562</v>
      </c>
      <c r="I64" s="205">
        <f>SUM(G64:H64)</f>
        <v>192150562</v>
      </c>
      <c r="J64" s="205">
        <v>0</v>
      </c>
      <c r="K64" s="208">
        <v>2290827</v>
      </c>
      <c r="L64" s="205">
        <f>SUM(J64:K64)</f>
        <v>2290827</v>
      </c>
      <c r="M64" s="205">
        <f>F64-I64</f>
        <v>1945580514.9417498</v>
      </c>
      <c r="N64" s="206">
        <f>F64-L64</f>
        <v>2135440249.9417498</v>
      </c>
      <c r="O64" s="67"/>
      <c r="P64" s="204">
        <v>0</v>
      </c>
      <c r="Q64" s="210">
        <v>0</v>
      </c>
      <c r="R64" s="101"/>
      <c r="S64" s="189"/>
      <c r="T64" s="190"/>
      <c r="U64" s="191"/>
      <c r="V64" s="191"/>
      <c r="W64" s="191"/>
      <c r="X64" s="192"/>
      <c r="Y64" s="193"/>
      <c r="Z64" s="191"/>
      <c r="AA64" s="192"/>
      <c r="AB64" s="193"/>
      <c r="AC64" s="191"/>
      <c r="AD64" s="191"/>
      <c r="AE64" s="193"/>
      <c r="AF64" s="191"/>
      <c r="AG64" s="192"/>
      <c r="AH64" s="193"/>
      <c r="AI64" s="191"/>
      <c r="AJ64" s="192"/>
      <c r="AK64" s="101"/>
      <c r="AL64" s="249"/>
      <c r="AM64" s="250"/>
    </row>
    <row r="65" spans="1:39" ht="24.75" customHeight="1">
      <c r="A65" s="633" t="s">
        <v>508</v>
      </c>
      <c r="B65" s="331" t="s">
        <v>161</v>
      </c>
      <c r="C65" s="204">
        <v>324064540.10000002</v>
      </c>
      <c r="D65" s="205">
        <f>P65</f>
        <v>0</v>
      </c>
      <c r="E65" s="205">
        <f>Q65</f>
        <v>0</v>
      </c>
      <c r="F65" s="205">
        <f>SUM(C65:E65)</f>
        <v>324064540.10000002</v>
      </c>
      <c r="G65" s="205">
        <v>0</v>
      </c>
      <c r="H65" s="208">
        <f>198380558+2796593</f>
        <v>201177151</v>
      </c>
      <c r="I65" s="205">
        <f>SUM(G65:H65)</f>
        <v>201177151</v>
      </c>
      <c r="J65" s="205">
        <v>0</v>
      </c>
      <c r="K65" s="208">
        <f>198380558+2796593</f>
        <v>201177151</v>
      </c>
      <c r="L65" s="205">
        <f>SUM(J65:K65)</f>
        <v>201177151</v>
      </c>
      <c r="M65" s="205">
        <f>F65-I65</f>
        <v>122887389.10000002</v>
      </c>
      <c r="N65" s="206">
        <f>F65-L65</f>
        <v>122887389.10000002</v>
      </c>
      <c r="O65" s="67"/>
      <c r="P65" s="204">
        <v>0</v>
      </c>
      <c r="Q65" s="210">
        <v>0</v>
      </c>
      <c r="R65" s="101"/>
      <c r="S65" s="641" t="s">
        <v>562</v>
      </c>
      <c r="T65" s="258" t="s">
        <v>127</v>
      </c>
      <c r="U65" s="230">
        <f t="shared" ref="U65:AJ65" si="77">SUM(U66:U69)+U81</f>
        <v>0</v>
      </c>
      <c r="V65" s="231">
        <f t="shared" si="77"/>
        <v>0</v>
      </c>
      <c r="W65" s="231">
        <f t="shared" si="77"/>
        <v>0</v>
      </c>
      <c r="X65" s="232">
        <f t="shared" si="77"/>
        <v>0</v>
      </c>
      <c r="Y65" s="233">
        <f t="shared" si="77"/>
        <v>0</v>
      </c>
      <c r="Z65" s="231">
        <f t="shared" si="77"/>
        <v>0</v>
      </c>
      <c r="AA65" s="232">
        <f t="shared" si="77"/>
        <v>0</v>
      </c>
      <c r="AB65" s="233">
        <f t="shared" si="77"/>
        <v>0</v>
      </c>
      <c r="AC65" s="231">
        <f t="shared" si="77"/>
        <v>0</v>
      </c>
      <c r="AD65" s="234">
        <f t="shared" si="77"/>
        <v>0</v>
      </c>
      <c r="AE65" s="233">
        <f t="shared" si="77"/>
        <v>0</v>
      </c>
      <c r="AF65" s="231">
        <f t="shared" si="77"/>
        <v>0</v>
      </c>
      <c r="AG65" s="232">
        <f t="shared" si="77"/>
        <v>0</v>
      </c>
      <c r="AH65" s="233">
        <f t="shared" si="77"/>
        <v>0</v>
      </c>
      <c r="AI65" s="231">
        <f t="shared" si="77"/>
        <v>0</v>
      </c>
      <c r="AJ65" s="232">
        <f t="shared" si="77"/>
        <v>0</v>
      </c>
      <c r="AK65" s="101"/>
      <c r="AL65" s="233">
        <f>SUM(AL66:AL69)+AL81</f>
        <v>0</v>
      </c>
      <c r="AM65" s="232">
        <f>SUM(AM66:AM69)+AM81</f>
        <v>0</v>
      </c>
    </row>
    <row r="66" spans="1:39" ht="24.75" customHeight="1">
      <c r="A66" s="633" t="s">
        <v>772</v>
      </c>
      <c r="B66" s="319" t="s">
        <v>700</v>
      </c>
      <c r="C66" s="217">
        <f t="shared" ref="C66:N66" si="78">SUM(C67:C68)</f>
        <v>185631948</v>
      </c>
      <c r="D66" s="320">
        <f t="shared" si="78"/>
        <v>0</v>
      </c>
      <c r="E66" s="320">
        <f t="shared" si="78"/>
        <v>0</v>
      </c>
      <c r="F66" s="320">
        <f t="shared" si="78"/>
        <v>185631948</v>
      </c>
      <c r="G66" s="320">
        <f t="shared" si="78"/>
        <v>0</v>
      </c>
      <c r="H66" s="320">
        <f t="shared" si="78"/>
        <v>1054605</v>
      </c>
      <c r="I66" s="320">
        <f t="shared" si="78"/>
        <v>1054605</v>
      </c>
      <c r="J66" s="320">
        <f t="shared" si="78"/>
        <v>0</v>
      </c>
      <c r="K66" s="320">
        <f t="shared" si="78"/>
        <v>0</v>
      </c>
      <c r="L66" s="320">
        <f t="shared" si="78"/>
        <v>0</v>
      </c>
      <c r="M66" s="320">
        <f t="shared" si="78"/>
        <v>184577343</v>
      </c>
      <c r="N66" s="289">
        <f t="shared" si="78"/>
        <v>185631948</v>
      </c>
      <c r="O66" s="67"/>
      <c r="P66" s="288">
        <f>SUM(P67:P68)</f>
        <v>0</v>
      </c>
      <c r="Q66" s="289">
        <f>SUM(Q67:Q68)</f>
        <v>0</v>
      </c>
      <c r="R66" s="101"/>
      <c r="S66" s="642" t="s">
        <v>563</v>
      </c>
      <c r="T66" s="267" t="s">
        <v>133</v>
      </c>
      <c r="U66" s="268">
        <v>0</v>
      </c>
      <c r="V66" s="220">
        <f t="shared" ref="V66:W68" si="79">AL66</f>
        <v>0</v>
      </c>
      <c r="W66" s="220">
        <f t="shared" si="79"/>
        <v>0</v>
      </c>
      <c r="X66" s="269">
        <f>SUM(U66:W66)</f>
        <v>0</v>
      </c>
      <c r="Y66" s="270">
        <v>0</v>
      </c>
      <c r="Z66" s="208"/>
      <c r="AA66" s="269">
        <f>SUM(Y66:Z66)</f>
        <v>0</v>
      </c>
      <c r="AB66" s="270">
        <v>0</v>
      </c>
      <c r="AC66" s="208"/>
      <c r="AD66" s="271">
        <f>SUM(AB66:AC66)</f>
        <v>0</v>
      </c>
      <c r="AE66" s="270">
        <v>0</v>
      </c>
      <c r="AF66" s="208"/>
      <c r="AG66" s="269">
        <f>SUM(AE66:AF66)</f>
        <v>0</v>
      </c>
      <c r="AH66" s="270">
        <f>X66-AA66</f>
        <v>0</v>
      </c>
      <c r="AI66" s="220">
        <f>X66-AD66</f>
        <v>0</v>
      </c>
      <c r="AJ66" s="269">
        <f>X66-AG66</f>
        <v>0</v>
      </c>
      <c r="AK66" s="101"/>
      <c r="AL66" s="204">
        <v>0</v>
      </c>
      <c r="AM66" s="210">
        <v>0</v>
      </c>
    </row>
    <row r="67" spans="1:39" ht="24.75" customHeight="1">
      <c r="A67" s="633" t="s">
        <v>772</v>
      </c>
      <c r="B67" s="331" t="str">
        <f>+CONCATENATE("Vigencia ",INSTRUCCIONES!$F$3)</f>
        <v>Vigencia 2025</v>
      </c>
      <c r="C67" s="204">
        <v>111911928</v>
      </c>
      <c r="D67" s="205">
        <f>P67</f>
        <v>0</v>
      </c>
      <c r="E67" s="205">
        <f>Q67</f>
        <v>0</v>
      </c>
      <c r="F67" s="205">
        <f>SUM(C67:E67)</f>
        <v>111911928</v>
      </c>
      <c r="G67" s="205">
        <v>0</v>
      </c>
      <c r="H67" s="208">
        <v>1054605</v>
      </c>
      <c r="I67" s="205">
        <f>SUM(G67:H67)</f>
        <v>1054605</v>
      </c>
      <c r="J67" s="205">
        <v>0</v>
      </c>
      <c r="K67" s="208"/>
      <c r="L67" s="205">
        <f>SUM(J67:K67)</f>
        <v>0</v>
      </c>
      <c r="M67" s="205">
        <f>F67-I67</f>
        <v>110857323</v>
      </c>
      <c r="N67" s="206">
        <f>F67-L67</f>
        <v>111911928</v>
      </c>
      <c r="O67" s="67"/>
      <c r="P67" s="204">
        <v>0</v>
      </c>
      <c r="Q67" s="210">
        <v>0</v>
      </c>
      <c r="R67" s="101"/>
      <c r="S67" s="642" t="s">
        <v>564</v>
      </c>
      <c r="T67" s="267" t="s">
        <v>138</v>
      </c>
      <c r="U67" s="268">
        <v>0</v>
      </c>
      <c r="V67" s="220">
        <f t="shared" si="79"/>
        <v>0</v>
      </c>
      <c r="W67" s="220">
        <f t="shared" si="79"/>
        <v>0</v>
      </c>
      <c r="X67" s="269">
        <f>SUM(U67:W67)</f>
        <v>0</v>
      </c>
      <c r="Y67" s="270">
        <v>0</v>
      </c>
      <c r="Z67" s="208"/>
      <c r="AA67" s="269">
        <f>SUM(Y67:Z67)</f>
        <v>0</v>
      </c>
      <c r="AB67" s="270">
        <v>0</v>
      </c>
      <c r="AC67" s="208"/>
      <c r="AD67" s="271">
        <f>SUM(AB67:AC67)</f>
        <v>0</v>
      </c>
      <c r="AE67" s="270">
        <v>0</v>
      </c>
      <c r="AF67" s="208"/>
      <c r="AG67" s="269">
        <f>SUM(AE67:AF67)</f>
        <v>0</v>
      </c>
      <c r="AH67" s="270">
        <f>X67-AA67</f>
        <v>0</v>
      </c>
      <c r="AI67" s="220">
        <f>X67-AD67</f>
        <v>0</v>
      </c>
      <c r="AJ67" s="269">
        <f>X67-AG67</f>
        <v>0</v>
      </c>
      <c r="AK67" s="101"/>
      <c r="AL67" s="204">
        <v>0</v>
      </c>
      <c r="AM67" s="210">
        <v>0</v>
      </c>
    </row>
    <row r="68" spans="1:39" ht="24.75" customHeight="1">
      <c r="A68" s="633" t="s">
        <v>773</v>
      </c>
      <c r="B68" s="331" t="s">
        <v>161</v>
      </c>
      <c r="C68" s="204">
        <v>73720020</v>
      </c>
      <c r="D68" s="205">
        <f>P68</f>
        <v>0</v>
      </c>
      <c r="E68" s="205">
        <f>Q68</f>
        <v>0</v>
      </c>
      <c r="F68" s="205">
        <f>SUM(C68:E68)</f>
        <v>73720020</v>
      </c>
      <c r="G68" s="205">
        <v>0</v>
      </c>
      <c r="H68" s="208">
        <v>0</v>
      </c>
      <c r="I68" s="205">
        <f>SUM(G68:H68)</f>
        <v>0</v>
      </c>
      <c r="J68" s="205">
        <v>0</v>
      </c>
      <c r="K68" s="208">
        <v>0</v>
      </c>
      <c r="L68" s="205">
        <f>SUM(J68:K68)</f>
        <v>0</v>
      </c>
      <c r="M68" s="205">
        <f>F68-I68</f>
        <v>73720020</v>
      </c>
      <c r="N68" s="206">
        <f>F68-L68</f>
        <v>73720020</v>
      </c>
      <c r="O68" s="67"/>
      <c r="P68" s="204">
        <v>0</v>
      </c>
      <c r="Q68" s="210">
        <v>0</v>
      </c>
      <c r="R68" s="101"/>
      <c r="S68" s="266">
        <v>1010103</v>
      </c>
      <c r="T68" s="267" t="s">
        <v>142</v>
      </c>
      <c r="U68" s="268">
        <v>0</v>
      </c>
      <c r="V68" s="220">
        <f t="shared" si="79"/>
        <v>0</v>
      </c>
      <c r="W68" s="220">
        <f t="shared" si="79"/>
        <v>0</v>
      </c>
      <c r="X68" s="269">
        <f>SUM(U68:W68)</f>
        <v>0</v>
      </c>
      <c r="Y68" s="270">
        <v>0</v>
      </c>
      <c r="Z68" s="208"/>
      <c r="AA68" s="269">
        <f>SUM(Y68:Z68)</f>
        <v>0</v>
      </c>
      <c r="AB68" s="270">
        <v>0</v>
      </c>
      <c r="AC68" s="208">
        <v>0</v>
      </c>
      <c r="AD68" s="271">
        <f>SUM(AB68:AC68)</f>
        <v>0</v>
      </c>
      <c r="AE68" s="270">
        <v>0</v>
      </c>
      <c r="AF68" s="208"/>
      <c r="AG68" s="269">
        <f>SUM(AE68:AF68)</f>
        <v>0</v>
      </c>
      <c r="AH68" s="270">
        <f>X68-AA68</f>
        <v>0</v>
      </c>
      <c r="AI68" s="220">
        <f>X68-AD68</f>
        <v>0</v>
      </c>
      <c r="AJ68" s="269">
        <f>X68-AG68</f>
        <v>0</v>
      </c>
      <c r="AK68" s="101"/>
      <c r="AL68" s="204">
        <v>0</v>
      </c>
      <c r="AM68" s="210">
        <v>0</v>
      </c>
    </row>
    <row r="69" spans="1:39" ht="24.75" customHeight="1">
      <c r="A69" s="633" t="s">
        <v>509</v>
      </c>
      <c r="B69" s="319" t="s">
        <v>245</v>
      </c>
      <c r="C69" s="288">
        <f t="shared" ref="C69:N69" si="80">SUM(C70:C71)</f>
        <v>1378696551</v>
      </c>
      <c r="D69" s="320">
        <f t="shared" si="80"/>
        <v>0</v>
      </c>
      <c r="E69" s="320">
        <f t="shared" si="80"/>
        <v>0</v>
      </c>
      <c r="F69" s="320">
        <f t="shared" si="80"/>
        <v>1378696551</v>
      </c>
      <c r="G69" s="320">
        <f t="shared" si="80"/>
        <v>0</v>
      </c>
      <c r="H69" s="320">
        <f t="shared" si="80"/>
        <v>438285495</v>
      </c>
      <c r="I69" s="320">
        <f t="shared" si="80"/>
        <v>438285495</v>
      </c>
      <c r="J69" s="320">
        <f t="shared" si="80"/>
        <v>0</v>
      </c>
      <c r="K69" s="320">
        <f t="shared" si="80"/>
        <v>176555824</v>
      </c>
      <c r="L69" s="320">
        <f t="shared" si="80"/>
        <v>176555824</v>
      </c>
      <c r="M69" s="320">
        <f t="shared" si="80"/>
        <v>940411056</v>
      </c>
      <c r="N69" s="289">
        <f t="shared" si="80"/>
        <v>1202140727</v>
      </c>
      <c r="O69" s="67"/>
      <c r="P69" s="288">
        <f>SUM(P70:P71)</f>
        <v>0</v>
      </c>
      <c r="Q69" s="289">
        <f>SUM(Q70:Q71)</f>
        <v>0</v>
      </c>
      <c r="R69" s="101"/>
      <c r="S69" s="266">
        <v>1010104</v>
      </c>
      <c r="T69" s="267" t="s">
        <v>146</v>
      </c>
      <c r="U69" s="299">
        <f t="shared" ref="U69:AJ69" si="81">SUM(U70:U80)</f>
        <v>0</v>
      </c>
      <c r="V69" s="220">
        <f t="shared" si="81"/>
        <v>0</v>
      </c>
      <c r="W69" s="220">
        <f t="shared" si="81"/>
        <v>0</v>
      </c>
      <c r="X69" s="269">
        <f t="shared" si="81"/>
        <v>0</v>
      </c>
      <c r="Y69" s="270">
        <f t="shared" si="81"/>
        <v>0</v>
      </c>
      <c r="Z69" s="300">
        <f t="shared" si="81"/>
        <v>0</v>
      </c>
      <c r="AA69" s="269">
        <f t="shared" si="81"/>
        <v>0</v>
      </c>
      <c r="AB69" s="270">
        <f t="shared" si="81"/>
        <v>0</v>
      </c>
      <c r="AC69" s="300">
        <f t="shared" si="81"/>
        <v>0</v>
      </c>
      <c r="AD69" s="271">
        <f t="shared" si="81"/>
        <v>0</v>
      </c>
      <c r="AE69" s="270">
        <f t="shared" si="81"/>
        <v>0</v>
      </c>
      <c r="AF69" s="300">
        <f t="shared" si="81"/>
        <v>0</v>
      </c>
      <c r="AG69" s="269">
        <f t="shared" si="81"/>
        <v>0</v>
      </c>
      <c r="AH69" s="270">
        <f t="shared" si="81"/>
        <v>0</v>
      </c>
      <c r="AI69" s="220">
        <f t="shared" si="81"/>
        <v>0</v>
      </c>
      <c r="AJ69" s="269">
        <f t="shared" si="81"/>
        <v>0</v>
      </c>
      <c r="AK69" s="101"/>
      <c r="AL69" s="301">
        <f>SUM(AL70:AL80)</f>
        <v>0</v>
      </c>
      <c r="AM69" s="302">
        <f>SUM(AM70:AM80)</f>
        <v>0</v>
      </c>
    </row>
    <row r="70" spans="1:39" ht="24.75" customHeight="1">
      <c r="A70" s="633" t="s">
        <v>509</v>
      </c>
      <c r="B70" s="331" t="str">
        <f>+CONCATENATE("Vigencia ",INSTRUCCIONES!$F$3)</f>
        <v>Vigencia 2025</v>
      </c>
      <c r="C70" s="204">
        <v>898696551</v>
      </c>
      <c r="D70" s="205">
        <f>P70</f>
        <v>0</v>
      </c>
      <c r="E70" s="205">
        <f>Q70</f>
        <v>0</v>
      </c>
      <c r="F70" s="205">
        <f>SUM(C70:E70)</f>
        <v>898696551</v>
      </c>
      <c r="G70" s="205">
        <v>0</v>
      </c>
      <c r="H70" s="208">
        <v>261729671</v>
      </c>
      <c r="I70" s="205">
        <f>SUM(G70:H70)</f>
        <v>261729671</v>
      </c>
      <c r="J70" s="205">
        <v>0</v>
      </c>
      <c r="K70" s="208"/>
      <c r="L70" s="205">
        <f>SUM(J70:K70)</f>
        <v>0</v>
      </c>
      <c r="M70" s="205">
        <f>F70-I70</f>
        <v>636966880</v>
      </c>
      <c r="N70" s="206">
        <f>F70-L70</f>
        <v>898696551</v>
      </c>
      <c r="O70" s="67"/>
      <c r="P70" s="204">
        <v>0</v>
      </c>
      <c r="Q70" s="210">
        <v>0</v>
      </c>
      <c r="R70" s="101"/>
      <c r="S70" s="642" t="s">
        <v>565</v>
      </c>
      <c r="T70" s="312" t="s">
        <v>151</v>
      </c>
      <c r="U70" s="268">
        <v>0</v>
      </c>
      <c r="V70" s="220">
        <f t="shared" ref="V70:V81" si="82">AL70</f>
        <v>0</v>
      </c>
      <c r="W70" s="220">
        <f t="shared" ref="W70:W81" si="83">AM70</f>
        <v>0</v>
      </c>
      <c r="X70" s="269">
        <f t="shared" ref="X70:X81" si="84">SUM(U70:W70)</f>
        <v>0</v>
      </c>
      <c r="Y70" s="270">
        <v>0</v>
      </c>
      <c r="Z70" s="208">
        <v>0</v>
      </c>
      <c r="AA70" s="269">
        <f t="shared" ref="AA70:AA81" si="85">SUM(Y70:Z70)</f>
        <v>0</v>
      </c>
      <c r="AB70" s="270">
        <v>0</v>
      </c>
      <c r="AC70" s="208">
        <v>0</v>
      </c>
      <c r="AD70" s="271">
        <f t="shared" ref="AD70:AD81" si="86">SUM(AB70:AC70)</f>
        <v>0</v>
      </c>
      <c r="AE70" s="270">
        <v>0</v>
      </c>
      <c r="AF70" s="208"/>
      <c r="AG70" s="269">
        <f t="shared" ref="AG70:AG81" si="87">SUM(AE70:AF70)</f>
        <v>0</v>
      </c>
      <c r="AH70" s="270">
        <f t="shared" ref="AH70:AH81" si="88">X70-AA70</f>
        <v>0</v>
      </c>
      <c r="AI70" s="220">
        <f t="shared" ref="AI70:AI81" si="89">X70-AD70</f>
        <v>0</v>
      </c>
      <c r="AJ70" s="269">
        <f t="shared" ref="AJ70:AJ81" si="90">X70-AG70</f>
        <v>0</v>
      </c>
      <c r="AK70" s="101"/>
      <c r="AL70" s="204">
        <v>0</v>
      </c>
      <c r="AM70" s="210">
        <v>0</v>
      </c>
    </row>
    <row r="71" spans="1:39" ht="24.75" customHeight="1">
      <c r="A71" s="633" t="s">
        <v>510</v>
      </c>
      <c r="B71" s="331" t="s">
        <v>161</v>
      </c>
      <c r="C71" s="204">
        <v>480000000</v>
      </c>
      <c r="D71" s="205">
        <f>P71</f>
        <v>0</v>
      </c>
      <c r="E71" s="205">
        <f>Q71</f>
        <v>0</v>
      </c>
      <c r="F71" s="205">
        <f>SUM(C71:E71)</f>
        <v>480000000</v>
      </c>
      <c r="G71" s="205">
        <v>0</v>
      </c>
      <c r="H71" s="208">
        <v>176555824</v>
      </c>
      <c r="I71" s="205">
        <f>SUM(G71:H71)</f>
        <v>176555824</v>
      </c>
      <c r="J71" s="205">
        <v>0</v>
      </c>
      <c r="K71" s="208">
        <v>176555824</v>
      </c>
      <c r="L71" s="205">
        <f>SUM(J71:K71)</f>
        <v>176555824</v>
      </c>
      <c r="M71" s="205">
        <f>F71-I71</f>
        <v>303444176</v>
      </c>
      <c r="N71" s="206">
        <f>F71-L71</f>
        <v>303444176</v>
      </c>
      <c r="O71" s="67"/>
      <c r="P71" s="204">
        <v>0</v>
      </c>
      <c r="Q71" s="210">
        <v>0</v>
      </c>
      <c r="R71" s="101"/>
      <c r="S71" s="642" t="s">
        <v>566</v>
      </c>
      <c r="T71" s="312" t="s">
        <v>155</v>
      </c>
      <c r="U71" s="268">
        <v>0</v>
      </c>
      <c r="V71" s="220">
        <f t="shared" si="82"/>
        <v>0</v>
      </c>
      <c r="W71" s="220">
        <f t="shared" si="83"/>
        <v>0</v>
      </c>
      <c r="X71" s="269">
        <f t="shared" si="84"/>
        <v>0</v>
      </c>
      <c r="Y71" s="270">
        <v>0</v>
      </c>
      <c r="Z71" s="208"/>
      <c r="AA71" s="269">
        <f t="shared" si="85"/>
        <v>0</v>
      </c>
      <c r="AB71" s="270">
        <v>0</v>
      </c>
      <c r="AC71" s="208"/>
      <c r="AD71" s="271">
        <f t="shared" si="86"/>
        <v>0</v>
      </c>
      <c r="AE71" s="270">
        <v>0</v>
      </c>
      <c r="AF71" s="208"/>
      <c r="AG71" s="269">
        <f t="shared" si="87"/>
        <v>0</v>
      </c>
      <c r="AH71" s="270">
        <f t="shared" si="88"/>
        <v>0</v>
      </c>
      <c r="AI71" s="220">
        <f t="shared" si="89"/>
        <v>0</v>
      </c>
      <c r="AJ71" s="269">
        <f t="shared" si="90"/>
        <v>0</v>
      </c>
      <c r="AK71" s="101"/>
      <c r="AL71" s="204">
        <v>0</v>
      </c>
      <c r="AM71" s="210">
        <v>0</v>
      </c>
    </row>
    <row r="72" spans="1:39" ht="24.75" customHeight="1">
      <c r="A72" s="631" t="s">
        <v>511</v>
      </c>
      <c r="B72" s="319" t="s">
        <v>246</v>
      </c>
      <c r="C72" s="288">
        <f t="shared" ref="C72:N72" si="91">SUM(C73:C74)</f>
        <v>374950682</v>
      </c>
      <c r="D72" s="320">
        <f t="shared" si="91"/>
        <v>0</v>
      </c>
      <c r="E72" s="320">
        <f t="shared" si="91"/>
        <v>0</v>
      </c>
      <c r="F72" s="320">
        <f t="shared" si="91"/>
        <v>374950682</v>
      </c>
      <c r="G72" s="320">
        <f t="shared" si="91"/>
        <v>0</v>
      </c>
      <c r="H72" s="320">
        <f t="shared" si="91"/>
        <v>63315966</v>
      </c>
      <c r="I72" s="320">
        <f t="shared" si="91"/>
        <v>63315966</v>
      </c>
      <c r="J72" s="320">
        <f t="shared" si="91"/>
        <v>0</v>
      </c>
      <c r="K72" s="320">
        <f t="shared" si="91"/>
        <v>50011719</v>
      </c>
      <c r="L72" s="320">
        <f t="shared" si="91"/>
        <v>50011719</v>
      </c>
      <c r="M72" s="320">
        <f t="shared" si="91"/>
        <v>311634716</v>
      </c>
      <c r="N72" s="289">
        <f t="shared" si="91"/>
        <v>324938963</v>
      </c>
      <c r="O72" s="67"/>
      <c r="P72" s="288">
        <f>SUM(P73:P74)</f>
        <v>0</v>
      </c>
      <c r="Q72" s="289">
        <f>SUM(Q73:Q74)</f>
        <v>0</v>
      </c>
      <c r="R72" s="101"/>
      <c r="S72" s="642" t="s">
        <v>567</v>
      </c>
      <c r="T72" s="312" t="s">
        <v>158</v>
      </c>
      <c r="U72" s="268">
        <v>0</v>
      </c>
      <c r="V72" s="220">
        <f t="shared" si="82"/>
        <v>0</v>
      </c>
      <c r="W72" s="220">
        <f t="shared" si="83"/>
        <v>0</v>
      </c>
      <c r="X72" s="269">
        <f t="shared" si="84"/>
        <v>0</v>
      </c>
      <c r="Y72" s="270">
        <v>0</v>
      </c>
      <c r="Z72" s="208"/>
      <c r="AA72" s="269">
        <f t="shared" si="85"/>
        <v>0</v>
      </c>
      <c r="AB72" s="270">
        <v>0</v>
      </c>
      <c r="AC72" s="208"/>
      <c r="AD72" s="271">
        <f t="shared" si="86"/>
        <v>0</v>
      </c>
      <c r="AE72" s="270">
        <v>0</v>
      </c>
      <c r="AF72" s="208"/>
      <c r="AG72" s="269">
        <f t="shared" si="87"/>
        <v>0</v>
      </c>
      <c r="AH72" s="270">
        <f t="shared" si="88"/>
        <v>0</v>
      </c>
      <c r="AI72" s="220">
        <f t="shared" si="89"/>
        <v>0</v>
      </c>
      <c r="AJ72" s="269">
        <f t="shared" si="90"/>
        <v>0</v>
      </c>
      <c r="AK72" s="101"/>
      <c r="AL72" s="204">
        <v>0</v>
      </c>
      <c r="AM72" s="210">
        <v>0</v>
      </c>
    </row>
    <row r="73" spans="1:39" ht="24.75" customHeight="1">
      <c r="A73" s="631" t="s">
        <v>511</v>
      </c>
      <c r="B73" s="331" t="str">
        <f>+CONCATENATE("Vigencia ",INSTRUCCIONES!$F$3)</f>
        <v>Vigencia 2025</v>
      </c>
      <c r="C73" s="204">
        <v>337999834</v>
      </c>
      <c r="D73" s="205">
        <f>P73</f>
        <v>0</v>
      </c>
      <c r="E73" s="205">
        <f>Q73</f>
        <v>0</v>
      </c>
      <c r="F73" s="205">
        <f>SUM(C73:E73)</f>
        <v>337999834</v>
      </c>
      <c r="G73" s="205">
        <v>0</v>
      </c>
      <c r="H73" s="208">
        <v>15983239</v>
      </c>
      <c r="I73" s="205">
        <f>SUM(G73:H73)</f>
        <v>15983239</v>
      </c>
      <c r="J73" s="205">
        <v>0</v>
      </c>
      <c r="K73" s="208">
        <v>2678992</v>
      </c>
      <c r="L73" s="205">
        <f>SUM(J73:K73)</f>
        <v>2678992</v>
      </c>
      <c r="M73" s="205">
        <f>F73-I73</f>
        <v>322016595</v>
      </c>
      <c r="N73" s="206">
        <f>F73-L73</f>
        <v>335320842</v>
      </c>
      <c r="O73" s="67"/>
      <c r="P73" s="204">
        <v>0</v>
      </c>
      <c r="Q73" s="210">
        <v>0</v>
      </c>
      <c r="R73" s="101"/>
      <c r="S73" s="642" t="s">
        <v>568</v>
      </c>
      <c r="T73" s="312" t="s">
        <v>162</v>
      </c>
      <c r="U73" s="268">
        <v>0</v>
      </c>
      <c r="V73" s="220">
        <f t="shared" si="82"/>
        <v>0</v>
      </c>
      <c r="W73" s="220">
        <f t="shared" si="83"/>
        <v>0</v>
      </c>
      <c r="X73" s="269">
        <f t="shared" si="84"/>
        <v>0</v>
      </c>
      <c r="Y73" s="270">
        <v>0</v>
      </c>
      <c r="Z73" s="208"/>
      <c r="AA73" s="269">
        <f t="shared" si="85"/>
        <v>0</v>
      </c>
      <c r="AB73" s="270">
        <v>0</v>
      </c>
      <c r="AC73" s="208"/>
      <c r="AD73" s="271">
        <f t="shared" si="86"/>
        <v>0</v>
      </c>
      <c r="AE73" s="270">
        <v>0</v>
      </c>
      <c r="AF73" s="208"/>
      <c r="AG73" s="269">
        <f t="shared" si="87"/>
        <v>0</v>
      </c>
      <c r="AH73" s="270">
        <f t="shared" si="88"/>
        <v>0</v>
      </c>
      <c r="AI73" s="220">
        <f t="shared" si="89"/>
        <v>0</v>
      </c>
      <c r="AJ73" s="269">
        <f t="shared" si="90"/>
        <v>0</v>
      </c>
      <c r="AK73" s="101"/>
      <c r="AL73" s="204">
        <v>0</v>
      </c>
      <c r="AM73" s="210">
        <v>0</v>
      </c>
    </row>
    <row r="74" spans="1:39" ht="24.75" customHeight="1">
      <c r="A74" s="631" t="s">
        <v>512</v>
      </c>
      <c r="B74" s="331" t="s">
        <v>161</v>
      </c>
      <c r="C74" s="204">
        <v>36950848</v>
      </c>
      <c r="D74" s="205">
        <f>P74</f>
        <v>0</v>
      </c>
      <c r="E74" s="205">
        <f>Q74</f>
        <v>0</v>
      </c>
      <c r="F74" s="205">
        <f>SUM(C74:E74)</f>
        <v>36950848</v>
      </c>
      <c r="G74" s="205">
        <v>0</v>
      </c>
      <c r="H74" s="208">
        <v>47332727</v>
      </c>
      <c r="I74" s="205">
        <f>SUM(G74:H74)</f>
        <v>47332727</v>
      </c>
      <c r="J74" s="205">
        <v>0</v>
      </c>
      <c r="K74" s="208">
        <v>47332727</v>
      </c>
      <c r="L74" s="205">
        <f>SUM(J74:K74)</f>
        <v>47332727</v>
      </c>
      <c r="M74" s="205">
        <f>F74-I74</f>
        <v>-10381879</v>
      </c>
      <c r="N74" s="206">
        <f>F74-L74</f>
        <v>-10381879</v>
      </c>
      <c r="O74" s="67"/>
      <c r="P74" s="204">
        <v>0</v>
      </c>
      <c r="Q74" s="210">
        <v>0</v>
      </c>
      <c r="R74" s="101"/>
      <c r="S74" s="311" t="s">
        <v>166</v>
      </c>
      <c r="T74" s="312" t="s">
        <v>167</v>
      </c>
      <c r="U74" s="268">
        <v>0</v>
      </c>
      <c r="V74" s="220">
        <f t="shared" si="82"/>
        <v>0</v>
      </c>
      <c r="W74" s="220">
        <f t="shared" si="83"/>
        <v>0</v>
      </c>
      <c r="X74" s="269">
        <f t="shared" si="84"/>
        <v>0</v>
      </c>
      <c r="Y74" s="270">
        <v>0</v>
      </c>
      <c r="Z74" s="208"/>
      <c r="AA74" s="269">
        <f t="shared" si="85"/>
        <v>0</v>
      </c>
      <c r="AB74" s="270">
        <v>0</v>
      </c>
      <c r="AC74" s="208"/>
      <c r="AD74" s="271">
        <f t="shared" si="86"/>
        <v>0</v>
      </c>
      <c r="AE74" s="270">
        <v>0</v>
      </c>
      <c r="AF74" s="208"/>
      <c r="AG74" s="269">
        <f t="shared" si="87"/>
        <v>0</v>
      </c>
      <c r="AH74" s="270">
        <f t="shared" si="88"/>
        <v>0</v>
      </c>
      <c r="AI74" s="220">
        <f t="shared" si="89"/>
        <v>0</v>
      </c>
      <c r="AJ74" s="269">
        <f t="shared" si="90"/>
        <v>0</v>
      </c>
      <c r="AK74" s="101"/>
      <c r="AL74" s="204">
        <v>0</v>
      </c>
      <c r="AM74" s="210">
        <v>0</v>
      </c>
    </row>
    <row r="75" spans="1:39" ht="24.75" customHeight="1">
      <c r="A75" s="1151" t="s">
        <v>766</v>
      </c>
      <c r="B75" s="319" t="s">
        <v>765</v>
      </c>
      <c r="C75" s="288">
        <f t="shared" ref="C75:N75" si="92">SUM(C76:C77)</f>
        <v>448721976</v>
      </c>
      <c r="D75" s="320">
        <f t="shared" si="92"/>
        <v>0</v>
      </c>
      <c r="E75" s="320">
        <f t="shared" si="92"/>
        <v>0</v>
      </c>
      <c r="F75" s="320">
        <f t="shared" si="92"/>
        <v>448721976</v>
      </c>
      <c r="G75" s="320">
        <f t="shared" si="92"/>
        <v>0</v>
      </c>
      <c r="H75" s="320">
        <f t="shared" si="92"/>
        <v>11182155</v>
      </c>
      <c r="I75" s="320">
        <f t="shared" si="92"/>
        <v>11182155</v>
      </c>
      <c r="J75" s="320">
        <f t="shared" si="92"/>
        <v>0</v>
      </c>
      <c r="K75" s="320">
        <f t="shared" si="92"/>
        <v>0</v>
      </c>
      <c r="L75" s="320">
        <f t="shared" si="92"/>
        <v>0</v>
      </c>
      <c r="M75" s="320">
        <f t="shared" si="92"/>
        <v>437539821</v>
      </c>
      <c r="N75" s="289">
        <f t="shared" si="92"/>
        <v>448721976</v>
      </c>
      <c r="O75" s="67"/>
      <c r="P75" s="288">
        <f>SUM(P76:P77)</f>
        <v>0</v>
      </c>
      <c r="Q75" s="289">
        <f>SUM(Q76:Q77)</f>
        <v>0</v>
      </c>
      <c r="R75" s="101"/>
      <c r="S75" s="642" t="s">
        <v>569</v>
      </c>
      <c r="T75" s="312" t="s">
        <v>170</v>
      </c>
      <c r="U75" s="268">
        <v>0</v>
      </c>
      <c r="V75" s="220">
        <f t="shared" si="82"/>
        <v>0</v>
      </c>
      <c r="W75" s="220">
        <f t="shared" si="83"/>
        <v>0</v>
      </c>
      <c r="X75" s="269">
        <f t="shared" si="84"/>
        <v>0</v>
      </c>
      <c r="Y75" s="270">
        <v>0</v>
      </c>
      <c r="Z75" s="208"/>
      <c r="AA75" s="269">
        <f t="shared" si="85"/>
        <v>0</v>
      </c>
      <c r="AB75" s="270">
        <v>0</v>
      </c>
      <c r="AC75" s="208"/>
      <c r="AD75" s="271">
        <f t="shared" si="86"/>
        <v>0</v>
      </c>
      <c r="AE75" s="270">
        <v>0</v>
      </c>
      <c r="AF75" s="208"/>
      <c r="AG75" s="269">
        <f t="shared" si="87"/>
        <v>0</v>
      </c>
      <c r="AH75" s="270">
        <f t="shared" si="88"/>
        <v>0</v>
      </c>
      <c r="AI75" s="220">
        <f t="shared" si="89"/>
        <v>0</v>
      </c>
      <c r="AJ75" s="269">
        <f t="shared" si="90"/>
        <v>0</v>
      </c>
      <c r="AK75" s="101"/>
      <c r="AL75" s="204">
        <v>0</v>
      </c>
      <c r="AM75" s="210">
        <v>0</v>
      </c>
    </row>
    <row r="76" spans="1:39" ht="24.75" customHeight="1">
      <c r="A76" s="1151" t="s">
        <v>766</v>
      </c>
      <c r="B76" s="331" t="str">
        <f>+CONCATENATE("Vigencia ",INSTRUCCIONES!$F$3)</f>
        <v>Vigencia 2025</v>
      </c>
      <c r="C76" s="204">
        <v>341067989</v>
      </c>
      <c r="D76" s="205">
        <f>P76</f>
        <v>0</v>
      </c>
      <c r="E76" s="205">
        <f>Q76</f>
        <v>0</v>
      </c>
      <c r="F76" s="205">
        <f>SUM(C76:E76)</f>
        <v>341067989</v>
      </c>
      <c r="G76" s="205">
        <v>0</v>
      </c>
      <c r="H76" s="208">
        <v>11182155</v>
      </c>
      <c r="I76" s="205">
        <f>SUM(G76:H76)</f>
        <v>11182155</v>
      </c>
      <c r="J76" s="205">
        <v>0</v>
      </c>
      <c r="K76" s="208"/>
      <c r="L76" s="205">
        <f>SUM(J76:K76)</f>
        <v>0</v>
      </c>
      <c r="M76" s="205">
        <f>F76-I76</f>
        <v>329885834</v>
      </c>
      <c r="N76" s="206">
        <f>F76-L76</f>
        <v>341067989</v>
      </c>
      <c r="O76" s="67"/>
      <c r="P76" s="204">
        <v>0</v>
      </c>
      <c r="Q76" s="210">
        <v>0</v>
      </c>
      <c r="R76" s="101"/>
      <c r="S76" s="642" t="s">
        <v>570</v>
      </c>
      <c r="T76" s="312" t="s">
        <v>173</v>
      </c>
      <c r="U76" s="268">
        <v>0</v>
      </c>
      <c r="V76" s="220">
        <f t="shared" si="82"/>
        <v>0</v>
      </c>
      <c r="W76" s="220">
        <f t="shared" si="83"/>
        <v>0</v>
      </c>
      <c r="X76" s="269">
        <f t="shared" si="84"/>
        <v>0</v>
      </c>
      <c r="Y76" s="270">
        <v>0</v>
      </c>
      <c r="Z76" s="208"/>
      <c r="AA76" s="269">
        <f t="shared" si="85"/>
        <v>0</v>
      </c>
      <c r="AB76" s="270">
        <v>0</v>
      </c>
      <c r="AC76" s="208"/>
      <c r="AD76" s="271">
        <f t="shared" si="86"/>
        <v>0</v>
      </c>
      <c r="AE76" s="270">
        <v>0</v>
      </c>
      <c r="AF76" s="208"/>
      <c r="AG76" s="269">
        <f t="shared" si="87"/>
        <v>0</v>
      </c>
      <c r="AH76" s="270">
        <f t="shared" si="88"/>
        <v>0</v>
      </c>
      <c r="AI76" s="220">
        <f t="shared" si="89"/>
        <v>0</v>
      </c>
      <c r="AJ76" s="269">
        <f t="shared" si="90"/>
        <v>0</v>
      </c>
      <c r="AK76" s="101"/>
      <c r="AL76" s="204">
        <v>0</v>
      </c>
      <c r="AM76" s="210">
        <v>0</v>
      </c>
    </row>
    <row r="77" spans="1:39" ht="24.75" customHeight="1">
      <c r="A77" s="1151" t="s">
        <v>767</v>
      </c>
      <c r="B77" s="331" t="s">
        <v>161</v>
      </c>
      <c r="C77" s="204">
        <v>107653987</v>
      </c>
      <c r="D77" s="205">
        <f>P77</f>
        <v>0</v>
      </c>
      <c r="E77" s="205">
        <f>Q77</f>
        <v>0</v>
      </c>
      <c r="F77" s="205">
        <f>SUM(C77:E77)</f>
        <v>107653987</v>
      </c>
      <c r="G77" s="205">
        <v>0</v>
      </c>
      <c r="H77" s="208">
        <v>0</v>
      </c>
      <c r="I77" s="205">
        <f>SUM(G77:H77)</f>
        <v>0</v>
      </c>
      <c r="J77" s="205">
        <v>0</v>
      </c>
      <c r="K77" s="208"/>
      <c r="L77" s="205">
        <f>SUM(J77:K77)</f>
        <v>0</v>
      </c>
      <c r="M77" s="205">
        <f>F77-I77</f>
        <v>107653987</v>
      </c>
      <c r="N77" s="206">
        <f>F77-L77</f>
        <v>107653987</v>
      </c>
      <c r="O77" s="67"/>
      <c r="P77" s="204">
        <v>0</v>
      </c>
      <c r="Q77" s="210">
        <v>0</v>
      </c>
      <c r="R77" s="101"/>
      <c r="S77" s="311" t="s">
        <v>177</v>
      </c>
      <c r="T77" s="312" t="s">
        <v>178</v>
      </c>
      <c r="U77" s="268">
        <v>0</v>
      </c>
      <c r="V77" s="220">
        <f t="shared" si="82"/>
        <v>0</v>
      </c>
      <c r="W77" s="220">
        <f t="shared" si="83"/>
        <v>0</v>
      </c>
      <c r="X77" s="269">
        <f t="shared" si="84"/>
        <v>0</v>
      </c>
      <c r="Y77" s="270">
        <v>0</v>
      </c>
      <c r="Z77" s="208">
        <v>0</v>
      </c>
      <c r="AA77" s="269">
        <f t="shared" si="85"/>
        <v>0</v>
      </c>
      <c r="AB77" s="270">
        <v>0</v>
      </c>
      <c r="AC77" s="208"/>
      <c r="AD77" s="271">
        <f t="shared" si="86"/>
        <v>0</v>
      </c>
      <c r="AE77" s="270">
        <v>0</v>
      </c>
      <c r="AF77" s="208"/>
      <c r="AG77" s="269">
        <f t="shared" si="87"/>
        <v>0</v>
      </c>
      <c r="AH77" s="270">
        <f t="shared" si="88"/>
        <v>0</v>
      </c>
      <c r="AI77" s="220">
        <f t="shared" si="89"/>
        <v>0</v>
      </c>
      <c r="AJ77" s="269">
        <f t="shared" si="90"/>
        <v>0</v>
      </c>
      <c r="AK77" s="101"/>
      <c r="AL77" s="204">
        <v>0</v>
      </c>
      <c r="AM77" s="210">
        <v>0</v>
      </c>
    </row>
    <row r="78" spans="1:39" ht="24.75" customHeight="1">
      <c r="A78" s="631" t="s">
        <v>513</v>
      </c>
      <c r="B78" s="319" t="s">
        <v>247</v>
      </c>
      <c r="C78" s="288">
        <f>SUM(C79:C80)</f>
        <v>681131551</v>
      </c>
      <c r="D78" s="320">
        <f>SUM(D79:D80)</f>
        <v>0</v>
      </c>
      <c r="E78" s="320">
        <f>SUM(E79:E80)</f>
        <v>0</v>
      </c>
      <c r="F78" s="320">
        <f>SUM(C78:E78)</f>
        <v>681131551</v>
      </c>
      <c r="G78" s="320">
        <f>SUM(G79:G80)</f>
        <v>0</v>
      </c>
      <c r="H78" s="320">
        <f>SUM(H79:H80)</f>
        <v>60738400</v>
      </c>
      <c r="I78" s="320">
        <f>SUM(G78:H78)</f>
        <v>60738400</v>
      </c>
      <c r="J78" s="320">
        <f>SUM(J79:J80)</f>
        <v>0</v>
      </c>
      <c r="K78" s="320">
        <f>SUM(K79:K80)</f>
        <v>2581600</v>
      </c>
      <c r="L78" s="320">
        <f>SUM(J78:K78)</f>
        <v>2581600</v>
      </c>
      <c r="M78" s="320">
        <f>F78-I78</f>
        <v>620393151</v>
      </c>
      <c r="N78" s="289">
        <f>F78-L78</f>
        <v>678549951</v>
      </c>
      <c r="O78" s="67"/>
      <c r="P78" s="288">
        <f>SUM(P79:P80)</f>
        <v>0</v>
      </c>
      <c r="Q78" s="289">
        <f>SUM(Q79:Q80)</f>
        <v>0</v>
      </c>
      <c r="R78" s="101"/>
      <c r="S78" s="311" t="s">
        <v>183</v>
      </c>
      <c r="T78" s="312"/>
      <c r="U78" s="268">
        <v>0</v>
      </c>
      <c r="V78" s="220">
        <f t="shared" si="82"/>
        <v>0</v>
      </c>
      <c r="W78" s="220">
        <f t="shared" si="83"/>
        <v>0</v>
      </c>
      <c r="X78" s="269">
        <f t="shared" si="84"/>
        <v>0</v>
      </c>
      <c r="Y78" s="270">
        <v>0</v>
      </c>
      <c r="Z78" s="208"/>
      <c r="AA78" s="269">
        <f t="shared" si="85"/>
        <v>0</v>
      </c>
      <c r="AB78" s="270">
        <v>0</v>
      </c>
      <c r="AC78" s="208"/>
      <c r="AD78" s="271">
        <f t="shared" si="86"/>
        <v>0</v>
      </c>
      <c r="AE78" s="270">
        <v>0</v>
      </c>
      <c r="AF78" s="208"/>
      <c r="AG78" s="269">
        <f t="shared" si="87"/>
        <v>0</v>
      </c>
      <c r="AH78" s="270">
        <f t="shared" si="88"/>
        <v>0</v>
      </c>
      <c r="AI78" s="220">
        <f t="shared" si="89"/>
        <v>0</v>
      </c>
      <c r="AJ78" s="269">
        <f t="shared" si="90"/>
        <v>0</v>
      </c>
      <c r="AK78" s="101"/>
      <c r="AL78" s="204">
        <v>0</v>
      </c>
      <c r="AM78" s="210">
        <v>0</v>
      </c>
    </row>
    <row r="79" spans="1:39" ht="24.75" customHeight="1">
      <c r="A79" s="631" t="s">
        <v>513</v>
      </c>
      <c r="B79" s="331" t="str">
        <f>+CONCATENATE("Vigencia ",INSTRUCCIONES!$F$3)</f>
        <v>Vigencia 2025</v>
      </c>
      <c r="C79" s="204">
        <v>531131551</v>
      </c>
      <c r="D79" s="205">
        <f>P79</f>
        <v>0</v>
      </c>
      <c r="E79" s="205">
        <f>Q79</f>
        <v>0</v>
      </c>
      <c r="F79" s="205">
        <f>SUM(C79:E79)</f>
        <v>531131551</v>
      </c>
      <c r="G79" s="205">
        <v>0</v>
      </c>
      <c r="H79" s="208">
        <v>58156800</v>
      </c>
      <c r="I79" s="205">
        <f>SUM(G79:H79)</f>
        <v>58156800</v>
      </c>
      <c r="J79" s="205">
        <v>0</v>
      </c>
      <c r="K79" s="208">
        <v>0</v>
      </c>
      <c r="L79" s="205">
        <f>SUM(J79:K79)</f>
        <v>0</v>
      </c>
      <c r="M79" s="205">
        <f>F79-I79</f>
        <v>472974751</v>
      </c>
      <c r="N79" s="206">
        <f>F79-L79</f>
        <v>531131551</v>
      </c>
      <c r="O79" s="67"/>
      <c r="P79" s="204">
        <v>0</v>
      </c>
      <c r="Q79" s="210">
        <v>0</v>
      </c>
      <c r="R79" s="101"/>
      <c r="S79" s="642" t="s">
        <v>571</v>
      </c>
      <c r="T79" s="312" t="s">
        <v>187</v>
      </c>
      <c r="U79" s="268">
        <v>0</v>
      </c>
      <c r="V79" s="220">
        <f t="shared" si="82"/>
        <v>0</v>
      </c>
      <c r="W79" s="220">
        <f t="shared" si="83"/>
        <v>0</v>
      </c>
      <c r="X79" s="269">
        <f t="shared" si="84"/>
        <v>0</v>
      </c>
      <c r="Y79" s="270">
        <v>0</v>
      </c>
      <c r="Z79" s="208">
        <v>0</v>
      </c>
      <c r="AA79" s="269">
        <f t="shared" si="85"/>
        <v>0</v>
      </c>
      <c r="AB79" s="270">
        <v>0</v>
      </c>
      <c r="AC79" s="208">
        <v>0</v>
      </c>
      <c r="AD79" s="271">
        <f t="shared" si="86"/>
        <v>0</v>
      </c>
      <c r="AE79" s="270">
        <v>0</v>
      </c>
      <c r="AF79" s="208"/>
      <c r="AG79" s="269">
        <f t="shared" si="87"/>
        <v>0</v>
      </c>
      <c r="AH79" s="270">
        <f t="shared" si="88"/>
        <v>0</v>
      </c>
      <c r="AI79" s="220">
        <f t="shared" si="89"/>
        <v>0</v>
      </c>
      <c r="AJ79" s="269">
        <f t="shared" si="90"/>
        <v>0</v>
      </c>
      <c r="AK79" s="101"/>
      <c r="AL79" s="204">
        <v>0</v>
      </c>
      <c r="AM79" s="210">
        <v>0</v>
      </c>
    </row>
    <row r="80" spans="1:39" ht="24.75" customHeight="1">
      <c r="A80" s="631" t="s">
        <v>514</v>
      </c>
      <c r="B80" s="331" t="s">
        <v>161</v>
      </c>
      <c r="C80" s="204">
        <v>150000000</v>
      </c>
      <c r="D80" s="205">
        <f>P80</f>
        <v>0</v>
      </c>
      <c r="E80" s="205">
        <f>Q80</f>
        <v>0</v>
      </c>
      <c r="F80" s="205">
        <f>SUM(C80:E80)</f>
        <v>150000000</v>
      </c>
      <c r="G80" s="205">
        <v>0</v>
      </c>
      <c r="H80" s="208">
        <v>2581600</v>
      </c>
      <c r="I80" s="205">
        <f>SUM(G80:H80)</f>
        <v>2581600</v>
      </c>
      <c r="J80" s="205">
        <v>0</v>
      </c>
      <c r="K80" s="208">
        <v>2581600</v>
      </c>
      <c r="L80" s="205">
        <f>SUM(J80:K80)</f>
        <v>2581600</v>
      </c>
      <c r="M80" s="205">
        <f>F80-I80</f>
        <v>147418400</v>
      </c>
      <c r="N80" s="206">
        <f>F80-L80</f>
        <v>147418400</v>
      </c>
      <c r="O80" s="67"/>
      <c r="P80" s="204">
        <v>0</v>
      </c>
      <c r="Q80" s="210">
        <v>0</v>
      </c>
      <c r="R80" s="101"/>
      <c r="S80" s="642" t="s">
        <v>572</v>
      </c>
      <c r="T80" s="312" t="s">
        <v>545</v>
      </c>
      <c r="U80" s="268">
        <v>0</v>
      </c>
      <c r="V80" s="220">
        <f t="shared" si="82"/>
        <v>0</v>
      </c>
      <c r="W80" s="220">
        <f t="shared" si="83"/>
        <v>0</v>
      </c>
      <c r="X80" s="269">
        <f t="shared" si="84"/>
        <v>0</v>
      </c>
      <c r="Y80" s="270">
        <v>0</v>
      </c>
      <c r="Z80" s="208">
        <v>0</v>
      </c>
      <c r="AA80" s="269">
        <f t="shared" si="85"/>
        <v>0</v>
      </c>
      <c r="AB80" s="270">
        <v>0</v>
      </c>
      <c r="AC80" s="208">
        <v>0</v>
      </c>
      <c r="AD80" s="271">
        <f t="shared" si="86"/>
        <v>0</v>
      </c>
      <c r="AE80" s="270">
        <v>0</v>
      </c>
      <c r="AF80" s="208"/>
      <c r="AG80" s="269">
        <f t="shared" si="87"/>
        <v>0</v>
      </c>
      <c r="AH80" s="270">
        <f t="shared" si="88"/>
        <v>0</v>
      </c>
      <c r="AI80" s="220">
        <f t="shared" si="89"/>
        <v>0</v>
      </c>
      <c r="AJ80" s="269">
        <f t="shared" si="90"/>
        <v>0</v>
      </c>
      <c r="AK80" s="101"/>
      <c r="AL80" s="204">
        <v>0</v>
      </c>
      <c r="AM80" s="210">
        <v>0</v>
      </c>
    </row>
    <row r="81" spans="1:39" ht="24.75" customHeight="1">
      <c r="A81" s="631" t="s">
        <v>515</v>
      </c>
      <c r="B81" s="319" t="s">
        <v>517</v>
      </c>
      <c r="C81" s="217">
        <f>SUM(C82:C83)</f>
        <v>386698320</v>
      </c>
      <c r="D81" s="320">
        <f t="shared" ref="D81:N81" si="93">SUM(D82:D83)</f>
        <v>0</v>
      </c>
      <c r="E81" s="320">
        <f t="shared" si="93"/>
        <v>0</v>
      </c>
      <c r="F81" s="320">
        <f t="shared" si="93"/>
        <v>386698320</v>
      </c>
      <c r="G81" s="320">
        <f t="shared" si="93"/>
        <v>0</v>
      </c>
      <c r="H81" s="320">
        <f t="shared" si="93"/>
        <v>74879411</v>
      </c>
      <c r="I81" s="320">
        <f t="shared" si="93"/>
        <v>74879411</v>
      </c>
      <c r="J81" s="320">
        <f t="shared" si="93"/>
        <v>0</v>
      </c>
      <c r="K81" s="320">
        <f t="shared" si="93"/>
        <v>46457386</v>
      </c>
      <c r="L81" s="320">
        <f t="shared" si="93"/>
        <v>46457386</v>
      </c>
      <c r="M81" s="320">
        <f t="shared" si="93"/>
        <v>311818909</v>
      </c>
      <c r="N81" s="289">
        <f t="shared" si="93"/>
        <v>340240934</v>
      </c>
      <c r="O81" s="67"/>
      <c r="P81" s="288">
        <f>SUM(P82:P83)</f>
        <v>0</v>
      </c>
      <c r="Q81" s="289">
        <f>SUM(Q82:Q83)</f>
        <v>0</v>
      </c>
      <c r="R81" s="101"/>
      <c r="S81" s="633" t="s">
        <v>575</v>
      </c>
      <c r="T81" s="267" t="s">
        <v>726</v>
      </c>
      <c r="U81" s="268">
        <v>0</v>
      </c>
      <c r="V81" s="220">
        <f t="shared" si="82"/>
        <v>0</v>
      </c>
      <c r="W81" s="220">
        <f t="shared" si="83"/>
        <v>0</v>
      </c>
      <c r="X81" s="269">
        <f t="shared" si="84"/>
        <v>0</v>
      </c>
      <c r="Y81" s="270">
        <v>0</v>
      </c>
      <c r="Z81" s="208">
        <v>0</v>
      </c>
      <c r="AA81" s="269">
        <f t="shared" si="85"/>
        <v>0</v>
      </c>
      <c r="AB81" s="270">
        <v>0</v>
      </c>
      <c r="AC81" s="208">
        <v>0</v>
      </c>
      <c r="AD81" s="271">
        <f t="shared" si="86"/>
        <v>0</v>
      </c>
      <c r="AE81" s="270">
        <v>0</v>
      </c>
      <c r="AF81" s="208">
        <v>0</v>
      </c>
      <c r="AG81" s="269">
        <f t="shared" si="87"/>
        <v>0</v>
      </c>
      <c r="AH81" s="270">
        <f t="shared" si="88"/>
        <v>0</v>
      </c>
      <c r="AI81" s="220">
        <f t="shared" si="89"/>
        <v>0</v>
      </c>
      <c r="AJ81" s="269">
        <f t="shared" si="90"/>
        <v>0</v>
      </c>
      <c r="AK81" s="101"/>
      <c r="AL81" s="204">
        <v>0</v>
      </c>
      <c r="AM81" s="210">
        <v>0</v>
      </c>
    </row>
    <row r="82" spans="1:39" ht="24.75" customHeight="1">
      <c r="A82" s="631" t="s">
        <v>515</v>
      </c>
      <c r="B82" s="331" t="str">
        <f>+CONCATENATE("Vigencia ",INSTRUCCIONES!$F$3)</f>
        <v>Vigencia 2025</v>
      </c>
      <c r="C82" s="204">
        <v>376911385</v>
      </c>
      <c r="D82" s="205">
        <f>P82</f>
        <v>0</v>
      </c>
      <c r="E82" s="205">
        <f>Q82</f>
        <v>0</v>
      </c>
      <c r="F82" s="205">
        <f>SUM(C82:E82)</f>
        <v>376911385</v>
      </c>
      <c r="G82" s="205">
        <v>0</v>
      </c>
      <c r="H82" s="208">
        <v>28422025</v>
      </c>
      <c r="I82" s="205">
        <f>SUM(G82:H82)</f>
        <v>28422025</v>
      </c>
      <c r="J82" s="205">
        <v>0</v>
      </c>
      <c r="K82" s="208">
        <v>0</v>
      </c>
      <c r="L82" s="205">
        <f>SUM(J82:K82)</f>
        <v>0</v>
      </c>
      <c r="M82" s="205">
        <f>F82-I82</f>
        <v>348489360</v>
      </c>
      <c r="N82" s="206">
        <f>F82-L82</f>
        <v>376911385</v>
      </c>
      <c r="O82" s="67"/>
      <c r="P82" s="204">
        <v>0</v>
      </c>
      <c r="Q82" s="210">
        <v>0</v>
      </c>
      <c r="R82" s="101"/>
      <c r="S82" s="1136"/>
      <c r="T82" s="190"/>
      <c r="U82" s="191"/>
      <c r="V82" s="191"/>
      <c r="W82" s="191"/>
      <c r="X82" s="192"/>
      <c r="Y82" s="193"/>
      <c r="Z82" s="191"/>
      <c r="AA82" s="192"/>
      <c r="AB82" s="193"/>
      <c r="AC82" s="191"/>
      <c r="AD82" s="191"/>
      <c r="AE82" s="193"/>
      <c r="AF82" s="191"/>
      <c r="AG82" s="192"/>
      <c r="AH82" s="193"/>
      <c r="AI82" s="191"/>
      <c r="AJ82" s="192"/>
      <c r="AK82" s="101"/>
      <c r="AL82" s="370"/>
      <c r="AM82" s="371"/>
    </row>
    <row r="83" spans="1:39" ht="24.75" customHeight="1" thickBot="1">
      <c r="A83" s="631" t="s">
        <v>516</v>
      </c>
      <c r="B83" s="377" t="s">
        <v>161</v>
      </c>
      <c r="C83" s="242">
        <v>9786935</v>
      </c>
      <c r="D83" s="243">
        <f>P83</f>
        <v>0</v>
      </c>
      <c r="E83" s="243">
        <f>Q83</f>
        <v>0</v>
      </c>
      <c r="F83" s="243">
        <f>SUM(C83:E83)</f>
        <v>9786935</v>
      </c>
      <c r="G83" s="243">
        <v>0</v>
      </c>
      <c r="H83" s="208">
        <v>46457386</v>
      </c>
      <c r="I83" s="243">
        <f>SUM(G83:H83)</f>
        <v>46457386</v>
      </c>
      <c r="J83" s="243">
        <v>0</v>
      </c>
      <c r="K83" s="208">
        <v>46457386</v>
      </c>
      <c r="L83" s="243">
        <f>SUM(J83:K83)</f>
        <v>46457386</v>
      </c>
      <c r="M83" s="243">
        <f>F83-I83</f>
        <v>-36670451</v>
      </c>
      <c r="N83" s="244">
        <f>F83-L83</f>
        <v>-36670451</v>
      </c>
      <c r="O83" s="67"/>
      <c r="P83" s="204">
        <v>0</v>
      </c>
      <c r="Q83" s="210">
        <v>0</v>
      </c>
      <c r="R83" s="101"/>
      <c r="S83" s="1137">
        <v>1020200</v>
      </c>
      <c r="T83" s="1134" t="s">
        <v>163</v>
      </c>
      <c r="U83" s="230">
        <f t="shared" ref="U83:AJ83" si="94">SUM(U84:U88)</f>
        <v>64518803470</v>
      </c>
      <c r="V83" s="231">
        <f t="shared" si="94"/>
        <v>0</v>
      </c>
      <c r="W83" s="231">
        <f t="shared" si="94"/>
        <v>0</v>
      </c>
      <c r="X83" s="232">
        <f t="shared" si="94"/>
        <v>64518803470</v>
      </c>
      <c r="Y83" s="233">
        <f t="shared" si="94"/>
        <v>0</v>
      </c>
      <c r="Z83" s="231">
        <f t="shared" si="94"/>
        <v>35340822865</v>
      </c>
      <c r="AA83" s="232">
        <f t="shared" si="94"/>
        <v>35340822865</v>
      </c>
      <c r="AB83" s="233">
        <f t="shared" si="94"/>
        <v>0</v>
      </c>
      <c r="AC83" s="231">
        <f t="shared" si="94"/>
        <v>9644744534</v>
      </c>
      <c r="AD83" s="234">
        <f t="shared" si="94"/>
        <v>9644744534</v>
      </c>
      <c r="AE83" s="233">
        <f t="shared" si="94"/>
        <v>0</v>
      </c>
      <c r="AF83" s="231">
        <f t="shared" si="94"/>
        <v>5027142785</v>
      </c>
      <c r="AG83" s="232">
        <f t="shared" si="94"/>
        <v>5027142785</v>
      </c>
      <c r="AH83" s="233">
        <f t="shared" si="94"/>
        <v>29177980605</v>
      </c>
      <c r="AI83" s="231">
        <f t="shared" si="94"/>
        <v>54874058936</v>
      </c>
      <c r="AJ83" s="232">
        <f t="shared" si="94"/>
        <v>59491660685</v>
      </c>
      <c r="AK83" s="101"/>
      <c r="AL83" s="233">
        <f>SUM(AL84:AL88)</f>
        <v>0</v>
      </c>
      <c r="AM83" s="232"/>
    </row>
    <row r="84" spans="1:39" ht="24.75" customHeight="1" thickBot="1">
      <c r="A84" s="378"/>
      <c r="B84" s="379"/>
      <c r="C84" s="67"/>
      <c r="D84" s="67"/>
      <c r="E84" s="67"/>
      <c r="F84" s="67"/>
      <c r="G84" s="67"/>
      <c r="H84" s="67"/>
      <c r="I84" s="67"/>
      <c r="J84" s="67"/>
      <c r="K84" s="67"/>
      <c r="L84" s="67"/>
      <c r="M84" s="67"/>
      <c r="N84" s="283"/>
      <c r="O84" s="369"/>
      <c r="P84" s="380"/>
      <c r="Q84" s="254"/>
      <c r="R84" s="101"/>
      <c r="S84" s="1138" t="s">
        <v>573</v>
      </c>
      <c r="T84" s="634" t="s">
        <v>574</v>
      </c>
      <c r="U84" s="268">
        <v>55683487770</v>
      </c>
      <c r="V84" s="220">
        <f t="shared" ref="V84:W88" si="95">AL84</f>
        <v>0</v>
      </c>
      <c r="W84" s="220">
        <f t="shared" si="95"/>
        <v>0</v>
      </c>
      <c r="X84" s="269">
        <f>SUM(U84:W84)</f>
        <v>55683487770</v>
      </c>
      <c r="Y84" s="270">
        <v>0</v>
      </c>
      <c r="Z84" s="208">
        <v>30313680080</v>
      </c>
      <c r="AA84" s="269">
        <f>SUM(Y84:Z84)</f>
        <v>30313680080</v>
      </c>
      <c r="AB84" s="270">
        <v>0</v>
      </c>
      <c r="AC84" s="208">
        <v>4617601749</v>
      </c>
      <c r="AD84" s="271">
        <f>SUM(AB84:AC84)</f>
        <v>4617601749</v>
      </c>
      <c r="AE84" s="270">
        <v>0</v>
      </c>
      <c r="AF84" s="208">
        <v>0</v>
      </c>
      <c r="AG84" s="269">
        <f>SUM(AE84:AF84)</f>
        <v>0</v>
      </c>
      <c r="AH84" s="270">
        <f>X84-AA84</f>
        <v>25369807690</v>
      </c>
      <c r="AI84" s="220">
        <f>X84-AD84</f>
        <v>51065886021</v>
      </c>
      <c r="AJ84" s="269">
        <f>X84-AG84</f>
        <v>55683487770</v>
      </c>
      <c r="AK84" s="101"/>
      <c r="AL84" s="204">
        <v>0</v>
      </c>
      <c r="AM84" s="210">
        <v>0</v>
      </c>
    </row>
    <row r="85" spans="1:39" ht="24.75" customHeight="1">
      <c r="A85" s="631" t="s">
        <v>518</v>
      </c>
      <c r="B85" s="1149" t="s">
        <v>248</v>
      </c>
      <c r="C85" s="1147">
        <f t="shared" ref="C85:N85" si="96">SUM(C86:C92)</f>
        <v>0</v>
      </c>
      <c r="D85" s="383">
        <f t="shared" si="96"/>
        <v>0</v>
      </c>
      <c r="E85" s="384">
        <f t="shared" si="96"/>
        <v>6401468507</v>
      </c>
      <c r="F85" s="384">
        <f t="shared" si="96"/>
        <v>6401468507</v>
      </c>
      <c r="G85" s="384">
        <f t="shared" si="96"/>
        <v>0</v>
      </c>
      <c r="H85" s="384">
        <f t="shared" si="96"/>
        <v>2215160000</v>
      </c>
      <c r="I85" s="384">
        <f t="shared" si="96"/>
        <v>2215160000</v>
      </c>
      <c r="J85" s="384">
        <f t="shared" si="96"/>
        <v>0</v>
      </c>
      <c r="K85" s="384">
        <f t="shared" si="96"/>
        <v>0</v>
      </c>
      <c r="L85" s="384">
        <f t="shared" si="96"/>
        <v>0</v>
      </c>
      <c r="M85" s="384">
        <f t="shared" si="96"/>
        <v>4186308507</v>
      </c>
      <c r="N85" s="385">
        <f t="shared" si="96"/>
        <v>6401468507</v>
      </c>
      <c r="O85" s="67"/>
      <c r="P85" s="288">
        <f>SUM(P86:P92)</f>
        <v>0</v>
      </c>
      <c r="Q85" s="289">
        <f>SUM(Q86:Q92)</f>
        <v>6401468507</v>
      </c>
      <c r="R85" s="101"/>
      <c r="S85" s="1055" t="s">
        <v>249</v>
      </c>
      <c r="T85" s="1135" t="s">
        <v>208</v>
      </c>
      <c r="U85" s="268">
        <v>0</v>
      </c>
      <c r="V85" s="220">
        <f t="shared" si="95"/>
        <v>0</v>
      </c>
      <c r="W85" s="220">
        <f t="shared" si="95"/>
        <v>0</v>
      </c>
      <c r="X85" s="269">
        <f>SUM(U85:W85)</f>
        <v>0</v>
      </c>
      <c r="Y85" s="270">
        <v>0</v>
      </c>
      <c r="Z85" s="208">
        <v>0</v>
      </c>
      <c r="AA85" s="269">
        <f>SUM(Y85:Z85)</f>
        <v>0</v>
      </c>
      <c r="AB85" s="270">
        <v>0</v>
      </c>
      <c r="AC85" s="208">
        <v>0</v>
      </c>
      <c r="AD85" s="271">
        <f>SUM(AB85:AC85)</f>
        <v>0</v>
      </c>
      <c r="AE85" s="270">
        <v>0</v>
      </c>
      <c r="AF85" s="208">
        <v>0</v>
      </c>
      <c r="AG85" s="269">
        <f>SUM(AE85:AF85)</f>
        <v>0</v>
      </c>
      <c r="AH85" s="270">
        <f>X85-AA85</f>
        <v>0</v>
      </c>
      <c r="AI85" s="220">
        <f>X85-AD85</f>
        <v>0</v>
      </c>
      <c r="AJ85" s="269">
        <f>X85-AG85</f>
        <v>0</v>
      </c>
      <c r="AK85" s="101"/>
      <c r="AL85" s="204">
        <v>0</v>
      </c>
      <c r="AM85" s="210">
        <v>0</v>
      </c>
    </row>
    <row r="86" spans="1:39" ht="24.75" customHeight="1">
      <c r="A86" s="633" t="s">
        <v>676</v>
      </c>
      <c r="B86" s="1150" t="s">
        <v>250</v>
      </c>
      <c r="C86" s="1112">
        <v>0</v>
      </c>
      <c r="D86" s="696">
        <f t="shared" ref="D86:E92" si="97">P86</f>
        <v>0</v>
      </c>
      <c r="E86" s="205">
        <f t="shared" si="97"/>
        <v>0</v>
      </c>
      <c r="F86" s="205">
        <f t="shared" ref="F86:F92" si="98">SUM(C86:E86)</f>
        <v>0</v>
      </c>
      <c r="G86" s="205">
        <v>0</v>
      </c>
      <c r="H86" s="208">
        <v>0</v>
      </c>
      <c r="I86" s="205">
        <f t="shared" ref="I86:I92" si="99">SUM(G86:H86)</f>
        <v>0</v>
      </c>
      <c r="J86" s="205">
        <v>0</v>
      </c>
      <c r="K86" s="208">
        <v>0</v>
      </c>
      <c r="L86" s="205">
        <f t="shared" ref="L86:L92" si="100">SUM(J86:K86)</f>
        <v>0</v>
      </c>
      <c r="M86" s="205">
        <f t="shared" ref="M86:M92" si="101">F86-I86</f>
        <v>0</v>
      </c>
      <c r="N86" s="206">
        <f t="shared" ref="N86:N92" si="102">F86-L86</f>
        <v>0</v>
      </c>
      <c r="O86" s="67"/>
      <c r="P86" s="204">
        <v>0</v>
      </c>
      <c r="Q86" s="210">
        <v>0</v>
      </c>
      <c r="R86" s="101"/>
      <c r="S86" s="1055" t="s">
        <v>251</v>
      </c>
      <c r="T86" s="1135" t="s">
        <v>215</v>
      </c>
      <c r="U86" s="268">
        <v>0</v>
      </c>
      <c r="V86" s="220">
        <f t="shared" si="95"/>
        <v>0</v>
      </c>
      <c r="W86" s="220">
        <f t="shared" si="95"/>
        <v>0</v>
      </c>
      <c r="X86" s="269">
        <f>SUM(U86:W86)</f>
        <v>0</v>
      </c>
      <c r="Y86" s="270">
        <v>0</v>
      </c>
      <c r="Z86" s="208">
        <v>0</v>
      </c>
      <c r="AA86" s="269">
        <f>SUM(Y86:Z86)</f>
        <v>0</v>
      </c>
      <c r="AB86" s="270">
        <v>0</v>
      </c>
      <c r="AC86" s="208">
        <v>0</v>
      </c>
      <c r="AD86" s="271">
        <f>SUM(AB86:AC86)</f>
        <v>0</v>
      </c>
      <c r="AE86" s="270">
        <v>0</v>
      </c>
      <c r="AF86" s="208">
        <v>0</v>
      </c>
      <c r="AG86" s="269">
        <f>SUM(AE86:AF86)</f>
        <v>0</v>
      </c>
      <c r="AH86" s="270">
        <f>X86-AA86</f>
        <v>0</v>
      </c>
      <c r="AI86" s="220">
        <f>X86-AD86</f>
        <v>0</v>
      </c>
      <c r="AJ86" s="269">
        <f>X86-AG86</f>
        <v>0</v>
      </c>
      <c r="AK86" s="101"/>
      <c r="AL86" s="204">
        <v>0</v>
      </c>
      <c r="AM86" s="210"/>
    </row>
    <row r="87" spans="1:39" ht="24.75" customHeight="1">
      <c r="A87" s="386">
        <v>1130202</v>
      </c>
      <c r="B87" s="1150"/>
      <c r="C87" s="1112">
        <v>0</v>
      </c>
      <c r="D87" s="696">
        <f t="shared" si="97"/>
        <v>0</v>
      </c>
      <c r="E87" s="205">
        <f t="shared" si="97"/>
        <v>0</v>
      </c>
      <c r="F87" s="205">
        <f t="shared" si="98"/>
        <v>0</v>
      </c>
      <c r="G87" s="205">
        <v>0</v>
      </c>
      <c r="H87" s="208">
        <v>0</v>
      </c>
      <c r="I87" s="205">
        <f t="shared" si="99"/>
        <v>0</v>
      </c>
      <c r="J87" s="205">
        <v>0</v>
      </c>
      <c r="K87" s="208">
        <v>0</v>
      </c>
      <c r="L87" s="205">
        <f t="shared" si="100"/>
        <v>0</v>
      </c>
      <c r="M87" s="205">
        <f t="shared" si="101"/>
        <v>0</v>
      </c>
      <c r="N87" s="206">
        <f t="shared" si="102"/>
        <v>0</v>
      </c>
      <c r="O87" s="67"/>
      <c r="P87" s="204">
        <v>0</v>
      </c>
      <c r="Q87" s="210">
        <v>0</v>
      </c>
      <c r="R87" s="101"/>
      <c r="S87" s="1055" t="s">
        <v>666</v>
      </c>
      <c r="T87" s="1135" t="s">
        <v>215</v>
      </c>
      <c r="U87" s="268">
        <v>0</v>
      </c>
      <c r="V87" s="220">
        <f t="shared" si="95"/>
        <v>0</v>
      </c>
      <c r="W87" s="220">
        <f t="shared" si="95"/>
        <v>0</v>
      </c>
      <c r="X87" s="269">
        <f>SUM(U87:W87)</f>
        <v>0</v>
      </c>
      <c r="Y87" s="270">
        <v>0</v>
      </c>
      <c r="Z87" s="208">
        <v>0</v>
      </c>
      <c r="AA87" s="269">
        <f>SUM(Y87:Z87)</f>
        <v>0</v>
      </c>
      <c r="AB87" s="270">
        <v>0</v>
      </c>
      <c r="AC87" s="208">
        <v>0</v>
      </c>
      <c r="AD87" s="271">
        <f>SUM(AB87:AC87)</f>
        <v>0</v>
      </c>
      <c r="AE87" s="270">
        <v>0</v>
      </c>
      <c r="AF87" s="208">
        <v>0</v>
      </c>
      <c r="AG87" s="269">
        <f>SUM(AE87:AF87)</f>
        <v>0</v>
      </c>
      <c r="AH87" s="270">
        <f>X87-AA87</f>
        <v>0</v>
      </c>
      <c r="AI87" s="220">
        <f>X87-AD87</f>
        <v>0</v>
      </c>
      <c r="AJ87" s="269">
        <f>X87-AG87</f>
        <v>0</v>
      </c>
      <c r="AK87" s="101"/>
      <c r="AL87" s="204">
        <v>0</v>
      </c>
      <c r="AM87" s="210">
        <v>0</v>
      </c>
    </row>
    <row r="88" spans="1:39" ht="32.25" customHeight="1">
      <c r="A88" s="633" t="s">
        <v>676</v>
      </c>
      <c r="B88" s="331" t="s">
        <v>677</v>
      </c>
      <c r="C88" s="1112">
        <v>0</v>
      </c>
      <c r="D88" s="696">
        <f t="shared" si="97"/>
        <v>0</v>
      </c>
      <c r="E88" s="205">
        <f t="shared" si="97"/>
        <v>1684010668</v>
      </c>
      <c r="F88" s="205">
        <f t="shared" si="98"/>
        <v>1684010668</v>
      </c>
      <c r="G88" s="205">
        <v>0</v>
      </c>
      <c r="H88" s="208">
        <v>0</v>
      </c>
      <c r="I88" s="205">
        <f t="shared" si="99"/>
        <v>0</v>
      </c>
      <c r="J88" s="205">
        <v>0</v>
      </c>
      <c r="K88" s="208"/>
      <c r="L88" s="205">
        <f t="shared" si="100"/>
        <v>0</v>
      </c>
      <c r="M88" s="205">
        <f t="shared" si="101"/>
        <v>1684010668</v>
      </c>
      <c r="N88" s="206">
        <f t="shared" si="102"/>
        <v>1684010668</v>
      </c>
      <c r="O88" s="67"/>
      <c r="P88" s="204">
        <v>0</v>
      </c>
      <c r="Q88" s="210">
        <v>1684010668</v>
      </c>
      <c r="R88" s="101"/>
      <c r="S88" s="1138" t="s">
        <v>727</v>
      </c>
      <c r="T88" s="1135" t="s">
        <v>667</v>
      </c>
      <c r="U88" s="723">
        <v>8835315700</v>
      </c>
      <c r="V88" s="220">
        <f t="shared" si="95"/>
        <v>0</v>
      </c>
      <c r="W88" s="220">
        <f t="shared" si="95"/>
        <v>0</v>
      </c>
      <c r="X88" s="269">
        <f>SUM(U88:W88)</f>
        <v>8835315700</v>
      </c>
      <c r="Y88" s="270">
        <v>0</v>
      </c>
      <c r="Z88" s="208">
        <v>5027142785</v>
      </c>
      <c r="AA88" s="269">
        <f>SUM(Y88:Z88)</f>
        <v>5027142785</v>
      </c>
      <c r="AB88" s="270">
        <v>0</v>
      </c>
      <c r="AC88" s="208">
        <v>5027142785</v>
      </c>
      <c r="AD88" s="271">
        <f>SUM(AB88:AC88)</f>
        <v>5027142785</v>
      </c>
      <c r="AE88" s="270">
        <v>0</v>
      </c>
      <c r="AF88" s="208">
        <v>5027142785</v>
      </c>
      <c r="AG88" s="269">
        <f>SUM(AE88:AF88)</f>
        <v>5027142785</v>
      </c>
      <c r="AH88" s="270">
        <f>X88-AA88</f>
        <v>3808172915</v>
      </c>
      <c r="AI88" s="220">
        <f>X88-AD88</f>
        <v>3808172915</v>
      </c>
      <c r="AJ88" s="269">
        <f>X88-AG88</f>
        <v>3808172915</v>
      </c>
      <c r="AK88" s="101"/>
      <c r="AL88" s="204">
        <v>0</v>
      </c>
      <c r="AM88" s="210"/>
    </row>
    <row r="89" spans="1:39" ht="28.5" customHeight="1">
      <c r="A89" s="633" t="s">
        <v>519</v>
      </c>
      <c r="B89" s="331" t="s">
        <v>252</v>
      </c>
      <c r="C89" s="1112">
        <v>0</v>
      </c>
      <c r="D89" s="696">
        <f t="shared" si="97"/>
        <v>0</v>
      </c>
      <c r="E89" s="205">
        <f t="shared" si="97"/>
        <v>2520457839</v>
      </c>
      <c r="F89" s="205">
        <f t="shared" si="98"/>
        <v>2520457839</v>
      </c>
      <c r="G89" s="205">
        <v>0</v>
      </c>
      <c r="H89" s="208">
        <v>0</v>
      </c>
      <c r="I89" s="205">
        <f t="shared" si="99"/>
        <v>0</v>
      </c>
      <c r="J89" s="205">
        <v>0</v>
      </c>
      <c r="K89" s="208">
        <v>0</v>
      </c>
      <c r="L89" s="205">
        <f t="shared" si="100"/>
        <v>0</v>
      </c>
      <c r="M89" s="205">
        <f t="shared" si="101"/>
        <v>2520457839</v>
      </c>
      <c r="N89" s="206">
        <f t="shared" si="102"/>
        <v>2520457839</v>
      </c>
      <c r="O89" s="67"/>
      <c r="P89" s="204">
        <v>0</v>
      </c>
      <c r="Q89" s="210">
        <v>2520457839</v>
      </c>
      <c r="R89" s="101"/>
      <c r="S89" s="1051"/>
      <c r="T89" s="190"/>
      <c r="U89" s="191"/>
      <c r="V89" s="191"/>
      <c r="W89" s="191"/>
      <c r="X89" s="192"/>
      <c r="Y89" s="193"/>
      <c r="Z89" s="191"/>
      <c r="AA89" s="192"/>
      <c r="AB89" s="193"/>
      <c r="AC89" s="191"/>
      <c r="AD89" s="191"/>
      <c r="AE89" s="193"/>
      <c r="AF89" s="191"/>
      <c r="AG89" s="192"/>
      <c r="AH89" s="193"/>
      <c r="AI89" s="191"/>
      <c r="AJ89" s="192"/>
      <c r="AK89" s="101"/>
      <c r="AL89" s="370"/>
      <c r="AM89" s="371"/>
    </row>
    <row r="90" spans="1:39" ht="30.75" customHeight="1">
      <c r="A90" s="633" t="s">
        <v>780</v>
      </c>
      <c r="B90" s="331" t="s">
        <v>775</v>
      </c>
      <c r="C90" s="1112">
        <v>0</v>
      </c>
      <c r="D90" s="696">
        <f t="shared" si="97"/>
        <v>0</v>
      </c>
      <c r="E90" s="205">
        <f t="shared" si="97"/>
        <v>2197000000</v>
      </c>
      <c r="F90" s="205">
        <f t="shared" si="98"/>
        <v>2197000000</v>
      </c>
      <c r="G90" s="205">
        <v>0</v>
      </c>
      <c r="H90" s="208">
        <v>2215160000</v>
      </c>
      <c r="I90" s="205">
        <f>SUM(G90:H90)</f>
        <v>2215160000</v>
      </c>
      <c r="J90" s="205">
        <v>0</v>
      </c>
      <c r="K90" s="208">
        <v>0</v>
      </c>
      <c r="L90" s="205">
        <f t="shared" si="100"/>
        <v>0</v>
      </c>
      <c r="M90" s="205">
        <f t="shared" si="101"/>
        <v>-18160000</v>
      </c>
      <c r="N90" s="206">
        <f t="shared" si="102"/>
        <v>2197000000</v>
      </c>
      <c r="O90" s="67"/>
      <c r="P90" s="204">
        <v>0</v>
      </c>
      <c r="Q90" s="210">
        <v>2197000000</v>
      </c>
      <c r="R90" s="389"/>
      <c r="S90" s="257">
        <v>1020300</v>
      </c>
      <c r="T90" s="258" t="s">
        <v>221</v>
      </c>
      <c r="U90" s="230">
        <f t="shared" ref="U90:AJ90" si="103">U91+U96+U102</f>
        <v>0</v>
      </c>
      <c r="V90" s="231">
        <f t="shared" si="103"/>
        <v>0</v>
      </c>
      <c r="W90" s="231">
        <f t="shared" si="103"/>
        <v>0</v>
      </c>
      <c r="X90" s="232">
        <f t="shared" si="103"/>
        <v>0</v>
      </c>
      <c r="Y90" s="233">
        <f t="shared" si="103"/>
        <v>0</v>
      </c>
      <c r="Z90" s="231">
        <f t="shared" si="103"/>
        <v>0</v>
      </c>
      <c r="AA90" s="232">
        <f t="shared" si="103"/>
        <v>0</v>
      </c>
      <c r="AB90" s="233">
        <f t="shared" si="103"/>
        <v>0</v>
      </c>
      <c r="AC90" s="231">
        <f t="shared" si="103"/>
        <v>0</v>
      </c>
      <c r="AD90" s="234">
        <f t="shared" si="103"/>
        <v>0</v>
      </c>
      <c r="AE90" s="233">
        <f t="shared" si="103"/>
        <v>0</v>
      </c>
      <c r="AF90" s="231">
        <f t="shared" si="103"/>
        <v>0</v>
      </c>
      <c r="AG90" s="232">
        <f t="shared" si="103"/>
        <v>0</v>
      </c>
      <c r="AH90" s="233">
        <f t="shared" si="103"/>
        <v>0</v>
      </c>
      <c r="AI90" s="231">
        <f t="shared" si="103"/>
        <v>0</v>
      </c>
      <c r="AJ90" s="232">
        <f t="shared" si="103"/>
        <v>0</v>
      </c>
      <c r="AK90" s="101"/>
      <c r="AL90" s="233">
        <f>AL91+AL96+AL102</f>
        <v>0</v>
      </c>
      <c r="AM90" s="232"/>
    </row>
    <row r="91" spans="1:39" ht="32.25" customHeight="1">
      <c r="A91" s="386">
        <v>1130206</v>
      </c>
      <c r="B91" s="331" t="s">
        <v>253</v>
      </c>
      <c r="C91" s="1112">
        <v>0</v>
      </c>
      <c r="D91" s="696">
        <f t="shared" si="97"/>
        <v>0</v>
      </c>
      <c r="E91" s="205">
        <f t="shared" si="97"/>
        <v>0</v>
      </c>
      <c r="F91" s="205">
        <f t="shared" si="98"/>
        <v>0</v>
      </c>
      <c r="G91" s="205">
        <v>0</v>
      </c>
      <c r="H91" s="208">
        <v>0</v>
      </c>
      <c r="I91" s="205">
        <f t="shared" si="99"/>
        <v>0</v>
      </c>
      <c r="J91" s="205">
        <v>0</v>
      </c>
      <c r="K91" s="208">
        <v>0</v>
      </c>
      <c r="L91" s="205">
        <f t="shared" si="100"/>
        <v>0</v>
      </c>
      <c r="M91" s="205">
        <f t="shared" si="101"/>
        <v>0</v>
      </c>
      <c r="N91" s="206">
        <f t="shared" si="102"/>
        <v>0</v>
      </c>
      <c r="O91" s="67"/>
      <c r="P91" s="204">
        <v>0</v>
      </c>
      <c r="Q91" s="210">
        <v>0</v>
      </c>
      <c r="R91" s="389"/>
      <c r="S91" s="266">
        <v>1020301</v>
      </c>
      <c r="T91" s="267" t="s">
        <v>222</v>
      </c>
      <c r="U91" s="373">
        <f t="shared" ref="U91:AJ91" si="104">SUM(U92:U95)</f>
        <v>0</v>
      </c>
      <c r="V91" s="374">
        <f t="shared" si="104"/>
        <v>0</v>
      </c>
      <c r="W91" s="374">
        <f t="shared" si="104"/>
        <v>0</v>
      </c>
      <c r="X91" s="302">
        <f t="shared" si="104"/>
        <v>0</v>
      </c>
      <c r="Y91" s="301">
        <f t="shared" si="104"/>
        <v>0</v>
      </c>
      <c r="Z91" s="374">
        <f t="shared" si="104"/>
        <v>0</v>
      </c>
      <c r="AA91" s="302">
        <f t="shared" si="104"/>
        <v>0</v>
      </c>
      <c r="AB91" s="301">
        <f t="shared" si="104"/>
        <v>0</v>
      </c>
      <c r="AC91" s="374">
        <f t="shared" si="104"/>
        <v>0</v>
      </c>
      <c r="AD91" s="375">
        <f t="shared" si="104"/>
        <v>0</v>
      </c>
      <c r="AE91" s="301">
        <f t="shared" si="104"/>
        <v>0</v>
      </c>
      <c r="AF91" s="374">
        <f t="shared" si="104"/>
        <v>0</v>
      </c>
      <c r="AG91" s="302">
        <f t="shared" si="104"/>
        <v>0</v>
      </c>
      <c r="AH91" s="270">
        <f t="shared" si="104"/>
        <v>0</v>
      </c>
      <c r="AI91" s="220">
        <f t="shared" si="104"/>
        <v>0</v>
      </c>
      <c r="AJ91" s="269">
        <f t="shared" si="104"/>
        <v>0</v>
      </c>
      <c r="AK91" s="101"/>
      <c r="AL91" s="301">
        <f>SUM(AL92:AL95)</f>
        <v>0</v>
      </c>
      <c r="AM91" s="302">
        <f>SUM(AM92:AM95)</f>
        <v>0</v>
      </c>
    </row>
    <row r="92" spans="1:39" ht="24.75" customHeight="1">
      <c r="A92" s="633" t="s">
        <v>670</v>
      </c>
      <c r="B92" s="634" t="s">
        <v>671</v>
      </c>
      <c r="C92" s="1148">
        <v>0</v>
      </c>
      <c r="D92" s="432">
        <f t="shared" si="97"/>
        <v>0</v>
      </c>
      <c r="E92" s="243">
        <f t="shared" si="97"/>
        <v>0</v>
      </c>
      <c r="F92" s="243">
        <f t="shared" si="98"/>
        <v>0</v>
      </c>
      <c r="G92" s="243">
        <v>0</v>
      </c>
      <c r="H92" s="246">
        <v>0</v>
      </c>
      <c r="I92" s="243">
        <f t="shared" si="99"/>
        <v>0</v>
      </c>
      <c r="J92" s="243">
        <v>0</v>
      </c>
      <c r="K92" s="246">
        <v>0</v>
      </c>
      <c r="L92" s="243">
        <f t="shared" si="100"/>
        <v>0</v>
      </c>
      <c r="M92" s="243">
        <f t="shared" si="101"/>
        <v>0</v>
      </c>
      <c r="N92" s="244">
        <f t="shared" si="102"/>
        <v>0</v>
      </c>
      <c r="O92" s="67"/>
      <c r="P92" s="204">
        <v>0</v>
      </c>
      <c r="Q92" s="210">
        <v>0</v>
      </c>
      <c r="R92" s="389"/>
      <c r="S92" s="311" t="s">
        <v>254</v>
      </c>
      <c r="T92" s="312" t="s">
        <v>224</v>
      </c>
      <c r="U92" s="268">
        <v>0</v>
      </c>
      <c r="V92" s="220">
        <f t="shared" ref="V92:W95" si="105">AL92</f>
        <v>0</v>
      </c>
      <c r="W92" s="220">
        <f t="shared" si="105"/>
        <v>0</v>
      </c>
      <c r="X92" s="269">
        <f>SUM(U92:W92)</f>
        <v>0</v>
      </c>
      <c r="Y92" s="270">
        <v>0</v>
      </c>
      <c r="Z92" s="208">
        <v>0</v>
      </c>
      <c r="AA92" s="269">
        <f>SUM(Y92:Z92)</f>
        <v>0</v>
      </c>
      <c r="AB92" s="270">
        <v>0</v>
      </c>
      <c r="AC92" s="208">
        <v>0</v>
      </c>
      <c r="AD92" s="271">
        <f>SUM(AB92:AC92)</f>
        <v>0</v>
      </c>
      <c r="AE92" s="270">
        <v>0</v>
      </c>
      <c r="AF92" s="208">
        <v>0</v>
      </c>
      <c r="AG92" s="269">
        <f>SUM(AE92:AF92)</f>
        <v>0</v>
      </c>
      <c r="AH92" s="270">
        <f>X92-AA92</f>
        <v>0</v>
      </c>
      <c r="AI92" s="220">
        <f>X92-AD92</f>
        <v>0</v>
      </c>
      <c r="AJ92" s="269">
        <f>X92-AG92</f>
        <v>0</v>
      </c>
      <c r="AK92" s="101"/>
      <c r="AL92" s="204">
        <v>0</v>
      </c>
      <c r="AM92" s="210">
        <v>0</v>
      </c>
    </row>
    <row r="93" spans="1:39" ht="24.75" customHeight="1">
      <c r="A93" s="378"/>
      <c r="B93" s="379"/>
      <c r="C93" s="67"/>
      <c r="D93" s="67"/>
      <c r="E93" s="67"/>
      <c r="F93" s="67"/>
      <c r="G93" s="67"/>
      <c r="H93" s="67"/>
      <c r="I93" s="67"/>
      <c r="J93" s="67"/>
      <c r="K93" s="67"/>
      <c r="L93" s="67"/>
      <c r="M93" s="67"/>
      <c r="N93" s="283"/>
      <c r="O93" s="369"/>
      <c r="P93" s="380"/>
      <c r="Q93" s="254"/>
      <c r="R93" s="389"/>
      <c r="S93" s="311" t="s">
        <v>255</v>
      </c>
      <c r="T93" s="312" t="s">
        <v>226</v>
      </c>
      <c r="U93" s="268">
        <v>0</v>
      </c>
      <c r="V93" s="220">
        <f t="shared" si="105"/>
        <v>0</v>
      </c>
      <c r="W93" s="220">
        <f t="shared" si="105"/>
        <v>0</v>
      </c>
      <c r="X93" s="269">
        <f>SUM(U93:W93)</f>
        <v>0</v>
      </c>
      <c r="Y93" s="270">
        <v>0</v>
      </c>
      <c r="Z93" s="208">
        <v>0</v>
      </c>
      <c r="AA93" s="269">
        <f>SUM(Y93:Z93)</f>
        <v>0</v>
      </c>
      <c r="AB93" s="270">
        <v>0</v>
      </c>
      <c r="AC93" s="208">
        <v>0</v>
      </c>
      <c r="AD93" s="271">
        <f>SUM(AB93:AC93)</f>
        <v>0</v>
      </c>
      <c r="AE93" s="270">
        <v>0</v>
      </c>
      <c r="AF93" s="208">
        <v>0</v>
      </c>
      <c r="AG93" s="269">
        <f>SUM(AE93:AF93)</f>
        <v>0</v>
      </c>
      <c r="AH93" s="270">
        <f>X93-AA93</f>
        <v>0</v>
      </c>
      <c r="AI93" s="220">
        <f>X93-AD93</f>
        <v>0</v>
      </c>
      <c r="AJ93" s="269">
        <f>X93-AG93</f>
        <v>0</v>
      </c>
      <c r="AK93" s="101"/>
      <c r="AL93" s="204">
        <v>0</v>
      </c>
      <c r="AM93" s="210">
        <v>0</v>
      </c>
    </row>
    <row r="94" spans="1:39" ht="39.75" customHeight="1">
      <c r="A94" s="632" t="s">
        <v>520</v>
      </c>
      <c r="B94" s="1142" t="s">
        <v>256</v>
      </c>
      <c r="C94" s="1147">
        <f t="shared" ref="C94:N94" si="106">SUM(C95:C102)</f>
        <v>650000000</v>
      </c>
      <c r="D94" s="383">
        <f t="shared" si="106"/>
        <v>0</v>
      </c>
      <c r="E94" s="384">
        <f t="shared" si="106"/>
        <v>0</v>
      </c>
      <c r="F94" s="384">
        <f t="shared" si="106"/>
        <v>650000000</v>
      </c>
      <c r="G94" s="384">
        <f t="shared" si="106"/>
        <v>0</v>
      </c>
      <c r="H94" s="384">
        <f t="shared" si="106"/>
        <v>0</v>
      </c>
      <c r="I94" s="384">
        <f t="shared" si="106"/>
        <v>0</v>
      </c>
      <c r="J94" s="384">
        <f t="shared" si="106"/>
        <v>0</v>
      </c>
      <c r="K94" s="384">
        <f t="shared" si="106"/>
        <v>0</v>
      </c>
      <c r="L94" s="384">
        <f t="shared" si="106"/>
        <v>0</v>
      </c>
      <c r="M94" s="384">
        <f t="shared" si="106"/>
        <v>650000000</v>
      </c>
      <c r="N94" s="385">
        <f t="shared" si="106"/>
        <v>650000000</v>
      </c>
      <c r="O94" s="67"/>
      <c r="P94" s="288">
        <f>SUM(P95:P102)</f>
        <v>0</v>
      </c>
      <c r="Q94" s="289">
        <f>SUM(Q95:Q102)</f>
        <v>0</v>
      </c>
      <c r="R94" s="389"/>
      <c r="S94" s="311" t="s">
        <v>257</v>
      </c>
      <c r="T94" s="312" t="s">
        <v>228</v>
      </c>
      <c r="U94" s="268">
        <v>0</v>
      </c>
      <c r="V94" s="220">
        <f t="shared" si="105"/>
        <v>0</v>
      </c>
      <c r="W94" s="220">
        <f t="shared" si="105"/>
        <v>0</v>
      </c>
      <c r="X94" s="269">
        <f>SUM(U94:W94)</f>
        <v>0</v>
      </c>
      <c r="Y94" s="270">
        <v>0</v>
      </c>
      <c r="Z94" s="208">
        <v>0</v>
      </c>
      <c r="AA94" s="269">
        <f>SUM(Y94:Z94)</f>
        <v>0</v>
      </c>
      <c r="AB94" s="270">
        <v>0</v>
      </c>
      <c r="AC94" s="208">
        <v>0</v>
      </c>
      <c r="AD94" s="271">
        <f>SUM(AB94:AC94)</f>
        <v>0</v>
      </c>
      <c r="AE94" s="270">
        <v>0</v>
      </c>
      <c r="AF94" s="208">
        <v>0</v>
      </c>
      <c r="AG94" s="269">
        <f>SUM(AE94:AF94)</f>
        <v>0</v>
      </c>
      <c r="AH94" s="270">
        <f>X94-AA94</f>
        <v>0</v>
      </c>
      <c r="AI94" s="220">
        <f>X94-AD94</f>
        <v>0</v>
      </c>
      <c r="AJ94" s="269">
        <f>X94-AG94</f>
        <v>0</v>
      </c>
      <c r="AK94" s="101"/>
      <c r="AL94" s="204">
        <v>0</v>
      </c>
      <c r="AM94" s="210">
        <v>0</v>
      </c>
    </row>
    <row r="95" spans="1:39" ht="32.25" customHeight="1">
      <c r="A95" s="636" t="s">
        <v>674</v>
      </c>
      <c r="B95" s="1143" t="s">
        <v>675</v>
      </c>
      <c r="C95" s="1112">
        <v>0</v>
      </c>
      <c r="D95" s="696">
        <f t="shared" ref="D95:E102" si="107">P95</f>
        <v>0</v>
      </c>
      <c r="E95" s="205">
        <f t="shared" si="107"/>
        <v>0</v>
      </c>
      <c r="F95" s="205">
        <f t="shared" ref="F95:F102" si="108">SUM(C95:E95)</f>
        <v>0</v>
      </c>
      <c r="G95" s="205">
        <v>0</v>
      </c>
      <c r="H95" s="208">
        <v>0</v>
      </c>
      <c r="I95" s="205">
        <f t="shared" ref="I95:I102" si="109">SUM(G95:H95)</f>
        <v>0</v>
      </c>
      <c r="J95" s="205">
        <v>0</v>
      </c>
      <c r="K95" s="208">
        <v>0</v>
      </c>
      <c r="L95" s="205">
        <f t="shared" ref="L95:L102" si="110">SUM(J95:K95)</f>
        <v>0</v>
      </c>
      <c r="M95" s="205">
        <f t="shared" ref="M95:M102" si="111">F95-I95</f>
        <v>0</v>
      </c>
      <c r="N95" s="206">
        <f t="shared" ref="N95:N102" si="112">F95-L95</f>
        <v>0</v>
      </c>
      <c r="O95" s="67"/>
      <c r="P95" s="204">
        <v>0</v>
      </c>
      <c r="Q95" s="210"/>
      <c r="R95" s="389"/>
      <c r="S95" s="311" t="s">
        <v>258</v>
      </c>
      <c r="T95" s="312" t="s">
        <v>230</v>
      </c>
      <c r="U95" s="268">
        <v>0</v>
      </c>
      <c r="V95" s="220">
        <f t="shared" si="105"/>
        <v>0</v>
      </c>
      <c r="W95" s="220">
        <f t="shared" si="105"/>
        <v>0</v>
      </c>
      <c r="X95" s="269">
        <f>SUM(U95:W95)</f>
        <v>0</v>
      </c>
      <c r="Y95" s="270">
        <v>0</v>
      </c>
      <c r="Z95" s="208">
        <v>0</v>
      </c>
      <c r="AA95" s="269">
        <f>SUM(Y95:Z95)</f>
        <v>0</v>
      </c>
      <c r="AB95" s="270">
        <v>0</v>
      </c>
      <c r="AC95" s="208">
        <v>0</v>
      </c>
      <c r="AD95" s="271">
        <f>SUM(AB95:AC95)</f>
        <v>0</v>
      </c>
      <c r="AE95" s="270">
        <v>0</v>
      </c>
      <c r="AF95" s="208">
        <v>0</v>
      </c>
      <c r="AG95" s="269">
        <f>SUM(AE95:AF95)</f>
        <v>0</v>
      </c>
      <c r="AH95" s="270">
        <f>X95-AA95</f>
        <v>0</v>
      </c>
      <c r="AI95" s="220">
        <f>X95-AD95</f>
        <v>0</v>
      </c>
      <c r="AJ95" s="269">
        <f>X95-AG95</f>
        <v>0</v>
      </c>
      <c r="AK95" s="101"/>
      <c r="AL95" s="204">
        <v>0</v>
      </c>
      <c r="AM95" s="210">
        <v>0</v>
      </c>
    </row>
    <row r="96" spans="1:39" ht="30.75" customHeight="1">
      <c r="A96" s="729" t="s">
        <v>679</v>
      </c>
      <c r="B96" s="634" t="s">
        <v>522</v>
      </c>
      <c r="C96" s="1112">
        <v>0</v>
      </c>
      <c r="D96" s="696">
        <f t="shared" si="107"/>
        <v>0</v>
      </c>
      <c r="E96" s="205">
        <f t="shared" si="107"/>
        <v>0</v>
      </c>
      <c r="F96" s="205">
        <f t="shared" si="108"/>
        <v>0</v>
      </c>
      <c r="G96" s="205">
        <v>0</v>
      </c>
      <c r="H96" s="208">
        <v>0</v>
      </c>
      <c r="I96" s="205">
        <f t="shared" si="109"/>
        <v>0</v>
      </c>
      <c r="J96" s="205">
        <v>0</v>
      </c>
      <c r="K96" s="208">
        <v>0</v>
      </c>
      <c r="L96" s="205">
        <f t="shared" si="110"/>
        <v>0</v>
      </c>
      <c r="M96" s="205">
        <f t="shared" si="111"/>
        <v>0</v>
      </c>
      <c r="N96" s="206">
        <f t="shared" si="112"/>
        <v>0</v>
      </c>
      <c r="O96" s="67"/>
      <c r="P96" s="204">
        <v>0</v>
      </c>
      <c r="Q96" s="210">
        <v>0</v>
      </c>
      <c r="R96" s="389"/>
      <c r="S96" s="266">
        <v>1020302</v>
      </c>
      <c r="T96" s="267" t="s">
        <v>231</v>
      </c>
      <c r="U96" s="299">
        <f t="shared" ref="U96:AJ96" si="113">SUM(U97:U101)</f>
        <v>0</v>
      </c>
      <c r="V96" s="220">
        <f t="shared" si="113"/>
        <v>0</v>
      </c>
      <c r="W96" s="220">
        <f t="shared" si="113"/>
        <v>0</v>
      </c>
      <c r="X96" s="269">
        <f t="shared" si="113"/>
        <v>0</v>
      </c>
      <c r="Y96" s="270">
        <f t="shared" si="113"/>
        <v>0</v>
      </c>
      <c r="Z96" s="300">
        <f t="shared" si="113"/>
        <v>0</v>
      </c>
      <c r="AA96" s="269">
        <f t="shared" si="113"/>
        <v>0</v>
      </c>
      <c r="AB96" s="270">
        <f t="shared" si="113"/>
        <v>0</v>
      </c>
      <c r="AC96" s="300">
        <f t="shared" si="113"/>
        <v>0</v>
      </c>
      <c r="AD96" s="271">
        <f t="shared" si="113"/>
        <v>0</v>
      </c>
      <c r="AE96" s="270">
        <f t="shared" si="113"/>
        <v>0</v>
      </c>
      <c r="AF96" s="300">
        <f t="shared" si="113"/>
        <v>0</v>
      </c>
      <c r="AG96" s="269">
        <f t="shared" si="113"/>
        <v>0</v>
      </c>
      <c r="AH96" s="270">
        <f t="shared" si="113"/>
        <v>0</v>
      </c>
      <c r="AI96" s="220">
        <f t="shared" si="113"/>
        <v>0</v>
      </c>
      <c r="AJ96" s="269">
        <f t="shared" si="113"/>
        <v>0</v>
      </c>
      <c r="AK96" s="389"/>
      <c r="AL96" s="395">
        <f>SUM(AL97:AL101)</f>
        <v>0</v>
      </c>
      <c r="AM96" s="396">
        <f>SUM(AM97:AM101)</f>
        <v>0</v>
      </c>
    </row>
    <row r="97" spans="1:39" ht="31.5" customHeight="1">
      <c r="A97" s="729" t="s">
        <v>679</v>
      </c>
      <c r="B97" s="634" t="s">
        <v>521</v>
      </c>
      <c r="C97" s="1112">
        <v>0</v>
      </c>
      <c r="D97" s="696">
        <f t="shared" si="107"/>
        <v>0</v>
      </c>
      <c r="E97" s="205">
        <f t="shared" si="107"/>
        <v>0</v>
      </c>
      <c r="F97" s="205">
        <f t="shared" si="108"/>
        <v>0</v>
      </c>
      <c r="G97" s="205">
        <v>0</v>
      </c>
      <c r="H97" s="208">
        <v>0</v>
      </c>
      <c r="I97" s="205">
        <f t="shared" si="109"/>
        <v>0</v>
      </c>
      <c r="J97" s="205">
        <v>0</v>
      </c>
      <c r="K97" s="208">
        <v>0</v>
      </c>
      <c r="L97" s="205">
        <f t="shared" si="110"/>
        <v>0</v>
      </c>
      <c r="M97" s="205">
        <f t="shared" si="111"/>
        <v>0</v>
      </c>
      <c r="N97" s="206">
        <f t="shared" si="112"/>
        <v>0</v>
      </c>
      <c r="O97" s="67"/>
      <c r="P97" s="204">
        <v>0</v>
      </c>
      <c r="Q97" s="210">
        <v>0</v>
      </c>
      <c r="R97" s="389"/>
      <c r="S97" s="642" t="s">
        <v>578</v>
      </c>
      <c r="T97" s="312" t="s">
        <v>232</v>
      </c>
      <c r="U97" s="268">
        <v>0</v>
      </c>
      <c r="V97" s="220">
        <f t="shared" ref="V97:W102" si="114">AL97</f>
        <v>0</v>
      </c>
      <c r="W97" s="220">
        <f t="shared" si="114"/>
        <v>0</v>
      </c>
      <c r="X97" s="269">
        <f t="shared" ref="X97:X102" si="115">SUM(U97:W97)</f>
        <v>0</v>
      </c>
      <c r="Y97" s="270">
        <v>0</v>
      </c>
      <c r="Z97" s="208"/>
      <c r="AA97" s="269">
        <f t="shared" ref="AA97:AA102" si="116">SUM(Y97:Z97)</f>
        <v>0</v>
      </c>
      <c r="AB97" s="270">
        <v>0</v>
      </c>
      <c r="AC97" s="208"/>
      <c r="AD97" s="271">
        <f t="shared" ref="AD97:AD102" si="117">SUM(AB97:AC97)</f>
        <v>0</v>
      </c>
      <c r="AE97" s="270">
        <v>0</v>
      </c>
      <c r="AF97" s="208"/>
      <c r="AG97" s="269">
        <f t="shared" ref="AG97:AG102" si="118">SUM(AE97:AF97)</f>
        <v>0</v>
      </c>
      <c r="AH97" s="270">
        <f t="shared" ref="AH97:AH102" si="119">X97-AA97</f>
        <v>0</v>
      </c>
      <c r="AI97" s="220">
        <f t="shared" ref="AI97:AI102" si="120">X97-AD97</f>
        <v>0</v>
      </c>
      <c r="AJ97" s="269">
        <f t="shared" ref="AJ97:AJ102" si="121">X97-AG97</f>
        <v>0</v>
      </c>
      <c r="AK97" s="389"/>
      <c r="AL97" s="204">
        <v>0</v>
      </c>
      <c r="AM97" s="210">
        <v>0</v>
      </c>
    </row>
    <row r="98" spans="1:39" ht="32.25" customHeight="1">
      <c r="A98" s="729" t="s">
        <v>679</v>
      </c>
      <c r="B98" s="635" t="s">
        <v>788</v>
      </c>
      <c r="C98" s="1112">
        <v>0</v>
      </c>
      <c r="D98" s="696">
        <f>P98</f>
        <v>0</v>
      </c>
      <c r="E98" s="205">
        <f t="shared" si="107"/>
        <v>0</v>
      </c>
      <c r="F98" s="205">
        <f t="shared" si="108"/>
        <v>0</v>
      </c>
      <c r="G98" s="205">
        <v>0</v>
      </c>
      <c r="H98" s="208">
        <v>0</v>
      </c>
      <c r="I98" s="205">
        <f t="shared" si="109"/>
        <v>0</v>
      </c>
      <c r="J98" s="205">
        <v>0</v>
      </c>
      <c r="K98" s="208">
        <v>0</v>
      </c>
      <c r="L98" s="205">
        <f t="shared" si="110"/>
        <v>0</v>
      </c>
      <c r="M98" s="205">
        <f t="shared" si="111"/>
        <v>0</v>
      </c>
      <c r="N98" s="206">
        <f t="shared" si="112"/>
        <v>0</v>
      </c>
      <c r="O98" s="67"/>
      <c r="P98" s="204">
        <v>0</v>
      </c>
      <c r="Q98" s="210">
        <v>0</v>
      </c>
      <c r="R98" s="389"/>
      <c r="S98" s="642" t="s">
        <v>577</v>
      </c>
      <c r="T98" s="312" t="s">
        <v>233</v>
      </c>
      <c r="U98" s="268">
        <v>0</v>
      </c>
      <c r="V98" s="220">
        <f t="shared" si="114"/>
        <v>0</v>
      </c>
      <c r="W98" s="220">
        <f t="shared" si="114"/>
        <v>0</v>
      </c>
      <c r="X98" s="269">
        <f t="shared" si="115"/>
        <v>0</v>
      </c>
      <c r="Y98" s="270">
        <v>0</v>
      </c>
      <c r="Z98" s="208"/>
      <c r="AA98" s="269">
        <f t="shared" si="116"/>
        <v>0</v>
      </c>
      <c r="AB98" s="270">
        <v>0</v>
      </c>
      <c r="AC98" s="208"/>
      <c r="AD98" s="271">
        <f t="shared" si="117"/>
        <v>0</v>
      </c>
      <c r="AE98" s="270">
        <v>0</v>
      </c>
      <c r="AF98" s="208"/>
      <c r="AG98" s="269">
        <f t="shared" si="118"/>
        <v>0</v>
      </c>
      <c r="AH98" s="270">
        <f t="shared" si="119"/>
        <v>0</v>
      </c>
      <c r="AI98" s="220">
        <f t="shared" si="120"/>
        <v>0</v>
      </c>
      <c r="AJ98" s="269">
        <f t="shared" si="121"/>
        <v>0</v>
      </c>
      <c r="AK98" s="389"/>
      <c r="AL98" s="204">
        <v>0</v>
      </c>
      <c r="AM98" s="210">
        <v>0</v>
      </c>
    </row>
    <row r="99" spans="1:39" ht="32.25" customHeight="1">
      <c r="A99" s="728" t="s">
        <v>259</v>
      </c>
      <c r="B99" s="1144" t="s">
        <v>260</v>
      </c>
      <c r="C99" s="1112">
        <v>0</v>
      </c>
      <c r="D99" s="696">
        <f t="shared" si="107"/>
        <v>0</v>
      </c>
      <c r="E99" s="205">
        <f t="shared" si="107"/>
        <v>0</v>
      </c>
      <c r="F99" s="205">
        <f t="shared" si="108"/>
        <v>0</v>
      </c>
      <c r="G99" s="205">
        <v>0</v>
      </c>
      <c r="H99" s="208">
        <v>0</v>
      </c>
      <c r="I99" s="205">
        <f t="shared" si="109"/>
        <v>0</v>
      </c>
      <c r="J99" s="205">
        <v>0</v>
      </c>
      <c r="K99" s="208">
        <v>0</v>
      </c>
      <c r="L99" s="205">
        <f t="shared" si="110"/>
        <v>0</v>
      </c>
      <c r="M99" s="205">
        <f t="shared" si="111"/>
        <v>0</v>
      </c>
      <c r="N99" s="206">
        <f t="shared" si="112"/>
        <v>0</v>
      </c>
      <c r="O99" s="67"/>
      <c r="P99" s="204">
        <v>0</v>
      </c>
      <c r="Q99" s="210">
        <v>0</v>
      </c>
      <c r="R99" s="389"/>
      <c r="S99" s="642" t="s">
        <v>579</v>
      </c>
      <c r="T99" s="312" t="s">
        <v>234</v>
      </c>
      <c r="U99" s="268">
        <v>0</v>
      </c>
      <c r="V99" s="220">
        <f t="shared" si="114"/>
        <v>0</v>
      </c>
      <c r="W99" s="220">
        <f t="shared" si="114"/>
        <v>0</v>
      </c>
      <c r="X99" s="269">
        <f t="shared" si="115"/>
        <v>0</v>
      </c>
      <c r="Y99" s="270">
        <v>0</v>
      </c>
      <c r="Z99" s="208">
        <v>0</v>
      </c>
      <c r="AA99" s="269">
        <f t="shared" si="116"/>
        <v>0</v>
      </c>
      <c r="AB99" s="270">
        <v>0</v>
      </c>
      <c r="AC99" s="208">
        <v>0</v>
      </c>
      <c r="AD99" s="271">
        <f t="shared" si="117"/>
        <v>0</v>
      </c>
      <c r="AE99" s="270">
        <v>0</v>
      </c>
      <c r="AF99" s="208"/>
      <c r="AG99" s="269">
        <f t="shared" si="118"/>
        <v>0</v>
      </c>
      <c r="AH99" s="270">
        <f t="shared" si="119"/>
        <v>0</v>
      </c>
      <c r="AI99" s="220">
        <f t="shared" si="120"/>
        <v>0</v>
      </c>
      <c r="AJ99" s="269">
        <f t="shared" si="121"/>
        <v>0</v>
      </c>
      <c r="AK99" s="389"/>
      <c r="AL99" s="204">
        <v>0</v>
      </c>
      <c r="AM99" s="210">
        <v>0</v>
      </c>
    </row>
    <row r="100" spans="1:39" ht="31.5" customHeight="1">
      <c r="A100" s="726" t="s">
        <v>748</v>
      </c>
      <c r="B100" s="1145" t="s">
        <v>261</v>
      </c>
      <c r="C100" s="1112">
        <v>650000000</v>
      </c>
      <c r="D100" s="696">
        <f t="shared" si="107"/>
        <v>0</v>
      </c>
      <c r="E100" s="205">
        <f t="shared" si="107"/>
        <v>0</v>
      </c>
      <c r="F100" s="205">
        <f t="shared" si="108"/>
        <v>650000000</v>
      </c>
      <c r="G100" s="205">
        <v>0</v>
      </c>
      <c r="H100" s="208">
        <v>0</v>
      </c>
      <c r="I100" s="205">
        <f t="shared" si="109"/>
        <v>0</v>
      </c>
      <c r="J100" s="205">
        <v>0</v>
      </c>
      <c r="K100" s="208">
        <v>0</v>
      </c>
      <c r="L100" s="205">
        <f t="shared" si="110"/>
        <v>0</v>
      </c>
      <c r="M100" s="205">
        <f t="shared" si="111"/>
        <v>650000000</v>
      </c>
      <c r="N100" s="206">
        <f t="shared" si="112"/>
        <v>650000000</v>
      </c>
      <c r="O100" s="67"/>
      <c r="P100" s="204">
        <v>0</v>
      </c>
      <c r="Q100" s="210">
        <v>0</v>
      </c>
      <c r="R100" s="101"/>
      <c r="S100" s="642" t="s">
        <v>580</v>
      </c>
      <c r="T100" s="312" t="s">
        <v>235</v>
      </c>
      <c r="U100" s="268">
        <v>0</v>
      </c>
      <c r="V100" s="220">
        <f t="shared" si="114"/>
        <v>0</v>
      </c>
      <c r="W100" s="220">
        <f t="shared" si="114"/>
        <v>0</v>
      </c>
      <c r="X100" s="269">
        <f t="shared" si="115"/>
        <v>0</v>
      </c>
      <c r="Y100" s="270">
        <v>0</v>
      </c>
      <c r="Z100" s="208"/>
      <c r="AA100" s="269">
        <f t="shared" si="116"/>
        <v>0</v>
      </c>
      <c r="AB100" s="270">
        <v>0</v>
      </c>
      <c r="AC100" s="208"/>
      <c r="AD100" s="271">
        <f t="shared" si="117"/>
        <v>0</v>
      </c>
      <c r="AE100" s="270">
        <v>0</v>
      </c>
      <c r="AF100" s="208"/>
      <c r="AG100" s="269">
        <f t="shared" si="118"/>
        <v>0</v>
      </c>
      <c r="AH100" s="270">
        <f t="shared" si="119"/>
        <v>0</v>
      </c>
      <c r="AI100" s="220">
        <f t="shared" si="120"/>
        <v>0</v>
      </c>
      <c r="AJ100" s="269">
        <f t="shared" si="121"/>
        <v>0</v>
      </c>
      <c r="AK100" s="389"/>
      <c r="AL100" s="204">
        <v>0</v>
      </c>
      <c r="AM100" s="210">
        <v>0</v>
      </c>
    </row>
    <row r="101" spans="1:39" ht="24.75" customHeight="1">
      <c r="A101" s="394" t="s">
        <v>262</v>
      </c>
      <c r="B101" s="1145" t="s">
        <v>263</v>
      </c>
      <c r="C101" s="1112">
        <v>0</v>
      </c>
      <c r="D101" s="696">
        <f t="shared" si="107"/>
        <v>0</v>
      </c>
      <c r="E101" s="205">
        <f t="shared" si="107"/>
        <v>0</v>
      </c>
      <c r="F101" s="205">
        <f t="shared" si="108"/>
        <v>0</v>
      </c>
      <c r="G101" s="205">
        <v>0</v>
      </c>
      <c r="H101" s="208">
        <v>0</v>
      </c>
      <c r="I101" s="205">
        <f t="shared" si="109"/>
        <v>0</v>
      </c>
      <c r="J101" s="205">
        <v>0</v>
      </c>
      <c r="K101" s="208">
        <v>0</v>
      </c>
      <c r="L101" s="205">
        <f t="shared" si="110"/>
        <v>0</v>
      </c>
      <c r="M101" s="205">
        <f t="shared" si="111"/>
        <v>0</v>
      </c>
      <c r="N101" s="206">
        <f t="shared" si="112"/>
        <v>0</v>
      </c>
      <c r="O101" s="67"/>
      <c r="P101" s="204">
        <v>0</v>
      </c>
      <c r="Q101" s="210">
        <v>0</v>
      </c>
      <c r="R101" s="101"/>
      <c r="S101" s="642" t="s">
        <v>582</v>
      </c>
      <c r="T101" s="312" t="s">
        <v>237</v>
      </c>
      <c r="U101" s="268">
        <v>0</v>
      </c>
      <c r="V101" s="220">
        <f t="shared" si="114"/>
        <v>0</v>
      </c>
      <c r="W101" s="220">
        <f t="shared" si="114"/>
        <v>0</v>
      </c>
      <c r="X101" s="269">
        <f t="shared" si="115"/>
        <v>0</v>
      </c>
      <c r="Y101" s="270">
        <v>0</v>
      </c>
      <c r="Z101" s="208"/>
      <c r="AA101" s="269">
        <f t="shared" si="116"/>
        <v>0</v>
      </c>
      <c r="AB101" s="270">
        <v>0</v>
      </c>
      <c r="AC101" s="208"/>
      <c r="AD101" s="271">
        <f t="shared" si="117"/>
        <v>0</v>
      </c>
      <c r="AE101" s="270">
        <v>0</v>
      </c>
      <c r="AF101" s="208"/>
      <c r="AG101" s="269">
        <f t="shared" si="118"/>
        <v>0</v>
      </c>
      <c r="AH101" s="270">
        <f t="shared" si="119"/>
        <v>0</v>
      </c>
      <c r="AI101" s="220">
        <f t="shared" si="120"/>
        <v>0</v>
      </c>
      <c r="AJ101" s="269">
        <f t="shared" si="121"/>
        <v>0</v>
      </c>
      <c r="AK101" s="389"/>
      <c r="AL101" s="204">
        <v>0</v>
      </c>
      <c r="AM101" s="210">
        <v>0</v>
      </c>
    </row>
    <row r="102" spans="1:39" ht="24.75" customHeight="1" thickBot="1">
      <c r="A102" s="394" t="s">
        <v>746</v>
      </c>
      <c r="B102" s="860" t="s">
        <v>747</v>
      </c>
      <c r="C102" s="1148">
        <v>0</v>
      </c>
      <c r="D102" s="432">
        <f t="shared" si="107"/>
        <v>0</v>
      </c>
      <c r="E102" s="243">
        <f t="shared" si="107"/>
        <v>0</v>
      </c>
      <c r="F102" s="243">
        <f t="shared" si="108"/>
        <v>0</v>
      </c>
      <c r="G102" s="243">
        <v>0</v>
      </c>
      <c r="H102" s="210">
        <v>0</v>
      </c>
      <c r="I102" s="243">
        <f t="shared" si="109"/>
        <v>0</v>
      </c>
      <c r="J102" s="243">
        <v>0</v>
      </c>
      <c r="K102" s="210">
        <v>0</v>
      </c>
      <c r="L102" s="243">
        <f t="shared" si="110"/>
        <v>0</v>
      </c>
      <c r="M102" s="243">
        <f t="shared" si="111"/>
        <v>0</v>
      </c>
      <c r="N102" s="244">
        <f t="shared" si="112"/>
        <v>0</v>
      </c>
      <c r="O102" s="67"/>
      <c r="P102" s="204">
        <v>0</v>
      </c>
      <c r="Q102" s="210">
        <v>0</v>
      </c>
      <c r="R102" s="101"/>
      <c r="S102" s="266">
        <v>1020399</v>
      </c>
      <c r="T102" s="267" t="s">
        <v>196</v>
      </c>
      <c r="U102" s="268">
        <v>0</v>
      </c>
      <c r="V102" s="220">
        <f t="shared" si="114"/>
        <v>0</v>
      </c>
      <c r="W102" s="220">
        <f t="shared" si="114"/>
        <v>0</v>
      </c>
      <c r="X102" s="269">
        <f t="shared" si="115"/>
        <v>0</v>
      </c>
      <c r="Y102" s="270">
        <v>0</v>
      </c>
      <c r="Z102" s="208">
        <v>0</v>
      </c>
      <c r="AA102" s="269">
        <f t="shared" si="116"/>
        <v>0</v>
      </c>
      <c r="AB102" s="270">
        <v>0</v>
      </c>
      <c r="AC102" s="208"/>
      <c r="AD102" s="271">
        <f t="shared" si="117"/>
        <v>0</v>
      </c>
      <c r="AE102" s="270">
        <v>0</v>
      </c>
      <c r="AF102" s="208"/>
      <c r="AG102" s="269">
        <f t="shared" si="118"/>
        <v>0</v>
      </c>
      <c r="AH102" s="270">
        <f t="shared" si="119"/>
        <v>0</v>
      </c>
      <c r="AI102" s="220">
        <f t="shared" si="120"/>
        <v>0</v>
      </c>
      <c r="AJ102" s="269">
        <f t="shared" si="121"/>
        <v>0</v>
      </c>
      <c r="AK102" s="101"/>
      <c r="AL102" s="204">
        <v>0</v>
      </c>
      <c r="AM102" s="210"/>
    </row>
    <row r="103" spans="1:39" ht="24.75" customHeight="1" thickBot="1">
      <c r="A103" s="398"/>
      <c r="B103" s="399"/>
      <c r="C103" s="1146"/>
      <c r="D103" s="400"/>
      <c r="E103" s="400"/>
      <c r="F103" s="400"/>
      <c r="G103" s="400"/>
      <c r="H103" s="400"/>
      <c r="I103" s="400"/>
      <c r="J103" s="400"/>
      <c r="K103" s="400"/>
      <c r="L103" s="400"/>
      <c r="M103" s="400"/>
      <c r="N103" s="401"/>
      <c r="O103" s="67"/>
      <c r="P103" s="402"/>
      <c r="Q103" s="401"/>
      <c r="R103" s="101"/>
      <c r="S103" s="189"/>
      <c r="T103" s="190"/>
      <c r="U103" s="191"/>
      <c r="V103" s="191"/>
      <c r="W103" s="191"/>
      <c r="X103" s="192"/>
      <c r="Y103" s="193"/>
      <c r="Z103" s="191"/>
      <c r="AA103" s="192"/>
      <c r="AB103" s="193"/>
      <c r="AC103" s="191"/>
      <c r="AD103" s="191"/>
      <c r="AE103" s="193"/>
      <c r="AF103" s="191"/>
      <c r="AG103" s="192"/>
      <c r="AH103" s="193"/>
      <c r="AI103" s="191"/>
      <c r="AJ103" s="192"/>
      <c r="AK103" s="101"/>
      <c r="AL103" s="370"/>
      <c r="AM103" s="371"/>
    </row>
    <row r="104" spans="1:39" ht="24.75" customHeight="1">
      <c r="A104" s="392">
        <v>11304</v>
      </c>
      <c r="B104" s="393" t="s">
        <v>144</v>
      </c>
      <c r="C104" s="383">
        <f t="shared" ref="C104:N104" si="122">SUM(C105:C111)</f>
        <v>235000000</v>
      </c>
      <c r="D104" s="384">
        <f t="shared" si="122"/>
        <v>0</v>
      </c>
      <c r="E104" s="384">
        <f t="shared" si="122"/>
        <v>0</v>
      </c>
      <c r="F104" s="384">
        <f t="shared" si="122"/>
        <v>235000000</v>
      </c>
      <c r="G104" s="384">
        <f t="shared" si="122"/>
        <v>0</v>
      </c>
      <c r="H104" s="384">
        <f t="shared" si="122"/>
        <v>1749228833</v>
      </c>
      <c r="I104" s="384">
        <f t="shared" si="122"/>
        <v>1749228833</v>
      </c>
      <c r="J104" s="384">
        <f t="shared" si="122"/>
        <v>0</v>
      </c>
      <c r="K104" s="384">
        <f t="shared" si="122"/>
        <v>48535648</v>
      </c>
      <c r="L104" s="384">
        <f t="shared" si="122"/>
        <v>48535648</v>
      </c>
      <c r="M104" s="384">
        <f t="shared" si="122"/>
        <v>-1514228833</v>
      </c>
      <c r="N104" s="385">
        <f t="shared" si="122"/>
        <v>186464352</v>
      </c>
      <c r="O104" s="67"/>
      <c r="P104" s="288">
        <f>SUM(P105:P111)</f>
        <v>0</v>
      </c>
      <c r="Q104" s="289">
        <f>SUM(Q105:Q111)</f>
        <v>0</v>
      </c>
      <c r="R104" s="101"/>
      <c r="S104" s="257">
        <v>1020400</v>
      </c>
      <c r="T104" s="258" t="s">
        <v>239</v>
      </c>
      <c r="U104" s="230">
        <f t="shared" ref="U104:AJ104" si="123">U105+U108</f>
        <v>0</v>
      </c>
      <c r="V104" s="231">
        <f t="shared" si="123"/>
        <v>0</v>
      </c>
      <c r="W104" s="231">
        <f t="shared" si="123"/>
        <v>0</v>
      </c>
      <c r="X104" s="232">
        <f t="shared" si="123"/>
        <v>0</v>
      </c>
      <c r="Y104" s="233">
        <f t="shared" si="123"/>
        <v>0</v>
      </c>
      <c r="Z104" s="231">
        <f t="shared" si="123"/>
        <v>0</v>
      </c>
      <c r="AA104" s="232">
        <f t="shared" si="123"/>
        <v>0</v>
      </c>
      <c r="AB104" s="233">
        <f t="shared" si="123"/>
        <v>0</v>
      </c>
      <c r="AC104" s="231">
        <f t="shared" si="123"/>
        <v>0</v>
      </c>
      <c r="AD104" s="234">
        <f t="shared" si="123"/>
        <v>0</v>
      </c>
      <c r="AE104" s="233">
        <f t="shared" si="123"/>
        <v>0</v>
      </c>
      <c r="AF104" s="231">
        <f t="shared" si="123"/>
        <v>0</v>
      </c>
      <c r="AG104" s="232">
        <f t="shared" si="123"/>
        <v>0</v>
      </c>
      <c r="AH104" s="233">
        <f t="shared" si="123"/>
        <v>0</v>
      </c>
      <c r="AI104" s="231">
        <f t="shared" si="123"/>
        <v>0</v>
      </c>
      <c r="AJ104" s="232">
        <f t="shared" si="123"/>
        <v>0</v>
      </c>
      <c r="AK104" s="101"/>
      <c r="AL104" s="233">
        <f>AL105+AL108</f>
        <v>0</v>
      </c>
      <c r="AM104" s="232">
        <f>AM105+AM108</f>
        <v>0</v>
      </c>
    </row>
    <row r="105" spans="1:39" ht="24.75" customHeight="1">
      <c r="A105" s="394" t="s">
        <v>631</v>
      </c>
      <c r="B105" s="397" t="s">
        <v>632</v>
      </c>
      <c r="C105" s="268">
        <v>235000000</v>
      </c>
      <c r="D105" s="205">
        <f t="shared" ref="D105:E111" si="124">P105</f>
        <v>0</v>
      </c>
      <c r="E105" s="205">
        <f t="shared" si="124"/>
        <v>0</v>
      </c>
      <c r="F105" s="205">
        <f t="shared" ref="F105:F111" si="125">SUM(C105:E105)</f>
        <v>235000000</v>
      </c>
      <c r="G105" s="205">
        <v>0</v>
      </c>
      <c r="H105" s="208">
        <v>23914935</v>
      </c>
      <c r="I105" s="205">
        <f t="shared" ref="I105:I111" si="126">SUM(G105:H105)</f>
        <v>23914935</v>
      </c>
      <c r="J105" s="205">
        <v>0</v>
      </c>
      <c r="K105" s="208">
        <v>6555080</v>
      </c>
      <c r="L105" s="205">
        <f t="shared" ref="L105:L111" si="127">SUM(J105:K105)</f>
        <v>6555080</v>
      </c>
      <c r="M105" s="205">
        <f t="shared" ref="M105:M111" si="128">F105-I105</f>
        <v>211085065</v>
      </c>
      <c r="N105" s="206">
        <f t="shared" ref="N105:N111" si="129">F105-L105</f>
        <v>228444920</v>
      </c>
      <c r="O105" s="67"/>
      <c r="P105" s="204">
        <v>0</v>
      </c>
      <c r="Q105" s="210">
        <v>0</v>
      </c>
      <c r="R105" s="101"/>
      <c r="S105" s="266">
        <v>1020402</v>
      </c>
      <c r="T105" s="267" t="s">
        <v>231</v>
      </c>
      <c r="U105" s="299">
        <f t="shared" ref="U105:AJ105" si="130">SUM(U106:U107)</f>
        <v>0</v>
      </c>
      <c r="V105" s="220">
        <f t="shared" si="130"/>
        <v>0</v>
      </c>
      <c r="W105" s="220">
        <f t="shared" si="130"/>
        <v>0</v>
      </c>
      <c r="X105" s="269">
        <f t="shared" si="130"/>
        <v>0</v>
      </c>
      <c r="Y105" s="270">
        <f t="shared" si="130"/>
        <v>0</v>
      </c>
      <c r="Z105" s="300">
        <f t="shared" si="130"/>
        <v>0</v>
      </c>
      <c r="AA105" s="269">
        <f t="shared" si="130"/>
        <v>0</v>
      </c>
      <c r="AB105" s="270">
        <f t="shared" si="130"/>
        <v>0</v>
      </c>
      <c r="AC105" s="300">
        <f t="shared" si="130"/>
        <v>0</v>
      </c>
      <c r="AD105" s="271">
        <f t="shared" si="130"/>
        <v>0</v>
      </c>
      <c r="AE105" s="270">
        <f t="shared" si="130"/>
        <v>0</v>
      </c>
      <c r="AF105" s="300">
        <f t="shared" si="130"/>
        <v>0</v>
      </c>
      <c r="AG105" s="269">
        <f t="shared" si="130"/>
        <v>0</v>
      </c>
      <c r="AH105" s="270">
        <f t="shared" si="130"/>
        <v>0</v>
      </c>
      <c r="AI105" s="220">
        <f t="shared" si="130"/>
        <v>0</v>
      </c>
      <c r="AJ105" s="269">
        <f t="shared" si="130"/>
        <v>0</v>
      </c>
      <c r="AK105" s="216"/>
      <c r="AL105" s="301">
        <f>SUM(AL106:AL107)</f>
        <v>0</v>
      </c>
      <c r="AM105" s="302">
        <f>SUM(AM106:AM107)</f>
        <v>0</v>
      </c>
    </row>
    <row r="106" spans="1:39" ht="24.75" customHeight="1">
      <c r="A106" s="718"/>
      <c r="B106" s="1153" t="s">
        <v>774</v>
      </c>
      <c r="C106" s="268">
        <v>0</v>
      </c>
      <c r="D106" s="205">
        <f t="shared" si="124"/>
        <v>0</v>
      </c>
      <c r="E106" s="205">
        <f t="shared" si="124"/>
        <v>0</v>
      </c>
      <c r="F106" s="205">
        <f t="shared" si="125"/>
        <v>0</v>
      </c>
      <c r="G106" s="205">
        <v>0</v>
      </c>
      <c r="H106" s="208">
        <v>83333330</v>
      </c>
      <c r="I106" s="205">
        <f t="shared" si="126"/>
        <v>83333330</v>
      </c>
      <c r="J106" s="205">
        <v>0</v>
      </c>
      <c r="K106" s="208">
        <v>0</v>
      </c>
      <c r="L106" s="205">
        <f t="shared" si="127"/>
        <v>0</v>
      </c>
      <c r="M106" s="205">
        <f t="shared" si="128"/>
        <v>-83333330</v>
      </c>
      <c r="N106" s="206">
        <f t="shared" si="129"/>
        <v>0</v>
      </c>
      <c r="O106" s="67"/>
      <c r="P106" s="204">
        <v>0</v>
      </c>
      <c r="Q106" s="210">
        <v>0</v>
      </c>
      <c r="R106" s="101"/>
      <c r="S106" s="642" t="s">
        <v>583</v>
      </c>
      <c r="T106" s="312" t="s">
        <v>240</v>
      </c>
      <c r="U106" s="268">
        <v>0</v>
      </c>
      <c r="V106" s="220">
        <f t="shared" ref="V106:W108" si="131">AL106</f>
        <v>0</v>
      </c>
      <c r="W106" s="220">
        <f t="shared" si="131"/>
        <v>0</v>
      </c>
      <c r="X106" s="269">
        <f>SUM(U106:W106)</f>
        <v>0</v>
      </c>
      <c r="Y106" s="270">
        <v>0</v>
      </c>
      <c r="Z106" s="208"/>
      <c r="AA106" s="269">
        <f>SUM(Y106:Z106)</f>
        <v>0</v>
      </c>
      <c r="AB106" s="270">
        <v>0</v>
      </c>
      <c r="AC106" s="208"/>
      <c r="AD106" s="271">
        <f>SUM(AB106:AC106)</f>
        <v>0</v>
      </c>
      <c r="AE106" s="270">
        <v>0</v>
      </c>
      <c r="AF106" s="208"/>
      <c r="AG106" s="269">
        <f>SUM(AE106:AF106)</f>
        <v>0</v>
      </c>
      <c r="AH106" s="270">
        <f>X106-AA106</f>
        <v>0</v>
      </c>
      <c r="AI106" s="220">
        <f>X106-AD106</f>
        <v>0</v>
      </c>
      <c r="AJ106" s="269">
        <f>X106-AG106</f>
        <v>0</v>
      </c>
      <c r="AK106" s="101"/>
      <c r="AL106" s="204">
        <v>0</v>
      </c>
      <c r="AM106" s="210">
        <v>0</v>
      </c>
    </row>
    <row r="107" spans="1:39" ht="24.75" customHeight="1">
      <c r="A107" s="633"/>
      <c r="B107" s="1152"/>
      <c r="C107" s="268">
        <v>0</v>
      </c>
      <c r="D107" s="205">
        <f t="shared" si="124"/>
        <v>0</v>
      </c>
      <c r="E107" s="205">
        <f t="shared" si="124"/>
        <v>0</v>
      </c>
      <c r="F107" s="205">
        <f t="shared" si="125"/>
        <v>0</v>
      </c>
      <c r="G107" s="205">
        <v>0</v>
      </c>
      <c r="H107" s="208">
        <v>0</v>
      </c>
      <c r="I107" s="205">
        <f t="shared" si="126"/>
        <v>0</v>
      </c>
      <c r="J107" s="205">
        <v>0</v>
      </c>
      <c r="K107" s="208">
        <v>0</v>
      </c>
      <c r="L107" s="205">
        <f t="shared" si="127"/>
        <v>0</v>
      </c>
      <c r="M107" s="205">
        <f t="shared" si="128"/>
        <v>0</v>
      </c>
      <c r="N107" s="206">
        <f t="shared" si="129"/>
        <v>0</v>
      </c>
      <c r="O107" s="67"/>
      <c r="P107" s="204">
        <v>0</v>
      </c>
      <c r="Q107" s="210">
        <v>0</v>
      </c>
      <c r="R107" s="101"/>
      <c r="S107" s="642" t="s">
        <v>581</v>
      </c>
      <c r="T107" s="312" t="s">
        <v>242</v>
      </c>
      <c r="U107" s="268">
        <v>0</v>
      </c>
      <c r="V107" s="220">
        <f t="shared" si="131"/>
        <v>0</v>
      </c>
      <c r="W107" s="220">
        <f t="shared" si="131"/>
        <v>0</v>
      </c>
      <c r="X107" s="269">
        <f>SUM(U107:W107)</f>
        <v>0</v>
      </c>
      <c r="Y107" s="270">
        <v>0</v>
      </c>
      <c r="Z107" s="208"/>
      <c r="AA107" s="269">
        <f>SUM(Y107:Z107)</f>
        <v>0</v>
      </c>
      <c r="AB107" s="270">
        <v>0</v>
      </c>
      <c r="AC107" s="208"/>
      <c r="AD107" s="271">
        <f>SUM(AB107:AC107)</f>
        <v>0</v>
      </c>
      <c r="AE107" s="270">
        <v>0</v>
      </c>
      <c r="AF107" s="208"/>
      <c r="AG107" s="269">
        <f>SUM(AE107:AF107)</f>
        <v>0</v>
      </c>
      <c r="AH107" s="270">
        <f>X107-AA107</f>
        <v>0</v>
      </c>
      <c r="AI107" s="220">
        <f>X107-AD107</f>
        <v>0</v>
      </c>
      <c r="AJ107" s="269">
        <f>X107-AG107</f>
        <v>0</v>
      </c>
      <c r="AK107" s="101"/>
      <c r="AL107" s="204">
        <v>0</v>
      </c>
      <c r="AM107" s="210">
        <v>0</v>
      </c>
    </row>
    <row r="108" spans="1:39" ht="24.75" customHeight="1">
      <c r="A108" s="394"/>
      <c r="B108" s="1152"/>
      <c r="C108" s="268">
        <v>0</v>
      </c>
      <c r="D108" s="205">
        <f t="shared" si="124"/>
        <v>0</v>
      </c>
      <c r="E108" s="205">
        <f t="shared" si="124"/>
        <v>0</v>
      </c>
      <c r="F108" s="205">
        <f t="shared" si="125"/>
        <v>0</v>
      </c>
      <c r="G108" s="205">
        <v>0</v>
      </c>
      <c r="H108" s="208">
        <v>1600000000</v>
      </c>
      <c r="I108" s="205">
        <f t="shared" si="126"/>
        <v>1600000000</v>
      </c>
      <c r="J108" s="205">
        <v>0</v>
      </c>
      <c r="K108" s="208">
        <v>0</v>
      </c>
      <c r="L108" s="205">
        <f t="shared" si="127"/>
        <v>0</v>
      </c>
      <c r="M108" s="205">
        <f t="shared" si="128"/>
        <v>-1600000000</v>
      </c>
      <c r="N108" s="206">
        <f t="shared" si="129"/>
        <v>0</v>
      </c>
      <c r="O108" s="67"/>
      <c r="P108" s="204">
        <v>0</v>
      </c>
      <c r="Q108" s="210">
        <v>0</v>
      </c>
      <c r="R108" s="101"/>
      <c r="S108" s="266" t="s">
        <v>783</v>
      </c>
      <c r="T108" s="267" t="s">
        <v>784</v>
      </c>
      <c r="U108" s="268">
        <v>0</v>
      </c>
      <c r="V108" s="220">
        <f t="shared" si="131"/>
        <v>0</v>
      </c>
      <c r="W108" s="220">
        <f t="shared" si="131"/>
        <v>0</v>
      </c>
      <c r="X108" s="269">
        <f>SUM(U108:W108)</f>
        <v>0</v>
      </c>
      <c r="Y108" s="270">
        <v>0</v>
      </c>
      <c r="Z108" s="208">
        <v>0</v>
      </c>
      <c r="AA108" s="269">
        <f>SUM(Y108:Z108)</f>
        <v>0</v>
      </c>
      <c r="AB108" s="270">
        <v>0</v>
      </c>
      <c r="AC108" s="208"/>
      <c r="AD108" s="271">
        <f>SUM(AB108:AC108)</f>
        <v>0</v>
      </c>
      <c r="AE108" s="270">
        <v>0</v>
      </c>
      <c r="AF108" s="208"/>
      <c r="AG108" s="269">
        <f>SUM(AE108:AF108)</f>
        <v>0</v>
      </c>
      <c r="AH108" s="270">
        <f>X108-AA108</f>
        <v>0</v>
      </c>
      <c r="AI108" s="220">
        <f>X108-AD108</f>
        <v>0</v>
      </c>
      <c r="AJ108" s="269">
        <f>X108-AG108</f>
        <v>0</v>
      </c>
      <c r="AK108" s="101"/>
      <c r="AL108" s="204">
        <v>0</v>
      </c>
      <c r="AM108" s="210">
        <v>0</v>
      </c>
    </row>
    <row r="109" spans="1:39" ht="24.75" customHeight="1">
      <c r="A109" s="394" t="s">
        <v>633</v>
      </c>
      <c r="B109" s="397" t="s">
        <v>634</v>
      </c>
      <c r="C109" s="268"/>
      <c r="D109" s="205">
        <f t="shared" si="124"/>
        <v>0</v>
      </c>
      <c r="E109" s="205">
        <f t="shared" si="124"/>
        <v>0</v>
      </c>
      <c r="F109" s="205">
        <f t="shared" si="125"/>
        <v>0</v>
      </c>
      <c r="G109" s="205">
        <v>0</v>
      </c>
      <c r="H109" s="208">
        <v>23625039</v>
      </c>
      <c r="I109" s="205">
        <f t="shared" si="126"/>
        <v>23625039</v>
      </c>
      <c r="J109" s="205">
        <v>0</v>
      </c>
      <c r="K109" s="208">
        <v>23625039</v>
      </c>
      <c r="L109" s="205">
        <f t="shared" si="127"/>
        <v>23625039</v>
      </c>
      <c r="M109" s="205">
        <f t="shared" si="128"/>
        <v>-23625039</v>
      </c>
      <c r="N109" s="206">
        <f t="shared" si="129"/>
        <v>-23625039</v>
      </c>
      <c r="O109" s="67"/>
      <c r="P109" s="204">
        <v>0</v>
      </c>
      <c r="Q109" s="210">
        <v>0</v>
      </c>
      <c r="R109" s="101"/>
      <c r="S109" s="189"/>
      <c r="T109" s="190"/>
      <c r="U109" s="191"/>
      <c r="V109" s="191"/>
      <c r="W109" s="191"/>
      <c r="X109" s="192"/>
      <c r="Y109" s="193"/>
      <c r="Z109" s="191"/>
      <c r="AA109" s="192"/>
      <c r="AB109" s="193"/>
      <c r="AC109" s="191"/>
      <c r="AD109" s="191"/>
      <c r="AE109" s="193"/>
      <c r="AF109" s="191"/>
      <c r="AG109" s="192"/>
      <c r="AH109" s="193"/>
      <c r="AI109" s="191"/>
      <c r="AJ109" s="192"/>
      <c r="AK109" s="216"/>
      <c r="AL109" s="370"/>
      <c r="AM109" s="371"/>
    </row>
    <row r="110" spans="1:39" ht="24.75" customHeight="1">
      <c r="A110" s="648" t="s">
        <v>635</v>
      </c>
      <c r="B110" s="397" t="s">
        <v>636</v>
      </c>
      <c r="C110" s="268">
        <v>0</v>
      </c>
      <c r="D110" s="205">
        <f t="shared" si="124"/>
        <v>0</v>
      </c>
      <c r="E110" s="205">
        <f t="shared" si="124"/>
        <v>0</v>
      </c>
      <c r="F110" s="205">
        <f t="shared" si="125"/>
        <v>0</v>
      </c>
      <c r="G110" s="205">
        <v>0</v>
      </c>
      <c r="H110" s="208">
        <v>0</v>
      </c>
      <c r="I110" s="205">
        <f t="shared" si="126"/>
        <v>0</v>
      </c>
      <c r="J110" s="205">
        <v>0</v>
      </c>
      <c r="K110" s="208">
        <v>0</v>
      </c>
      <c r="L110" s="205">
        <f t="shared" si="127"/>
        <v>0</v>
      </c>
      <c r="M110" s="205">
        <f t="shared" si="128"/>
        <v>0</v>
      </c>
      <c r="N110" s="206">
        <f t="shared" si="129"/>
        <v>0</v>
      </c>
      <c r="O110" s="67"/>
      <c r="P110" s="204">
        <v>0</v>
      </c>
      <c r="Q110" s="210">
        <v>0</v>
      </c>
      <c r="R110" s="101"/>
      <c r="S110" s="228">
        <v>2000000</v>
      </c>
      <c r="T110" s="404" t="s">
        <v>266</v>
      </c>
      <c r="U110" s="405">
        <f>U112+U145</f>
        <v>21968169670.620834</v>
      </c>
      <c r="V110" s="406">
        <f t="shared" ref="V110:AJ110" si="132">V112+V145</f>
        <v>198873359</v>
      </c>
      <c r="W110" s="406">
        <f t="shared" si="132"/>
        <v>0</v>
      </c>
      <c r="X110" s="218">
        <f t="shared" si="132"/>
        <v>22167043029.620834</v>
      </c>
      <c r="Y110" s="217">
        <f t="shared" si="132"/>
        <v>0</v>
      </c>
      <c r="Z110" s="406">
        <f t="shared" si="132"/>
        <v>6685190433</v>
      </c>
      <c r="AA110" s="218">
        <f t="shared" si="132"/>
        <v>6685190433</v>
      </c>
      <c r="AB110" s="217">
        <f t="shared" si="132"/>
        <v>0</v>
      </c>
      <c r="AC110" s="406">
        <f t="shared" si="132"/>
        <v>2364051760</v>
      </c>
      <c r="AD110" s="407">
        <f t="shared" si="132"/>
        <v>2364051760</v>
      </c>
      <c r="AE110" s="217">
        <f t="shared" si="132"/>
        <v>0</v>
      </c>
      <c r="AF110" s="406">
        <f t="shared" si="132"/>
        <v>829918915</v>
      </c>
      <c r="AG110" s="218">
        <f t="shared" si="132"/>
        <v>829918915</v>
      </c>
      <c r="AH110" s="217">
        <f t="shared" si="132"/>
        <v>15481852596.620832</v>
      </c>
      <c r="AI110" s="406">
        <f t="shared" si="132"/>
        <v>19802991269.620834</v>
      </c>
      <c r="AJ110" s="218">
        <f t="shared" si="132"/>
        <v>21337124114.620834</v>
      </c>
      <c r="AK110" s="216"/>
      <c r="AL110" s="233">
        <f>AL112+AL145</f>
        <v>198873359</v>
      </c>
      <c r="AM110" s="232"/>
    </row>
    <row r="111" spans="1:39" ht="45" customHeight="1" thickBot="1">
      <c r="A111" s="394" t="s">
        <v>672</v>
      </c>
      <c r="B111" s="397" t="s">
        <v>673</v>
      </c>
      <c r="C111" s="268">
        <v>0</v>
      </c>
      <c r="D111" s="243">
        <f t="shared" si="124"/>
        <v>0</v>
      </c>
      <c r="E111" s="243">
        <f t="shared" si="124"/>
        <v>0</v>
      </c>
      <c r="F111" s="243">
        <f t="shared" si="125"/>
        <v>0</v>
      </c>
      <c r="G111" s="243">
        <v>0</v>
      </c>
      <c r="H111" s="208">
        <v>18355529</v>
      </c>
      <c r="I111" s="243">
        <f t="shared" si="126"/>
        <v>18355529</v>
      </c>
      <c r="J111" s="243">
        <v>0</v>
      </c>
      <c r="K111" s="208">
        <f>9022296+9333233</f>
        <v>18355529</v>
      </c>
      <c r="L111" s="243">
        <f t="shared" si="127"/>
        <v>18355529</v>
      </c>
      <c r="M111" s="243">
        <f t="shared" si="128"/>
        <v>-18355529</v>
      </c>
      <c r="N111" s="244">
        <f t="shared" si="129"/>
        <v>-18355529</v>
      </c>
      <c r="O111" s="67"/>
      <c r="P111" s="204">
        <v>0</v>
      </c>
      <c r="Q111" s="210">
        <v>0</v>
      </c>
      <c r="R111" s="101"/>
      <c r="S111" s="189"/>
      <c r="T111" s="190"/>
      <c r="U111" s="191"/>
      <c r="V111" s="191"/>
      <c r="W111" s="191"/>
      <c r="X111" s="192"/>
      <c r="Y111" s="193"/>
      <c r="Z111" s="191"/>
      <c r="AA111" s="192"/>
      <c r="AB111" s="193"/>
      <c r="AC111" s="191"/>
      <c r="AD111" s="191"/>
      <c r="AE111" s="193"/>
      <c r="AF111" s="191"/>
      <c r="AG111" s="192"/>
      <c r="AH111" s="193"/>
      <c r="AI111" s="191"/>
      <c r="AJ111" s="192"/>
      <c r="AK111" s="101"/>
      <c r="AL111" s="194"/>
      <c r="AM111" s="195"/>
    </row>
    <row r="112" spans="1:39" ht="24.75" customHeight="1" thickBot="1">
      <c r="A112" s="398"/>
      <c r="B112" s="399"/>
      <c r="C112" s="400"/>
      <c r="D112" s="400"/>
      <c r="E112" s="400"/>
      <c r="F112" s="400"/>
      <c r="G112" s="400"/>
      <c r="H112" s="400"/>
      <c r="I112" s="400"/>
      <c r="J112" s="400"/>
      <c r="K112" s="400"/>
      <c r="L112" s="400"/>
      <c r="M112" s="400"/>
      <c r="N112" s="401"/>
      <c r="O112" s="67"/>
      <c r="P112" s="402"/>
      <c r="Q112" s="401"/>
      <c r="R112" s="101"/>
      <c r="S112" s="228">
        <v>2010000</v>
      </c>
      <c r="T112" s="229" t="s">
        <v>119</v>
      </c>
      <c r="U112" s="230">
        <f>U114+U123+U141</f>
        <v>10075238362.444445</v>
      </c>
      <c r="V112" s="231">
        <f t="shared" ref="V112:AJ112" si="133">V114+V123+V141</f>
        <v>198873359</v>
      </c>
      <c r="W112" s="231">
        <f t="shared" si="133"/>
        <v>0</v>
      </c>
      <c r="X112" s="232">
        <f t="shared" si="133"/>
        <v>10274111721.444445</v>
      </c>
      <c r="Y112" s="233">
        <f t="shared" si="133"/>
        <v>0</v>
      </c>
      <c r="Z112" s="231">
        <f t="shared" si="133"/>
        <v>4409262159</v>
      </c>
      <c r="AA112" s="232">
        <f t="shared" si="133"/>
        <v>4409262159</v>
      </c>
      <c r="AB112" s="233">
        <f t="shared" si="133"/>
        <v>0</v>
      </c>
      <c r="AC112" s="231">
        <f t="shared" si="133"/>
        <v>1567398037</v>
      </c>
      <c r="AD112" s="234">
        <f t="shared" si="133"/>
        <v>1567398037</v>
      </c>
      <c r="AE112" s="233">
        <f t="shared" si="133"/>
        <v>0</v>
      </c>
      <c r="AF112" s="231">
        <f t="shared" si="133"/>
        <v>432030723</v>
      </c>
      <c r="AG112" s="232">
        <f t="shared" si="133"/>
        <v>432030723</v>
      </c>
      <c r="AH112" s="233">
        <f t="shared" si="133"/>
        <v>5864849562.4444447</v>
      </c>
      <c r="AI112" s="231">
        <f t="shared" si="133"/>
        <v>8706713684.4444447</v>
      </c>
      <c r="AJ112" s="232">
        <f t="shared" si="133"/>
        <v>9842080998.4444447</v>
      </c>
      <c r="AK112" s="101"/>
      <c r="AL112" s="233">
        <f>AL114+AL123+AL141</f>
        <v>198873359</v>
      </c>
      <c r="AM112" s="232"/>
    </row>
    <row r="113" spans="1:39" ht="24.75" customHeight="1" thickBot="1">
      <c r="A113" s="123">
        <v>2000</v>
      </c>
      <c r="B113" s="265" t="s">
        <v>267</v>
      </c>
      <c r="C113" s="409">
        <f t="shared" ref="C113:N113" si="134">SUM(C115:C124)</f>
        <v>0</v>
      </c>
      <c r="D113" s="410">
        <f t="shared" si="134"/>
        <v>0</v>
      </c>
      <c r="E113" s="410">
        <f t="shared" si="134"/>
        <v>0</v>
      </c>
      <c r="F113" s="410">
        <f t="shared" si="134"/>
        <v>0</v>
      </c>
      <c r="G113" s="410">
        <f t="shared" si="134"/>
        <v>0</v>
      </c>
      <c r="H113" s="410">
        <f t="shared" si="134"/>
        <v>0</v>
      </c>
      <c r="I113" s="410">
        <f t="shared" si="134"/>
        <v>0</v>
      </c>
      <c r="J113" s="410">
        <f t="shared" si="134"/>
        <v>0</v>
      </c>
      <c r="K113" s="410">
        <f t="shared" si="134"/>
        <v>0</v>
      </c>
      <c r="L113" s="410">
        <f t="shared" si="134"/>
        <v>0</v>
      </c>
      <c r="M113" s="410">
        <f t="shared" si="134"/>
        <v>0</v>
      </c>
      <c r="N113" s="411">
        <f t="shared" si="134"/>
        <v>0</v>
      </c>
      <c r="O113" s="369"/>
      <c r="P113" s="171">
        <f>SUM(P115:P124)</f>
        <v>0</v>
      </c>
      <c r="Q113" s="173">
        <f>SUM(Q115:Q124)</f>
        <v>0</v>
      </c>
      <c r="R113" s="101"/>
      <c r="S113" s="189"/>
      <c r="T113" s="190"/>
      <c r="U113" s="1070"/>
      <c r="V113" s="191"/>
      <c r="W113" s="191"/>
      <c r="X113" s="192"/>
      <c r="Y113" s="193"/>
      <c r="Z113" s="191"/>
      <c r="AA113" s="192"/>
      <c r="AB113" s="193"/>
      <c r="AC113" s="191"/>
      <c r="AD113" s="191"/>
      <c r="AE113" s="193"/>
      <c r="AF113" s="191"/>
      <c r="AG113" s="192"/>
      <c r="AH113" s="193"/>
      <c r="AI113" s="191"/>
      <c r="AJ113" s="192"/>
      <c r="AK113" s="101"/>
      <c r="AL113" s="194"/>
      <c r="AM113" s="195"/>
    </row>
    <row r="114" spans="1:39" ht="24.75" customHeight="1" thickBot="1">
      <c r="A114" s="398"/>
      <c r="B114" s="399"/>
      <c r="C114" s="400"/>
      <c r="D114" s="400"/>
      <c r="E114" s="400"/>
      <c r="F114" s="400"/>
      <c r="G114" s="400"/>
      <c r="H114" s="400"/>
      <c r="I114" s="400"/>
      <c r="J114" s="400"/>
      <c r="K114" s="400"/>
      <c r="L114" s="400"/>
      <c r="M114" s="400"/>
      <c r="N114" s="401"/>
      <c r="O114" s="67"/>
      <c r="P114" s="402"/>
      <c r="Q114" s="401"/>
      <c r="R114" s="101"/>
      <c r="S114" s="257">
        <v>2010100</v>
      </c>
      <c r="T114" s="1115" t="s">
        <v>268</v>
      </c>
      <c r="U114" s="1118">
        <f t="shared" ref="U114:AJ114" si="135">SUM(U115:U121)</f>
        <v>1246863273.1666665</v>
      </c>
      <c r="V114" s="883">
        <f t="shared" si="135"/>
        <v>0</v>
      </c>
      <c r="W114" s="231">
        <f t="shared" si="135"/>
        <v>0</v>
      </c>
      <c r="X114" s="232">
        <f t="shared" si="135"/>
        <v>1246863273.1666665</v>
      </c>
      <c r="Y114" s="233">
        <f t="shared" si="135"/>
        <v>0</v>
      </c>
      <c r="Z114" s="231">
        <f t="shared" si="135"/>
        <v>275187524</v>
      </c>
      <c r="AA114" s="232">
        <f t="shared" si="135"/>
        <v>275187524</v>
      </c>
      <c r="AB114" s="233">
        <f t="shared" si="135"/>
        <v>0</v>
      </c>
      <c r="AC114" s="231">
        <f t="shared" si="135"/>
        <v>194148570</v>
      </c>
      <c r="AD114" s="234">
        <f t="shared" si="135"/>
        <v>194148570</v>
      </c>
      <c r="AE114" s="233">
        <f t="shared" si="135"/>
        <v>0</v>
      </c>
      <c r="AF114" s="231">
        <f t="shared" si="135"/>
        <v>174556906</v>
      </c>
      <c r="AG114" s="232">
        <f t="shared" si="135"/>
        <v>174556906</v>
      </c>
      <c r="AH114" s="233">
        <f t="shared" si="135"/>
        <v>971675749.16666663</v>
      </c>
      <c r="AI114" s="231">
        <f t="shared" si="135"/>
        <v>1052714703.1666666</v>
      </c>
      <c r="AJ114" s="232">
        <f t="shared" si="135"/>
        <v>1072306367.1666666</v>
      </c>
      <c r="AK114" s="101"/>
      <c r="AL114" s="233">
        <f>SUM(AL115:AL121)</f>
        <v>0</v>
      </c>
      <c r="AM114" s="232">
        <f>SUM(AM115:AM121)</f>
        <v>0</v>
      </c>
    </row>
    <row r="115" spans="1:39" ht="24.75" customHeight="1">
      <c r="A115" s="412">
        <v>2100</v>
      </c>
      <c r="B115" s="387" t="s">
        <v>269</v>
      </c>
      <c r="C115" s="204">
        <v>0</v>
      </c>
      <c r="D115" s="413">
        <f t="shared" ref="D115:D124" si="136">P115</f>
        <v>0</v>
      </c>
      <c r="E115" s="413">
        <f t="shared" ref="E115:E124" si="137">Q115</f>
        <v>0</v>
      </c>
      <c r="F115" s="414">
        <f t="shared" ref="F115:F124" si="138">SUM(C115:E115)</f>
        <v>0</v>
      </c>
      <c r="G115" s="415">
        <v>0</v>
      </c>
      <c r="H115" s="208">
        <v>0</v>
      </c>
      <c r="I115" s="414">
        <f t="shared" ref="I115:I124" si="139">SUM(G115:H115)</f>
        <v>0</v>
      </c>
      <c r="J115" s="415">
        <v>0</v>
      </c>
      <c r="K115" s="208">
        <v>0</v>
      </c>
      <c r="L115" s="416">
        <f t="shared" ref="L115:L124" si="140">SUM(J115:K115)</f>
        <v>0</v>
      </c>
      <c r="M115" s="417">
        <f t="shared" ref="M115:M124" si="141">F115-I115</f>
        <v>0</v>
      </c>
      <c r="N115" s="416">
        <f t="shared" ref="N115:N124" si="142">F115-L115</f>
        <v>0</v>
      </c>
      <c r="O115" s="369"/>
      <c r="P115" s="204">
        <v>0</v>
      </c>
      <c r="Q115" s="210">
        <v>0</v>
      </c>
      <c r="R115" s="101"/>
      <c r="S115" s="266" t="s">
        <v>702</v>
      </c>
      <c r="T115" s="534" t="s">
        <v>598</v>
      </c>
      <c r="U115" s="1113">
        <v>252782338.5</v>
      </c>
      <c r="V115" s="1027">
        <f t="shared" ref="V115:W121" si="143">AL115</f>
        <v>0</v>
      </c>
      <c r="W115" s="220">
        <f t="shared" si="143"/>
        <v>0</v>
      </c>
      <c r="X115" s="269">
        <f t="shared" ref="X115:X121" si="144">SUM(U115:W115)</f>
        <v>252782338.5</v>
      </c>
      <c r="Y115" s="270">
        <v>0</v>
      </c>
      <c r="Z115" s="208">
        <v>41476618</v>
      </c>
      <c r="AA115" s="269">
        <f t="shared" ref="AA115:AA121" si="145">SUM(Y115:Z115)</f>
        <v>41476618</v>
      </c>
      <c r="AB115" s="270">
        <v>0</v>
      </c>
      <c r="AC115" s="208">
        <v>18273366</v>
      </c>
      <c r="AD115" s="271">
        <f t="shared" ref="AD115:AD121" si="146">SUM(AB115:AC115)</f>
        <v>18273366</v>
      </c>
      <c r="AE115" s="270">
        <v>0</v>
      </c>
      <c r="AF115" s="208">
        <v>846000</v>
      </c>
      <c r="AG115" s="269">
        <f t="shared" ref="AG115:AG121" si="147">SUM(AE115:AF115)</f>
        <v>846000</v>
      </c>
      <c r="AH115" s="270">
        <f t="shared" ref="AH115:AH121" si="148">X115-AA115</f>
        <v>211305720.5</v>
      </c>
      <c r="AI115" s="220">
        <f t="shared" ref="AI115:AI121" si="149">X115-AD115</f>
        <v>234508972.5</v>
      </c>
      <c r="AJ115" s="269">
        <f t="shared" ref="AJ115:AJ121" si="150">X115-AG115</f>
        <v>251936338.5</v>
      </c>
      <c r="AK115" s="101"/>
      <c r="AL115" s="204">
        <v>0</v>
      </c>
      <c r="AM115" s="210">
        <v>0</v>
      </c>
    </row>
    <row r="116" spans="1:39" ht="24.75" customHeight="1">
      <c r="A116" s="418" t="s">
        <v>270</v>
      </c>
      <c r="B116" s="388" t="s">
        <v>161</v>
      </c>
      <c r="C116" s="204">
        <v>0</v>
      </c>
      <c r="D116" s="413">
        <f t="shared" si="136"/>
        <v>0</v>
      </c>
      <c r="E116" s="413">
        <f t="shared" si="137"/>
        <v>0</v>
      </c>
      <c r="F116" s="414">
        <f t="shared" si="138"/>
        <v>0</v>
      </c>
      <c r="G116" s="415">
        <v>0</v>
      </c>
      <c r="H116" s="208">
        <v>0</v>
      </c>
      <c r="I116" s="414">
        <f t="shared" si="139"/>
        <v>0</v>
      </c>
      <c r="J116" s="415">
        <v>0</v>
      </c>
      <c r="K116" s="208">
        <v>0</v>
      </c>
      <c r="L116" s="416">
        <f t="shared" si="140"/>
        <v>0</v>
      </c>
      <c r="M116" s="417">
        <f t="shared" si="141"/>
        <v>0</v>
      </c>
      <c r="N116" s="416">
        <f t="shared" si="142"/>
        <v>0</v>
      </c>
      <c r="O116" s="369"/>
      <c r="P116" s="204">
        <v>0</v>
      </c>
      <c r="Q116" s="210">
        <v>0</v>
      </c>
      <c r="R116" s="101"/>
      <c r="S116" s="706" t="s">
        <v>701</v>
      </c>
      <c r="T116" s="534" t="s">
        <v>646</v>
      </c>
      <c r="U116" s="1111">
        <v>77916666.666666657</v>
      </c>
      <c r="V116" s="1027">
        <f t="shared" si="143"/>
        <v>0</v>
      </c>
      <c r="W116" s="220">
        <f t="shared" si="143"/>
        <v>0</v>
      </c>
      <c r="X116" s="269">
        <f t="shared" si="144"/>
        <v>77916666.666666657</v>
      </c>
      <c r="Y116" s="270">
        <v>0</v>
      </c>
      <c r="Z116" s="208">
        <v>60000000</v>
      </c>
      <c r="AA116" s="269">
        <f t="shared" si="145"/>
        <v>60000000</v>
      </c>
      <c r="AB116" s="270">
        <v>0</v>
      </c>
      <c r="AC116" s="208">
        <v>2164298</v>
      </c>
      <c r="AD116" s="271">
        <f t="shared" si="146"/>
        <v>2164298</v>
      </c>
      <c r="AE116" s="270">
        <v>0</v>
      </c>
      <c r="AF116" s="208">
        <v>0</v>
      </c>
      <c r="AG116" s="269">
        <f t="shared" si="147"/>
        <v>0</v>
      </c>
      <c r="AH116" s="270">
        <f t="shared" si="148"/>
        <v>17916666.666666657</v>
      </c>
      <c r="AI116" s="220">
        <f t="shared" si="149"/>
        <v>75752368.666666657</v>
      </c>
      <c r="AJ116" s="269">
        <f t="shared" si="150"/>
        <v>77916666.666666657</v>
      </c>
      <c r="AK116" s="101"/>
      <c r="AL116" s="204">
        <v>0</v>
      </c>
      <c r="AM116" s="210">
        <v>0</v>
      </c>
    </row>
    <row r="117" spans="1:39" ht="24.75" customHeight="1">
      <c r="A117" s="412">
        <v>2200</v>
      </c>
      <c r="B117" s="387" t="s">
        <v>271</v>
      </c>
      <c r="C117" s="204">
        <v>0</v>
      </c>
      <c r="D117" s="413">
        <f t="shared" si="136"/>
        <v>0</v>
      </c>
      <c r="E117" s="413">
        <f t="shared" si="137"/>
        <v>0</v>
      </c>
      <c r="F117" s="414">
        <f t="shared" si="138"/>
        <v>0</v>
      </c>
      <c r="G117" s="415">
        <v>0</v>
      </c>
      <c r="H117" s="208">
        <v>0</v>
      </c>
      <c r="I117" s="414">
        <f t="shared" si="139"/>
        <v>0</v>
      </c>
      <c r="J117" s="415">
        <v>0</v>
      </c>
      <c r="K117" s="208">
        <v>0</v>
      </c>
      <c r="L117" s="416">
        <f t="shared" si="140"/>
        <v>0</v>
      </c>
      <c r="M117" s="417">
        <f t="shared" si="141"/>
        <v>0</v>
      </c>
      <c r="N117" s="416">
        <f t="shared" si="142"/>
        <v>0</v>
      </c>
      <c r="O117" s="369"/>
      <c r="P117" s="204">
        <v>0</v>
      </c>
      <c r="Q117" s="210">
        <v>0</v>
      </c>
      <c r="R117" s="101"/>
      <c r="S117" s="266" t="s">
        <v>654</v>
      </c>
      <c r="T117" s="534" t="s">
        <v>655</v>
      </c>
      <c r="U117" s="1119">
        <v>20000000</v>
      </c>
      <c r="V117" s="1027">
        <f t="shared" si="143"/>
        <v>0</v>
      </c>
      <c r="W117" s="220">
        <f t="shared" si="143"/>
        <v>0</v>
      </c>
      <c r="X117" s="269">
        <f t="shared" si="144"/>
        <v>20000000</v>
      </c>
      <c r="Y117" s="270">
        <v>0</v>
      </c>
      <c r="Z117" s="208">
        <v>0</v>
      </c>
      <c r="AA117" s="269">
        <f t="shared" si="145"/>
        <v>0</v>
      </c>
      <c r="AB117" s="270">
        <v>0</v>
      </c>
      <c r="AC117" s="208">
        <v>0</v>
      </c>
      <c r="AD117" s="271">
        <f t="shared" si="146"/>
        <v>0</v>
      </c>
      <c r="AE117" s="270">
        <v>0</v>
      </c>
      <c r="AF117" s="208">
        <v>0</v>
      </c>
      <c r="AG117" s="269">
        <f t="shared" si="147"/>
        <v>0</v>
      </c>
      <c r="AH117" s="270">
        <f t="shared" si="148"/>
        <v>20000000</v>
      </c>
      <c r="AI117" s="220">
        <f t="shared" si="149"/>
        <v>20000000</v>
      </c>
      <c r="AJ117" s="269">
        <f t="shared" si="150"/>
        <v>20000000</v>
      </c>
      <c r="AK117" s="101"/>
      <c r="AL117" s="204">
        <v>0</v>
      </c>
      <c r="AM117" s="210">
        <v>0</v>
      </c>
    </row>
    <row r="118" spans="1:39" ht="24.75" customHeight="1">
      <c r="A118" s="412" t="s">
        <v>272</v>
      </c>
      <c r="B118" s="388" t="s">
        <v>161</v>
      </c>
      <c r="C118" s="204">
        <v>0</v>
      </c>
      <c r="D118" s="413">
        <f t="shared" si="136"/>
        <v>0</v>
      </c>
      <c r="E118" s="413">
        <f t="shared" si="137"/>
        <v>0</v>
      </c>
      <c r="F118" s="414">
        <f t="shared" si="138"/>
        <v>0</v>
      </c>
      <c r="G118" s="415">
        <v>0</v>
      </c>
      <c r="H118" s="208">
        <v>0</v>
      </c>
      <c r="I118" s="414">
        <f t="shared" si="139"/>
        <v>0</v>
      </c>
      <c r="J118" s="415">
        <v>0</v>
      </c>
      <c r="K118" s="208">
        <v>0</v>
      </c>
      <c r="L118" s="416">
        <f t="shared" si="140"/>
        <v>0</v>
      </c>
      <c r="M118" s="417">
        <f t="shared" si="141"/>
        <v>0</v>
      </c>
      <c r="N118" s="416">
        <f t="shared" si="142"/>
        <v>0</v>
      </c>
      <c r="O118" s="369"/>
      <c r="P118" s="204">
        <v>0</v>
      </c>
      <c r="Q118" s="210">
        <v>0</v>
      </c>
      <c r="R118" s="101"/>
      <c r="S118" s="706" t="s">
        <v>708</v>
      </c>
      <c r="T118" s="707" t="s">
        <v>722</v>
      </c>
      <c r="U118" s="1120">
        <v>15180000</v>
      </c>
      <c r="V118" s="1027">
        <f t="shared" si="143"/>
        <v>0</v>
      </c>
      <c r="W118" s="220">
        <f t="shared" si="143"/>
        <v>0</v>
      </c>
      <c r="X118" s="269">
        <f t="shared" si="144"/>
        <v>15180000</v>
      </c>
      <c r="Y118" s="270">
        <v>0</v>
      </c>
      <c r="Z118" s="208"/>
      <c r="AA118" s="269">
        <f t="shared" si="145"/>
        <v>0</v>
      </c>
      <c r="AB118" s="270">
        <v>0</v>
      </c>
      <c r="AC118" s="208"/>
      <c r="AD118" s="271">
        <f t="shared" si="146"/>
        <v>0</v>
      </c>
      <c r="AE118" s="270">
        <v>0</v>
      </c>
      <c r="AF118" s="208"/>
      <c r="AG118" s="269">
        <f t="shared" si="147"/>
        <v>0</v>
      </c>
      <c r="AH118" s="270">
        <f t="shared" si="148"/>
        <v>15180000</v>
      </c>
      <c r="AI118" s="220">
        <f t="shared" si="149"/>
        <v>15180000</v>
      </c>
      <c r="AJ118" s="269">
        <f t="shared" si="150"/>
        <v>15180000</v>
      </c>
      <c r="AK118" s="101"/>
      <c r="AL118" s="204">
        <v>0</v>
      </c>
      <c r="AM118" s="210">
        <v>0</v>
      </c>
    </row>
    <row r="119" spans="1:39" ht="24.75" customHeight="1">
      <c r="A119" s="412" t="s">
        <v>637</v>
      </c>
      <c r="B119" s="387" t="s">
        <v>638</v>
      </c>
      <c r="C119" s="204">
        <v>0</v>
      </c>
      <c r="D119" s="413">
        <f t="shared" si="136"/>
        <v>0</v>
      </c>
      <c r="E119" s="413">
        <f t="shared" si="137"/>
        <v>0</v>
      </c>
      <c r="F119" s="414">
        <f t="shared" si="138"/>
        <v>0</v>
      </c>
      <c r="G119" s="207">
        <v>0</v>
      </c>
      <c r="H119" s="208">
        <v>0</v>
      </c>
      <c r="I119" s="419">
        <f t="shared" si="139"/>
        <v>0</v>
      </c>
      <c r="J119" s="207">
        <v>0</v>
      </c>
      <c r="K119" s="208">
        <v>0</v>
      </c>
      <c r="L119" s="206">
        <f t="shared" si="140"/>
        <v>0</v>
      </c>
      <c r="M119" s="420">
        <f t="shared" si="141"/>
        <v>0</v>
      </c>
      <c r="N119" s="206">
        <f t="shared" si="142"/>
        <v>0</v>
      </c>
      <c r="O119" s="369"/>
      <c r="P119" s="204">
        <v>0</v>
      </c>
      <c r="Q119" s="210">
        <v>0</v>
      </c>
      <c r="R119" s="101"/>
      <c r="S119" s="1104" t="s">
        <v>705</v>
      </c>
      <c r="T119" s="1105" t="s">
        <v>706</v>
      </c>
      <c r="U119" s="1120"/>
      <c r="V119" s="1027">
        <f t="shared" si="143"/>
        <v>0</v>
      </c>
      <c r="W119" s="220">
        <f t="shared" si="143"/>
        <v>0</v>
      </c>
      <c r="X119" s="269">
        <f t="shared" si="144"/>
        <v>0</v>
      </c>
      <c r="Y119" s="270">
        <v>0</v>
      </c>
      <c r="Z119" s="208"/>
      <c r="AA119" s="269">
        <f t="shared" si="145"/>
        <v>0</v>
      </c>
      <c r="AB119" s="270">
        <v>0</v>
      </c>
      <c r="AC119" s="208"/>
      <c r="AD119" s="271">
        <f t="shared" si="146"/>
        <v>0</v>
      </c>
      <c r="AE119" s="270">
        <v>0</v>
      </c>
      <c r="AF119" s="208"/>
      <c r="AG119" s="269">
        <f t="shared" si="147"/>
        <v>0</v>
      </c>
      <c r="AH119" s="270">
        <f t="shared" si="148"/>
        <v>0</v>
      </c>
      <c r="AI119" s="220">
        <f t="shared" si="149"/>
        <v>0</v>
      </c>
      <c r="AJ119" s="269">
        <f t="shared" si="150"/>
        <v>0</v>
      </c>
      <c r="AK119" s="101"/>
      <c r="AL119" s="204">
        <v>0</v>
      </c>
      <c r="AM119" s="210">
        <v>0</v>
      </c>
    </row>
    <row r="120" spans="1:39" ht="24.75" customHeight="1">
      <c r="A120" s="421">
        <v>2400</v>
      </c>
      <c r="B120" s="388" t="s">
        <v>273</v>
      </c>
      <c r="C120" s="204">
        <v>0</v>
      </c>
      <c r="D120" s="413">
        <f t="shared" si="136"/>
        <v>0</v>
      </c>
      <c r="E120" s="413">
        <f t="shared" si="137"/>
        <v>0</v>
      </c>
      <c r="F120" s="414">
        <f t="shared" si="138"/>
        <v>0</v>
      </c>
      <c r="G120" s="207">
        <v>0</v>
      </c>
      <c r="H120" s="208">
        <v>0</v>
      </c>
      <c r="I120" s="419">
        <f t="shared" si="139"/>
        <v>0</v>
      </c>
      <c r="J120" s="207">
        <v>0</v>
      </c>
      <c r="K120" s="208">
        <v>0</v>
      </c>
      <c r="L120" s="206">
        <f t="shared" si="140"/>
        <v>0</v>
      </c>
      <c r="M120" s="420">
        <f t="shared" si="141"/>
        <v>0</v>
      </c>
      <c r="N120" s="206">
        <f t="shared" si="142"/>
        <v>0</v>
      </c>
      <c r="O120" s="67"/>
      <c r="P120" s="204">
        <v>0</v>
      </c>
      <c r="Q120" s="210">
        <v>0</v>
      </c>
      <c r="R120" s="101"/>
      <c r="S120" s="1106" t="s">
        <v>751</v>
      </c>
      <c r="T120" s="1116" t="s">
        <v>752</v>
      </c>
      <c r="U120" s="1121">
        <v>704984268</v>
      </c>
      <c r="V120" s="1027">
        <f t="shared" si="143"/>
        <v>0</v>
      </c>
      <c r="W120" s="220">
        <f t="shared" si="143"/>
        <v>0</v>
      </c>
      <c r="X120" s="269">
        <f t="shared" si="144"/>
        <v>704984268</v>
      </c>
      <c r="Y120" s="270">
        <v>0</v>
      </c>
      <c r="Z120" s="208"/>
      <c r="AA120" s="269">
        <f t="shared" si="145"/>
        <v>0</v>
      </c>
      <c r="AB120" s="270">
        <v>0</v>
      </c>
      <c r="AC120" s="208"/>
      <c r="AD120" s="271">
        <f t="shared" si="146"/>
        <v>0</v>
      </c>
      <c r="AE120" s="270">
        <v>0</v>
      </c>
      <c r="AF120" s="208"/>
      <c r="AG120" s="269">
        <f t="shared" si="147"/>
        <v>0</v>
      </c>
      <c r="AH120" s="270">
        <f t="shared" si="148"/>
        <v>704984268</v>
      </c>
      <c r="AI120" s="220">
        <f t="shared" si="149"/>
        <v>704984268</v>
      </c>
      <c r="AJ120" s="269">
        <f t="shared" si="150"/>
        <v>704984268</v>
      </c>
      <c r="AK120" s="101"/>
      <c r="AL120" s="204">
        <v>0</v>
      </c>
      <c r="AM120" s="210">
        <v>0</v>
      </c>
    </row>
    <row r="121" spans="1:39" ht="24.75" customHeight="1" thickBot="1">
      <c r="A121" s="421">
        <v>2500</v>
      </c>
      <c r="B121" s="388" t="s">
        <v>274</v>
      </c>
      <c r="C121" s="204">
        <v>0</v>
      </c>
      <c r="D121" s="413">
        <f t="shared" si="136"/>
        <v>0</v>
      </c>
      <c r="E121" s="413">
        <f t="shared" si="137"/>
        <v>0</v>
      </c>
      <c r="F121" s="414">
        <f t="shared" si="138"/>
        <v>0</v>
      </c>
      <c r="G121" s="207">
        <v>0</v>
      </c>
      <c r="H121" s="208">
        <v>0</v>
      </c>
      <c r="I121" s="419">
        <f t="shared" si="139"/>
        <v>0</v>
      </c>
      <c r="J121" s="207">
        <v>0</v>
      </c>
      <c r="K121" s="208">
        <v>0</v>
      </c>
      <c r="L121" s="206">
        <f t="shared" si="140"/>
        <v>0</v>
      </c>
      <c r="M121" s="420">
        <f t="shared" si="141"/>
        <v>0</v>
      </c>
      <c r="N121" s="206">
        <f t="shared" si="142"/>
        <v>0</v>
      </c>
      <c r="O121" s="67"/>
      <c r="P121" s="204">
        <v>0</v>
      </c>
      <c r="Q121" s="210">
        <v>0</v>
      </c>
      <c r="R121" s="101"/>
      <c r="S121" s="1103" t="s">
        <v>742</v>
      </c>
      <c r="T121" s="1117" t="s">
        <v>640</v>
      </c>
      <c r="U121" s="1114">
        <v>176000000</v>
      </c>
      <c r="V121" s="1027">
        <f t="shared" si="143"/>
        <v>0</v>
      </c>
      <c r="W121" s="220">
        <f t="shared" si="143"/>
        <v>0</v>
      </c>
      <c r="X121" s="269">
        <f t="shared" si="144"/>
        <v>176000000</v>
      </c>
      <c r="Y121" s="270">
        <v>0</v>
      </c>
      <c r="Z121" s="208">
        <v>173710906</v>
      </c>
      <c r="AA121" s="269">
        <f t="shared" si="145"/>
        <v>173710906</v>
      </c>
      <c r="AB121" s="270">
        <v>0</v>
      </c>
      <c r="AC121" s="208">
        <v>173710906</v>
      </c>
      <c r="AD121" s="271">
        <f t="shared" si="146"/>
        <v>173710906</v>
      </c>
      <c r="AE121" s="270">
        <v>0</v>
      </c>
      <c r="AF121" s="208">
        <v>173710906</v>
      </c>
      <c r="AG121" s="269">
        <f t="shared" si="147"/>
        <v>173710906</v>
      </c>
      <c r="AH121" s="270">
        <f t="shared" si="148"/>
        <v>2289094</v>
      </c>
      <c r="AI121" s="220">
        <f t="shared" si="149"/>
        <v>2289094</v>
      </c>
      <c r="AJ121" s="269">
        <f t="shared" si="150"/>
        <v>2289094</v>
      </c>
      <c r="AK121" s="101"/>
      <c r="AL121" s="204">
        <v>0</v>
      </c>
      <c r="AM121" s="210">
        <v>0</v>
      </c>
    </row>
    <row r="122" spans="1:39" ht="24.75" customHeight="1" thickBot="1">
      <c r="A122" s="421">
        <v>2600</v>
      </c>
      <c r="B122" s="388" t="str">
        <f>+CONCATENATE("RECUPERACIÓN DE CARTERA (AÑO ",INSTRUCCIONES!F3-2," Y ANTERIORES)")</f>
        <v>RECUPERACIÓN DE CARTERA (AÑO 2023 Y ANTERIORES)</v>
      </c>
      <c r="C122" s="204">
        <v>0</v>
      </c>
      <c r="D122" s="413">
        <f t="shared" si="136"/>
        <v>0</v>
      </c>
      <c r="E122" s="413">
        <f t="shared" si="137"/>
        <v>0</v>
      </c>
      <c r="F122" s="414">
        <f t="shared" si="138"/>
        <v>0</v>
      </c>
      <c r="G122" s="207">
        <v>0</v>
      </c>
      <c r="H122" s="208">
        <v>0</v>
      </c>
      <c r="I122" s="419">
        <f t="shared" si="139"/>
        <v>0</v>
      </c>
      <c r="J122" s="207">
        <v>0</v>
      </c>
      <c r="K122" s="208">
        <v>0</v>
      </c>
      <c r="L122" s="206">
        <f t="shared" si="140"/>
        <v>0</v>
      </c>
      <c r="M122" s="420">
        <f t="shared" si="141"/>
        <v>0</v>
      </c>
      <c r="N122" s="206">
        <f t="shared" si="142"/>
        <v>0</v>
      </c>
      <c r="O122" s="67"/>
      <c r="P122" s="204">
        <v>0</v>
      </c>
      <c r="Q122" s="210">
        <v>0</v>
      </c>
      <c r="R122" s="101"/>
      <c r="S122" s="189"/>
      <c r="T122" s="190"/>
      <c r="U122" s="915"/>
      <c r="V122" s="191"/>
      <c r="W122" s="191"/>
      <c r="X122" s="192"/>
      <c r="Y122" s="193"/>
      <c r="Z122" s="191"/>
      <c r="AA122" s="192"/>
      <c r="AB122" s="193"/>
      <c r="AC122" s="191"/>
      <c r="AD122" s="191"/>
      <c r="AE122" s="193"/>
      <c r="AF122" s="191"/>
      <c r="AG122" s="192"/>
      <c r="AH122" s="193"/>
      <c r="AI122" s="191"/>
      <c r="AJ122" s="192"/>
      <c r="AK122" s="101"/>
      <c r="AL122" s="370"/>
      <c r="AM122" s="371"/>
    </row>
    <row r="123" spans="1:39" ht="24.75" customHeight="1">
      <c r="A123" s="421">
        <v>2700</v>
      </c>
      <c r="B123" s="388" t="s">
        <v>275</v>
      </c>
      <c r="C123" s="204">
        <v>0</v>
      </c>
      <c r="D123" s="413">
        <f t="shared" si="136"/>
        <v>0</v>
      </c>
      <c r="E123" s="413">
        <f t="shared" si="137"/>
        <v>0</v>
      </c>
      <c r="F123" s="414">
        <f t="shared" si="138"/>
        <v>0</v>
      </c>
      <c r="G123" s="207">
        <v>0</v>
      </c>
      <c r="H123" s="208">
        <v>0</v>
      </c>
      <c r="I123" s="419">
        <f t="shared" si="139"/>
        <v>0</v>
      </c>
      <c r="J123" s="207">
        <v>0</v>
      </c>
      <c r="K123" s="208">
        <v>0</v>
      </c>
      <c r="L123" s="206">
        <f t="shared" si="140"/>
        <v>0</v>
      </c>
      <c r="M123" s="420">
        <f t="shared" si="141"/>
        <v>0</v>
      </c>
      <c r="N123" s="206">
        <f t="shared" si="142"/>
        <v>0</v>
      </c>
      <c r="O123" s="67"/>
      <c r="P123" s="204">
        <v>0</v>
      </c>
      <c r="Q123" s="210">
        <v>0</v>
      </c>
      <c r="R123" s="389"/>
      <c r="S123" s="422">
        <v>2010200</v>
      </c>
      <c r="T123" s="1107" t="s">
        <v>276</v>
      </c>
      <c r="U123" s="1110">
        <f>SUM(U124:U139)</f>
        <v>8280375089.2777777</v>
      </c>
      <c r="V123" s="424">
        <f t="shared" ref="V123:AJ123" si="151">SUM(V124:V139)</f>
        <v>198873359</v>
      </c>
      <c r="W123" s="209">
        <f t="shared" si="151"/>
        <v>0</v>
      </c>
      <c r="X123" s="425">
        <f t="shared" si="151"/>
        <v>8479248448.2777777</v>
      </c>
      <c r="Y123" s="426">
        <f t="shared" si="151"/>
        <v>0</v>
      </c>
      <c r="Z123" s="209">
        <f t="shared" si="151"/>
        <v>4125194575</v>
      </c>
      <c r="AA123" s="425">
        <f t="shared" si="151"/>
        <v>4125194575</v>
      </c>
      <c r="AB123" s="426">
        <f t="shared" si="151"/>
        <v>0</v>
      </c>
      <c r="AC123" s="209">
        <f t="shared" si="151"/>
        <v>1364369407</v>
      </c>
      <c r="AD123" s="427">
        <f t="shared" si="151"/>
        <v>1364369407</v>
      </c>
      <c r="AE123" s="426">
        <f t="shared" si="151"/>
        <v>0</v>
      </c>
      <c r="AF123" s="209">
        <f t="shared" si="151"/>
        <v>248593757</v>
      </c>
      <c r="AG123" s="425">
        <f t="shared" si="151"/>
        <v>248593757</v>
      </c>
      <c r="AH123" s="426">
        <f t="shared" si="151"/>
        <v>4354053873.2777777</v>
      </c>
      <c r="AI123" s="209">
        <f t="shared" si="151"/>
        <v>7114879041.2777777</v>
      </c>
      <c r="AJ123" s="425">
        <f t="shared" si="151"/>
        <v>8230654691.2777777</v>
      </c>
      <c r="AK123" s="389"/>
      <c r="AL123" s="426">
        <f>SUM(AL124:AL139)</f>
        <v>198873359</v>
      </c>
      <c r="AM123" s="425">
        <f>SUM(AM124:AM139)</f>
        <v>0</v>
      </c>
    </row>
    <row r="124" spans="1:39" ht="24.75" customHeight="1" thickBot="1">
      <c r="A124" s="428">
        <v>2800</v>
      </c>
      <c r="B124" s="390"/>
      <c r="C124" s="242">
        <v>0</v>
      </c>
      <c r="D124" s="429">
        <f t="shared" si="136"/>
        <v>0</v>
      </c>
      <c r="E124" s="429">
        <f t="shared" si="137"/>
        <v>0</v>
      </c>
      <c r="F124" s="430">
        <f t="shared" si="138"/>
        <v>0</v>
      </c>
      <c r="G124" s="245">
        <v>0</v>
      </c>
      <c r="H124" s="246">
        <v>0</v>
      </c>
      <c r="I124" s="431">
        <f t="shared" si="139"/>
        <v>0</v>
      </c>
      <c r="J124" s="245">
        <v>0</v>
      </c>
      <c r="K124" s="246">
        <v>0</v>
      </c>
      <c r="L124" s="244">
        <f t="shared" si="140"/>
        <v>0</v>
      </c>
      <c r="M124" s="432">
        <f t="shared" si="141"/>
        <v>0</v>
      </c>
      <c r="N124" s="244">
        <f t="shared" si="142"/>
        <v>0</v>
      </c>
      <c r="O124" s="67"/>
      <c r="P124" s="242">
        <v>0</v>
      </c>
      <c r="Q124" s="248">
        <v>0</v>
      </c>
      <c r="R124" s="101"/>
      <c r="S124" s="709" t="s">
        <v>717</v>
      </c>
      <c r="T124" s="534" t="s">
        <v>277</v>
      </c>
      <c r="U124" s="1111">
        <v>1040000000</v>
      </c>
      <c r="V124" s="1027">
        <f t="shared" ref="V124:V139" si="152">AL124</f>
        <v>0</v>
      </c>
      <c r="W124" s="220">
        <f t="shared" ref="W124:W139" si="153">AM124</f>
        <v>0</v>
      </c>
      <c r="X124" s="269">
        <f t="shared" ref="X124:X139" si="154">SUM(U124:W124)</f>
        <v>1040000000</v>
      </c>
      <c r="Y124" s="270">
        <v>0</v>
      </c>
      <c r="Z124" s="208">
        <v>849808541</v>
      </c>
      <c r="AA124" s="269">
        <f t="shared" ref="AA124:AA139" si="155">SUM(Y124:Z124)</f>
        <v>849808541</v>
      </c>
      <c r="AB124" s="270">
        <v>0</v>
      </c>
      <c r="AC124" s="208">
        <v>849037177</v>
      </c>
      <c r="AD124" s="271">
        <f t="shared" ref="AD124:AD139" si="156">SUM(AB124:AC124)</f>
        <v>849037177</v>
      </c>
      <c r="AE124" s="270">
        <v>0</v>
      </c>
      <c r="AF124" s="208">
        <v>0</v>
      </c>
      <c r="AG124" s="269">
        <f t="shared" ref="AG124:AG139" si="157">SUM(AE124:AF124)</f>
        <v>0</v>
      </c>
      <c r="AH124" s="270">
        <f t="shared" ref="AH124:AH139" si="158">X124-AA124</f>
        <v>190191459</v>
      </c>
      <c r="AI124" s="220">
        <f t="shared" ref="AI124:AI139" si="159">X124-AD124</f>
        <v>190962823</v>
      </c>
      <c r="AJ124" s="269">
        <f t="shared" ref="AJ124:AJ139" si="160">X124-AG124</f>
        <v>1040000000</v>
      </c>
      <c r="AK124" s="101"/>
      <c r="AL124" s="204">
        <v>0</v>
      </c>
      <c r="AM124" s="210">
        <v>0</v>
      </c>
    </row>
    <row r="125" spans="1:39" ht="24.75" customHeight="1" thickBot="1">
      <c r="A125" s="398"/>
      <c r="B125" s="399"/>
      <c r="C125" s="400"/>
      <c r="D125" s="400"/>
      <c r="E125" s="400"/>
      <c r="F125" s="400"/>
      <c r="G125" s="400"/>
      <c r="H125" s="400"/>
      <c r="I125" s="400"/>
      <c r="J125" s="400"/>
      <c r="K125" s="400"/>
      <c r="L125" s="400"/>
      <c r="M125" s="400"/>
      <c r="N125" s="401"/>
      <c r="O125" s="67"/>
      <c r="P125" s="402"/>
      <c r="Q125" s="401"/>
      <c r="R125" s="101"/>
      <c r="S125" s="709" t="s">
        <v>584</v>
      </c>
      <c r="T125" s="534" t="s">
        <v>281</v>
      </c>
      <c r="U125" s="1111">
        <v>75000000</v>
      </c>
      <c r="V125" s="1027">
        <f t="shared" si="152"/>
        <v>0</v>
      </c>
      <c r="W125" s="220">
        <f t="shared" si="153"/>
        <v>0</v>
      </c>
      <c r="X125" s="269">
        <f t="shared" si="154"/>
        <v>75000000</v>
      </c>
      <c r="Y125" s="270">
        <v>0</v>
      </c>
      <c r="Z125" s="208">
        <v>30000000</v>
      </c>
      <c r="AA125" s="269">
        <f t="shared" si="155"/>
        <v>30000000</v>
      </c>
      <c r="AB125" s="270">
        <v>0</v>
      </c>
      <c r="AC125" s="208">
        <v>10000000</v>
      </c>
      <c r="AD125" s="271">
        <f t="shared" si="156"/>
        <v>10000000</v>
      </c>
      <c r="AE125" s="270">
        <v>0</v>
      </c>
      <c r="AF125" s="208">
        <v>0</v>
      </c>
      <c r="AG125" s="269">
        <f t="shared" si="157"/>
        <v>0</v>
      </c>
      <c r="AH125" s="270">
        <f t="shared" si="158"/>
        <v>45000000</v>
      </c>
      <c r="AI125" s="220">
        <f t="shared" si="159"/>
        <v>65000000</v>
      </c>
      <c r="AJ125" s="269">
        <f t="shared" si="160"/>
        <v>75000000</v>
      </c>
      <c r="AK125" s="101"/>
      <c r="AL125" s="204">
        <v>0</v>
      </c>
      <c r="AM125" s="210">
        <v>0</v>
      </c>
    </row>
    <row r="126" spans="1:39" ht="34.5" customHeight="1" thickBot="1">
      <c r="A126" s="433" t="s">
        <v>278</v>
      </c>
      <c r="B126" s="434"/>
      <c r="C126" s="435">
        <f t="shared" ref="C126:N126" si="161">C8-C128</f>
        <v>138960268668.37653</v>
      </c>
      <c r="D126" s="435">
        <f t="shared" si="161"/>
        <v>0</v>
      </c>
      <c r="E126" s="435">
        <f t="shared" si="161"/>
        <v>6401468507</v>
      </c>
      <c r="F126" s="435">
        <f t="shared" si="161"/>
        <v>145361737175.37653</v>
      </c>
      <c r="G126" s="435">
        <f t="shared" si="161"/>
        <v>0</v>
      </c>
      <c r="H126" s="435">
        <f t="shared" si="161"/>
        <v>16794333678</v>
      </c>
      <c r="I126" s="435">
        <f t="shared" si="161"/>
        <v>16794333678</v>
      </c>
      <c r="J126" s="435">
        <f t="shared" si="161"/>
        <v>0</v>
      </c>
      <c r="K126" s="435">
        <f t="shared" si="161"/>
        <v>124593192</v>
      </c>
      <c r="L126" s="435">
        <f t="shared" si="161"/>
        <v>124593192</v>
      </c>
      <c r="M126" s="435">
        <f t="shared" si="161"/>
        <v>128549047968.3765</v>
      </c>
      <c r="N126" s="436">
        <f t="shared" si="161"/>
        <v>145218788454.37653</v>
      </c>
      <c r="O126" s="67"/>
      <c r="P126" s="437">
        <f>P8-P128</f>
        <v>0</v>
      </c>
      <c r="Q126" s="438">
        <f>Q8-Q128</f>
        <v>6401468507</v>
      </c>
      <c r="R126" s="101"/>
      <c r="S126" s="709" t="s">
        <v>586</v>
      </c>
      <c r="T126" s="708" t="s">
        <v>718</v>
      </c>
      <c r="U126" s="1111">
        <v>2804022659</v>
      </c>
      <c r="V126" s="1027">
        <f t="shared" si="152"/>
        <v>0</v>
      </c>
      <c r="W126" s="220">
        <f t="shared" si="153"/>
        <v>0</v>
      </c>
      <c r="X126" s="269">
        <f t="shared" si="154"/>
        <v>2804022659</v>
      </c>
      <c r="Y126" s="270">
        <v>0</v>
      </c>
      <c r="Z126" s="208">
        <v>68087380</v>
      </c>
      <c r="AA126" s="269">
        <f t="shared" si="155"/>
        <v>68087380</v>
      </c>
      <c r="AB126" s="270">
        <v>0</v>
      </c>
      <c r="AC126" s="208">
        <v>67346780</v>
      </c>
      <c r="AD126" s="271">
        <f t="shared" si="156"/>
        <v>67346780</v>
      </c>
      <c r="AE126" s="270">
        <v>0</v>
      </c>
      <c r="AF126" s="208">
        <v>15134624</v>
      </c>
      <c r="AG126" s="269">
        <f t="shared" si="157"/>
        <v>15134624</v>
      </c>
      <c r="AH126" s="270">
        <f t="shared" si="158"/>
        <v>2735935279</v>
      </c>
      <c r="AI126" s="220">
        <f t="shared" si="159"/>
        <v>2736675879</v>
      </c>
      <c r="AJ126" s="269">
        <f t="shared" si="160"/>
        <v>2788888035</v>
      </c>
      <c r="AK126" s="101"/>
      <c r="AL126" s="204">
        <v>0</v>
      </c>
      <c r="AM126" s="210">
        <v>0</v>
      </c>
    </row>
    <row r="127" spans="1:39" ht="24.75" customHeight="1" thickBot="1">
      <c r="A127" s="398"/>
      <c r="B127" s="399"/>
      <c r="C127" s="400"/>
      <c r="D127" s="400"/>
      <c r="E127" s="400"/>
      <c r="F127" s="400"/>
      <c r="G127" s="400"/>
      <c r="H127" s="400"/>
      <c r="I127" s="400"/>
      <c r="J127" s="400"/>
      <c r="K127" s="400"/>
      <c r="L127" s="400"/>
      <c r="M127" s="400"/>
      <c r="N127" s="401"/>
      <c r="O127" s="67"/>
      <c r="P127" s="402"/>
      <c r="Q127" s="401"/>
      <c r="R127" s="101"/>
      <c r="S127" s="706" t="s">
        <v>715</v>
      </c>
      <c r="T127" s="534" t="s">
        <v>279</v>
      </c>
      <c r="U127" s="1111">
        <v>341244561.11111116</v>
      </c>
      <c r="V127" s="1027">
        <f t="shared" si="152"/>
        <v>0</v>
      </c>
      <c r="W127" s="220">
        <f t="shared" si="153"/>
        <v>0</v>
      </c>
      <c r="X127" s="269">
        <f t="shared" si="154"/>
        <v>341244561.11111116</v>
      </c>
      <c r="Y127" s="270">
        <v>0</v>
      </c>
      <c r="Z127" s="208">
        <v>61718200</v>
      </c>
      <c r="AA127" s="269">
        <f t="shared" si="155"/>
        <v>61718200</v>
      </c>
      <c r="AB127" s="270">
        <v>0</v>
      </c>
      <c r="AC127" s="208">
        <v>13208878</v>
      </c>
      <c r="AD127" s="271">
        <f t="shared" si="156"/>
        <v>13208878</v>
      </c>
      <c r="AE127" s="270">
        <v>0</v>
      </c>
      <c r="AF127" s="208">
        <v>0</v>
      </c>
      <c r="AG127" s="269">
        <f t="shared" si="157"/>
        <v>0</v>
      </c>
      <c r="AH127" s="270">
        <f t="shared" si="158"/>
        <v>279526361.11111116</v>
      </c>
      <c r="AI127" s="220">
        <f t="shared" si="159"/>
        <v>328035683.11111116</v>
      </c>
      <c r="AJ127" s="269">
        <f t="shared" si="160"/>
        <v>341244561.11111116</v>
      </c>
      <c r="AK127" s="101"/>
      <c r="AL127" s="204">
        <v>0</v>
      </c>
      <c r="AM127" s="210"/>
    </row>
    <row r="128" spans="1:39" ht="24.75" customHeight="1" thickBot="1">
      <c r="A128" s="439" t="s">
        <v>280</v>
      </c>
      <c r="B128" s="440"/>
      <c r="C128" s="876">
        <f>SUM(C124+C111+C102+C92+C83+C80+C77+C74+C71+C68+C65+C62+C59+C56+C53+C50+C47+C44+C37+C34+C31+C27+C24)</f>
        <v>19182884469.099998</v>
      </c>
      <c r="D128" s="876">
        <f>SUMIF($B8:$B$122,$B$24,D8:D122)+D122</f>
        <v>0</v>
      </c>
      <c r="E128" s="876">
        <f>SUM(E124+E111+E102+E92+E83+E80+E77+E74+E71+E68+E65+E62+E59+E56+E53+E50+E47+E44+E37+E34+E31+E27+E24)</f>
        <v>0</v>
      </c>
      <c r="F128" s="876">
        <f>SUM(F124+F111+F102+F92+F83+F80+F77+F74+F71+F68+F65+F62+F59+F56+F53+F50+F47+F44+F37+F34+F31+F27+F24)</f>
        <v>19182884469.099998</v>
      </c>
      <c r="G128" s="876">
        <f>SUMIF($B8:$B$122,$B$24,G8:G122)+G122</f>
        <v>0</v>
      </c>
      <c r="H128" s="876">
        <f>SUM(H124+H111+H102+H92+H83+H80+H77+H74+H71+H68+H65+H62+H59+H56+H53+H50+H47+H44+H37+H34+H31+H27+H24)</f>
        <v>10285873142</v>
      </c>
      <c r="I128" s="876">
        <f>SUM(I124+I111+I102+I92+I83+I80+I77+I74+I71+I68+I65+I62+I59+I56+I53+I50+I47+I44+I37+I34+I31+I27+I24)</f>
        <v>10285873142</v>
      </c>
      <c r="J128" s="876">
        <f>SUMIF($B8:$B$122,$B$24,J8:J122)+J1212</f>
        <v>0</v>
      </c>
      <c r="K128" s="876">
        <f>SUM(K124+K111+K102+K92+K83+K80+K77+K74+K71+K68+K65+K62+K59+K56+K53+K50+K47+K44+K37+K34+K31+K27+K24)</f>
        <v>10285873142</v>
      </c>
      <c r="L128" s="876">
        <f>SUM(L124+L111+L102+L92+L83+L80+L77+L74+L71+L68+L65+L62+L59+L56+L53+L50+L47+L44+L37+L34+L31+L27+L24)</f>
        <v>10285873142</v>
      </c>
      <c r="M128" s="876">
        <f>SUMIF($B8:$B$122,$B$24,M8:M122)+M12</f>
        <v>8915366856.1000004</v>
      </c>
      <c r="N128" s="442">
        <f>SUMIF($B8:$B$122,$B$24,N8:N122)+N122</f>
        <v>8915366856.1000004</v>
      </c>
      <c r="O128" s="369"/>
      <c r="P128" s="441">
        <f>SUMIF($B8:$B$122,$B$24,P8:P122)+P122</f>
        <v>0</v>
      </c>
      <c r="Q128" s="443">
        <f>SUMIF($B8:$B$122,$B$24,Q8:Q122)+Q122</f>
        <v>0</v>
      </c>
      <c r="R128" s="101"/>
      <c r="S128" s="709" t="s">
        <v>587</v>
      </c>
      <c r="T128" s="708" t="s">
        <v>716</v>
      </c>
      <c r="U128" s="1111">
        <v>327220927.08333331</v>
      </c>
      <c r="V128" s="1027">
        <f t="shared" si="152"/>
        <v>0</v>
      </c>
      <c r="W128" s="220">
        <f t="shared" si="153"/>
        <v>0</v>
      </c>
      <c r="X128" s="269">
        <f t="shared" si="154"/>
        <v>327220927.08333331</v>
      </c>
      <c r="Y128" s="270">
        <v>0</v>
      </c>
      <c r="Z128" s="208">
        <v>200560000</v>
      </c>
      <c r="AA128" s="269">
        <f t="shared" si="155"/>
        <v>200560000</v>
      </c>
      <c r="AB128" s="270">
        <v>0</v>
      </c>
      <c r="AC128" s="208">
        <v>0</v>
      </c>
      <c r="AD128" s="271">
        <f t="shared" si="156"/>
        <v>0</v>
      </c>
      <c r="AE128" s="270">
        <v>0</v>
      </c>
      <c r="AF128" s="208">
        <v>0</v>
      </c>
      <c r="AG128" s="269">
        <f t="shared" si="157"/>
        <v>0</v>
      </c>
      <c r="AH128" s="270">
        <f t="shared" si="158"/>
        <v>126660927.08333331</v>
      </c>
      <c r="AI128" s="220">
        <f t="shared" si="159"/>
        <v>327220927.08333331</v>
      </c>
      <c r="AJ128" s="269">
        <f t="shared" si="160"/>
        <v>327220927.08333331</v>
      </c>
      <c r="AK128" s="101"/>
      <c r="AL128" s="204">
        <v>0</v>
      </c>
      <c r="AM128" s="210">
        <v>0</v>
      </c>
    </row>
    <row r="129" spans="1:39" ht="24.75" customHeight="1" thickBot="1">
      <c r="A129" s="398"/>
      <c r="B129" s="399"/>
      <c r="C129" s="400"/>
      <c r="D129" s="400"/>
      <c r="E129" s="400"/>
      <c r="F129" s="400"/>
      <c r="G129" s="400"/>
      <c r="H129" s="400"/>
      <c r="I129" s="400"/>
      <c r="J129" s="400"/>
      <c r="K129" s="400"/>
      <c r="L129" s="400"/>
      <c r="M129" s="400"/>
      <c r="N129" s="401"/>
      <c r="O129" s="67"/>
      <c r="P129" s="402"/>
      <c r="Q129" s="401"/>
      <c r="R129" s="101"/>
      <c r="S129" s="719" t="s">
        <v>592</v>
      </c>
      <c r="T129" s="720" t="s">
        <v>593</v>
      </c>
      <c r="U129" s="1111">
        <v>41029431.25</v>
      </c>
      <c r="V129" s="1027">
        <f t="shared" si="152"/>
        <v>0</v>
      </c>
      <c r="W129" s="220">
        <f t="shared" si="153"/>
        <v>0</v>
      </c>
      <c r="X129" s="269">
        <f t="shared" si="154"/>
        <v>41029431.25</v>
      </c>
      <c r="Y129" s="270">
        <v>0</v>
      </c>
      <c r="Z129" s="208">
        <v>0</v>
      </c>
      <c r="AA129" s="269">
        <f t="shared" si="155"/>
        <v>0</v>
      </c>
      <c r="AB129" s="270">
        <v>0</v>
      </c>
      <c r="AC129" s="208">
        <v>0</v>
      </c>
      <c r="AD129" s="271">
        <f t="shared" si="156"/>
        <v>0</v>
      </c>
      <c r="AE129" s="270">
        <v>0</v>
      </c>
      <c r="AF129" s="208">
        <v>0</v>
      </c>
      <c r="AG129" s="269">
        <f t="shared" si="157"/>
        <v>0</v>
      </c>
      <c r="AH129" s="270">
        <f t="shared" si="158"/>
        <v>41029431.25</v>
      </c>
      <c r="AI129" s="220">
        <f t="shared" si="159"/>
        <v>41029431.25</v>
      </c>
      <c r="AJ129" s="269">
        <f t="shared" si="160"/>
        <v>41029431.25</v>
      </c>
      <c r="AK129" s="101"/>
      <c r="AL129" s="204">
        <v>0</v>
      </c>
      <c r="AM129" s="210">
        <v>0</v>
      </c>
    </row>
    <row r="130" spans="1:39" ht="24.75" customHeight="1" thickBot="1">
      <c r="A130" s="444" t="s">
        <v>282</v>
      </c>
      <c r="B130" s="445"/>
      <c r="C130" s="446">
        <f t="shared" ref="C130:N130" si="162">C128+C126</f>
        <v>158143153137.47653</v>
      </c>
      <c r="D130" s="447">
        <f t="shared" si="162"/>
        <v>0</v>
      </c>
      <c r="E130" s="447">
        <f t="shared" si="162"/>
        <v>6401468507</v>
      </c>
      <c r="F130" s="448">
        <f t="shared" si="162"/>
        <v>164544621644.47653</v>
      </c>
      <c r="G130" s="446">
        <f t="shared" si="162"/>
        <v>0</v>
      </c>
      <c r="H130" s="447">
        <f t="shared" si="162"/>
        <v>27080206820</v>
      </c>
      <c r="I130" s="448">
        <f t="shared" si="162"/>
        <v>27080206820</v>
      </c>
      <c r="J130" s="446">
        <f t="shared" si="162"/>
        <v>0</v>
      </c>
      <c r="K130" s="447">
        <f t="shared" si="162"/>
        <v>10410466334</v>
      </c>
      <c r="L130" s="448">
        <f t="shared" si="162"/>
        <v>10410466334</v>
      </c>
      <c r="M130" s="446">
        <f t="shared" si="162"/>
        <v>137464414824.4765</v>
      </c>
      <c r="N130" s="448">
        <f t="shared" si="162"/>
        <v>154134155310.47653</v>
      </c>
      <c r="O130" s="67"/>
      <c r="P130" s="437">
        <f>P128+P126</f>
        <v>0</v>
      </c>
      <c r="Q130" s="438">
        <f>Q128+Q126</f>
        <v>6401468507</v>
      </c>
      <c r="R130" s="101"/>
      <c r="S130" s="711" t="s">
        <v>589</v>
      </c>
      <c r="T130" s="534" t="s">
        <v>590</v>
      </c>
      <c r="U130" s="1111">
        <v>2929064955.833333</v>
      </c>
      <c r="V130" s="1027">
        <f t="shared" si="152"/>
        <v>0</v>
      </c>
      <c r="W130" s="220">
        <f t="shared" si="153"/>
        <v>0</v>
      </c>
      <c r="X130" s="269">
        <f t="shared" si="154"/>
        <v>2929064955.833333</v>
      </c>
      <c r="Y130" s="270">
        <v>0</v>
      </c>
      <c r="Z130" s="208">
        <v>2320627096</v>
      </c>
      <c r="AA130" s="269">
        <f t="shared" si="155"/>
        <v>2320627096</v>
      </c>
      <c r="AB130" s="270">
        <v>0</v>
      </c>
      <c r="AC130" s="208">
        <v>191317439</v>
      </c>
      <c r="AD130" s="271">
        <f t="shared" si="156"/>
        <v>191317439</v>
      </c>
      <c r="AE130" s="270">
        <v>0</v>
      </c>
      <c r="AF130" s="208">
        <v>0</v>
      </c>
      <c r="AG130" s="269">
        <f t="shared" si="157"/>
        <v>0</v>
      </c>
      <c r="AH130" s="270">
        <f t="shared" si="158"/>
        <v>608437859.83333302</v>
      </c>
      <c r="AI130" s="220">
        <f t="shared" si="159"/>
        <v>2737747516.833333</v>
      </c>
      <c r="AJ130" s="269">
        <f t="shared" si="160"/>
        <v>2929064955.833333</v>
      </c>
      <c r="AK130" s="101"/>
      <c r="AL130" s="204">
        <v>0</v>
      </c>
      <c r="AM130" s="210">
        <v>0</v>
      </c>
    </row>
    <row r="131" spans="1:39" ht="24.75" customHeight="1">
      <c r="A131" s="449"/>
      <c r="B131" s="450"/>
      <c r="C131" s="451"/>
      <c r="D131" s="451"/>
      <c r="E131" s="451"/>
      <c r="F131" s="451"/>
      <c r="G131" s="451"/>
      <c r="H131" s="451"/>
      <c r="I131" s="451"/>
      <c r="J131" s="451"/>
      <c r="K131" s="451"/>
      <c r="L131" s="451"/>
      <c r="M131" s="451"/>
      <c r="N131" s="451"/>
      <c r="O131" s="67"/>
      <c r="P131" s="451"/>
      <c r="Q131" s="451"/>
      <c r="R131" s="101"/>
      <c r="S131" s="711" t="s">
        <v>591</v>
      </c>
      <c r="T131" s="534" t="s">
        <v>264</v>
      </c>
      <c r="U131" s="1111">
        <v>326592555</v>
      </c>
      <c r="V131" s="1027">
        <f t="shared" si="152"/>
        <v>198873359</v>
      </c>
      <c r="W131" s="220">
        <f t="shared" si="153"/>
        <v>0</v>
      </c>
      <c r="X131" s="269">
        <f t="shared" si="154"/>
        <v>525465914</v>
      </c>
      <c r="Y131" s="270">
        <v>0</v>
      </c>
      <c r="Z131" s="208">
        <v>360934225</v>
      </c>
      <c r="AA131" s="269">
        <f t="shared" si="155"/>
        <v>360934225</v>
      </c>
      <c r="AB131" s="270">
        <v>0</v>
      </c>
      <c r="AC131" s="208">
        <v>0</v>
      </c>
      <c r="AD131" s="271">
        <f t="shared" si="156"/>
        <v>0</v>
      </c>
      <c r="AE131" s="270">
        <v>0</v>
      </c>
      <c r="AF131" s="208">
        <v>0</v>
      </c>
      <c r="AG131" s="269">
        <f t="shared" si="157"/>
        <v>0</v>
      </c>
      <c r="AH131" s="270">
        <f t="shared" si="158"/>
        <v>164531689</v>
      </c>
      <c r="AI131" s="220">
        <f t="shared" si="159"/>
        <v>525465914</v>
      </c>
      <c r="AJ131" s="269">
        <f t="shared" si="160"/>
        <v>525465914</v>
      </c>
      <c r="AK131" s="101"/>
      <c r="AL131" s="204">
        <v>198873359</v>
      </c>
      <c r="AM131" s="210">
        <v>0</v>
      </c>
    </row>
    <row r="132" spans="1:39" ht="24.75" customHeight="1">
      <c r="A132" s="452"/>
      <c r="B132" s="453"/>
      <c r="C132" s="67"/>
      <c r="D132" s="67"/>
      <c r="E132" s="67"/>
      <c r="F132" s="67"/>
      <c r="G132" s="67"/>
      <c r="H132" s="67"/>
      <c r="I132" s="67"/>
      <c r="J132" s="67"/>
      <c r="K132" s="67"/>
      <c r="L132" s="67"/>
      <c r="M132" s="67"/>
      <c r="N132" s="101"/>
      <c r="O132" s="67"/>
      <c r="P132" s="67"/>
      <c r="Q132" s="67"/>
      <c r="R132" s="101"/>
      <c r="S132" s="721" t="s">
        <v>588</v>
      </c>
      <c r="T132" s="1108" t="s">
        <v>723</v>
      </c>
      <c r="U132" s="1111">
        <v>3000000</v>
      </c>
      <c r="V132" s="1027">
        <f t="shared" si="152"/>
        <v>0</v>
      </c>
      <c r="W132" s="220">
        <f t="shared" si="153"/>
        <v>0</v>
      </c>
      <c r="X132" s="269">
        <f t="shared" si="154"/>
        <v>3000000</v>
      </c>
      <c r="Y132" s="270">
        <v>0</v>
      </c>
      <c r="Z132" s="208">
        <v>0</v>
      </c>
      <c r="AA132" s="269">
        <f t="shared" si="155"/>
        <v>0</v>
      </c>
      <c r="AB132" s="270">
        <v>0</v>
      </c>
      <c r="AC132" s="208">
        <v>0</v>
      </c>
      <c r="AD132" s="271">
        <f t="shared" si="156"/>
        <v>0</v>
      </c>
      <c r="AE132" s="270">
        <v>0</v>
      </c>
      <c r="AF132" s="208">
        <v>0</v>
      </c>
      <c r="AG132" s="269">
        <f t="shared" si="157"/>
        <v>0</v>
      </c>
      <c r="AH132" s="270">
        <f t="shared" si="158"/>
        <v>3000000</v>
      </c>
      <c r="AI132" s="220">
        <f t="shared" si="159"/>
        <v>3000000</v>
      </c>
      <c r="AJ132" s="269">
        <f t="shared" si="160"/>
        <v>3000000</v>
      </c>
      <c r="AK132" s="101"/>
      <c r="AL132" s="204">
        <v>0</v>
      </c>
      <c r="AM132" s="210">
        <v>0</v>
      </c>
    </row>
    <row r="133" spans="1:39" ht="24.75" customHeight="1">
      <c r="A133" s="452"/>
      <c r="B133" s="453"/>
      <c r="C133" s="67"/>
      <c r="D133" s="67"/>
      <c r="E133" s="67"/>
      <c r="F133" s="67"/>
      <c r="G133" s="67"/>
      <c r="H133" s="67"/>
      <c r="I133" s="67"/>
      <c r="J133" s="67"/>
      <c r="K133" s="67"/>
      <c r="L133" s="67"/>
      <c r="M133" s="67"/>
      <c r="N133" s="101"/>
      <c r="O133" s="67"/>
      <c r="P133" s="67"/>
      <c r="Q133" s="67"/>
      <c r="R133" s="101"/>
      <c r="S133" s="711" t="s">
        <v>585</v>
      </c>
      <c r="T133" s="534" t="s">
        <v>641</v>
      </c>
      <c r="U133" s="1113">
        <v>5000000</v>
      </c>
      <c r="V133" s="1027">
        <f t="shared" si="152"/>
        <v>0</v>
      </c>
      <c r="W133" s="220">
        <f t="shared" si="153"/>
        <v>0</v>
      </c>
      <c r="X133" s="269">
        <f t="shared" si="154"/>
        <v>5000000</v>
      </c>
      <c r="Y133" s="270">
        <v>0</v>
      </c>
      <c r="Z133" s="208">
        <v>0</v>
      </c>
      <c r="AA133" s="269">
        <f t="shared" si="155"/>
        <v>0</v>
      </c>
      <c r="AB133" s="270">
        <v>0</v>
      </c>
      <c r="AC133" s="208">
        <v>0</v>
      </c>
      <c r="AD133" s="271">
        <f t="shared" si="156"/>
        <v>0</v>
      </c>
      <c r="AE133" s="270">
        <v>0</v>
      </c>
      <c r="AF133" s="208">
        <v>0</v>
      </c>
      <c r="AG133" s="269">
        <f t="shared" si="157"/>
        <v>0</v>
      </c>
      <c r="AH133" s="270">
        <f t="shared" si="158"/>
        <v>5000000</v>
      </c>
      <c r="AI133" s="220">
        <f t="shared" si="159"/>
        <v>5000000</v>
      </c>
      <c r="AJ133" s="269">
        <f t="shared" si="160"/>
        <v>5000000</v>
      </c>
      <c r="AK133" s="101"/>
      <c r="AL133" s="204">
        <v>0</v>
      </c>
      <c r="AM133" s="210">
        <v>0</v>
      </c>
    </row>
    <row r="134" spans="1:39" ht="24.75" customHeight="1">
      <c r="A134" s="452"/>
      <c r="B134" s="453"/>
      <c r="C134" s="67"/>
      <c r="D134" s="67"/>
      <c r="E134" s="67"/>
      <c r="F134" s="67"/>
      <c r="G134" s="67"/>
      <c r="H134" s="67"/>
      <c r="I134" s="67"/>
      <c r="J134" s="67"/>
      <c r="K134" s="67"/>
      <c r="L134" s="67"/>
      <c r="M134" s="67"/>
      <c r="N134" s="101"/>
      <c r="O134" s="67"/>
      <c r="P134" s="67"/>
      <c r="Q134" s="67"/>
      <c r="R134" s="101"/>
      <c r="S134" s="266" t="s">
        <v>283</v>
      </c>
      <c r="T134" s="534" t="s">
        <v>642</v>
      </c>
      <c r="U134" s="1112">
        <v>0</v>
      </c>
      <c r="V134" s="1027">
        <f t="shared" si="152"/>
        <v>0</v>
      </c>
      <c r="W134" s="220">
        <f t="shared" si="153"/>
        <v>0</v>
      </c>
      <c r="X134" s="269">
        <f t="shared" si="154"/>
        <v>0</v>
      </c>
      <c r="Y134" s="270">
        <v>0</v>
      </c>
      <c r="Z134" s="208">
        <v>0</v>
      </c>
      <c r="AA134" s="269">
        <f t="shared" si="155"/>
        <v>0</v>
      </c>
      <c r="AB134" s="270">
        <v>0</v>
      </c>
      <c r="AC134" s="208">
        <v>0</v>
      </c>
      <c r="AD134" s="271">
        <f t="shared" si="156"/>
        <v>0</v>
      </c>
      <c r="AE134" s="270">
        <v>0</v>
      </c>
      <c r="AF134" s="208">
        <v>0</v>
      </c>
      <c r="AG134" s="269">
        <f t="shared" si="157"/>
        <v>0</v>
      </c>
      <c r="AH134" s="270">
        <f t="shared" si="158"/>
        <v>0</v>
      </c>
      <c r="AI134" s="220">
        <f t="shared" si="159"/>
        <v>0</v>
      </c>
      <c r="AJ134" s="269">
        <f t="shared" si="160"/>
        <v>0</v>
      </c>
      <c r="AK134" s="101"/>
      <c r="AL134" s="204">
        <v>0</v>
      </c>
      <c r="AM134" s="210">
        <v>0</v>
      </c>
    </row>
    <row r="135" spans="1:39" ht="24.75" customHeight="1">
      <c r="A135" s="452"/>
      <c r="B135" s="453"/>
      <c r="C135" s="67"/>
      <c r="D135" s="67"/>
      <c r="E135" s="67"/>
      <c r="F135" s="67"/>
      <c r="G135" s="67"/>
      <c r="H135" s="67"/>
      <c r="I135" s="67"/>
      <c r="J135" s="67"/>
      <c r="K135" s="67"/>
      <c r="L135" s="67"/>
      <c r="M135" s="67"/>
      <c r="N135" s="101"/>
      <c r="O135" s="67"/>
      <c r="P135" s="67"/>
      <c r="Q135" s="67"/>
      <c r="R135" s="101"/>
      <c r="S135" s="711" t="s">
        <v>594</v>
      </c>
      <c r="T135" s="534" t="s">
        <v>284</v>
      </c>
      <c r="U135" s="1111">
        <v>20000000</v>
      </c>
      <c r="V135" s="1027">
        <f t="shared" si="152"/>
        <v>0</v>
      </c>
      <c r="W135" s="220">
        <f t="shared" si="153"/>
        <v>0</v>
      </c>
      <c r="X135" s="269">
        <f t="shared" si="154"/>
        <v>20000000</v>
      </c>
      <c r="Y135" s="270">
        <v>0</v>
      </c>
      <c r="Z135" s="208">
        <v>0</v>
      </c>
      <c r="AA135" s="269">
        <f t="shared" si="155"/>
        <v>0</v>
      </c>
      <c r="AB135" s="270">
        <v>0</v>
      </c>
      <c r="AC135" s="208">
        <v>0</v>
      </c>
      <c r="AD135" s="271">
        <f t="shared" si="156"/>
        <v>0</v>
      </c>
      <c r="AE135" s="270">
        <v>0</v>
      </c>
      <c r="AF135" s="208">
        <v>0</v>
      </c>
      <c r="AG135" s="269">
        <f t="shared" si="157"/>
        <v>0</v>
      </c>
      <c r="AH135" s="270">
        <f t="shared" si="158"/>
        <v>20000000</v>
      </c>
      <c r="AI135" s="220">
        <f t="shared" si="159"/>
        <v>20000000</v>
      </c>
      <c r="AJ135" s="269">
        <f t="shared" si="160"/>
        <v>20000000</v>
      </c>
      <c r="AK135" s="101"/>
      <c r="AL135" s="204">
        <v>0</v>
      </c>
      <c r="AM135" s="210">
        <v>0</v>
      </c>
    </row>
    <row r="136" spans="1:39" ht="24.75" customHeight="1">
      <c r="A136" s="452"/>
      <c r="B136" s="453"/>
      <c r="C136" s="67"/>
      <c r="D136" s="67"/>
      <c r="E136" s="67"/>
      <c r="F136" s="67"/>
      <c r="G136" s="67"/>
      <c r="H136" s="67"/>
      <c r="I136" s="67"/>
      <c r="J136" s="67"/>
      <c r="K136" s="67"/>
      <c r="L136" s="67"/>
      <c r="M136" s="67"/>
      <c r="N136" s="101"/>
      <c r="O136" s="67"/>
      <c r="P136" s="67"/>
      <c r="Q136" s="67"/>
      <c r="R136" s="101"/>
      <c r="S136" s="709" t="s">
        <v>558</v>
      </c>
      <c r="T136" s="635" t="s">
        <v>607</v>
      </c>
      <c r="U136" s="1111"/>
      <c r="V136" s="1027">
        <f t="shared" si="152"/>
        <v>0</v>
      </c>
      <c r="W136" s="220">
        <f t="shared" si="153"/>
        <v>0</v>
      </c>
      <c r="X136" s="269">
        <f t="shared" si="154"/>
        <v>0</v>
      </c>
      <c r="Y136" s="270">
        <v>0</v>
      </c>
      <c r="Z136" s="208">
        <v>0</v>
      </c>
      <c r="AA136" s="269">
        <f t="shared" si="155"/>
        <v>0</v>
      </c>
      <c r="AB136" s="270">
        <v>0</v>
      </c>
      <c r="AC136" s="208">
        <v>0</v>
      </c>
      <c r="AD136" s="271">
        <f t="shared" si="156"/>
        <v>0</v>
      </c>
      <c r="AE136" s="270">
        <v>0</v>
      </c>
      <c r="AF136" s="208">
        <v>0</v>
      </c>
      <c r="AG136" s="269">
        <f t="shared" si="157"/>
        <v>0</v>
      </c>
      <c r="AH136" s="270">
        <f t="shared" si="158"/>
        <v>0</v>
      </c>
      <c r="AI136" s="220">
        <f t="shared" si="159"/>
        <v>0</v>
      </c>
      <c r="AJ136" s="269">
        <f t="shared" si="160"/>
        <v>0</v>
      </c>
      <c r="AK136" s="101"/>
      <c r="AL136" s="204">
        <v>0</v>
      </c>
      <c r="AM136" s="210">
        <v>0</v>
      </c>
    </row>
    <row r="137" spans="1:39" ht="24.75" customHeight="1">
      <c r="A137" s="452"/>
      <c r="B137" s="453"/>
      <c r="C137" s="67"/>
      <c r="D137" s="67"/>
      <c r="E137" s="67"/>
      <c r="F137" s="67"/>
      <c r="G137" s="67"/>
      <c r="H137" s="67"/>
      <c r="I137" s="67"/>
      <c r="J137" s="67"/>
      <c r="K137" s="67"/>
      <c r="L137" s="67"/>
      <c r="M137" s="67"/>
      <c r="N137" s="101"/>
      <c r="O137" s="67"/>
      <c r="P137" s="67"/>
      <c r="Q137" s="67"/>
      <c r="R137" s="101"/>
      <c r="S137" s="266"/>
      <c r="T137" s="635"/>
      <c r="U137" s="1111"/>
      <c r="V137" s="1027">
        <f t="shared" si="152"/>
        <v>0</v>
      </c>
      <c r="W137" s="220">
        <f t="shared" si="153"/>
        <v>0</v>
      </c>
      <c r="X137" s="269">
        <f t="shared" si="154"/>
        <v>0</v>
      </c>
      <c r="Y137" s="270">
        <v>0</v>
      </c>
      <c r="Z137" s="208">
        <v>0</v>
      </c>
      <c r="AA137" s="269">
        <f t="shared" si="155"/>
        <v>0</v>
      </c>
      <c r="AB137" s="270">
        <v>0</v>
      </c>
      <c r="AC137" s="208">
        <v>0</v>
      </c>
      <c r="AD137" s="271">
        <f t="shared" si="156"/>
        <v>0</v>
      </c>
      <c r="AE137" s="270">
        <v>0</v>
      </c>
      <c r="AF137" s="208">
        <v>0</v>
      </c>
      <c r="AG137" s="269">
        <f t="shared" si="157"/>
        <v>0</v>
      </c>
      <c r="AH137" s="270">
        <f t="shared" si="158"/>
        <v>0</v>
      </c>
      <c r="AI137" s="220">
        <f t="shared" si="159"/>
        <v>0</v>
      </c>
      <c r="AJ137" s="269">
        <f t="shared" si="160"/>
        <v>0</v>
      </c>
      <c r="AK137" s="101"/>
      <c r="AL137" s="204">
        <v>0</v>
      </c>
      <c r="AM137" s="210">
        <v>0</v>
      </c>
    </row>
    <row r="138" spans="1:39" ht="24.75" customHeight="1">
      <c r="A138" s="452"/>
      <c r="B138" s="453"/>
      <c r="C138" s="67"/>
      <c r="D138" s="67"/>
      <c r="E138" s="67"/>
      <c r="F138" s="67"/>
      <c r="G138" s="67"/>
      <c r="H138" s="67"/>
      <c r="I138" s="67"/>
      <c r="J138" s="67"/>
      <c r="K138" s="67"/>
      <c r="L138" s="67"/>
      <c r="M138" s="67"/>
      <c r="N138" s="101"/>
      <c r="O138" s="67"/>
      <c r="P138" s="67"/>
      <c r="Q138" s="67"/>
      <c r="R138" s="101"/>
      <c r="S138" s="266"/>
      <c r="T138" s="534"/>
      <c r="U138" s="1111">
        <v>0</v>
      </c>
      <c r="V138" s="1027">
        <f t="shared" si="152"/>
        <v>0</v>
      </c>
      <c r="W138" s="220">
        <f t="shared" si="153"/>
        <v>0</v>
      </c>
      <c r="X138" s="269">
        <f t="shared" si="154"/>
        <v>0</v>
      </c>
      <c r="Y138" s="270">
        <v>0</v>
      </c>
      <c r="Z138" s="208">
        <v>0</v>
      </c>
      <c r="AA138" s="269">
        <f t="shared" si="155"/>
        <v>0</v>
      </c>
      <c r="AB138" s="270">
        <v>0</v>
      </c>
      <c r="AC138" s="208">
        <v>0</v>
      </c>
      <c r="AD138" s="271">
        <f t="shared" si="156"/>
        <v>0</v>
      </c>
      <c r="AE138" s="270">
        <v>0</v>
      </c>
      <c r="AF138" s="208">
        <v>0</v>
      </c>
      <c r="AG138" s="269">
        <f t="shared" si="157"/>
        <v>0</v>
      </c>
      <c r="AH138" s="270">
        <f t="shared" si="158"/>
        <v>0</v>
      </c>
      <c r="AI138" s="220">
        <f t="shared" si="159"/>
        <v>0</v>
      </c>
      <c r="AJ138" s="269">
        <f t="shared" si="160"/>
        <v>0</v>
      </c>
      <c r="AK138" s="101"/>
      <c r="AL138" s="204">
        <v>0</v>
      </c>
      <c r="AM138" s="210">
        <v>0</v>
      </c>
    </row>
    <row r="139" spans="1:39" ht="24.75" customHeight="1" thickBot="1">
      <c r="A139" s="452"/>
      <c r="B139" s="453"/>
      <c r="C139" s="67"/>
      <c r="D139" s="67"/>
      <c r="E139" s="67"/>
      <c r="F139" s="67"/>
      <c r="G139" s="67"/>
      <c r="H139" s="67"/>
      <c r="I139" s="67"/>
      <c r="J139" s="67"/>
      <c r="K139" s="67"/>
      <c r="L139" s="67"/>
      <c r="M139" s="67"/>
      <c r="N139" s="101"/>
      <c r="O139" s="67"/>
      <c r="P139" s="67"/>
      <c r="Q139" s="67"/>
      <c r="R139" s="101"/>
      <c r="S139" s="711" t="s">
        <v>741</v>
      </c>
      <c r="T139" s="1109" t="s">
        <v>724</v>
      </c>
      <c r="U139" s="1114">
        <v>368200000</v>
      </c>
      <c r="V139" s="1027">
        <f t="shared" si="152"/>
        <v>0</v>
      </c>
      <c r="W139" s="220">
        <f t="shared" si="153"/>
        <v>0</v>
      </c>
      <c r="X139" s="269">
        <f t="shared" si="154"/>
        <v>368200000</v>
      </c>
      <c r="Y139" s="270">
        <v>0</v>
      </c>
      <c r="Z139" s="208">
        <v>233459133</v>
      </c>
      <c r="AA139" s="269">
        <f t="shared" si="155"/>
        <v>233459133</v>
      </c>
      <c r="AB139" s="270">
        <v>0</v>
      </c>
      <c r="AC139" s="208">
        <v>233459133</v>
      </c>
      <c r="AD139" s="271">
        <f t="shared" si="156"/>
        <v>233459133</v>
      </c>
      <c r="AE139" s="270">
        <v>0</v>
      </c>
      <c r="AF139" s="208">
        <v>233459133</v>
      </c>
      <c r="AG139" s="269">
        <f t="shared" si="157"/>
        <v>233459133</v>
      </c>
      <c r="AH139" s="270">
        <f t="shared" si="158"/>
        <v>134740867</v>
      </c>
      <c r="AI139" s="220">
        <f t="shared" si="159"/>
        <v>134740867</v>
      </c>
      <c r="AJ139" s="269">
        <f t="shared" si="160"/>
        <v>134740867</v>
      </c>
      <c r="AK139" s="101"/>
      <c r="AL139" s="204">
        <v>0</v>
      </c>
      <c r="AM139" s="210">
        <v>0</v>
      </c>
    </row>
    <row r="140" spans="1:39" ht="24.75" customHeight="1">
      <c r="A140" s="452"/>
      <c r="B140" s="453"/>
      <c r="C140" s="67"/>
      <c r="D140" s="67"/>
      <c r="E140" s="67"/>
      <c r="F140" s="67"/>
      <c r="G140" s="67"/>
      <c r="H140" s="67"/>
      <c r="I140" s="67"/>
      <c r="J140" s="67"/>
      <c r="K140" s="67"/>
      <c r="L140" s="67"/>
      <c r="M140" s="67"/>
      <c r="N140" s="101"/>
      <c r="O140" s="67"/>
      <c r="P140" s="67"/>
      <c r="Q140" s="67"/>
      <c r="R140" s="101"/>
      <c r="S140" s="189"/>
      <c r="T140" s="190"/>
      <c r="U140" s="1060"/>
      <c r="V140" s="191"/>
      <c r="W140" s="191"/>
      <c r="X140" s="192"/>
      <c r="Y140" s="193"/>
      <c r="Z140" s="191"/>
      <c r="AA140" s="192"/>
      <c r="AB140" s="193"/>
      <c r="AC140" s="191"/>
      <c r="AD140" s="191"/>
      <c r="AE140" s="193"/>
      <c r="AF140" s="191"/>
      <c r="AG140" s="192"/>
      <c r="AH140" s="193"/>
      <c r="AI140" s="191"/>
      <c r="AJ140" s="192"/>
      <c r="AK140" s="216"/>
      <c r="AL140" s="370"/>
      <c r="AM140" s="371"/>
    </row>
    <row r="141" spans="1:39" ht="24.75" customHeight="1">
      <c r="A141" s="452"/>
      <c r="B141" s="453"/>
      <c r="C141" s="67"/>
      <c r="D141" s="67"/>
      <c r="E141" s="67"/>
      <c r="F141" s="67"/>
      <c r="G141" s="67"/>
      <c r="H141" s="67"/>
      <c r="I141" s="67"/>
      <c r="J141" s="67"/>
      <c r="K141" s="67"/>
      <c r="L141" s="67"/>
      <c r="M141" s="67"/>
      <c r="N141" s="101"/>
      <c r="O141" s="67"/>
      <c r="P141" s="67"/>
      <c r="Q141" s="67"/>
      <c r="R141" s="101"/>
      <c r="S141" s="640" t="s">
        <v>595</v>
      </c>
      <c r="T141" s="258" t="s">
        <v>285</v>
      </c>
      <c r="U141" s="230">
        <f>U142+U143</f>
        <v>548000000</v>
      </c>
      <c r="V141" s="231">
        <f t="shared" ref="V141:AJ141" si="163">V142+V143</f>
        <v>0</v>
      </c>
      <c r="W141" s="231">
        <f t="shared" si="163"/>
        <v>0</v>
      </c>
      <c r="X141" s="232">
        <f t="shared" si="163"/>
        <v>548000000</v>
      </c>
      <c r="Y141" s="233">
        <f t="shared" si="163"/>
        <v>0</v>
      </c>
      <c r="Z141" s="231">
        <f t="shared" si="163"/>
        <v>8880060</v>
      </c>
      <c r="AA141" s="232">
        <f t="shared" si="163"/>
        <v>8880060</v>
      </c>
      <c r="AB141" s="233">
        <f t="shared" si="163"/>
        <v>0</v>
      </c>
      <c r="AC141" s="231">
        <f t="shared" si="163"/>
        <v>8880060</v>
      </c>
      <c r="AD141" s="234">
        <f t="shared" si="163"/>
        <v>8880060</v>
      </c>
      <c r="AE141" s="233">
        <f t="shared" si="163"/>
        <v>0</v>
      </c>
      <c r="AF141" s="231">
        <f t="shared" si="163"/>
        <v>8880060</v>
      </c>
      <c r="AG141" s="232">
        <f t="shared" si="163"/>
        <v>8880060</v>
      </c>
      <c r="AH141" s="233">
        <f t="shared" si="163"/>
        <v>539119940</v>
      </c>
      <c r="AI141" s="231">
        <f t="shared" si="163"/>
        <v>539119940</v>
      </c>
      <c r="AJ141" s="232">
        <f t="shared" si="163"/>
        <v>539119940</v>
      </c>
      <c r="AK141" s="216"/>
      <c r="AL141" s="233">
        <f>AL142+AL143</f>
        <v>0</v>
      </c>
      <c r="AM141" s="232">
        <f>AM142+AM143</f>
        <v>0</v>
      </c>
    </row>
    <row r="142" spans="1:39" ht="24.75" customHeight="1">
      <c r="A142" s="452"/>
      <c r="B142" s="453"/>
      <c r="C142" s="67"/>
      <c r="D142" s="67"/>
      <c r="E142" s="67"/>
      <c r="F142" s="67"/>
      <c r="G142" s="67"/>
      <c r="H142" s="67"/>
      <c r="I142" s="67"/>
      <c r="J142" s="67"/>
      <c r="K142" s="67"/>
      <c r="L142" s="67"/>
      <c r="M142" s="67"/>
      <c r="N142" s="101"/>
      <c r="O142" s="67"/>
      <c r="P142" s="67"/>
      <c r="Q142" s="67"/>
      <c r="R142" s="101"/>
      <c r="S142" s="644" t="s">
        <v>596</v>
      </c>
      <c r="T142" s="267" t="s">
        <v>286</v>
      </c>
      <c r="U142" s="723">
        <v>148000000</v>
      </c>
      <c r="V142" s="220">
        <f>AL142</f>
        <v>0</v>
      </c>
      <c r="W142" s="220">
        <f>AM142</f>
        <v>0</v>
      </c>
      <c r="X142" s="269">
        <f>SUM(U142:W142)</f>
        <v>148000000</v>
      </c>
      <c r="Y142" s="270">
        <v>0</v>
      </c>
      <c r="Z142" s="208">
        <v>0</v>
      </c>
      <c r="AA142" s="269">
        <f>SUM(Y142:Z142)</f>
        <v>0</v>
      </c>
      <c r="AB142" s="270">
        <v>0</v>
      </c>
      <c r="AC142" s="208">
        <v>0</v>
      </c>
      <c r="AD142" s="271">
        <f>SUM(AB142:AC142)</f>
        <v>0</v>
      </c>
      <c r="AE142" s="270">
        <v>0</v>
      </c>
      <c r="AF142" s="208">
        <v>0</v>
      </c>
      <c r="AG142" s="269">
        <f>SUM(AE142:AF142)</f>
        <v>0</v>
      </c>
      <c r="AH142" s="270">
        <f>X142-AA142</f>
        <v>148000000</v>
      </c>
      <c r="AI142" s="220">
        <f>X142-AD142</f>
        <v>148000000</v>
      </c>
      <c r="AJ142" s="269">
        <f>X142-AG142</f>
        <v>148000000</v>
      </c>
      <c r="AK142" s="101"/>
      <c r="AL142" s="204">
        <v>0</v>
      </c>
      <c r="AM142" s="210">
        <v>0</v>
      </c>
    </row>
    <row r="143" spans="1:39" ht="24.75" customHeight="1">
      <c r="A143" s="452"/>
      <c r="B143" s="453"/>
      <c r="C143" s="67"/>
      <c r="D143" s="67"/>
      <c r="E143" s="67"/>
      <c r="F143" s="67"/>
      <c r="G143" s="67"/>
      <c r="H143" s="67"/>
      <c r="I143" s="67"/>
      <c r="J143" s="67"/>
      <c r="K143" s="67"/>
      <c r="L143" s="67"/>
      <c r="M143" s="67"/>
      <c r="N143" s="101"/>
      <c r="O143" s="67"/>
      <c r="P143" s="67"/>
      <c r="Q143" s="67"/>
      <c r="R143" s="101"/>
      <c r="S143" s="266" t="s">
        <v>762</v>
      </c>
      <c r="T143" s="534" t="s">
        <v>761</v>
      </c>
      <c r="U143" s="1111">
        <v>400000000</v>
      </c>
      <c r="V143" s="220">
        <f>AL143</f>
        <v>0</v>
      </c>
      <c r="W143" s="220">
        <f>AM143</f>
        <v>0</v>
      </c>
      <c r="X143" s="269">
        <f>SUM(U143:W143)</f>
        <v>400000000</v>
      </c>
      <c r="Y143" s="270">
        <v>0</v>
      </c>
      <c r="Z143" s="208">
        <v>8880060</v>
      </c>
      <c r="AA143" s="269">
        <f>SUM(Y143:Z143)</f>
        <v>8880060</v>
      </c>
      <c r="AB143" s="270">
        <v>0</v>
      </c>
      <c r="AC143" s="208">
        <v>8880060</v>
      </c>
      <c r="AD143" s="271">
        <f>SUM(AB143:AC143)</f>
        <v>8880060</v>
      </c>
      <c r="AE143" s="270">
        <v>0</v>
      </c>
      <c r="AF143" s="208">
        <v>8880060</v>
      </c>
      <c r="AG143" s="269">
        <f>SUM(AE143:AF143)</f>
        <v>8880060</v>
      </c>
      <c r="AH143" s="270">
        <f>X143-AA143</f>
        <v>391119940</v>
      </c>
      <c r="AI143" s="220">
        <f>X143-AD143</f>
        <v>391119940</v>
      </c>
      <c r="AJ143" s="269">
        <f>X143-AG143</f>
        <v>391119940</v>
      </c>
      <c r="AK143" s="101"/>
      <c r="AL143" s="204">
        <v>0</v>
      </c>
      <c r="AM143" s="210">
        <v>0</v>
      </c>
    </row>
    <row r="145" spans="19:39" ht="24.75" customHeight="1">
      <c r="S145" s="228">
        <v>2020010</v>
      </c>
      <c r="T145" s="229" t="s">
        <v>244</v>
      </c>
      <c r="U145" s="230">
        <f>U147+U155</f>
        <v>11892931308.176388</v>
      </c>
      <c r="V145" s="231">
        <f t="shared" ref="V145:AJ145" si="164">V147+V155</f>
        <v>0</v>
      </c>
      <c r="W145" s="231">
        <f t="shared" si="164"/>
        <v>0</v>
      </c>
      <c r="X145" s="232">
        <f t="shared" si="164"/>
        <v>11892931308.176388</v>
      </c>
      <c r="Y145" s="233">
        <f t="shared" si="164"/>
        <v>0</v>
      </c>
      <c r="Z145" s="231">
        <f t="shared" si="164"/>
        <v>2275928274</v>
      </c>
      <c r="AA145" s="232">
        <f t="shared" si="164"/>
        <v>2275928274</v>
      </c>
      <c r="AB145" s="233">
        <f t="shared" si="164"/>
        <v>0</v>
      </c>
      <c r="AC145" s="231">
        <f t="shared" si="164"/>
        <v>796653723</v>
      </c>
      <c r="AD145" s="234">
        <f t="shared" si="164"/>
        <v>796653723</v>
      </c>
      <c r="AE145" s="233">
        <f t="shared" si="164"/>
        <v>0</v>
      </c>
      <c r="AF145" s="231">
        <f t="shared" si="164"/>
        <v>397888192</v>
      </c>
      <c r="AG145" s="232">
        <f t="shared" si="164"/>
        <v>397888192</v>
      </c>
      <c r="AH145" s="233">
        <f t="shared" si="164"/>
        <v>9617003034.1763878</v>
      </c>
      <c r="AI145" s="231">
        <f t="shared" si="164"/>
        <v>11096277585.176388</v>
      </c>
      <c r="AJ145" s="232">
        <f t="shared" si="164"/>
        <v>11495043116.176388</v>
      </c>
      <c r="AK145" s="216"/>
      <c r="AL145" s="233">
        <f>AL147+AL155</f>
        <v>0</v>
      </c>
      <c r="AM145" s="232"/>
    </row>
    <row r="146" spans="19:39" ht="24.75" customHeight="1" thickBot="1">
      <c r="S146" s="311"/>
      <c r="T146" s="312"/>
      <c r="U146" s="1079"/>
      <c r="V146" s="220"/>
      <c r="W146" s="220"/>
      <c r="X146" s="269"/>
      <c r="Y146" s="270"/>
      <c r="Z146" s="220"/>
      <c r="AA146" s="269"/>
      <c r="AB146" s="270"/>
      <c r="AC146" s="220"/>
      <c r="AD146" s="271"/>
      <c r="AE146" s="270"/>
      <c r="AF146" s="220"/>
      <c r="AG146" s="269"/>
      <c r="AH146" s="270"/>
      <c r="AI146" s="220"/>
      <c r="AJ146" s="269"/>
      <c r="AK146" s="101"/>
      <c r="AL146" s="370"/>
      <c r="AM146" s="371"/>
    </row>
    <row r="147" spans="19:39" ht="24.75" customHeight="1" thickBot="1">
      <c r="S147" s="639" t="s">
        <v>597</v>
      </c>
      <c r="T147" s="1115" t="s">
        <v>268</v>
      </c>
      <c r="U147" s="1139">
        <f>SUM(U148:U149)+U153</f>
        <v>3776193053.9541664</v>
      </c>
      <c r="V147" s="883">
        <f t="shared" ref="V147:AJ147" si="165">SUM(V148:V149)+V153</f>
        <v>0</v>
      </c>
      <c r="W147" s="231">
        <f t="shared" si="165"/>
        <v>0</v>
      </c>
      <c r="X147" s="232">
        <f t="shared" si="165"/>
        <v>3776193053.9541664</v>
      </c>
      <c r="Y147" s="233">
        <f t="shared" si="165"/>
        <v>0</v>
      </c>
      <c r="Z147" s="231">
        <f t="shared" si="165"/>
        <v>611807832</v>
      </c>
      <c r="AA147" s="232">
        <f t="shared" si="165"/>
        <v>611807832</v>
      </c>
      <c r="AB147" s="233">
        <f t="shared" si="165"/>
        <v>0</v>
      </c>
      <c r="AC147" s="231">
        <f t="shared" si="165"/>
        <v>330837343</v>
      </c>
      <c r="AD147" s="234">
        <f t="shared" si="165"/>
        <v>330837343</v>
      </c>
      <c r="AE147" s="233">
        <f t="shared" si="165"/>
        <v>0</v>
      </c>
      <c r="AF147" s="231">
        <f t="shared" si="165"/>
        <v>203715344</v>
      </c>
      <c r="AG147" s="232">
        <f t="shared" si="165"/>
        <v>203715344</v>
      </c>
      <c r="AH147" s="233">
        <f t="shared" si="165"/>
        <v>3164385221.9541664</v>
      </c>
      <c r="AI147" s="231">
        <f t="shared" si="165"/>
        <v>3445355710.9541664</v>
      </c>
      <c r="AJ147" s="232">
        <f t="shared" si="165"/>
        <v>3572477709.9541664</v>
      </c>
      <c r="AK147" s="101"/>
      <c r="AL147" s="233">
        <f>SUM(AL148:AL149)+AL153</f>
        <v>0</v>
      </c>
      <c r="AM147" s="232">
        <f>SUM(AM148:AM149)+AM153</f>
        <v>0</v>
      </c>
    </row>
    <row r="148" spans="19:39" ht="24.75" customHeight="1" thickBot="1">
      <c r="S148" s="713" t="s">
        <v>705</v>
      </c>
      <c r="T148" s="714" t="s">
        <v>706</v>
      </c>
      <c r="U148" s="1122">
        <v>2090969100</v>
      </c>
      <c r="V148" s="1027">
        <f>AL148</f>
        <v>0</v>
      </c>
      <c r="W148" s="220">
        <f>AM148</f>
        <v>0</v>
      </c>
      <c r="X148" s="269">
        <f>SUM(U148:W148)</f>
        <v>2090969100</v>
      </c>
      <c r="Y148" s="270">
        <v>0</v>
      </c>
      <c r="Z148" s="208">
        <v>215038613</v>
      </c>
      <c r="AA148" s="269">
        <f>SUM(Y148:Z148)</f>
        <v>215038613</v>
      </c>
      <c r="AB148" s="270">
        <v>0</v>
      </c>
      <c r="AC148" s="208">
        <v>27163946</v>
      </c>
      <c r="AD148" s="271">
        <f>SUM(AB148:AC148)</f>
        <v>27163946</v>
      </c>
      <c r="AE148" s="270">
        <v>0</v>
      </c>
      <c r="AF148" s="208">
        <v>0</v>
      </c>
      <c r="AG148" s="269">
        <f>SUM(AE148:AF148)</f>
        <v>0</v>
      </c>
      <c r="AH148" s="270">
        <f>X148-AA148</f>
        <v>1875930487</v>
      </c>
      <c r="AI148" s="220">
        <f>X148-AD148</f>
        <v>2063805154</v>
      </c>
      <c r="AJ148" s="269">
        <f>X148-AG148</f>
        <v>2090969100</v>
      </c>
      <c r="AK148" s="101"/>
      <c r="AL148" s="204">
        <v>0</v>
      </c>
      <c r="AM148" s="210">
        <v>0</v>
      </c>
    </row>
    <row r="149" spans="19:39" ht="24.75" customHeight="1">
      <c r="S149" s="712">
        <v>2020102</v>
      </c>
      <c r="T149" s="1123" t="s">
        <v>146</v>
      </c>
      <c r="U149" s="1140">
        <f>SUM(U150:U152)</f>
        <v>1232308696.9541667</v>
      </c>
      <c r="V149" s="1027">
        <f t="shared" ref="V149:AJ149" si="166">SUM(V150:V152)</f>
        <v>0</v>
      </c>
      <c r="W149" s="220">
        <f t="shared" si="166"/>
        <v>0</v>
      </c>
      <c r="X149" s="218">
        <f>SUM(X150:X152)</f>
        <v>1232308696.9541667</v>
      </c>
      <c r="Y149" s="270">
        <f t="shared" si="166"/>
        <v>0</v>
      </c>
      <c r="Z149" s="300">
        <f t="shared" si="166"/>
        <v>193053875</v>
      </c>
      <c r="AA149" s="269">
        <f t="shared" si="166"/>
        <v>193053875</v>
      </c>
      <c r="AB149" s="270">
        <f t="shared" si="166"/>
        <v>0</v>
      </c>
      <c r="AC149" s="300">
        <f t="shared" si="166"/>
        <v>99958053</v>
      </c>
      <c r="AD149" s="271">
        <f t="shared" si="166"/>
        <v>99958053</v>
      </c>
      <c r="AE149" s="270">
        <f t="shared" si="166"/>
        <v>0</v>
      </c>
      <c r="AF149" s="300">
        <f t="shared" si="166"/>
        <v>0</v>
      </c>
      <c r="AG149" s="269">
        <f t="shared" si="166"/>
        <v>0</v>
      </c>
      <c r="AH149" s="270">
        <f t="shared" si="166"/>
        <v>1039254821.9541667</v>
      </c>
      <c r="AI149" s="220">
        <f t="shared" si="166"/>
        <v>1132350643.9541667</v>
      </c>
      <c r="AJ149" s="269">
        <f t="shared" si="166"/>
        <v>1232308696.9541667</v>
      </c>
      <c r="AK149" s="101"/>
      <c r="AL149" s="301">
        <f>SUM(AL150:AL152)</f>
        <v>0</v>
      </c>
      <c r="AM149" s="302">
        <f>SUM(AM150:AM152)</f>
        <v>0</v>
      </c>
    </row>
    <row r="150" spans="19:39" ht="24.75" customHeight="1">
      <c r="S150" s="713" t="s">
        <v>776</v>
      </c>
      <c r="T150" s="710" t="s">
        <v>753</v>
      </c>
      <c r="U150" s="1111">
        <v>300724825</v>
      </c>
      <c r="V150" s="1027">
        <f t="shared" ref="V150:W153" si="167">AL150</f>
        <v>0</v>
      </c>
      <c r="W150" s="220">
        <f t="shared" si="167"/>
        <v>0</v>
      </c>
      <c r="X150" s="269">
        <f>SUM(U150:W150)</f>
        <v>300724825</v>
      </c>
      <c r="Y150" s="270">
        <v>0</v>
      </c>
      <c r="Z150" s="208">
        <v>0</v>
      </c>
      <c r="AA150" s="269">
        <f>SUM(Y150:Z150)</f>
        <v>0</v>
      </c>
      <c r="AB150" s="270">
        <v>0</v>
      </c>
      <c r="AC150" s="208">
        <v>0</v>
      </c>
      <c r="AD150" s="271">
        <f>SUM(AB150:AC150)</f>
        <v>0</v>
      </c>
      <c r="AE150" s="270">
        <v>0</v>
      </c>
      <c r="AF150" s="208">
        <v>0</v>
      </c>
      <c r="AG150" s="269">
        <f>SUM(AE150:AF150)</f>
        <v>0</v>
      </c>
      <c r="AH150" s="270">
        <f>X150-AA150</f>
        <v>300724825</v>
      </c>
      <c r="AI150" s="220">
        <f>X150-AD150</f>
        <v>300724825</v>
      </c>
      <c r="AJ150" s="269">
        <f>X150-AG150</f>
        <v>300724825</v>
      </c>
      <c r="AK150" s="101"/>
      <c r="AL150" s="204">
        <v>0</v>
      </c>
      <c r="AM150" s="210">
        <v>0</v>
      </c>
    </row>
    <row r="151" spans="19:39" ht="24.75" customHeight="1">
      <c r="S151" s="713" t="s">
        <v>703</v>
      </c>
      <c r="T151" s="710" t="s">
        <v>599</v>
      </c>
      <c r="U151" s="1111">
        <v>684513688.9375</v>
      </c>
      <c r="V151" s="1027">
        <f t="shared" si="167"/>
        <v>0</v>
      </c>
      <c r="W151" s="220">
        <f t="shared" si="167"/>
        <v>0</v>
      </c>
      <c r="X151" s="269">
        <f>SUM(U151:W151)</f>
        <v>684513688.9375</v>
      </c>
      <c r="Y151" s="270">
        <v>0</v>
      </c>
      <c r="Z151" s="208">
        <v>112166023</v>
      </c>
      <c r="AA151" s="269">
        <f>SUM(Y151:Z151)</f>
        <v>112166023</v>
      </c>
      <c r="AB151" s="270">
        <v>0</v>
      </c>
      <c r="AC151" s="208">
        <v>71866050</v>
      </c>
      <c r="AD151" s="271">
        <f>SUM(AB151:AC151)</f>
        <v>71866050</v>
      </c>
      <c r="AE151" s="270">
        <v>0</v>
      </c>
      <c r="AF151" s="208">
        <v>0</v>
      </c>
      <c r="AG151" s="269">
        <f>SUM(AE151:AF151)</f>
        <v>0</v>
      </c>
      <c r="AH151" s="270">
        <f>X151-AA151</f>
        <v>572347665.9375</v>
      </c>
      <c r="AI151" s="220">
        <f>X151-AD151</f>
        <v>612647638.9375</v>
      </c>
      <c r="AJ151" s="269">
        <f>X151-AG151</f>
        <v>684513688.9375</v>
      </c>
      <c r="AK151" s="101"/>
      <c r="AL151" s="204">
        <v>0</v>
      </c>
      <c r="AM151" s="210">
        <v>0</v>
      </c>
    </row>
    <row r="152" spans="19:39" ht="24.75" customHeight="1">
      <c r="S152" s="713" t="s">
        <v>704</v>
      </c>
      <c r="T152" s="710" t="s">
        <v>600</v>
      </c>
      <c r="U152" s="1111">
        <v>247070183.01666665</v>
      </c>
      <c r="V152" s="1027">
        <f t="shared" si="167"/>
        <v>0</v>
      </c>
      <c r="W152" s="220">
        <f t="shared" si="167"/>
        <v>0</v>
      </c>
      <c r="X152" s="269">
        <f>SUM(U152:W152)</f>
        <v>247070183.01666665</v>
      </c>
      <c r="Y152" s="270">
        <v>0</v>
      </c>
      <c r="Z152" s="208">
        <v>80887852</v>
      </c>
      <c r="AA152" s="269">
        <f>SUM(Y152:Z152)</f>
        <v>80887852</v>
      </c>
      <c r="AB152" s="270">
        <v>0</v>
      </c>
      <c r="AC152" s="208">
        <v>28092003</v>
      </c>
      <c r="AD152" s="271">
        <f>SUM(AB152:AC152)</f>
        <v>28092003</v>
      </c>
      <c r="AE152" s="270">
        <v>0</v>
      </c>
      <c r="AF152" s="208">
        <v>0</v>
      </c>
      <c r="AG152" s="269">
        <f>SUM(AE152:AF152)</f>
        <v>0</v>
      </c>
      <c r="AH152" s="270">
        <f>X152-AA152</f>
        <v>166182331.01666665</v>
      </c>
      <c r="AI152" s="220">
        <f>X152-AD152</f>
        <v>218978180.01666665</v>
      </c>
      <c r="AJ152" s="269">
        <f>X152-AG152</f>
        <v>247070183.01666665</v>
      </c>
      <c r="AK152" s="101"/>
      <c r="AL152" s="204">
        <v>0</v>
      </c>
      <c r="AM152" s="210">
        <v>0</v>
      </c>
    </row>
    <row r="153" spans="19:39" s="657" customFormat="1" ht="24.75" customHeight="1" thickBot="1">
      <c r="S153" s="715" t="s">
        <v>736</v>
      </c>
      <c r="T153" s="710" t="s">
        <v>725</v>
      </c>
      <c r="U153" s="1125">
        <v>452915257</v>
      </c>
      <c r="V153" s="1124">
        <f t="shared" si="167"/>
        <v>0</v>
      </c>
      <c r="W153" s="651">
        <f t="shared" si="167"/>
        <v>0</v>
      </c>
      <c r="X153" s="652">
        <f>SUM(U153:W153)</f>
        <v>452915257</v>
      </c>
      <c r="Y153" s="653">
        <v>0</v>
      </c>
      <c r="Z153" s="208">
        <v>203715344</v>
      </c>
      <c r="AA153" s="652">
        <f>SUM(Y153:Z153)</f>
        <v>203715344</v>
      </c>
      <c r="AB153" s="653">
        <v>0</v>
      </c>
      <c r="AC153" s="208">
        <v>203715344</v>
      </c>
      <c r="AD153" s="654">
        <f>SUM(AB153:AC153)</f>
        <v>203715344</v>
      </c>
      <c r="AE153" s="653">
        <v>0</v>
      </c>
      <c r="AF153" s="208">
        <v>203715344</v>
      </c>
      <c r="AG153" s="652">
        <f>SUM(AE153:AF153)</f>
        <v>203715344</v>
      </c>
      <c r="AH153" s="653">
        <f>X153-AA153</f>
        <v>249199913</v>
      </c>
      <c r="AI153" s="651">
        <f>X153-AD153</f>
        <v>249199913</v>
      </c>
      <c r="AJ153" s="652">
        <f>X153-AG153</f>
        <v>249199913</v>
      </c>
      <c r="AK153" s="650"/>
      <c r="AL153" s="655">
        <v>0</v>
      </c>
      <c r="AM153" s="656">
        <v>0</v>
      </c>
    </row>
    <row r="154" spans="19:39" ht="24.75" customHeight="1" thickBot="1">
      <c r="S154" s="189"/>
      <c r="T154" s="190"/>
      <c r="U154" s="915"/>
      <c r="V154" s="191"/>
      <c r="W154" s="191"/>
      <c r="X154" s="192"/>
      <c r="Y154" s="193"/>
      <c r="Z154" s="191"/>
      <c r="AA154" s="192"/>
      <c r="AB154" s="193"/>
      <c r="AC154" s="191"/>
      <c r="AD154" s="191"/>
      <c r="AE154" s="193"/>
      <c r="AF154" s="191"/>
      <c r="AG154" s="192"/>
      <c r="AH154" s="193"/>
      <c r="AI154" s="191"/>
      <c r="AJ154" s="192"/>
      <c r="AK154" s="101"/>
      <c r="AL154" s="370"/>
      <c r="AM154" s="371"/>
    </row>
    <row r="155" spans="19:39" ht="24.75" customHeight="1">
      <c r="S155" s="645" t="s">
        <v>601</v>
      </c>
      <c r="T155" s="1115" t="s">
        <v>276</v>
      </c>
      <c r="U155" s="1118">
        <f t="shared" ref="U155:AJ155" si="168">SUM(U156:U157)+U167</f>
        <v>8116738254.2222223</v>
      </c>
      <c r="V155" s="883">
        <f t="shared" si="168"/>
        <v>0</v>
      </c>
      <c r="W155" s="231">
        <f t="shared" si="168"/>
        <v>0</v>
      </c>
      <c r="X155" s="232">
        <f t="shared" si="168"/>
        <v>8116738254.2222223</v>
      </c>
      <c r="Y155" s="233">
        <f t="shared" si="168"/>
        <v>0</v>
      </c>
      <c r="Z155" s="231">
        <f t="shared" si="168"/>
        <v>1664120442</v>
      </c>
      <c r="AA155" s="232">
        <f t="shared" si="168"/>
        <v>1664120442</v>
      </c>
      <c r="AB155" s="233">
        <f t="shared" si="168"/>
        <v>0</v>
      </c>
      <c r="AC155" s="231">
        <f t="shared" si="168"/>
        <v>465816380</v>
      </c>
      <c r="AD155" s="234">
        <f t="shared" si="168"/>
        <v>465816380</v>
      </c>
      <c r="AE155" s="233">
        <f t="shared" si="168"/>
        <v>0</v>
      </c>
      <c r="AF155" s="231">
        <f t="shared" si="168"/>
        <v>194172848</v>
      </c>
      <c r="AG155" s="232">
        <f t="shared" si="168"/>
        <v>194172848</v>
      </c>
      <c r="AH155" s="233">
        <f t="shared" si="168"/>
        <v>6452617812.2222223</v>
      </c>
      <c r="AI155" s="231">
        <f t="shared" si="168"/>
        <v>7650921874.2222223</v>
      </c>
      <c r="AJ155" s="232">
        <f t="shared" si="168"/>
        <v>7922565406.2222223</v>
      </c>
      <c r="AK155" s="101"/>
      <c r="AL155" s="233">
        <f>SUM(AL156:AL157)+AL167</f>
        <v>0</v>
      </c>
      <c r="AM155" s="232"/>
    </row>
    <row r="156" spans="19:39" ht="24.75" customHeight="1">
      <c r="S156" s="706" t="s">
        <v>707</v>
      </c>
      <c r="T156" s="635" t="s">
        <v>712</v>
      </c>
      <c r="U156" s="1126">
        <v>17133955</v>
      </c>
      <c r="V156" s="1027">
        <f>AL156</f>
        <v>0</v>
      </c>
      <c r="W156" s="220">
        <f>AM156</f>
        <v>0</v>
      </c>
      <c r="X156" s="269">
        <f>SUM(U156:W156)</f>
        <v>17133955</v>
      </c>
      <c r="Y156" s="270">
        <v>0</v>
      </c>
      <c r="Z156" s="208">
        <v>0</v>
      </c>
      <c r="AA156" s="269">
        <f>SUM(Y156:Z156)</f>
        <v>0</v>
      </c>
      <c r="AB156" s="270">
        <v>0</v>
      </c>
      <c r="AC156" s="208">
        <v>0</v>
      </c>
      <c r="AD156" s="271">
        <f>SUM(AB156:AC156)</f>
        <v>0</v>
      </c>
      <c r="AE156" s="270">
        <v>0</v>
      </c>
      <c r="AF156" s="208">
        <v>0</v>
      </c>
      <c r="AG156" s="269">
        <f>SUM(AE156:AF156)</f>
        <v>0</v>
      </c>
      <c r="AH156" s="270">
        <f>X156-AA156</f>
        <v>17133955</v>
      </c>
      <c r="AI156" s="220">
        <f>X156-AD156</f>
        <v>17133955</v>
      </c>
      <c r="AJ156" s="269">
        <f>X156-AG156</f>
        <v>17133955</v>
      </c>
      <c r="AK156" s="101"/>
      <c r="AL156" s="204">
        <v>0</v>
      </c>
      <c r="AM156" s="210">
        <v>0</v>
      </c>
    </row>
    <row r="157" spans="19:39" ht="24.75" customHeight="1">
      <c r="S157" s="266">
        <v>2020202</v>
      </c>
      <c r="T157" s="534" t="s">
        <v>146</v>
      </c>
      <c r="U157" s="1127">
        <f t="shared" ref="U157:AJ157" si="169">SUM(U158:U166)</f>
        <v>5665599712</v>
      </c>
      <c r="V157" s="884">
        <f t="shared" si="169"/>
        <v>0</v>
      </c>
      <c r="W157" s="373">
        <f t="shared" si="169"/>
        <v>0</v>
      </c>
      <c r="X157" s="269">
        <f t="shared" si="169"/>
        <v>5665599712</v>
      </c>
      <c r="Y157" s="301">
        <f t="shared" si="169"/>
        <v>0</v>
      </c>
      <c r="Z157" s="373">
        <f t="shared" si="169"/>
        <v>1469947594</v>
      </c>
      <c r="AA157" s="250">
        <f t="shared" si="169"/>
        <v>1469947594</v>
      </c>
      <c r="AB157" s="454">
        <f t="shared" si="169"/>
        <v>0</v>
      </c>
      <c r="AC157" s="373">
        <f t="shared" si="169"/>
        <v>271643532</v>
      </c>
      <c r="AD157" s="271">
        <f t="shared" si="169"/>
        <v>271643532</v>
      </c>
      <c r="AE157" s="301">
        <f t="shared" si="169"/>
        <v>0</v>
      </c>
      <c r="AF157" s="373">
        <f t="shared" si="169"/>
        <v>0</v>
      </c>
      <c r="AG157" s="250">
        <f t="shared" si="169"/>
        <v>0</v>
      </c>
      <c r="AH157" s="301">
        <f t="shared" si="169"/>
        <v>4195652118</v>
      </c>
      <c r="AI157" s="373">
        <f t="shared" si="169"/>
        <v>5393956180</v>
      </c>
      <c r="AJ157" s="250">
        <f t="shared" si="169"/>
        <v>5665599712</v>
      </c>
      <c r="AK157" s="216"/>
      <c r="AL157" s="301">
        <f>SUM(AL158:AL166)</f>
        <v>0</v>
      </c>
      <c r="AM157" s="302"/>
    </row>
    <row r="158" spans="19:39" ht="24.75" customHeight="1">
      <c r="S158" s="706" t="s">
        <v>609</v>
      </c>
      <c r="T158" s="635" t="s">
        <v>709</v>
      </c>
      <c r="U158" s="1111">
        <v>0</v>
      </c>
      <c r="V158" s="1027">
        <f t="shared" ref="V158:V167" si="170">AL158</f>
        <v>0</v>
      </c>
      <c r="W158" s="220">
        <f t="shared" ref="W158:W167" si="171">AM158</f>
        <v>0</v>
      </c>
      <c r="X158" s="269">
        <f t="shared" ref="X158:X167" si="172">SUM(U158:W158)</f>
        <v>0</v>
      </c>
      <c r="Y158" s="270">
        <v>0</v>
      </c>
      <c r="Z158" s="208">
        <v>0</v>
      </c>
      <c r="AA158" s="269">
        <f t="shared" ref="AA158:AA167" si="173">SUM(Y158:Z158)</f>
        <v>0</v>
      </c>
      <c r="AB158" s="270">
        <v>0</v>
      </c>
      <c r="AC158" s="208">
        <v>0</v>
      </c>
      <c r="AD158" s="271">
        <f t="shared" ref="AD158:AD167" si="174">SUM(AB158:AC158)</f>
        <v>0</v>
      </c>
      <c r="AE158" s="270">
        <v>0</v>
      </c>
      <c r="AF158" s="208">
        <v>0</v>
      </c>
      <c r="AG158" s="269">
        <f t="shared" ref="AG158:AG167" si="175">SUM(AE158:AF158)</f>
        <v>0</v>
      </c>
      <c r="AH158" s="270">
        <f t="shared" ref="AH158:AH167" si="176">X158-AA158</f>
        <v>0</v>
      </c>
      <c r="AI158" s="220">
        <f t="shared" ref="AI158:AI167" si="177">X158-AD158</f>
        <v>0</v>
      </c>
      <c r="AJ158" s="269">
        <f t="shared" ref="AJ158:AJ167" si="178">X158-AG158</f>
        <v>0</v>
      </c>
      <c r="AK158" s="101"/>
      <c r="AL158" s="204">
        <v>0</v>
      </c>
      <c r="AM158" s="210">
        <v>0</v>
      </c>
    </row>
    <row r="159" spans="19:39" ht="24.75" customHeight="1">
      <c r="S159" s="706" t="s">
        <v>714</v>
      </c>
      <c r="T159" s="635" t="s">
        <v>713</v>
      </c>
      <c r="U159" s="1111">
        <v>476117296</v>
      </c>
      <c r="V159" s="1027">
        <f t="shared" si="170"/>
        <v>0</v>
      </c>
      <c r="W159" s="220">
        <f t="shared" si="171"/>
        <v>0</v>
      </c>
      <c r="X159" s="269">
        <f t="shared" si="172"/>
        <v>476117296</v>
      </c>
      <c r="Y159" s="270">
        <v>0</v>
      </c>
      <c r="Z159" s="208">
        <v>8000000</v>
      </c>
      <c r="AA159" s="269">
        <f t="shared" si="173"/>
        <v>8000000</v>
      </c>
      <c r="AB159" s="270">
        <v>0</v>
      </c>
      <c r="AC159" s="208">
        <v>795000</v>
      </c>
      <c r="AD159" s="271">
        <f t="shared" si="174"/>
        <v>795000</v>
      </c>
      <c r="AE159" s="270">
        <v>0</v>
      </c>
      <c r="AF159" s="208">
        <v>0</v>
      </c>
      <c r="AG159" s="269">
        <f t="shared" si="175"/>
        <v>0</v>
      </c>
      <c r="AH159" s="270">
        <f t="shared" si="176"/>
        <v>468117296</v>
      </c>
      <c r="AI159" s="220">
        <f t="shared" si="177"/>
        <v>475322296</v>
      </c>
      <c r="AJ159" s="269">
        <f t="shared" si="178"/>
        <v>476117296</v>
      </c>
      <c r="AK159" s="101"/>
      <c r="AL159" s="204">
        <v>0</v>
      </c>
      <c r="AM159" s="210">
        <v>0</v>
      </c>
    </row>
    <row r="160" spans="19:39" ht="24.75" customHeight="1">
      <c r="S160" s="706" t="s">
        <v>605</v>
      </c>
      <c r="T160" s="635" t="s">
        <v>710</v>
      </c>
      <c r="U160" s="1111">
        <v>415609981</v>
      </c>
      <c r="V160" s="1027">
        <f t="shared" si="170"/>
        <v>0</v>
      </c>
      <c r="W160" s="220">
        <f t="shared" si="171"/>
        <v>0</v>
      </c>
      <c r="X160" s="269">
        <f t="shared" si="172"/>
        <v>415609981</v>
      </c>
      <c r="Y160" s="270">
        <v>0</v>
      </c>
      <c r="Z160" s="208">
        <v>143637400</v>
      </c>
      <c r="AA160" s="269">
        <f t="shared" si="173"/>
        <v>143637400</v>
      </c>
      <c r="AB160" s="270">
        <v>0</v>
      </c>
      <c r="AC160" s="208">
        <v>16590810</v>
      </c>
      <c r="AD160" s="271">
        <f t="shared" si="174"/>
        <v>16590810</v>
      </c>
      <c r="AE160" s="270">
        <v>0</v>
      </c>
      <c r="AF160" s="208">
        <v>0</v>
      </c>
      <c r="AG160" s="269">
        <f t="shared" si="175"/>
        <v>0</v>
      </c>
      <c r="AH160" s="270">
        <f t="shared" si="176"/>
        <v>271972581</v>
      </c>
      <c r="AI160" s="220">
        <f t="shared" si="177"/>
        <v>399019171</v>
      </c>
      <c r="AJ160" s="269">
        <f t="shared" si="178"/>
        <v>415609981</v>
      </c>
      <c r="AK160" s="101"/>
      <c r="AL160" s="204">
        <v>0</v>
      </c>
      <c r="AM160" s="210">
        <v>0</v>
      </c>
    </row>
    <row r="161" spans="19:39" ht="24.75" customHeight="1">
      <c r="S161" s="706" t="s">
        <v>737</v>
      </c>
      <c r="T161" s="707" t="s">
        <v>719</v>
      </c>
      <c r="U161" s="1111">
        <v>220500000</v>
      </c>
      <c r="V161" s="1027">
        <f t="shared" si="170"/>
        <v>0</v>
      </c>
      <c r="W161" s="220">
        <f t="shared" si="171"/>
        <v>0</v>
      </c>
      <c r="X161" s="269">
        <f t="shared" si="172"/>
        <v>220500000</v>
      </c>
      <c r="Y161" s="270">
        <v>0</v>
      </c>
      <c r="Z161" s="208">
        <v>31535631</v>
      </c>
      <c r="AA161" s="269">
        <f t="shared" si="173"/>
        <v>31535631</v>
      </c>
      <c r="AB161" s="270">
        <v>0</v>
      </c>
      <c r="AC161" s="208">
        <v>31535631</v>
      </c>
      <c r="AD161" s="271">
        <f t="shared" si="174"/>
        <v>31535631</v>
      </c>
      <c r="AE161" s="270">
        <v>0</v>
      </c>
      <c r="AF161" s="208">
        <v>0</v>
      </c>
      <c r="AG161" s="269">
        <f t="shared" si="175"/>
        <v>0</v>
      </c>
      <c r="AH161" s="270">
        <f t="shared" si="176"/>
        <v>188964369</v>
      </c>
      <c r="AI161" s="220">
        <f t="shared" si="177"/>
        <v>188964369</v>
      </c>
      <c r="AJ161" s="269">
        <f t="shared" si="178"/>
        <v>220500000</v>
      </c>
      <c r="AK161" s="101"/>
      <c r="AL161" s="204">
        <v>0</v>
      </c>
      <c r="AM161" s="210">
        <v>0</v>
      </c>
    </row>
    <row r="162" spans="19:39" ht="24.75" customHeight="1">
      <c r="S162" s="706" t="s">
        <v>602</v>
      </c>
      <c r="T162" s="707" t="s">
        <v>720</v>
      </c>
      <c r="U162" s="1111">
        <v>144394707</v>
      </c>
      <c r="V162" s="1027">
        <f t="shared" si="170"/>
        <v>0</v>
      </c>
      <c r="W162" s="220">
        <f t="shared" si="171"/>
        <v>0</v>
      </c>
      <c r="X162" s="269">
        <f t="shared" si="172"/>
        <v>144394707</v>
      </c>
      <c r="Y162" s="270">
        <v>0</v>
      </c>
      <c r="Z162" s="208">
        <v>0</v>
      </c>
      <c r="AA162" s="269">
        <f t="shared" si="173"/>
        <v>0</v>
      </c>
      <c r="AB162" s="270">
        <v>0</v>
      </c>
      <c r="AC162" s="208">
        <v>0</v>
      </c>
      <c r="AD162" s="271">
        <f t="shared" si="174"/>
        <v>0</v>
      </c>
      <c r="AE162" s="270">
        <v>0</v>
      </c>
      <c r="AF162" s="208">
        <v>0</v>
      </c>
      <c r="AG162" s="269">
        <f t="shared" si="175"/>
        <v>0</v>
      </c>
      <c r="AH162" s="270">
        <f t="shared" si="176"/>
        <v>144394707</v>
      </c>
      <c r="AI162" s="220">
        <f t="shared" si="177"/>
        <v>144394707</v>
      </c>
      <c r="AJ162" s="269">
        <f t="shared" si="178"/>
        <v>144394707</v>
      </c>
      <c r="AK162" s="101"/>
      <c r="AL162" s="204">
        <v>0</v>
      </c>
      <c r="AM162" s="210">
        <v>0</v>
      </c>
    </row>
    <row r="163" spans="19:39" ht="24.75" customHeight="1">
      <c r="S163" s="706" t="s">
        <v>603</v>
      </c>
      <c r="T163" s="707" t="s">
        <v>738</v>
      </c>
      <c r="U163" s="1111">
        <v>4141233251</v>
      </c>
      <c r="V163" s="1027">
        <f t="shared" si="170"/>
        <v>0</v>
      </c>
      <c r="W163" s="220">
        <f t="shared" si="171"/>
        <v>0</v>
      </c>
      <c r="X163" s="269">
        <f t="shared" si="172"/>
        <v>4141233251</v>
      </c>
      <c r="Y163" s="270">
        <v>0</v>
      </c>
      <c r="Z163" s="208">
        <v>1271024563</v>
      </c>
      <c r="AA163" s="269">
        <f t="shared" si="173"/>
        <v>1271024563</v>
      </c>
      <c r="AB163" s="270">
        <v>0</v>
      </c>
      <c r="AC163" s="208">
        <v>206972101</v>
      </c>
      <c r="AD163" s="271">
        <f t="shared" si="174"/>
        <v>206972101</v>
      </c>
      <c r="AE163" s="270">
        <v>0</v>
      </c>
      <c r="AF163" s="208">
        <v>0</v>
      </c>
      <c r="AG163" s="269">
        <f t="shared" si="175"/>
        <v>0</v>
      </c>
      <c r="AH163" s="270">
        <f t="shared" si="176"/>
        <v>2870208688</v>
      </c>
      <c r="AI163" s="220">
        <f t="shared" si="177"/>
        <v>3934261150</v>
      </c>
      <c r="AJ163" s="269">
        <f t="shared" si="178"/>
        <v>4141233251</v>
      </c>
      <c r="AK163" s="101"/>
      <c r="AL163" s="204">
        <v>0</v>
      </c>
      <c r="AM163" s="210">
        <v>0</v>
      </c>
    </row>
    <row r="164" spans="19:39" ht="24.75" customHeight="1">
      <c r="S164" s="706" t="s">
        <v>604</v>
      </c>
      <c r="T164" s="707" t="s">
        <v>721</v>
      </c>
      <c r="U164" s="1111">
        <v>267744477</v>
      </c>
      <c r="V164" s="1027">
        <f t="shared" si="170"/>
        <v>0</v>
      </c>
      <c r="W164" s="220">
        <f t="shared" si="171"/>
        <v>0</v>
      </c>
      <c r="X164" s="269">
        <f t="shared" si="172"/>
        <v>267744477</v>
      </c>
      <c r="Y164" s="270">
        <v>0</v>
      </c>
      <c r="Z164" s="208">
        <v>15750000</v>
      </c>
      <c r="AA164" s="269">
        <f t="shared" si="173"/>
        <v>15750000</v>
      </c>
      <c r="AB164" s="270">
        <v>0</v>
      </c>
      <c r="AC164" s="208">
        <v>15749990</v>
      </c>
      <c r="AD164" s="271">
        <f t="shared" si="174"/>
        <v>15749990</v>
      </c>
      <c r="AE164" s="270">
        <v>0</v>
      </c>
      <c r="AF164" s="208">
        <v>0</v>
      </c>
      <c r="AG164" s="269">
        <f t="shared" si="175"/>
        <v>0</v>
      </c>
      <c r="AH164" s="270">
        <f t="shared" si="176"/>
        <v>251994477</v>
      </c>
      <c r="AI164" s="220">
        <f t="shared" si="177"/>
        <v>251994487</v>
      </c>
      <c r="AJ164" s="269">
        <f t="shared" si="178"/>
        <v>267744477</v>
      </c>
      <c r="AK164" s="101"/>
      <c r="AL164" s="204">
        <v>0</v>
      </c>
      <c r="AM164" s="210">
        <v>0</v>
      </c>
    </row>
    <row r="165" spans="19:39" ht="24.75" customHeight="1">
      <c r="S165" s="633" t="s">
        <v>647</v>
      </c>
      <c r="T165" s="635" t="s">
        <v>648</v>
      </c>
      <c r="U165" s="1112">
        <v>0</v>
      </c>
      <c r="V165" s="1027">
        <f t="shared" si="170"/>
        <v>0</v>
      </c>
      <c r="W165" s="220">
        <f t="shared" si="171"/>
        <v>0</v>
      </c>
      <c r="X165" s="269">
        <f t="shared" si="172"/>
        <v>0</v>
      </c>
      <c r="Y165" s="270">
        <v>0</v>
      </c>
      <c r="Z165" s="208">
        <v>0</v>
      </c>
      <c r="AA165" s="269">
        <f t="shared" si="173"/>
        <v>0</v>
      </c>
      <c r="AB165" s="270">
        <v>0</v>
      </c>
      <c r="AC165" s="208">
        <v>0</v>
      </c>
      <c r="AD165" s="271">
        <f t="shared" si="174"/>
        <v>0</v>
      </c>
      <c r="AE165" s="270">
        <v>0</v>
      </c>
      <c r="AF165" s="208">
        <v>0</v>
      </c>
      <c r="AG165" s="269">
        <f t="shared" si="175"/>
        <v>0</v>
      </c>
      <c r="AH165" s="270">
        <f t="shared" si="176"/>
        <v>0</v>
      </c>
      <c r="AI165" s="220">
        <f t="shared" si="177"/>
        <v>0</v>
      </c>
      <c r="AJ165" s="269">
        <f t="shared" si="178"/>
        <v>0</v>
      </c>
      <c r="AK165" s="101"/>
      <c r="AL165" s="204">
        <v>0</v>
      </c>
      <c r="AM165" s="210"/>
    </row>
    <row r="166" spans="19:39" ht="24.75" customHeight="1">
      <c r="S166" s="633" t="s">
        <v>608</v>
      </c>
      <c r="T166" s="635" t="s">
        <v>711</v>
      </c>
      <c r="U166" s="1112">
        <v>0</v>
      </c>
      <c r="V166" s="1027">
        <f t="shared" si="170"/>
        <v>0</v>
      </c>
      <c r="W166" s="220">
        <f t="shared" si="171"/>
        <v>0</v>
      </c>
      <c r="X166" s="269">
        <f t="shared" si="172"/>
        <v>0</v>
      </c>
      <c r="Y166" s="270"/>
      <c r="Z166" s="208">
        <v>0</v>
      </c>
      <c r="AA166" s="269">
        <f t="shared" si="173"/>
        <v>0</v>
      </c>
      <c r="AB166" s="270">
        <v>0</v>
      </c>
      <c r="AC166" s="208">
        <v>0</v>
      </c>
      <c r="AD166" s="271">
        <f t="shared" si="174"/>
        <v>0</v>
      </c>
      <c r="AE166" s="270">
        <v>0</v>
      </c>
      <c r="AF166" s="208">
        <v>0</v>
      </c>
      <c r="AG166" s="269">
        <f t="shared" si="175"/>
        <v>0</v>
      </c>
      <c r="AH166" s="270">
        <f t="shared" si="176"/>
        <v>0</v>
      </c>
      <c r="AI166" s="220">
        <f t="shared" si="177"/>
        <v>0</v>
      </c>
      <c r="AJ166" s="269">
        <f t="shared" si="178"/>
        <v>0</v>
      </c>
      <c r="AK166" s="101"/>
      <c r="AL166" s="204">
        <v>0</v>
      </c>
      <c r="AM166" s="210">
        <v>0</v>
      </c>
    </row>
    <row r="167" spans="19:39" ht="24.75" customHeight="1" thickBot="1">
      <c r="S167" s="633" t="s">
        <v>739</v>
      </c>
      <c r="T167" s="534" t="s">
        <v>740</v>
      </c>
      <c r="U167" s="1114">
        <v>2434004587.2222223</v>
      </c>
      <c r="V167" s="1027">
        <f t="shared" si="170"/>
        <v>0</v>
      </c>
      <c r="W167" s="220">
        <f t="shared" si="171"/>
        <v>0</v>
      </c>
      <c r="X167" s="269">
        <f t="shared" si="172"/>
        <v>2434004587.2222223</v>
      </c>
      <c r="Y167" s="270">
        <v>0</v>
      </c>
      <c r="Z167" s="208">
        <v>194172848</v>
      </c>
      <c r="AA167" s="269">
        <f t="shared" si="173"/>
        <v>194172848</v>
      </c>
      <c r="AB167" s="270">
        <v>0</v>
      </c>
      <c r="AC167" s="208">
        <v>194172848</v>
      </c>
      <c r="AD167" s="271">
        <f t="shared" si="174"/>
        <v>194172848</v>
      </c>
      <c r="AE167" s="270">
        <v>0</v>
      </c>
      <c r="AF167" s="208">
        <v>194172848</v>
      </c>
      <c r="AG167" s="269">
        <f t="shared" si="175"/>
        <v>194172848</v>
      </c>
      <c r="AH167" s="270">
        <f t="shared" si="176"/>
        <v>2239831739.2222223</v>
      </c>
      <c r="AI167" s="220">
        <f t="shared" si="177"/>
        <v>2239831739.2222223</v>
      </c>
      <c r="AJ167" s="269">
        <f t="shared" si="178"/>
        <v>2239831739.2222223</v>
      </c>
      <c r="AK167" s="101"/>
      <c r="AL167" s="204">
        <v>0</v>
      </c>
      <c r="AM167" s="210">
        <v>0</v>
      </c>
    </row>
    <row r="168" spans="19:39" ht="24.75" customHeight="1">
      <c r="S168" s="189"/>
      <c r="T168" s="190"/>
      <c r="U168" s="1060"/>
      <c r="V168" s="191"/>
      <c r="W168" s="191"/>
      <c r="X168" s="192"/>
      <c r="Y168" s="193"/>
      <c r="Z168" s="191"/>
      <c r="AA168" s="192"/>
      <c r="AB168" s="193"/>
      <c r="AC168" s="191"/>
      <c r="AD168" s="191"/>
      <c r="AE168" s="193"/>
      <c r="AF168" s="191"/>
      <c r="AG168" s="192"/>
      <c r="AH168" s="193"/>
      <c r="AI168" s="191"/>
      <c r="AJ168" s="192"/>
      <c r="AK168" s="101"/>
      <c r="AL168" s="370"/>
      <c r="AM168" s="371"/>
    </row>
    <row r="169" spans="19:39" ht="24.75" customHeight="1">
      <c r="S169" s="228">
        <v>3000000</v>
      </c>
      <c r="T169" s="404" t="s">
        <v>287</v>
      </c>
      <c r="U169" s="405">
        <f>U171+U175+U184</f>
        <v>2193060585</v>
      </c>
      <c r="V169" s="406">
        <f t="shared" ref="V169:AJ169" si="179">V171+V175+V184</f>
        <v>0</v>
      </c>
      <c r="W169" s="406">
        <f t="shared" si="179"/>
        <v>0</v>
      </c>
      <c r="X169" s="218">
        <f t="shared" si="179"/>
        <v>2193060585</v>
      </c>
      <c r="Y169" s="217">
        <f t="shared" si="179"/>
        <v>0</v>
      </c>
      <c r="Z169" s="406">
        <f t="shared" si="179"/>
        <v>239013351</v>
      </c>
      <c r="AA169" s="218">
        <f t="shared" si="179"/>
        <v>239013351</v>
      </c>
      <c r="AB169" s="217">
        <f t="shared" si="179"/>
        <v>0</v>
      </c>
      <c r="AC169" s="406">
        <f>AC171+AC175+AC184</f>
        <v>239013351</v>
      </c>
      <c r="AD169" s="407">
        <f t="shared" si="179"/>
        <v>239013351</v>
      </c>
      <c r="AE169" s="217">
        <f t="shared" si="179"/>
        <v>0</v>
      </c>
      <c r="AF169" s="406">
        <f t="shared" si="179"/>
        <v>110651152</v>
      </c>
      <c r="AG169" s="218">
        <f t="shared" si="179"/>
        <v>110651152</v>
      </c>
      <c r="AH169" s="217">
        <f t="shared" si="179"/>
        <v>1954047234</v>
      </c>
      <c r="AI169" s="406">
        <f t="shared" si="179"/>
        <v>1954047234</v>
      </c>
      <c r="AJ169" s="218">
        <f t="shared" si="179"/>
        <v>2082409433</v>
      </c>
      <c r="AK169" s="101"/>
      <c r="AL169" s="233">
        <f>AL171+AL175+AL184</f>
        <v>0</v>
      </c>
      <c r="AM169" s="232"/>
    </row>
    <row r="170" spans="19:39" ht="24.75" customHeight="1">
      <c r="S170" s="189"/>
      <c r="T170" s="190"/>
      <c r="U170" s="191"/>
      <c r="V170" s="191"/>
      <c r="W170" s="191"/>
      <c r="X170" s="192"/>
      <c r="Y170" s="193"/>
      <c r="Z170" s="191"/>
      <c r="AA170" s="192"/>
      <c r="AB170" s="193"/>
      <c r="AC170" s="191"/>
      <c r="AD170" s="191"/>
      <c r="AE170" s="193"/>
      <c r="AF170" s="191"/>
      <c r="AG170" s="192"/>
      <c r="AH170" s="193"/>
      <c r="AI170" s="191"/>
      <c r="AJ170" s="192"/>
      <c r="AK170" s="101"/>
      <c r="AL170" s="370"/>
      <c r="AM170" s="371"/>
    </row>
    <row r="171" spans="19:39" ht="24.75" customHeight="1">
      <c r="S171" s="257">
        <v>3100000</v>
      </c>
      <c r="T171" s="258" t="s">
        <v>288</v>
      </c>
      <c r="U171" s="230">
        <f t="shared" ref="U171:AJ171" si="180">SUM(U172:U173)</f>
        <v>570000000</v>
      </c>
      <c r="V171" s="231">
        <f t="shared" si="180"/>
        <v>0</v>
      </c>
      <c r="W171" s="231">
        <f t="shared" si="180"/>
        <v>0</v>
      </c>
      <c r="X171" s="232">
        <f t="shared" si="180"/>
        <v>570000000</v>
      </c>
      <c r="Y171" s="233">
        <f t="shared" si="180"/>
        <v>0</v>
      </c>
      <c r="Z171" s="231">
        <f>SUM(Z172:Z173)</f>
        <v>145152794</v>
      </c>
      <c r="AA171" s="232">
        <f t="shared" si="180"/>
        <v>145152794</v>
      </c>
      <c r="AB171" s="233">
        <f t="shared" si="180"/>
        <v>0</v>
      </c>
      <c r="AC171" s="231">
        <f t="shared" si="180"/>
        <v>145152794</v>
      </c>
      <c r="AD171" s="234">
        <f t="shared" si="180"/>
        <v>145152794</v>
      </c>
      <c r="AE171" s="233">
        <f t="shared" si="180"/>
        <v>0</v>
      </c>
      <c r="AF171" s="231">
        <f t="shared" si="180"/>
        <v>23007298</v>
      </c>
      <c r="AG171" s="232">
        <f t="shared" si="180"/>
        <v>23007298</v>
      </c>
      <c r="AH171" s="233">
        <f t="shared" si="180"/>
        <v>424847206</v>
      </c>
      <c r="AI171" s="231">
        <f t="shared" si="180"/>
        <v>424847206</v>
      </c>
      <c r="AJ171" s="232">
        <f t="shared" si="180"/>
        <v>546992702</v>
      </c>
      <c r="AK171" s="101"/>
      <c r="AL171" s="233">
        <f>SUM(AL172:AL173)</f>
        <v>0</v>
      </c>
      <c r="AM171" s="232">
        <f>SUM(AM172:AM173)</f>
        <v>0</v>
      </c>
    </row>
    <row r="172" spans="19:39" ht="24.75" customHeight="1">
      <c r="S172" s="266" t="s">
        <v>643</v>
      </c>
      <c r="T172" s="267" t="s">
        <v>644</v>
      </c>
      <c r="U172" s="723">
        <v>170000000</v>
      </c>
      <c r="V172" s="220">
        <f>AL172</f>
        <v>0</v>
      </c>
      <c r="W172" s="220">
        <f>AM172</f>
        <v>0</v>
      </c>
      <c r="X172" s="269">
        <f>SUM(U172:W172)</f>
        <v>170000000</v>
      </c>
      <c r="Y172" s="270">
        <v>0</v>
      </c>
      <c r="Z172" s="208">
        <v>122145496</v>
      </c>
      <c r="AA172" s="269">
        <f>SUM(Y172:Z172)</f>
        <v>122145496</v>
      </c>
      <c r="AB172" s="270">
        <v>0</v>
      </c>
      <c r="AC172" s="208">
        <v>122145496</v>
      </c>
      <c r="AD172" s="271">
        <f>SUM(AB172:AC172)</f>
        <v>122145496</v>
      </c>
      <c r="AE172" s="270">
        <v>0</v>
      </c>
      <c r="AF172" s="208">
        <v>0</v>
      </c>
      <c r="AG172" s="269">
        <f>SUM(AE172:AF172)</f>
        <v>0</v>
      </c>
      <c r="AH172" s="270">
        <f>X172-AA172</f>
        <v>47854504</v>
      </c>
      <c r="AI172" s="220">
        <f>X172-AD172</f>
        <v>47854504</v>
      </c>
      <c r="AJ172" s="269">
        <f>X172-AG172</f>
        <v>170000000</v>
      </c>
      <c r="AK172" s="101"/>
      <c r="AL172" s="204">
        <v>0</v>
      </c>
      <c r="AM172" s="210"/>
    </row>
    <row r="173" spans="19:39" ht="24.75" customHeight="1">
      <c r="S173" s="266" t="s">
        <v>760</v>
      </c>
      <c r="T173" s="267" t="s">
        <v>786</v>
      </c>
      <c r="U173" s="722">
        <v>400000000</v>
      </c>
      <c r="V173" s="220">
        <f>AL173</f>
        <v>0</v>
      </c>
      <c r="W173" s="220">
        <f>AM173</f>
        <v>0</v>
      </c>
      <c r="X173" s="269">
        <f>SUM(U173:W173)</f>
        <v>400000000</v>
      </c>
      <c r="Y173" s="270">
        <v>0</v>
      </c>
      <c r="Z173" s="208">
        <v>23007298</v>
      </c>
      <c r="AA173" s="269">
        <f>SUM(Y173:Z173)</f>
        <v>23007298</v>
      </c>
      <c r="AB173" s="270">
        <v>0</v>
      </c>
      <c r="AC173" s="208">
        <v>23007298</v>
      </c>
      <c r="AD173" s="271">
        <f>SUM(AB173:AC173)</f>
        <v>23007298</v>
      </c>
      <c r="AE173" s="270">
        <v>0</v>
      </c>
      <c r="AF173" s="208">
        <v>23007298</v>
      </c>
      <c r="AG173" s="269">
        <f>SUM(AE173:AF173)</f>
        <v>23007298</v>
      </c>
      <c r="AH173" s="270">
        <f>X173-AA173</f>
        <v>376992702</v>
      </c>
      <c r="AI173" s="220">
        <f>X173-AD173</f>
        <v>376992702</v>
      </c>
      <c r="AJ173" s="269">
        <f>X173-AG173</f>
        <v>376992702</v>
      </c>
      <c r="AK173" s="101"/>
      <c r="AL173" s="204">
        <v>0</v>
      </c>
      <c r="AM173" s="210">
        <v>0</v>
      </c>
    </row>
    <row r="174" spans="19:39" ht="24.75" customHeight="1">
      <c r="S174" s="189"/>
      <c r="T174" s="190"/>
      <c r="U174" s="191"/>
      <c r="V174" s="191"/>
      <c r="W174" s="191"/>
      <c r="X174" s="192"/>
      <c r="Y174" s="193"/>
      <c r="Z174" s="191"/>
      <c r="AA174" s="192"/>
      <c r="AB174" s="193"/>
      <c r="AC174" s="191"/>
      <c r="AD174" s="191"/>
      <c r="AE174" s="193"/>
      <c r="AF174" s="191"/>
      <c r="AG174" s="192"/>
      <c r="AH174" s="193"/>
      <c r="AI174" s="191"/>
      <c r="AJ174" s="192"/>
      <c r="AK174" s="216"/>
      <c r="AL174" s="370"/>
      <c r="AM174" s="371"/>
    </row>
    <row r="175" spans="19:39" ht="24.75" customHeight="1">
      <c r="S175" s="257">
        <v>320000</v>
      </c>
      <c r="T175" s="258" t="s">
        <v>289</v>
      </c>
      <c r="U175" s="230">
        <f t="shared" ref="U175:AJ175" si="181">SUM(U176:U182)</f>
        <v>310000000</v>
      </c>
      <c r="V175" s="231">
        <f t="shared" si="181"/>
        <v>0</v>
      </c>
      <c r="W175" s="231">
        <f t="shared" si="181"/>
        <v>0</v>
      </c>
      <c r="X175" s="232">
        <f t="shared" si="181"/>
        <v>310000000</v>
      </c>
      <c r="Y175" s="233">
        <f t="shared" si="181"/>
        <v>0</v>
      </c>
      <c r="Z175" s="231">
        <f t="shared" si="181"/>
        <v>516791</v>
      </c>
      <c r="AA175" s="232">
        <f t="shared" si="181"/>
        <v>516791</v>
      </c>
      <c r="AB175" s="233">
        <f t="shared" si="181"/>
        <v>0</v>
      </c>
      <c r="AC175" s="231">
        <f t="shared" si="181"/>
        <v>516791</v>
      </c>
      <c r="AD175" s="234">
        <f t="shared" si="181"/>
        <v>516791</v>
      </c>
      <c r="AE175" s="233">
        <f t="shared" si="181"/>
        <v>0</v>
      </c>
      <c r="AF175" s="231">
        <f t="shared" si="181"/>
        <v>516791</v>
      </c>
      <c r="AG175" s="232">
        <f t="shared" si="181"/>
        <v>516791</v>
      </c>
      <c r="AH175" s="233">
        <f t="shared" si="181"/>
        <v>309483209</v>
      </c>
      <c r="AI175" s="231">
        <f t="shared" si="181"/>
        <v>309483209</v>
      </c>
      <c r="AJ175" s="232">
        <f t="shared" si="181"/>
        <v>309483209</v>
      </c>
      <c r="AK175" s="101"/>
      <c r="AL175" s="233">
        <f>SUM(AL176:AL182)</f>
        <v>0</v>
      </c>
      <c r="AM175" s="232">
        <f>SUM(AM176:AM182)</f>
        <v>0</v>
      </c>
    </row>
    <row r="176" spans="19:39" ht="24.75" customHeight="1">
      <c r="S176" s="266">
        <v>3200100</v>
      </c>
      <c r="T176" s="267" t="s">
        <v>290</v>
      </c>
      <c r="U176" s="268">
        <v>0</v>
      </c>
      <c r="V176" s="220">
        <f t="shared" ref="V176:W182" si="182">AL176</f>
        <v>0</v>
      </c>
      <c r="W176" s="220">
        <f t="shared" si="182"/>
        <v>0</v>
      </c>
      <c r="X176" s="269">
        <f t="shared" ref="X176:X182" si="183">SUM(U176:W176)</f>
        <v>0</v>
      </c>
      <c r="Y176" s="270">
        <v>0</v>
      </c>
      <c r="Z176" s="208">
        <v>0</v>
      </c>
      <c r="AA176" s="269">
        <f t="shared" ref="AA176:AA182" si="184">SUM(Y176:Z176)</f>
        <v>0</v>
      </c>
      <c r="AB176" s="270">
        <v>0</v>
      </c>
      <c r="AC176" s="208">
        <v>0</v>
      </c>
      <c r="AD176" s="271">
        <f t="shared" ref="AD176:AD182" si="185">SUM(AB176:AC176)</f>
        <v>0</v>
      </c>
      <c r="AE176" s="270">
        <v>0</v>
      </c>
      <c r="AF176" s="208">
        <v>0</v>
      </c>
      <c r="AG176" s="269">
        <f t="shared" ref="AG176:AG182" si="186">SUM(AE176:AF176)</f>
        <v>0</v>
      </c>
      <c r="AH176" s="270">
        <f t="shared" ref="AH176:AH182" si="187">X176-AA176</f>
        <v>0</v>
      </c>
      <c r="AI176" s="220">
        <f t="shared" ref="AI176:AI182" si="188">X176-AD176</f>
        <v>0</v>
      </c>
      <c r="AJ176" s="269">
        <f t="shared" ref="AJ176:AJ182" si="189">X176-AG176</f>
        <v>0</v>
      </c>
      <c r="AK176" s="101"/>
      <c r="AL176" s="204">
        <v>0</v>
      </c>
      <c r="AM176" s="210">
        <v>0</v>
      </c>
    </row>
    <row r="177" spans="19:39" ht="24.75" customHeight="1">
      <c r="S177" s="266">
        <v>3200200</v>
      </c>
      <c r="T177" s="267" t="s">
        <v>291</v>
      </c>
      <c r="U177" s="268">
        <v>0</v>
      </c>
      <c r="V177" s="220">
        <f t="shared" si="182"/>
        <v>0</v>
      </c>
      <c r="W177" s="220">
        <f t="shared" si="182"/>
        <v>0</v>
      </c>
      <c r="X177" s="269">
        <f t="shared" si="183"/>
        <v>0</v>
      </c>
      <c r="Y177" s="270">
        <v>0</v>
      </c>
      <c r="Z177" s="208">
        <v>0</v>
      </c>
      <c r="AA177" s="269">
        <f t="shared" si="184"/>
        <v>0</v>
      </c>
      <c r="AB177" s="270">
        <v>0</v>
      </c>
      <c r="AC177" s="208">
        <v>0</v>
      </c>
      <c r="AD177" s="271">
        <f t="shared" si="185"/>
        <v>0</v>
      </c>
      <c r="AE177" s="270">
        <v>0</v>
      </c>
      <c r="AF177" s="208">
        <v>0</v>
      </c>
      <c r="AG177" s="269">
        <f t="shared" si="186"/>
        <v>0</v>
      </c>
      <c r="AH177" s="270">
        <f t="shared" si="187"/>
        <v>0</v>
      </c>
      <c r="AI177" s="220">
        <f t="shared" si="188"/>
        <v>0</v>
      </c>
      <c r="AJ177" s="269">
        <f t="shared" si="189"/>
        <v>0</v>
      </c>
      <c r="AK177" s="101"/>
      <c r="AL177" s="204">
        <v>0</v>
      </c>
      <c r="AM177" s="210">
        <v>0</v>
      </c>
    </row>
    <row r="178" spans="19:39" ht="24.75" customHeight="1">
      <c r="S178" s="266" t="s">
        <v>650</v>
      </c>
      <c r="T178" s="267" t="s">
        <v>651</v>
      </c>
      <c r="U178" s="723">
        <v>10000000</v>
      </c>
      <c r="V178" s="220">
        <f t="shared" si="182"/>
        <v>0</v>
      </c>
      <c r="W178" s="220">
        <f t="shared" si="182"/>
        <v>0</v>
      </c>
      <c r="X178" s="269">
        <f t="shared" si="183"/>
        <v>10000000</v>
      </c>
      <c r="Y178" s="270">
        <v>0</v>
      </c>
      <c r="Z178" s="208">
        <v>516791</v>
      </c>
      <c r="AA178" s="269">
        <f t="shared" si="184"/>
        <v>516791</v>
      </c>
      <c r="AB178" s="270">
        <v>0</v>
      </c>
      <c r="AC178" s="208">
        <v>516791</v>
      </c>
      <c r="AD178" s="271">
        <f t="shared" si="185"/>
        <v>516791</v>
      </c>
      <c r="AE178" s="270">
        <v>0</v>
      </c>
      <c r="AF178" s="208">
        <v>516791</v>
      </c>
      <c r="AG178" s="269">
        <f t="shared" si="186"/>
        <v>516791</v>
      </c>
      <c r="AH178" s="270">
        <f t="shared" si="187"/>
        <v>9483209</v>
      </c>
      <c r="AI178" s="220">
        <f t="shared" si="188"/>
        <v>9483209</v>
      </c>
      <c r="AJ178" s="269">
        <f t="shared" si="189"/>
        <v>9483209</v>
      </c>
      <c r="AK178" s="101"/>
      <c r="AL178" s="204">
        <v>0</v>
      </c>
      <c r="AM178" s="210">
        <v>0</v>
      </c>
    </row>
    <row r="179" spans="19:39" ht="24.75" customHeight="1">
      <c r="S179" s="266" t="s">
        <v>652</v>
      </c>
      <c r="T179" s="267" t="s">
        <v>653</v>
      </c>
      <c r="U179" s="723">
        <v>300000000</v>
      </c>
      <c r="V179" s="220">
        <f t="shared" si="182"/>
        <v>0</v>
      </c>
      <c r="W179" s="220">
        <f t="shared" si="182"/>
        <v>0</v>
      </c>
      <c r="X179" s="269">
        <f t="shared" si="183"/>
        <v>300000000</v>
      </c>
      <c r="Y179" s="270">
        <v>0</v>
      </c>
      <c r="Z179" s="208">
        <v>0</v>
      </c>
      <c r="AA179" s="269">
        <f t="shared" si="184"/>
        <v>0</v>
      </c>
      <c r="AB179" s="270">
        <v>0</v>
      </c>
      <c r="AC179" s="208">
        <v>0</v>
      </c>
      <c r="AD179" s="271">
        <f t="shared" si="185"/>
        <v>0</v>
      </c>
      <c r="AE179" s="270">
        <v>0</v>
      </c>
      <c r="AF179" s="208">
        <v>0</v>
      </c>
      <c r="AG179" s="269">
        <f t="shared" si="186"/>
        <v>0</v>
      </c>
      <c r="AH179" s="270">
        <f t="shared" si="187"/>
        <v>300000000</v>
      </c>
      <c r="AI179" s="220">
        <f t="shared" si="188"/>
        <v>300000000</v>
      </c>
      <c r="AJ179" s="269">
        <f t="shared" si="189"/>
        <v>300000000</v>
      </c>
      <c r="AK179" s="101"/>
      <c r="AL179" s="204">
        <v>0</v>
      </c>
      <c r="AM179" s="210">
        <v>0</v>
      </c>
    </row>
    <row r="180" spans="19:39" ht="24.75" customHeight="1">
      <c r="S180" s="266">
        <v>3200500</v>
      </c>
      <c r="T180" s="267"/>
      <c r="U180" s="268">
        <v>0</v>
      </c>
      <c r="V180" s="220">
        <f t="shared" si="182"/>
        <v>0</v>
      </c>
      <c r="W180" s="220">
        <f t="shared" si="182"/>
        <v>0</v>
      </c>
      <c r="X180" s="269">
        <f t="shared" si="183"/>
        <v>0</v>
      </c>
      <c r="Y180" s="270">
        <v>0</v>
      </c>
      <c r="Z180" s="208">
        <v>0</v>
      </c>
      <c r="AA180" s="269">
        <f t="shared" si="184"/>
        <v>0</v>
      </c>
      <c r="AB180" s="270">
        <v>0</v>
      </c>
      <c r="AC180" s="208">
        <v>0</v>
      </c>
      <c r="AD180" s="271">
        <f t="shared" si="185"/>
        <v>0</v>
      </c>
      <c r="AE180" s="270">
        <v>0</v>
      </c>
      <c r="AF180" s="208">
        <v>0</v>
      </c>
      <c r="AG180" s="269">
        <f t="shared" si="186"/>
        <v>0</v>
      </c>
      <c r="AH180" s="270">
        <f t="shared" si="187"/>
        <v>0</v>
      </c>
      <c r="AI180" s="220">
        <f t="shared" si="188"/>
        <v>0</v>
      </c>
      <c r="AJ180" s="269">
        <f t="shared" si="189"/>
        <v>0</v>
      </c>
      <c r="AK180" s="101"/>
      <c r="AL180" s="204">
        <v>0</v>
      </c>
      <c r="AM180" s="210">
        <v>0</v>
      </c>
    </row>
    <row r="181" spans="19:39" ht="24.75" customHeight="1">
      <c r="S181" s="266">
        <v>3200600</v>
      </c>
      <c r="T181" s="267"/>
      <c r="U181" s="268">
        <v>0</v>
      </c>
      <c r="V181" s="220">
        <f t="shared" si="182"/>
        <v>0</v>
      </c>
      <c r="W181" s="220">
        <f t="shared" si="182"/>
        <v>0</v>
      </c>
      <c r="X181" s="269">
        <f t="shared" si="183"/>
        <v>0</v>
      </c>
      <c r="Y181" s="270">
        <v>0</v>
      </c>
      <c r="Z181" s="208">
        <v>0</v>
      </c>
      <c r="AA181" s="269">
        <f t="shared" si="184"/>
        <v>0</v>
      </c>
      <c r="AB181" s="270">
        <v>0</v>
      </c>
      <c r="AC181" s="208">
        <v>0</v>
      </c>
      <c r="AD181" s="271">
        <f t="shared" si="185"/>
        <v>0</v>
      </c>
      <c r="AE181" s="270">
        <v>0</v>
      </c>
      <c r="AF181" s="208">
        <v>0</v>
      </c>
      <c r="AG181" s="269">
        <f t="shared" si="186"/>
        <v>0</v>
      </c>
      <c r="AH181" s="270">
        <f t="shared" si="187"/>
        <v>0</v>
      </c>
      <c r="AI181" s="220">
        <f t="shared" si="188"/>
        <v>0</v>
      </c>
      <c r="AJ181" s="269">
        <f t="shared" si="189"/>
        <v>0</v>
      </c>
      <c r="AK181" s="101"/>
      <c r="AL181" s="204">
        <v>0</v>
      </c>
      <c r="AM181" s="210">
        <v>0</v>
      </c>
    </row>
    <row r="182" spans="19:39" ht="24.75" customHeight="1">
      <c r="S182" s="266" t="s">
        <v>730</v>
      </c>
      <c r="T182" s="267" t="s">
        <v>549</v>
      </c>
      <c r="U182" s="723">
        <v>0</v>
      </c>
      <c r="V182" s="220">
        <f t="shared" si="182"/>
        <v>0</v>
      </c>
      <c r="W182" s="220">
        <f t="shared" si="182"/>
        <v>0</v>
      </c>
      <c r="X182" s="269">
        <f t="shared" si="183"/>
        <v>0</v>
      </c>
      <c r="Y182" s="270">
        <v>0</v>
      </c>
      <c r="Z182" s="208">
        <v>0</v>
      </c>
      <c r="AA182" s="269">
        <f t="shared" si="184"/>
        <v>0</v>
      </c>
      <c r="AB182" s="270">
        <v>0</v>
      </c>
      <c r="AC182" s="208">
        <v>0</v>
      </c>
      <c r="AD182" s="271">
        <f t="shared" si="185"/>
        <v>0</v>
      </c>
      <c r="AE182" s="270">
        <v>0</v>
      </c>
      <c r="AF182" s="208">
        <v>0</v>
      </c>
      <c r="AG182" s="269">
        <f t="shared" si="186"/>
        <v>0</v>
      </c>
      <c r="AH182" s="270">
        <f t="shared" si="187"/>
        <v>0</v>
      </c>
      <c r="AI182" s="220">
        <f t="shared" si="188"/>
        <v>0</v>
      </c>
      <c r="AJ182" s="269">
        <f t="shared" si="189"/>
        <v>0</v>
      </c>
      <c r="AK182" s="101"/>
      <c r="AL182" s="204">
        <v>0</v>
      </c>
      <c r="AM182" s="210">
        <v>0</v>
      </c>
    </row>
    <row r="183" spans="19:39" ht="24.75" customHeight="1">
      <c r="S183" s="189"/>
      <c r="T183" s="190"/>
      <c r="U183" s="191"/>
      <c r="V183" s="191"/>
      <c r="W183" s="191"/>
      <c r="X183" s="192"/>
      <c r="Y183" s="193"/>
      <c r="Z183" s="191"/>
      <c r="AA183" s="192"/>
      <c r="AB183" s="193"/>
      <c r="AC183" s="191"/>
      <c r="AD183" s="191"/>
      <c r="AE183" s="193"/>
      <c r="AF183" s="191"/>
      <c r="AG183" s="192"/>
      <c r="AH183" s="193"/>
      <c r="AI183" s="191"/>
      <c r="AJ183" s="192"/>
      <c r="AK183" s="101"/>
      <c r="AL183" s="370"/>
      <c r="AM183" s="371"/>
    </row>
    <row r="184" spans="19:39" ht="24.75" customHeight="1">
      <c r="S184" s="257">
        <v>3300000</v>
      </c>
      <c r="T184" s="258" t="s">
        <v>292</v>
      </c>
      <c r="U184" s="230">
        <f>U185+U186+U191</f>
        <v>1313060585</v>
      </c>
      <c r="V184" s="231">
        <f t="shared" ref="V184:AJ184" si="190">V185+V186+V191</f>
        <v>0</v>
      </c>
      <c r="W184" s="231">
        <f t="shared" si="190"/>
        <v>0</v>
      </c>
      <c r="X184" s="232">
        <f t="shared" si="190"/>
        <v>1313060585</v>
      </c>
      <c r="Y184" s="233">
        <f t="shared" si="190"/>
        <v>0</v>
      </c>
      <c r="Z184" s="231">
        <f t="shared" si="190"/>
        <v>93343766</v>
      </c>
      <c r="AA184" s="232">
        <f t="shared" si="190"/>
        <v>93343766</v>
      </c>
      <c r="AB184" s="233">
        <f t="shared" si="190"/>
        <v>0</v>
      </c>
      <c r="AC184" s="231">
        <f>AC185+AC186+AC191</f>
        <v>93343766</v>
      </c>
      <c r="AD184" s="234">
        <f t="shared" si="190"/>
        <v>93343766</v>
      </c>
      <c r="AE184" s="233">
        <f t="shared" si="190"/>
        <v>0</v>
      </c>
      <c r="AF184" s="231">
        <f>AF185+AF186+AF191</f>
        <v>87127063</v>
      </c>
      <c r="AG184" s="232">
        <f t="shared" si="190"/>
        <v>87127063</v>
      </c>
      <c r="AH184" s="233">
        <f t="shared" si="190"/>
        <v>1219716819</v>
      </c>
      <c r="AI184" s="231">
        <f t="shared" si="190"/>
        <v>1219716819</v>
      </c>
      <c r="AJ184" s="232">
        <f t="shared" si="190"/>
        <v>1225933522</v>
      </c>
      <c r="AK184" s="101"/>
      <c r="AL184" s="233">
        <f>AL185+AL186+AL191</f>
        <v>0</v>
      </c>
      <c r="AM184" s="232">
        <f>AM185+AM186+AM191</f>
        <v>0</v>
      </c>
    </row>
    <row r="185" spans="19:39" ht="24.75" customHeight="1">
      <c r="S185" s="266" t="s">
        <v>656</v>
      </c>
      <c r="T185" s="267" t="s">
        <v>657</v>
      </c>
      <c r="U185" s="723">
        <v>800000000</v>
      </c>
      <c r="V185" s="220">
        <f>AL185</f>
        <v>-350000000</v>
      </c>
      <c r="W185" s="220">
        <f>AM185</f>
        <v>0</v>
      </c>
      <c r="X185" s="269">
        <f t="shared" ref="X185:X191" si="191">SUM(U185:W185)</f>
        <v>450000000</v>
      </c>
      <c r="Y185" s="270">
        <v>0</v>
      </c>
      <c r="Z185" s="208">
        <v>0</v>
      </c>
      <c r="AA185" s="269">
        <f>SUM(Y185:Z185)</f>
        <v>0</v>
      </c>
      <c r="AB185" s="270">
        <v>0</v>
      </c>
      <c r="AC185" s="208">
        <v>0</v>
      </c>
      <c r="AD185" s="271">
        <f>SUM(AB185:AC185)</f>
        <v>0</v>
      </c>
      <c r="AE185" s="270">
        <v>0</v>
      </c>
      <c r="AF185" s="208">
        <v>0</v>
      </c>
      <c r="AG185" s="269">
        <f>SUM(AE185:AF185)</f>
        <v>0</v>
      </c>
      <c r="AH185" s="270">
        <f>X185-AA185</f>
        <v>450000000</v>
      </c>
      <c r="AI185" s="220">
        <f>X185-AD185</f>
        <v>450000000</v>
      </c>
      <c r="AJ185" s="269">
        <f>X185-AG185</f>
        <v>450000000</v>
      </c>
      <c r="AK185" s="101"/>
      <c r="AL185" s="204">
        <v>-350000000</v>
      </c>
      <c r="AM185" s="210">
        <v>0</v>
      </c>
    </row>
    <row r="186" spans="19:39" ht="24.75" customHeight="1">
      <c r="S186" s="266">
        <v>3300200</v>
      </c>
      <c r="T186" s="267" t="s">
        <v>293</v>
      </c>
      <c r="U186" s="406">
        <f>SUM(U187:U190)</f>
        <v>463060585</v>
      </c>
      <c r="V186" s="406">
        <f t="shared" ref="V186:AJ186" si="192">SUM(V187:V190)</f>
        <v>0</v>
      </c>
      <c r="W186" s="406">
        <f t="shared" si="192"/>
        <v>0</v>
      </c>
      <c r="X186" s="218">
        <f t="shared" si="191"/>
        <v>463060585</v>
      </c>
      <c r="Y186" s="270">
        <f t="shared" si="192"/>
        <v>0</v>
      </c>
      <c r="Z186" s="300">
        <f t="shared" si="192"/>
        <v>6216703</v>
      </c>
      <c r="AA186" s="269">
        <f t="shared" si="192"/>
        <v>6216703</v>
      </c>
      <c r="AB186" s="270">
        <f t="shared" si="192"/>
        <v>0</v>
      </c>
      <c r="AC186" s="300">
        <f t="shared" si="192"/>
        <v>6216703</v>
      </c>
      <c r="AD186" s="271">
        <f t="shared" si="192"/>
        <v>6216703</v>
      </c>
      <c r="AE186" s="270">
        <f t="shared" si="192"/>
        <v>0</v>
      </c>
      <c r="AF186" s="300">
        <f t="shared" si="192"/>
        <v>0</v>
      </c>
      <c r="AG186" s="269">
        <f t="shared" si="192"/>
        <v>0</v>
      </c>
      <c r="AH186" s="270">
        <f t="shared" si="192"/>
        <v>456843882</v>
      </c>
      <c r="AI186" s="220">
        <f t="shared" si="192"/>
        <v>456843882</v>
      </c>
      <c r="AJ186" s="269">
        <f t="shared" si="192"/>
        <v>463060585</v>
      </c>
      <c r="AK186" s="101"/>
      <c r="AL186" s="301">
        <f>SUM(AL187:AL190)</f>
        <v>0</v>
      </c>
      <c r="AM186" s="302">
        <f>SUM(AM187:AM190)</f>
        <v>0</v>
      </c>
    </row>
    <row r="187" spans="19:39" ht="24.75" customHeight="1">
      <c r="S187" s="311" t="s">
        <v>610</v>
      </c>
      <c r="T187" s="312" t="s">
        <v>645</v>
      </c>
      <c r="U187" s="723">
        <v>13060585</v>
      </c>
      <c r="V187" s="220">
        <f t="shared" ref="V187:W191" si="193">AL187</f>
        <v>0</v>
      </c>
      <c r="W187" s="220">
        <f t="shared" si="193"/>
        <v>0</v>
      </c>
      <c r="X187" s="269">
        <f t="shared" si="191"/>
        <v>13060585</v>
      </c>
      <c r="Y187" s="270">
        <v>0</v>
      </c>
      <c r="Z187" s="208">
        <v>6216703</v>
      </c>
      <c r="AA187" s="269">
        <f>SUM(Y187:Z187)</f>
        <v>6216703</v>
      </c>
      <c r="AB187" s="270">
        <v>0</v>
      </c>
      <c r="AC187" s="208">
        <v>6216703</v>
      </c>
      <c r="AD187" s="271">
        <f>SUM(AB187:AC187)</f>
        <v>6216703</v>
      </c>
      <c r="AE187" s="270">
        <v>0</v>
      </c>
      <c r="AF187" s="208">
        <v>0</v>
      </c>
      <c r="AG187" s="269">
        <f>SUM(AE187:AF187)</f>
        <v>0</v>
      </c>
      <c r="AH187" s="270">
        <f>X187-AA187</f>
        <v>6843882</v>
      </c>
      <c r="AI187" s="220">
        <f>X187-AD187</f>
        <v>6843882</v>
      </c>
      <c r="AJ187" s="269">
        <f>X187-AG187</f>
        <v>13060585</v>
      </c>
      <c r="AK187" s="101"/>
      <c r="AL187" s="204">
        <v>0</v>
      </c>
      <c r="AM187" s="210"/>
    </row>
    <row r="188" spans="19:39" ht="24.75" customHeight="1">
      <c r="S188" s="311" t="s">
        <v>658</v>
      </c>
      <c r="T188" s="312" t="s">
        <v>659</v>
      </c>
      <c r="U188" s="723">
        <v>300000000</v>
      </c>
      <c r="V188" s="220">
        <f t="shared" si="193"/>
        <v>0</v>
      </c>
      <c r="W188" s="220">
        <f t="shared" si="193"/>
        <v>0</v>
      </c>
      <c r="X188" s="269">
        <f t="shared" si="191"/>
        <v>300000000</v>
      </c>
      <c r="Y188" s="270">
        <v>0</v>
      </c>
      <c r="Z188" s="208">
        <v>0</v>
      </c>
      <c r="AA188" s="269">
        <f>SUM(Y188:Z188)</f>
        <v>0</v>
      </c>
      <c r="AB188" s="270">
        <v>0</v>
      </c>
      <c r="AC188" s="208">
        <v>0</v>
      </c>
      <c r="AD188" s="271">
        <f>SUM(AB188:AC188)</f>
        <v>0</v>
      </c>
      <c r="AE188" s="270">
        <v>0</v>
      </c>
      <c r="AF188" s="208">
        <v>0</v>
      </c>
      <c r="AG188" s="269">
        <f>SUM(AE188:AF188)</f>
        <v>0</v>
      </c>
      <c r="AH188" s="270">
        <f>X188-AA188</f>
        <v>300000000</v>
      </c>
      <c r="AI188" s="220">
        <f>X188-AD188</f>
        <v>300000000</v>
      </c>
      <c r="AJ188" s="269">
        <f>X188-AG188</f>
        <v>300000000</v>
      </c>
      <c r="AK188" s="101"/>
      <c r="AL188" s="204">
        <v>0</v>
      </c>
      <c r="AM188" s="210"/>
    </row>
    <row r="189" spans="19:39" ht="24.75" customHeight="1">
      <c r="S189" s="311" t="s">
        <v>785</v>
      </c>
      <c r="T189" s="267" t="s">
        <v>787</v>
      </c>
      <c r="U189" s="1171"/>
      <c r="V189" s="220"/>
      <c r="W189" s="220"/>
      <c r="X189" s="269"/>
      <c r="Y189" s="270"/>
      <c r="Z189" s="208"/>
      <c r="AA189" s="269"/>
      <c r="AB189" s="270"/>
      <c r="AC189" s="208"/>
      <c r="AD189" s="271"/>
      <c r="AE189" s="270"/>
      <c r="AF189" s="208"/>
      <c r="AG189" s="269"/>
      <c r="AH189" s="270"/>
      <c r="AI189" s="220"/>
      <c r="AJ189" s="269"/>
      <c r="AK189" s="903"/>
      <c r="AL189" s="204"/>
      <c r="AM189" s="210"/>
    </row>
    <row r="190" spans="19:39" ht="24.75" customHeight="1">
      <c r="S190" s="311" t="s">
        <v>689</v>
      </c>
      <c r="T190" s="312" t="s">
        <v>763</v>
      </c>
      <c r="U190" s="722">
        <v>150000000</v>
      </c>
      <c r="V190" s="220">
        <f t="shared" si="193"/>
        <v>0</v>
      </c>
      <c r="W190" s="220">
        <f t="shared" si="193"/>
        <v>0</v>
      </c>
      <c r="X190" s="269">
        <f t="shared" si="191"/>
        <v>150000000</v>
      </c>
      <c r="Y190" s="270">
        <v>0</v>
      </c>
      <c r="Z190" s="208">
        <v>0</v>
      </c>
      <c r="AA190" s="269">
        <f>SUM(Y190:Z190)</f>
        <v>0</v>
      </c>
      <c r="AB190" s="270">
        <v>0</v>
      </c>
      <c r="AC190" s="208">
        <v>0</v>
      </c>
      <c r="AD190" s="271">
        <f>SUM(AB190:AC190)</f>
        <v>0</v>
      </c>
      <c r="AE190" s="270">
        <v>0</v>
      </c>
      <c r="AF190" s="208">
        <v>0</v>
      </c>
      <c r="AG190" s="269">
        <f>SUM(AE190:AF190)</f>
        <v>0</v>
      </c>
      <c r="AH190" s="270">
        <f>X190-AA190</f>
        <v>150000000</v>
      </c>
      <c r="AI190" s="220">
        <f>X190-AD190</f>
        <v>150000000</v>
      </c>
      <c r="AJ190" s="269">
        <f>X190-AG190</f>
        <v>150000000</v>
      </c>
      <c r="AK190" s="101"/>
      <c r="AL190" s="204">
        <v>0</v>
      </c>
      <c r="AM190" s="210">
        <v>0</v>
      </c>
    </row>
    <row r="191" spans="19:39" ht="24.75" customHeight="1">
      <c r="S191" s="266" t="s">
        <v>781</v>
      </c>
      <c r="T191" s="267" t="s">
        <v>782</v>
      </c>
      <c r="U191" s="268">
        <v>50000000</v>
      </c>
      <c r="V191" s="220">
        <f t="shared" si="193"/>
        <v>350000000</v>
      </c>
      <c r="W191" s="220">
        <f t="shared" si="193"/>
        <v>0</v>
      </c>
      <c r="X191" s="269">
        <f t="shared" si="191"/>
        <v>400000000</v>
      </c>
      <c r="Y191" s="270">
        <v>0</v>
      </c>
      <c r="Z191" s="208">
        <v>87127063</v>
      </c>
      <c r="AA191" s="269">
        <f>SUM(Y191:Z191)</f>
        <v>87127063</v>
      </c>
      <c r="AB191" s="270">
        <v>0</v>
      </c>
      <c r="AC191" s="208">
        <v>87127063</v>
      </c>
      <c r="AD191" s="271">
        <f>SUM(AB191:AC191)</f>
        <v>87127063</v>
      </c>
      <c r="AE191" s="270">
        <v>0</v>
      </c>
      <c r="AF191" s="208">
        <v>87127063</v>
      </c>
      <c r="AG191" s="269">
        <f>SUM(AE191:AF191)</f>
        <v>87127063</v>
      </c>
      <c r="AH191" s="270">
        <f>X191-AA191</f>
        <v>312872937</v>
      </c>
      <c r="AI191" s="220">
        <f>X191-AD191</f>
        <v>312872937</v>
      </c>
      <c r="AJ191" s="269">
        <f>X191-AG191</f>
        <v>312872937</v>
      </c>
      <c r="AK191" s="101"/>
      <c r="AL191" s="204">
        <v>350000000</v>
      </c>
      <c r="AM191" s="210"/>
    </row>
    <row r="193" spans="19:39" ht="36.75" customHeight="1">
      <c r="S193" s="462" t="s">
        <v>294</v>
      </c>
      <c r="T193" s="463" t="s">
        <v>295</v>
      </c>
      <c r="U193" s="405">
        <f>U195+U209</f>
        <v>42375190113.666664</v>
      </c>
      <c r="V193" s="406">
        <f t="shared" ref="V193:AJ193" si="194">V195+V209</f>
        <v>0</v>
      </c>
      <c r="W193" s="406">
        <f t="shared" si="194"/>
        <v>0</v>
      </c>
      <c r="X193" s="218">
        <f t="shared" si="194"/>
        <v>42375190113.666664</v>
      </c>
      <c r="Y193" s="217">
        <f t="shared" si="194"/>
        <v>0</v>
      </c>
      <c r="Z193" s="406">
        <f t="shared" si="194"/>
        <v>14527443470</v>
      </c>
      <c r="AA193" s="218">
        <f t="shared" si="194"/>
        <v>14527443470</v>
      </c>
      <c r="AB193" s="405">
        <f t="shared" si="194"/>
        <v>0</v>
      </c>
      <c r="AC193" s="406">
        <f t="shared" si="194"/>
        <v>5851945105</v>
      </c>
      <c r="AD193" s="407">
        <f t="shared" si="194"/>
        <v>5851945105</v>
      </c>
      <c r="AE193" s="217">
        <f t="shared" si="194"/>
        <v>0</v>
      </c>
      <c r="AF193" s="406">
        <f t="shared" si="194"/>
        <v>2229917688</v>
      </c>
      <c r="AG193" s="218">
        <f t="shared" si="194"/>
        <v>2229917688</v>
      </c>
      <c r="AH193" s="217">
        <f t="shared" si="194"/>
        <v>27847746643.666664</v>
      </c>
      <c r="AI193" s="406">
        <f t="shared" si="194"/>
        <v>36523245008.666664</v>
      </c>
      <c r="AJ193" s="218">
        <f t="shared" si="194"/>
        <v>40145272425.666664</v>
      </c>
      <c r="AK193" s="101"/>
      <c r="AL193" s="217">
        <f>AL195+AL209</f>
        <v>0</v>
      </c>
      <c r="AM193" s="218">
        <f>AM195+AM209</f>
        <v>0</v>
      </c>
    </row>
    <row r="194" spans="19:39" ht="24.75" customHeight="1" thickBot="1">
      <c r="S194" s="455"/>
      <c r="T194" s="456"/>
      <c r="U194" s="1128"/>
      <c r="V194" s="457"/>
      <c r="W194" s="457"/>
      <c r="X194" s="458"/>
      <c r="Y194" s="459"/>
      <c r="Z194" s="457"/>
      <c r="AA194" s="458"/>
      <c r="AB194" s="457"/>
      <c r="AC194" s="457"/>
      <c r="AD194" s="457"/>
      <c r="AE194" s="459"/>
      <c r="AF194" s="457"/>
      <c r="AG194" s="458"/>
      <c r="AH194" s="459"/>
      <c r="AI194" s="457"/>
      <c r="AJ194" s="458"/>
      <c r="AK194" s="101"/>
      <c r="AL194" s="460"/>
      <c r="AM194" s="461"/>
    </row>
    <row r="195" spans="19:39" ht="24.75" customHeight="1">
      <c r="S195" s="228" t="s">
        <v>611</v>
      </c>
      <c r="T195" s="541" t="s">
        <v>612</v>
      </c>
      <c r="U195" s="1129">
        <f t="shared" ref="U195:AJ195" si="195">U196</f>
        <v>40172190113.666664</v>
      </c>
      <c r="V195" s="882">
        <f t="shared" si="195"/>
        <v>-495559635</v>
      </c>
      <c r="W195" s="406">
        <f t="shared" si="195"/>
        <v>0</v>
      </c>
      <c r="X195" s="218">
        <f t="shared" si="195"/>
        <v>39676630478.666664</v>
      </c>
      <c r="Y195" s="217">
        <f t="shared" si="195"/>
        <v>0</v>
      </c>
      <c r="Z195" s="406">
        <f t="shared" si="195"/>
        <v>13394346087</v>
      </c>
      <c r="AA195" s="218">
        <f t="shared" si="195"/>
        <v>13394346087</v>
      </c>
      <c r="AB195" s="217">
        <f t="shared" si="195"/>
        <v>0</v>
      </c>
      <c r="AC195" s="406">
        <f t="shared" si="195"/>
        <v>4718847722</v>
      </c>
      <c r="AD195" s="407">
        <f t="shared" si="195"/>
        <v>4718847722</v>
      </c>
      <c r="AE195" s="217">
        <f t="shared" si="195"/>
        <v>0</v>
      </c>
      <c r="AF195" s="406">
        <f t="shared" si="195"/>
        <v>1096820305</v>
      </c>
      <c r="AG195" s="218">
        <f t="shared" si="195"/>
        <v>1096820305</v>
      </c>
      <c r="AH195" s="217">
        <f t="shared" si="195"/>
        <v>26282284391.666664</v>
      </c>
      <c r="AI195" s="406">
        <f t="shared" si="195"/>
        <v>34957782756.666664</v>
      </c>
      <c r="AJ195" s="218">
        <f t="shared" si="195"/>
        <v>38579810173.666664</v>
      </c>
      <c r="AK195" s="101"/>
      <c r="AL195" s="233">
        <f>AL196</f>
        <v>-495559635</v>
      </c>
      <c r="AM195" s="232">
        <v>0</v>
      </c>
    </row>
    <row r="196" spans="19:39" ht="24.75" customHeight="1">
      <c r="S196" s="257" t="s">
        <v>613</v>
      </c>
      <c r="T196" s="1115" t="s">
        <v>614</v>
      </c>
      <c r="U196" s="1130">
        <f>U197+U205+U207</f>
        <v>40172190113.666664</v>
      </c>
      <c r="V196" s="883">
        <f t="shared" ref="V196:AJ196" si="196">V197+V205+V207</f>
        <v>-495559635</v>
      </c>
      <c r="W196" s="231">
        <f t="shared" si="196"/>
        <v>0</v>
      </c>
      <c r="X196" s="232">
        <f t="shared" si="196"/>
        <v>39676630478.666664</v>
      </c>
      <c r="Y196" s="233">
        <f t="shared" si="196"/>
        <v>0</v>
      </c>
      <c r="Z196" s="231">
        <f t="shared" si="196"/>
        <v>13394346087</v>
      </c>
      <c r="AA196" s="232">
        <f t="shared" si="196"/>
        <v>13394346087</v>
      </c>
      <c r="AB196" s="233">
        <f t="shared" si="196"/>
        <v>0</v>
      </c>
      <c r="AC196" s="231">
        <f t="shared" si="196"/>
        <v>4718847722</v>
      </c>
      <c r="AD196" s="234">
        <f t="shared" si="196"/>
        <v>4718847722</v>
      </c>
      <c r="AE196" s="233">
        <f t="shared" si="196"/>
        <v>0</v>
      </c>
      <c r="AF196" s="231">
        <f t="shared" si="196"/>
        <v>1096820305</v>
      </c>
      <c r="AG196" s="232">
        <f t="shared" si="196"/>
        <v>1096820305</v>
      </c>
      <c r="AH196" s="233">
        <f t="shared" si="196"/>
        <v>26282284391.666664</v>
      </c>
      <c r="AI196" s="231">
        <f t="shared" si="196"/>
        <v>34957782756.666664</v>
      </c>
      <c r="AJ196" s="232">
        <f t="shared" si="196"/>
        <v>38579810173.666664</v>
      </c>
      <c r="AK196" s="216"/>
      <c r="AL196" s="233">
        <f>AL197+AL205+AL207</f>
        <v>-495559635</v>
      </c>
      <c r="AM196" s="232">
        <v>0</v>
      </c>
    </row>
    <row r="197" spans="19:39" ht="24.75" customHeight="1">
      <c r="S197" s="266" t="s">
        <v>615</v>
      </c>
      <c r="T197" s="534" t="s">
        <v>616</v>
      </c>
      <c r="U197" s="1131">
        <f>SUM(U198:U204)</f>
        <v>28648709150.333332</v>
      </c>
      <c r="V197" s="1027">
        <f t="shared" ref="V197:AJ197" si="197">SUM(V198:V204)</f>
        <v>-495559635</v>
      </c>
      <c r="W197" s="220">
        <f t="shared" si="197"/>
        <v>0</v>
      </c>
      <c r="X197" s="269">
        <f t="shared" si="197"/>
        <v>28153149515.333332</v>
      </c>
      <c r="Y197" s="270">
        <f t="shared" si="197"/>
        <v>0</v>
      </c>
      <c r="Z197" s="300">
        <f t="shared" si="197"/>
        <v>8183220567</v>
      </c>
      <c r="AA197" s="269">
        <f t="shared" si="197"/>
        <v>8183220567</v>
      </c>
      <c r="AB197" s="270">
        <f t="shared" si="197"/>
        <v>0</v>
      </c>
      <c r="AC197" s="300">
        <f t="shared" si="197"/>
        <v>3075877108</v>
      </c>
      <c r="AD197" s="271">
        <f t="shared" si="197"/>
        <v>3075877108</v>
      </c>
      <c r="AE197" s="270">
        <f t="shared" si="197"/>
        <v>0</v>
      </c>
      <c r="AF197" s="300">
        <f t="shared" si="197"/>
        <v>46268719</v>
      </c>
      <c r="AG197" s="269">
        <f t="shared" si="197"/>
        <v>46268719</v>
      </c>
      <c r="AH197" s="270">
        <f t="shared" si="197"/>
        <v>19969928948.333332</v>
      </c>
      <c r="AI197" s="220">
        <f t="shared" si="197"/>
        <v>25077272407.333332</v>
      </c>
      <c r="AJ197" s="269">
        <f t="shared" si="197"/>
        <v>28106880796.333332</v>
      </c>
      <c r="AK197" s="101"/>
      <c r="AL197" s="301">
        <f>SUM(AL198:AL204)</f>
        <v>-495559635</v>
      </c>
      <c r="AM197" s="302"/>
    </row>
    <row r="198" spans="19:39" ht="24.75" customHeight="1">
      <c r="S198" s="633" t="s">
        <v>617</v>
      </c>
      <c r="T198" s="634" t="s">
        <v>172</v>
      </c>
      <c r="U198" s="1113">
        <v>7396066391.666666</v>
      </c>
      <c r="V198" s="1027">
        <f t="shared" ref="V198:W204" si="198">AL198</f>
        <v>0</v>
      </c>
      <c r="W198" s="220">
        <f t="shared" si="198"/>
        <v>0</v>
      </c>
      <c r="X198" s="464">
        <f t="shared" ref="X198:X204" si="199">SUM(U198:W198)</f>
        <v>7396066391.666666</v>
      </c>
      <c r="Y198" s="270">
        <v>0</v>
      </c>
      <c r="Z198" s="208">
        <v>1504731509</v>
      </c>
      <c r="AA198" s="269">
        <f t="shared" ref="AA198:AA204" si="200">SUM(Y198:Z198)</f>
        <v>1504731509</v>
      </c>
      <c r="AB198" s="270">
        <v>0</v>
      </c>
      <c r="AC198" s="208">
        <v>677738526</v>
      </c>
      <c r="AD198" s="271">
        <f t="shared" ref="AD198:AD204" si="201">SUM(AB198:AC198)</f>
        <v>677738526</v>
      </c>
      <c r="AE198" s="270">
        <v>0</v>
      </c>
      <c r="AF198" s="208">
        <v>1702000</v>
      </c>
      <c r="AG198" s="269">
        <f t="shared" ref="AG198:AG204" si="202">SUM(AE198:AF198)</f>
        <v>1702000</v>
      </c>
      <c r="AH198" s="270">
        <f t="shared" ref="AH198:AH204" si="203">X198-AA198</f>
        <v>5891334882.666666</v>
      </c>
      <c r="AI198" s="220">
        <f t="shared" ref="AI198:AI204" si="204">X198-AD198</f>
        <v>6718327865.666666</v>
      </c>
      <c r="AJ198" s="269">
        <f t="shared" ref="AJ198:AJ204" si="205">X198-AG198</f>
        <v>7394364391.666666</v>
      </c>
      <c r="AK198" s="101"/>
      <c r="AL198" s="204">
        <v>0</v>
      </c>
      <c r="AM198" s="204">
        <v>0</v>
      </c>
    </row>
    <row r="199" spans="19:39" ht="24.75" customHeight="1">
      <c r="S199" s="633" t="s">
        <v>618</v>
      </c>
      <c r="T199" s="535" t="s">
        <v>297</v>
      </c>
      <c r="U199" s="1113">
        <v>6198007399.166666</v>
      </c>
      <c r="V199" s="1027">
        <f t="shared" si="198"/>
        <v>0</v>
      </c>
      <c r="W199" s="220">
        <f t="shared" si="198"/>
        <v>0</v>
      </c>
      <c r="X199" s="269">
        <f t="shared" si="199"/>
        <v>6198007399.166666</v>
      </c>
      <c r="Y199" s="270">
        <v>0</v>
      </c>
      <c r="Z199" s="208">
        <v>1722113931</v>
      </c>
      <c r="AA199" s="269">
        <f t="shared" si="200"/>
        <v>1722113931</v>
      </c>
      <c r="AB199" s="270">
        <v>0</v>
      </c>
      <c r="AC199" s="208">
        <v>1123084598</v>
      </c>
      <c r="AD199" s="271">
        <f t="shared" si="201"/>
        <v>1123084598</v>
      </c>
      <c r="AE199" s="270">
        <v>0</v>
      </c>
      <c r="AF199" s="208"/>
      <c r="AG199" s="269">
        <f t="shared" si="202"/>
        <v>0</v>
      </c>
      <c r="AH199" s="270">
        <f t="shared" si="203"/>
        <v>4475893468.166666</v>
      </c>
      <c r="AI199" s="220">
        <f t="shared" si="204"/>
        <v>5074922801.166666</v>
      </c>
      <c r="AJ199" s="269">
        <f t="shared" si="205"/>
        <v>6198007399.166666</v>
      </c>
      <c r="AK199" s="101"/>
      <c r="AL199" s="204">
        <v>0</v>
      </c>
      <c r="AM199" s="210"/>
    </row>
    <row r="200" spans="19:39" ht="24.75" customHeight="1">
      <c r="S200" s="633" t="s">
        <v>619</v>
      </c>
      <c r="T200" s="535" t="s">
        <v>298</v>
      </c>
      <c r="U200" s="1113">
        <v>2001528195</v>
      </c>
      <c r="V200" s="1027">
        <f t="shared" si="198"/>
        <v>0</v>
      </c>
      <c r="W200" s="220">
        <f t="shared" si="198"/>
        <v>0</v>
      </c>
      <c r="X200" s="269">
        <f t="shared" si="199"/>
        <v>2001528195</v>
      </c>
      <c r="Y200" s="270">
        <v>0</v>
      </c>
      <c r="Z200" s="208">
        <v>684183827</v>
      </c>
      <c r="AA200" s="269">
        <f t="shared" si="200"/>
        <v>684183827</v>
      </c>
      <c r="AB200" s="270">
        <v>0</v>
      </c>
      <c r="AC200" s="208">
        <v>159801512</v>
      </c>
      <c r="AD200" s="271">
        <f t="shared" si="201"/>
        <v>159801512</v>
      </c>
      <c r="AE200" s="270">
        <v>0</v>
      </c>
      <c r="AF200" s="208">
        <v>44566719</v>
      </c>
      <c r="AG200" s="269">
        <f t="shared" si="202"/>
        <v>44566719</v>
      </c>
      <c r="AH200" s="270">
        <f t="shared" si="203"/>
        <v>1317344368</v>
      </c>
      <c r="AI200" s="220">
        <f t="shared" si="204"/>
        <v>1841726683</v>
      </c>
      <c r="AJ200" s="269">
        <f t="shared" si="205"/>
        <v>1956961476</v>
      </c>
      <c r="AK200" s="101"/>
      <c r="AL200" s="204">
        <v>0</v>
      </c>
      <c r="AM200" s="210"/>
    </row>
    <row r="201" spans="19:39" ht="24.75" customHeight="1">
      <c r="S201" s="633" t="s">
        <v>625</v>
      </c>
      <c r="T201" s="535" t="s">
        <v>623</v>
      </c>
      <c r="U201" s="1113">
        <v>758333333.33333325</v>
      </c>
      <c r="V201" s="1027">
        <f t="shared" si="198"/>
        <v>0</v>
      </c>
      <c r="W201" s="220">
        <f t="shared" si="198"/>
        <v>0</v>
      </c>
      <c r="X201" s="269">
        <f t="shared" si="199"/>
        <v>758333333.33333325</v>
      </c>
      <c r="Y201" s="270">
        <v>0</v>
      </c>
      <c r="Z201" s="208">
        <v>229991300</v>
      </c>
      <c r="AA201" s="269">
        <f t="shared" si="200"/>
        <v>229991300</v>
      </c>
      <c r="AB201" s="270">
        <v>0</v>
      </c>
      <c r="AC201" s="208">
        <v>103127691</v>
      </c>
      <c r="AD201" s="271">
        <f t="shared" si="201"/>
        <v>103127691</v>
      </c>
      <c r="AE201" s="270">
        <v>0</v>
      </c>
      <c r="AF201" s="208">
        <v>0</v>
      </c>
      <c r="AG201" s="269">
        <f t="shared" si="202"/>
        <v>0</v>
      </c>
      <c r="AH201" s="270">
        <f t="shared" si="203"/>
        <v>528342033.33333325</v>
      </c>
      <c r="AI201" s="220">
        <f t="shared" si="204"/>
        <v>655205642.33333325</v>
      </c>
      <c r="AJ201" s="269">
        <f t="shared" si="205"/>
        <v>758333333.33333325</v>
      </c>
      <c r="AK201" s="101"/>
      <c r="AL201" s="204">
        <v>0</v>
      </c>
      <c r="AM201" s="210">
        <v>0</v>
      </c>
    </row>
    <row r="202" spans="19:39" ht="24.75" customHeight="1">
      <c r="S202" s="633" t="s">
        <v>735</v>
      </c>
      <c r="T202" s="634" t="s">
        <v>624</v>
      </c>
      <c r="U202" s="1113">
        <v>166666666.66666666</v>
      </c>
      <c r="V202" s="1027">
        <f t="shared" si="198"/>
        <v>0</v>
      </c>
      <c r="W202" s="220">
        <f t="shared" si="198"/>
        <v>0</v>
      </c>
      <c r="X202" s="269">
        <f t="shared" si="199"/>
        <v>166666666.66666666</v>
      </c>
      <c r="Y202" s="270">
        <v>0</v>
      </c>
      <c r="Z202" s="208">
        <v>109200000</v>
      </c>
      <c r="AA202" s="269">
        <f t="shared" si="200"/>
        <v>109200000</v>
      </c>
      <c r="AB202" s="270">
        <v>0</v>
      </c>
      <c r="AC202" s="208">
        <v>8032995</v>
      </c>
      <c r="AD202" s="271">
        <f t="shared" si="201"/>
        <v>8032995</v>
      </c>
      <c r="AE202" s="270">
        <v>0</v>
      </c>
      <c r="AF202" s="208">
        <v>0</v>
      </c>
      <c r="AG202" s="269">
        <f t="shared" si="202"/>
        <v>0</v>
      </c>
      <c r="AH202" s="270">
        <f t="shared" si="203"/>
        <v>57466666.666666657</v>
      </c>
      <c r="AI202" s="220">
        <f t="shared" si="204"/>
        <v>158633671.66666666</v>
      </c>
      <c r="AJ202" s="269">
        <f t="shared" si="205"/>
        <v>166666666.66666666</v>
      </c>
      <c r="AK202" s="101"/>
      <c r="AL202" s="204">
        <v>0</v>
      </c>
      <c r="AM202" s="210">
        <v>0</v>
      </c>
    </row>
    <row r="203" spans="19:39" ht="24.75" customHeight="1">
      <c r="S203" s="633" t="s">
        <v>731</v>
      </c>
      <c r="T203" s="535" t="s">
        <v>732</v>
      </c>
      <c r="U203" s="1113">
        <v>1257440000</v>
      </c>
      <c r="V203" s="1027">
        <f t="shared" si="198"/>
        <v>0</v>
      </c>
      <c r="W203" s="220">
        <f t="shared" si="198"/>
        <v>0</v>
      </c>
      <c r="X203" s="269">
        <f t="shared" si="199"/>
        <v>1257440000</v>
      </c>
      <c r="Y203" s="270">
        <v>0</v>
      </c>
      <c r="Z203" s="208">
        <v>816200000</v>
      </c>
      <c r="AA203" s="269">
        <f t="shared" si="200"/>
        <v>816200000</v>
      </c>
      <c r="AB203" s="270">
        <v>0</v>
      </c>
      <c r="AC203" s="208">
        <v>163958738</v>
      </c>
      <c r="AD203" s="271">
        <f t="shared" si="201"/>
        <v>163958738</v>
      </c>
      <c r="AE203" s="270">
        <v>0</v>
      </c>
      <c r="AF203" s="208">
        <v>0</v>
      </c>
      <c r="AG203" s="269">
        <f t="shared" si="202"/>
        <v>0</v>
      </c>
      <c r="AH203" s="270">
        <f t="shared" si="203"/>
        <v>441240000</v>
      </c>
      <c r="AI203" s="220">
        <f t="shared" si="204"/>
        <v>1093481262</v>
      </c>
      <c r="AJ203" s="269">
        <f t="shared" si="205"/>
        <v>1257440000</v>
      </c>
      <c r="AK203" s="101"/>
      <c r="AL203" s="204">
        <v>0</v>
      </c>
      <c r="AM203" s="210">
        <v>0</v>
      </c>
    </row>
    <row r="204" spans="19:39" ht="24.75" customHeight="1">
      <c r="S204" s="646" t="s">
        <v>733</v>
      </c>
      <c r="T204" s="647" t="s">
        <v>626</v>
      </c>
      <c r="U204" s="1113">
        <v>10870667164.5</v>
      </c>
      <c r="V204" s="1027">
        <f t="shared" si="198"/>
        <v>-495559635</v>
      </c>
      <c r="W204" s="220">
        <f t="shared" si="198"/>
        <v>0</v>
      </c>
      <c r="X204" s="269">
        <f t="shared" si="199"/>
        <v>10375107529.5</v>
      </c>
      <c r="Y204" s="270">
        <v>0</v>
      </c>
      <c r="Z204" s="208">
        <v>3116800000</v>
      </c>
      <c r="AA204" s="269">
        <f t="shared" si="200"/>
        <v>3116800000</v>
      </c>
      <c r="AB204" s="270">
        <v>0</v>
      </c>
      <c r="AC204" s="208">
        <v>840133048</v>
      </c>
      <c r="AD204" s="271">
        <f t="shared" si="201"/>
        <v>840133048</v>
      </c>
      <c r="AE204" s="270">
        <v>0</v>
      </c>
      <c r="AF204" s="208">
        <v>0</v>
      </c>
      <c r="AG204" s="269">
        <f t="shared" si="202"/>
        <v>0</v>
      </c>
      <c r="AH204" s="270">
        <f t="shared" si="203"/>
        <v>7258307529.5</v>
      </c>
      <c r="AI204" s="220">
        <f t="shared" si="204"/>
        <v>9534974481.5</v>
      </c>
      <c r="AJ204" s="269">
        <f t="shared" si="205"/>
        <v>10375107529.5</v>
      </c>
      <c r="AK204" s="101"/>
      <c r="AL204" s="204">
        <v>-495559635</v>
      </c>
      <c r="AM204" s="210">
        <v>0</v>
      </c>
    </row>
    <row r="205" spans="19:39" ht="24.75" customHeight="1">
      <c r="S205" s="266">
        <v>4100200</v>
      </c>
      <c r="T205" s="534" t="s">
        <v>299</v>
      </c>
      <c r="U205" s="1131">
        <f t="shared" ref="U205:AJ205" si="206">U206</f>
        <v>5609700000</v>
      </c>
      <c r="V205" s="1027">
        <f t="shared" si="206"/>
        <v>0</v>
      </c>
      <c r="W205" s="220">
        <f t="shared" si="206"/>
        <v>0</v>
      </c>
      <c r="X205" s="269">
        <f t="shared" si="206"/>
        <v>5609700000</v>
      </c>
      <c r="Y205" s="270">
        <f t="shared" si="206"/>
        <v>0</v>
      </c>
      <c r="Z205" s="300">
        <f t="shared" si="206"/>
        <v>4142600000</v>
      </c>
      <c r="AA205" s="269">
        <f t="shared" si="206"/>
        <v>4142600000</v>
      </c>
      <c r="AB205" s="270">
        <f t="shared" si="206"/>
        <v>0</v>
      </c>
      <c r="AC205" s="300">
        <f t="shared" si="206"/>
        <v>574445094</v>
      </c>
      <c r="AD205" s="271">
        <f t="shared" si="206"/>
        <v>574445094</v>
      </c>
      <c r="AE205" s="270">
        <f t="shared" si="206"/>
        <v>0</v>
      </c>
      <c r="AF205" s="300">
        <f t="shared" si="206"/>
        <v>0</v>
      </c>
      <c r="AG205" s="269">
        <f t="shared" si="206"/>
        <v>0</v>
      </c>
      <c r="AH205" s="270">
        <f t="shared" si="206"/>
        <v>1467100000</v>
      </c>
      <c r="AI205" s="220">
        <f t="shared" si="206"/>
        <v>5035254906</v>
      </c>
      <c r="AJ205" s="269">
        <f t="shared" si="206"/>
        <v>5609700000</v>
      </c>
      <c r="AK205" s="101"/>
      <c r="AL205" s="301">
        <f>AL206</f>
        <v>0</v>
      </c>
      <c r="AM205" s="302">
        <f>AM206</f>
        <v>0</v>
      </c>
    </row>
    <row r="206" spans="19:39" ht="24.75" customHeight="1">
      <c r="S206" s="646" t="s">
        <v>620</v>
      </c>
      <c r="T206" s="634" t="s">
        <v>621</v>
      </c>
      <c r="U206" s="1113">
        <v>5609700000</v>
      </c>
      <c r="V206" s="1027">
        <f>AL206</f>
        <v>0</v>
      </c>
      <c r="W206" s="220">
        <f>AM206</f>
        <v>0</v>
      </c>
      <c r="X206" s="269">
        <f>SUM(U206:W206)</f>
        <v>5609700000</v>
      </c>
      <c r="Y206" s="270">
        <v>0</v>
      </c>
      <c r="Z206" s="208">
        <v>4142600000</v>
      </c>
      <c r="AA206" s="269">
        <f>SUM(Y206:Z206)</f>
        <v>4142600000</v>
      </c>
      <c r="AB206" s="270">
        <v>0</v>
      </c>
      <c r="AC206" s="208">
        <v>574445094</v>
      </c>
      <c r="AD206" s="271">
        <f>SUM(AB206:AC206)</f>
        <v>574445094</v>
      </c>
      <c r="AE206" s="270">
        <v>0</v>
      </c>
      <c r="AF206" s="208">
        <v>0</v>
      </c>
      <c r="AG206" s="269">
        <f>SUM(AE206:AF206)</f>
        <v>0</v>
      </c>
      <c r="AH206" s="270">
        <f>X206-AA206</f>
        <v>1467100000</v>
      </c>
      <c r="AI206" s="220">
        <f>X206-AD206</f>
        <v>5035254906</v>
      </c>
      <c r="AJ206" s="269">
        <f>X206-AG206</f>
        <v>5609700000</v>
      </c>
      <c r="AK206" s="101"/>
      <c r="AL206" s="204">
        <v>0</v>
      </c>
      <c r="AM206" s="210">
        <v>0</v>
      </c>
    </row>
    <row r="207" spans="19:39" ht="24.75" customHeight="1" thickBot="1">
      <c r="S207" s="633" t="s">
        <v>697</v>
      </c>
      <c r="T207" s="543" t="s">
        <v>622</v>
      </c>
      <c r="U207" s="1132">
        <v>5913780963.333334</v>
      </c>
      <c r="V207" s="479">
        <f>AL207</f>
        <v>0</v>
      </c>
      <c r="W207" s="220">
        <f>AM207</f>
        <v>0</v>
      </c>
      <c r="X207" s="269">
        <f>SUM(U207:W207)</f>
        <v>5913780963.333334</v>
      </c>
      <c r="Y207" s="470">
        <v>0</v>
      </c>
      <c r="Z207" s="246">
        <v>1068525520</v>
      </c>
      <c r="AA207" s="469">
        <f>SUM(Y207:Z207)</f>
        <v>1068525520</v>
      </c>
      <c r="AB207" s="470">
        <v>0</v>
      </c>
      <c r="AC207" s="246">
        <v>1068525520</v>
      </c>
      <c r="AD207" s="471">
        <f>SUM(AB207:AC207)</f>
        <v>1068525520</v>
      </c>
      <c r="AE207" s="470">
        <v>0</v>
      </c>
      <c r="AF207" s="246">
        <v>1050551586</v>
      </c>
      <c r="AG207" s="469">
        <f>SUM(AE207:AF207)</f>
        <v>1050551586</v>
      </c>
      <c r="AH207" s="470">
        <f>X207-AA207</f>
        <v>4845255443.333334</v>
      </c>
      <c r="AI207" s="468">
        <f>X207-AD207</f>
        <v>4845255443.333334</v>
      </c>
      <c r="AJ207" s="469">
        <f>X207-AG207</f>
        <v>4863229377.333334</v>
      </c>
      <c r="AK207" s="101"/>
      <c r="AL207" s="242">
        <v>0</v>
      </c>
      <c r="AM207" s="248">
        <v>0</v>
      </c>
    </row>
    <row r="209" spans="19:39" ht="24.75" customHeight="1">
      <c r="S209" s="472">
        <v>5000000</v>
      </c>
      <c r="T209" s="473" t="s">
        <v>300</v>
      </c>
      <c r="U209" s="405">
        <f t="shared" ref="U209:AJ209" si="207">U210</f>
        <v>2203000000</v>
      </c>
      <c r="V209" s="406">
        <f t="shared" si="207"/>
        <v>495559635</v>
      </c>
      <c r="W209" s="406">
        <f t="shared" si="207"/>
        <v>0</v>
      </c>
      <c r="X209" s="218">
        <f t="shared" si="207"/>
        <v>2698559635</v>
      </c>
      <c r="Y209" s="217">
        <f t="shared" si="207"/>
        <v>0</v>
      </c>
      <c r="Z209" s="406">
        <f t="shared" si="207"/>
        <v>1133097383</v>
      </c>
      <c r="AA209" s="218">
        <f t="shared" si="207"/>
        <v>1133097383</v>
      </c>
      <c r="AB209" s="405">
        <f t="shared" si="207"/>
        <v>0</v>
      </c>
      <c r="AC209" s="406">
        <f t="shared" si="207"/>
        <v>1133097383</v>
      </c>
      <c r="AD209" s="407">
        <f t="shared" si="207"/>
        <v>1133097383</v>
      </c>
      <c r="AE209" s="217">
        <f t="shared" si="207"/>
        <v>0</v>
      </c>
      <c r="AF209" s="406">
        <f t="shared" si="207"/>
        <v>1133097383</v>
      </c>
      <c r="AG209" s="218">
        <f t="shared" si="207"/>
        <v>1133097383</v>
      </c>
      <c r="AH209" s="217">
        <f t="shared" si="207"/>
        <v>1565462252</v>
      </c>
      <c r="AI209" s="406">
        <f t="shared" si="207"/>
        <v>1565462252</v>
      </c>
      <c r="AJ209" s="218">
        <f t="shared" si="207"/>
        <v>1565462252</v>
      </c>
      <c r="AK209" s="101"/>
      <c r="AL209" s="233">
        <f>AL210</f>
        <v>495559635</v>
      </c>
      <c r="AM209" s="232">
        <f>AM210</f>
        <v>0</v>
      </c>
    </row>
    <row r="210" spans="19:39" ht="24.75" customHeight="1">
      <c r="S210" s="474">
        <v>5100000</v>
      </c>
      <c r="T210" s="475" t="s">
        <v>301</v>
      </c>
      <c r="U210" s="230">
        <f t="shared" ref="U210:AJ210" si="208">U211+U218</f>
        <v>2203000000</v>
      </c>
      <c r="V210" s="231">
        <f t="shared" si="208"/>
        <v>495559635</v>
      </c>
      <c r="W210" s="231">
        <f t="shared" si="208"/>
        <v>0</v>
      </c>
      <c r="X210" s="232">
        <f t="shared" si="208"/>
        <v>2698559635</v>
      </c>
      <c r="Y210" s="233">
        <f t="shared" si="208"/>
        <v>0</v>
      </c>
      <c r="Z210" s="231">
        <f t="shared" si="208"/>
        <v>1133097383</v>
      </c>
      <c r="AA210" s="232">
        <f t="shared" si="208"/>
        <v>1133097383</v>
      </c>
      <c r="AB210" s="230">
        <f t="shared" si="208"/>
        <v>0</v>
      </c>
      <c r="AC210" s="231">
        <f t="shared" si="208"/>
        <v>1133097383</v>
      </c>
      <c r="AD210" s="234">
        <f t="shared" si="208"/>
        <v>1133097383</v>
      </c>
      <c r="AE210" s="233">
        <f t="shared" si="208"/>
        <v>0</v>
      </c>
      <c r="AF210" s="231">
        <f t="shared" si="208"/>
        <v>1133097383</v>
      </c>
      <c r="AG210" s="232">
        <f t="shared" si="208"/>
        <v>1133097383</v>
      </c>
      <c r="AH210" s="233">
        <f t="shared" si="208"/>
        <v>1565462252</v>
      </c>
      <c r="AI210" s="231">
        <f t="shared" si="208"/>
        <v>1565462252</v>
      </c>
      <c r="AJ210" s="232">
        <f t="shared" si="208"/>
        <v>1565462252</v>
      </c>
      <c r="AK210" s="101"/>
      <c r="AL210" s="233">
        <f>AL211+AL218</f>
        <v>495559635</v>
      </c>
      <c r="AM210" s="232">
        <f>AM211+AM218</f>
        <v>0</v>
      </c>
    </row>
    <row r="211" spans="19:39" ht="24.75" customHeight="1">
      <c r="S211" s="476">
        <v>5100100</v>
      </c>
      <c r="T211" s="477" t="s">
        <v>302</v>
      </c>
      <c r="U211" s="299">
        <f t="shared" ref="U211:AJ211" si="209">SUM(U212:U217)</f>
        <v>3000000</v>
      </c>
      <c r="V211" s="220">
        <f t="shared" si="209"/>
        <v>0</v>
      </c>
      <c r="W211" s="220">
        <f t="shared" si="209"/>
        <v>0</v>
      </c>
      <c r="X211" s="269">
        <f t="shared" si="209"/>
        <v>3000000</v>
      </c>
      <c r="Y211" s="270">
        <f t="shared" si="209"/>
        <v>0</v>
      </c>
      <c r="Z211" s="300">
        <f t="shared" si="209"/>
        <v>0</v>
      </c>
      <c r="AA211" s="269">
        <f t="shared" si="209"/>
        <v>0</v>
      </c>
      <c r="AB211" s="299">
        <f t="shared" si="209"/>
        <v>0</v>
      </c>
      <c r="AC211" s="300">
        <f t="shared" si="209"/>
        <v>0</v>
      </c>
      <c r="AD211" s="271">
        <f t="shared" si="209"/>
        <v>0</v>
      </c>
      <c r="AE211" s="270">
        <f t="shared" si="209"/>
        <v>0</v>
      </c>
      <c r="AF211" s="300">
        <f t="shared" si="209"/>
        <v>0</v>
      </c>
      <c r="AG211" s="269">
        <f t="shared" si="209"/>
        <v>0</v>
      </c>
      <c r="AH211" s="270">
        <f t="shared" si="209"/>
        <v>3000000</v>
      </c>
      <c r="AI211" s="220">
        <f t="shared" si="209"/>
        <v>3000000</v>
      </c>
      <c r="AJ211" s="269">
        <f t="shared" si="209"/>
        <v>3000000</v>
      </c>
      <c r="AK211" s="216"/>
      <c r="AL211" s="301">
        <f>SUM(AL212:AL217)</f>
        <v>0</v>
      </c>
      <c r="AM211" s="302">
        <f>SUM(AM212:AM217)</f>
        <v>0</v>
      </c>
    </row>
    <row r="212" spans="19:39" ht="24.75" customHeight="1">
      <c r="S212" s="478" t="s">
        <v>303</v>
      </c>
      <c r="T212" s="465" t="s">
        <v>296</v>
      </c>
      <c r="U212" s="268">
        <v>0</v>
      </c>
      <c r="V212" s="220">
        <f t="shared" ref="V212:W218" si="210">AL212</f>
        <v>0</v>
      </c>
      <c r="W212" s="220">
        <f t="shared" si="210"/>
        <v>0</v>
      </c>
      <c r="X212" s="464">
        <f t="shared" ref="X212:X218" si="211">SUM(U212:W212)</f>
        <v>0</v>
      </c>
      <c r="Y212" s="270">
        <v>0</v>
      </c>
      <c r="Z212" s="208">
        <v>0</v>
      </c>
      <c r="AA212" s="269">
        <f t="shared" ref="AA212:AA218" si="212">SUM(Y212:Z212)</f>
        <v>0</v>
      </c>
      <c r="AB212" s="299">
        <v>0</v>
      </c>
      <c r="AC212" s="208">
        <v>0</v>
      </c>
      <c r="AD212" s="271">
        <f t="shared" ref="AD212:AD218" si="213">SUM(AB212:AC212)</f>
        <v>0</v>
      </c>
      <c r="AE212" s="270">
        <v>0</v>
      </c>
      <c r="AF212" s="208">
        <v>0</v>
      </c>
      <c r="AG212" s="269">
        <f t="shared" ref="AG212:AG218" si="214">SUM(AE212:AF212)</f>
        <v>0</v>
      </c>
      <c r="AH212" s="270">
        <f t="shared" ref="AH212:AH218" si="215">X212-AA212</f>
        <v>0</v>
      </c>
      <c r="AI212" s="220">
        <f t="shared" ref="AI212:AI218" si="216">X212-AD212</f>
        <v>0</v>
      </c>
      <c r="AJ212" s="269">
        <f t="shared" ref="AJ212:AJ218" si="217">X212-AG212</f>
        <v>0</v>
      </c>
      <c r="AK212" s="101"/>
      <c r="AL212" s="204">
        <v>0</v>
      </c>
      <c r="AM212" s="210">
        <v>0</v>
      </c>
    </row>
    <row r="213" spans="19:39" ht="24.75" customHeight="1">
      <c r="S213" s="478" t="s">
        <v>304</v>
      </c>
      <c r="T213" s="465" t="s">
        <v>297</v>
      </c>
      <c r="U213" s="268">
        <v>0</v>
      </c>
      <c r="V213" s="220">
        <f t="shared" si="210"/>
        <v>0</v>
      </c>
      <c r="W213" s="220">
        <f t="shared" si="210"/>
        <v>0</v>
      </c>
      <c r="X213" s="269">
        <f t="shared" si="211"/>
        <v>0</v>
      </c>
      <c r="Y213" s="270">
        <v>0</v>
      </c>
      <c r="Z213" s="208">
        <v>0</v>
      </c>
      <c r="AA213" s="269">
        <f t="shared" si="212"/>
        <v>0</v>
      </c>
      <c r="AB213" s="299">
        <v>0</v>
      </c>
      <c r="AC213" s="208">
        <v>0</v>
      </c>
      <c r="AD213" s="271">
        <f t="shared" si="213"/>
        <v>0</v>
      </c>
      <c r="AE213" s="270">
        <v>0</v>
      </c>
      <c r="AF213" s="208">
        <v>0</v>
      </c>
      <c r="AG213" s="269">
        <f t="shared" si="214"/>
        <v>0</v>
      </c>
      <c r="AH213" s="270">
        <f t="shared" si="215"/>
        <v>0</v>
      </c>
      <c r="AI213" s="220">
        <f t="shared" si="216"/>
        <v>0</v>
      </c>
      <c r="AJ213" s="269">
        <f t="shared" si="217"/>
        <v>0</v>
      </c>
      <c r="AK213" s="101"/>
      <c r="AL213" s="204">
        <v>0</v>
      </c>
      <c r="AM213" s="210">
        <v>0</v>
      </c>
    </row>
    <row r="214" spans="19:39" ht="24.75" customHeight="1">
      <c r="S214" s="478" t="s">
        <v>305</v>
      </c>
      <c r="T214" s="465" t="s">
        <v>298</v>
      </c>
      <c r="U214" s="268">
        <v>0</v>
      </c>
      <c r="V214" s="220">
        <f t="shared" si="210"/>
        <v>0</v>
      </c>
      <c r="W214" s="220">
        <f t="shared" si="210"/>
        <v>0</v>
      </c>
      <c r="X214" s="269">
        <f t="shared" si="211"/>
        <v>0</v>
      </c>
      <c r="Y214" s="270">
        <v>0</v>
      </c>
      <c r="Z214" s="208">
        <v>0</v>
      </c>
      <c r="AA214" s="269">
        <f t="shared" si="212"/>
        <v>0</v>
      </c>
      <c r="AB214" s="299">
        <v>0</v>
      </c>
      <c r="AC214" s="208">
        <v>0</v>
      </c>
      <c r="AD214" s="271">
        <f t="shared" si="213"/>
        <v>0</v>
      </c>
      <c r="AE214" s="270">
        <v>0</v>
      </c>
      <c r="AF214" s="208">
        <v>0</v>
      </c>
      <c r="AG214" s="269">
        <f t="shared" si="214"/>
        <v>0</v>
      </c>
      <c r="AH214" s="270">
        <f t="shared" si="215"/>
        <v>0</v>
      </c>
      <c r="AI214" s="220">
        <f t="shared" si="216"/>
        <v>0</v>
      </c>
      <c r="AJ214" s="269">
        <f t="shared" si="217"/>
        <v>0</v>
      </c>
      <c r="AK214" s="101"/>
      <c r="AL214" s="204">
        <v>0</v>
      </c>
      <c r="AM214" s="210">
        <v>0</v>
      </c>
    </row>
    <row r="215" spans="19:39" ht="24.75" customHeight="1">
      <c r="S215" s="478" t="s">
        <v>756</v>
      </c>
      <c r="T215" s="465" t="s">
        <v>757</v>
      </c>
      <c r="U215" s="268">
        <v>3000000</v>
      </c>
      <c r="V215" s="220">
        <f t="shared" si="210"/>
        <v>0</v>
      </c>
      <c r="W215" s="220">
        <f t="shared" si="210"/>
        <v>0</v>
      </c>
      <c r="X215" s="269">
        <f t="shared" si="211"/>
        <v>3000000</v>
      </c>
      <c r="Y215" s="270">
        <v>0</v>
      </c>
      <c r="Z215" s="208">
        <v>0</v>
      </c>
      <c r="AA215" s="269">
        <f t="shared" si="212"/>
        <v>0</v>
      </c>
      <c r="AB215" s="299">
        <v>0</v>
      </c>
      <c r="AC215" s="208">
        <v>0</v>
      </c>
      <c r="AD215" s="271">
        <f t="shared" si="213"/>
        <v>0</v>
      </c>
      <c r="AE215" s="270">
        <v>0</v>
      </c>
      <c r="AF215" s="208">
        <v>0</v>
      </c>
      <c r="AG215" s="269">
        <f t="shared" si="214"/>
        <v>0</v>
      </c>
      <c r="AH215" s="270">
        <f t="shared" si="215"/>
        <v>3000000</v>
      </c>
      <c r="AI215" s="220">
        <f t="shared" si="216"/>
        <v>3000000</v>
      </c>
      <c r="AJ215" s="269">
        <f t="shared" si="217"/>
        <v>3000000</v>
      </c>
      <c r="AK215" s="101"/>
      <c r="AL215" s="204">
        <v>0</v>
      </c>
      <c r="AM215" s="210">
        <v>0</v>
      </c>
    </row>
    <row r="216" spans="19:39" ht="24.75" customHeight="1">
      <c r="S216" s="633" t="s">
        <v>629</v>
      </c>
      <c r="T216" s="465" t="s">
        <v>630</v>
      </c>
      <c r="U216" s="268">
        <v>0</v>
      </c>
      <c r="V216" s="220">
        <f t="shared" si="210"/>
        <v>0</v>
      </c>
      <c r="W216" s="220">
        <f t="shared" si="210"/>
        <v>0</v>
      </c>
      <c r="X216" s="269">
        <f t="shared" si="211"/>
        <v>0</v>
      </c>
      <c r="Y216" s="270">
        <v>0</v>
      </c>
      <c r="Z216" s="208">
        <v>0</v>
      </c>
      <c r="AA216" s="269">
        <f t="shared" si="212"/>
        <v>0</v>
      </c>
      <c r="AB216" s="299">
        <v>0</v>
      </c>
      <c r="AC216" s="208">
        <v>0</v>
      </c>
      <c r="AD216" s="271">
        <f t="shared" si="213"/>
        <v>0</v>
      </c>
      <c r="AE216" s="270">
        <v>0</v>
      </c>
      <c r="AF216" s="208">
        <v>0</v>
      </c>
      <c r="AG216" s="269">
        <f t="shared" si="214"/>
        <v>0</v>
      </c>
      <c r="AH216" s="270">
        <f t="shared" si="215"/>
        <v>0</v>
      </c>
      <c r="AI216" s="220">
        <f t="shared" si="216"/>
        <v>0</v>
      </c>
      <c r="AJ216" s="269">
        <f t="shared" si="217"/>
        <v>0</v>
      </c>
      <c r="AK216" s="101"/>
      <c r="AL216" s="204">
        <v>0</v>
      </c>
      <c r="AM216" s="210">
        <v>0</v>
      </c>
    </row>
    <row r="217" spans="19:39" ht="24.75" customHeight="1">
      <c r="S217" s="633" t="s">
        <v>627</v>
      </c>
      <c r="T217" s="465" t="s">
        <v>628</v>
      </c>
      <c r="U217" s="268">
        <v>0</v>
      </c>
      <c r="V217" s="220">
        <f t="shared" si="210"/>
        <v>0</v>
      </c>
      <c r="W217" s="220">
        <f t="shared" si="210"/>
        <v>0</v>
      </c>
      <c r="X217" s="269">
        <f t="shared" si="211"/>
        <v>0</v>
      </c>
      <c r="Y217" s="270">
        <v>0</v>
      </c>
      <c r="Z217" s="208">
        <v>0</v>
      </c>
      <c r="AA217" s="269">
        <f t="shared" si="212"/>
        <v>0</v>
      </c>
      <c r="AB217" s="299">
        <v>0</v>
      </c>
      <c r="AC217" s="208">
        <v>0</v>
      </c>
      <c r="AD217" s="271">
        <f t="shared" si="213"/>
        <v>0</v>
      </c>
      <c r="AE217" s="270">
        <v>0</v>
      </c>
      <c r="AF217" s="208">
        <v>0</v>
      </c>
      <c r="AG217" s="269">
        <f t="shared" si="214"/>
        <v>0</v>
      </c>
      <c r="AH217" s="270">
        <f t="shared" si="215"/>
        <v>0</v>
      </c>
      <c r="AI217" s="220">
        <f t="shared" si="216"/>
        <v>0</v>
      </c>
      <c r="AJ217" s="269">
        <f t="shared" si="217"/>
        <v>0</v>
      </c>
      <c r="AK217" s="101"/>
      <c r="AL217" s="204">
        <v>0</v>
      </c>
      <c r="AM217" s="210">
        <v>0</v>
      </c>
    </row>
    <row r="218" spans="19:39" ht="24.75" customHeight="1" thickBot="1">
      <c r="S218" s="646" t="s">
        <v>734</v>
      </c>
      <c r="T218" s="465" t="s">
        <v>649</v>
      </c>
      <c r="U218" s="724">
        <v>2200000000</v>
      </c>
      <c r="V218" s="468">
        <f t="shared" si="210"/>
        <v>495559635</v>
      </c>
      <c r="W218" s="468">
        <f t="shared" si="210"/>
        <v>0</v>
      </c>
      <c r="X218" s="469">
        <f t="shared" si="211"/>
        <v>2695559635</v>
      </c>
      <c r="Y218" s="470">
        <v>0</v>
      </c>
      <c r="Z218" s="246">
        <v>1133097383</v>
      </c>
      <c r="AA218" s="469">
        <f t="shared" si="212"/>
        <v>1133097383</v>
      </c>
      <c r="AB218" s="479">
        <v>0</v>
      </c>
      <c r="AC218" s="246">
        <v>1133097383</v>
      </c>
      <c r="AD218" s="471">
        <f t="shared" si="213"/>
        <v>1133097383</v>
      </c>
      <c r="AE218" s="470">
        <v>0</v>
      </c>
      <c r="AF218" s="246">
        <v>1133097383</v>
      </c>
      <c r="AG218" s="469">
        <f t="shared" si="214"/>
        <v>1133097383</v>
      </c>
      <c r="AH218" s="470">
        <f t="shared" si="215"/>
        <v>1562462252</v>
      </c>
      <c r="AI218" s="468">
        <f t="shared" si="216"/>
        <v>1562462252</v>
      </c>
      <c r="AJ218" s="469">
        <f t="shared" si="217"/>
        <v>1562462252</v>
      </c>
      <c r="AK218" s="101"/>
      <c r="AL218" s="204">
        <v>495559635</v>
      </c>
      <c r="AM218" s="210">
        <v>0</v>
      </c>
    </row>
    <row r="219" spans="19:39" ht="24.75" customHeight="1" thickBot="1">
      <c r="S219" s="480"/>
      <c r="T219" s="481"/>
      <c r="U219" s="482"/>
      <c r="V219" s="482"/>
      <c r="W219" s="482"/>
      <c r="X219" s="482"/>
      <c r="Y219" s="482"/>
      <c r="Z219" s="482"/>
      <c r="AA219" s="482"/>
      <c r="AB219" s="482"/>
      <c r="AC219" s="482"/>
      <c r="AD219" s="482"/>
      <c r="AE219" s="482"/>
      <c r="AF219" s="482"/>
      <c r="AG219" s="482"/>
      <c r="AH219" s="483"/>
      <c r="AI219" s="482"/>
      <c r="AJ219" s="484"/>
      <c r="AK219" s="216"/>
      <c r="AL219" s="485"/>
      <c r="AM219" s="486"/>
    </row>
    <row r="220" spans="19:39" ht="24.75" customHeight="1">
      <c r="S220" s="176" t="s">
        <v>306</v>
      </c>
      <c r="T220" s="177" t="s">
        <v>307</v>
      </c>
      <c r="U220" s="178">
        <f t="shared" ref="U220:AJ220" si="218">U222+U227</f>
        <v>3239175000</v>
      </c>
      <c r="V220" s="179">
        <f t="shared" si="218"/>
        <v>0</v>
      </c>
      <c r="W220" s="179">
        <f t="shared" si="218"/>
        <v>0</v>
      </c>
      <c r="X220" s="182">
        <f t="shared" si="218"/>
        <v>3239175000</v>
      </c>
      <c r="Y220" s="181">
        <f t="shared" si="218"/>
        <v>0</v>
      </c>
      <c r="Z220" s="179">
        <f t="shared" si="218"/>
        <v>108733333</v>
      </c>
      <c r="AA220" s="182">
        <f t="shared" si="218"/>
        <v>108733333</v>
      </c>
      <c r="AB220" s="181">
        <f t="shared" si="218"/>
        <v>0</v>
      </c>
      <c r="AC220" s="179">
        <f t="shared" si="218"/>
        <v>108733333</v>
      </c>
      <c r="AD220" s="182">
        <f t="shared" si="218"/>
        <v>108733333</v>
      </c>
      <c r="AE220" s="181">
        <f t="shared" si="218"/>
        <v>0</v>
      </c>
      <c r="AF220" s="179">
        <f t="shared" si="218"/>
        <v>108733333</v>
      </c>
      <c r="AG220" s="182">
        <f t="shared" si="218"/>
        <v>108733333</v>
      </c>
      <c r="AH220" s="181">
        <f t="shared" si="218"/>
        <v>3130441667</v>
      </c>
      <c r="AI220" s="179">
        <f t="shared" si="218"/>
        <v>3130441667</v>
      </c>
      <c r="AJ220" s="180">
        <f t="shared" si="218"/>
        <v>3130441667</v>
      </c>
      <c r="AK220" s="487"/>
      <c r="AL220" s="181">
        <f>AL222+AL227</f>
        <v>0</v>
      </c>
      <c r="AM220" s="180">
        <f>AM222+AM227</f>
        <v>0</v>
      </c>
    </row>
    <row r="221" spans="19:39" ht="24.75" customHeight="1">
      <c r="S221" s="189"/>
      <c r="T221" s="488"/>
      <c r="U221" s="191"/>
      <c r="V221" s="191"/>
      <c r="W221" s="191"/>
      <c r="X221" s="191"/>
      <c r="Y221" s="191"/>
      <c r="Z221" s="191"/>
      <c r="AA221" s="191"/>
      <c r="AB221" s="191"/>
      <c r="AC221" s="191"/>
      <c r="AD221" s="191"/>
      <c r="AE221" s="191"/>
      <c r="AF221" s="191"/>
      <c r="AG221" s="191"/>
      <c r="AH221" s="193"/>
      <c r="AI221" s="191"/>
      <c r="AJ221" s="192"/>
      <c r="AK221" s="101"/>
      <c r="AL221" s="370"/>
      <c r="AM221" s="371"/>
    </row>
    <row r="222" spans="19:39" ht="24.75" customHeight="1">
      <c r="S222" s="257">
        <v>7001000</v>
      </c>
      <c r="T222" s="258" t="s">
        <v>308</v>
      </c>
      <c r="U222" s="230">
        <f t="shared" ref="U222:AJ222" si="219">SUM(U223:U225)</f>
        <v>3239175000</v>
      </c>
      <c r="V222" s="231">
        <f t="shared" si="219"/>
        <v>0</v>
      </c>
      <c r="W222" s="231">
        <f t="shared" si="219"/>
        <v>0</v>
      </c>
      <c r="X222" s="234">
        <f t="shared" si="219"/>
        <v>3239175000</v>
      </c>
      <c r="Y222" s="233">
        <f t="shared" si="219"/>
        <v>0</v>
      </c>
      <c r="Z222" s="231">
        <f t="shared" si="219"/>
        <v>108733333</v>
      </c>
      <c r="AA222" s="234">
        <f t="shared" si="219"/>
        <v>108733333</v>
      </c>
      <c r="AB222" s="233">
        <f t="shared" si="219"/>
        <v>0</v>
      </c>
      <c r="AC222" s="231">
        <f t="shared" si="219"/>
        <v>108733333</v>
      </c>
      <c r="AD222" s="234">
        <f t="shared" si="219"/>
        <v>108733333</v>
      </c>
      <c r="AE222" s="233">
        <f t="shared" si="219"/>
        <v>0</v>
      </c>
      <c r="AF222" s="231">
        <f t="shared" si="219"/>
        <v>108733333</v>
      </c>
      <c r="AG222" s="234">
        <f t="shared" si="219"/>
        <v>108733333</v>
      </c>
      <c r="AH222" s="233">
        <f t="shared" si="219"/>
        <v>3130441667</v>
      </c>
      <c r="AI222" s="231">
        <f t="shared" si="219"/>
        <v>3130441667</v>
      </c>
      <c r="AJ222" s="232">
        <f t="shared" si="219"/>
        <v>3130441667</v>
      </c>
      <c r="AK222" s="101"/>
      <c r="AL222" s="233">
        <f>SUM(AL223:AL225)</f>
        <v>0</v>
      </c>
      <c r="AM222" s="232">
        <f>SUM(AM223:AM225)</f>
        <v>0</v>
      </c>
    </row>
    <row r="223" spans="19:39" ht="24.75" customHeight="1">
      <c r="S223" s="266" t="s">
        <v>754</v>
      </c>
      <c r="T223" s="267" t="s">
        <v>755</v>
      </c>
      <c r="U223" s="268">
        <v>2000000000</v>
      </c>
      <c r="V223" s="220">
        <f t="shared" ref="V223:W225" si="220">AL223</f>
        <v>0</v>
      </c>
      <c r="W223" s="220">
        <f t="shared" si="220"/>
        <v>0</v>
      </c>
      <c r="X223" s="271">
        <f>SUM(U223:W223)</f>
        <v>2000000000</v>
      </c>
      <c r="Y223" s="270">
        <v>0</v>
      </c>
      <c r="Z223" s="208">
        <v>0</v>
      </c>
      <c r="AA223" s="271">
        <f>SUM(Y223:Z223)</f>
        <v>0</v>
      </c>
      <c r="AB223" s="270">
        <v>0</v>
      </c>
      <c r="AC223" s="208">
        <v>0</v>
      </c>
      <c r="AD223" s="271">
        <f>SUM(AB223:AC223)</f>
        <v>0</v>
      </c>
      <c r="AE223" s="270">
        <v>0</v>
      </c>
      <c r="AF223" s="208">
        <v>0</v>
      </c>
      <c r="AG223" s="271">
        <f>SUM(AE223:AF223)</f>
        <v>0</v>
      </c>
      <c r="AH223" s="270">
        <f>X223-AA223</f>
        <v>2000000000</v>
      </c>
      <c r="AI223" s="220">
        <f>X223-AD223</f>
        <v>2000000000</v>
      </c>
      <c r="AJ223" s="269">
        <f>X223-AG223</f>
        <v>2000000000</v>
      </c>
      <c r="AK223" s="101"/>
      <c r="AL223" s="204">
        <v>0</v>
      </c>
      <c r="AM223" s="210">
        <v>0</v>
      </c>
    </row>
    <row r="224" spans="19:39" ht="24.75" customHeight="1">
      <c r="S224" s="266" t="s">
        <v>699</v>
      </c>
      <c r="T224" s="267" t="s">
        <v>309</v>
      </c>
      <c r="U224" s="268">
        <v>1239175000</v>
      </c>
      <c r="V224" s="220">
        <f t="shared" si="220"/>
        <v>0</v>
      </c>
      <c r="W224" s="220">
        <f t="shared" si="220"/>
        <v>0</v>
      </c>
      <c r="X224" s="271">
        <f>SUM(U224:W224)</f>
        <v>1239175000</v>
      </c>
      <c r="Y224" s="270">
        <v>0</v>
      </c>
      <c r="Z224" s="208">
        <v>108733333</v>
      </c>
      <c r="AA224" s="271">
        <f>SUM(Y224:Z224)</f>
        <v>108733333</v>
      </c>
      <c r="AB224" s="270">
        <v>0</v>
      </c>
      <c r="AC224" s="208">
        <v>108733333</v>
      </c>
      <c r="AD224" s="271">
        <f>SUM(AB224:AC224)</f>
        <v>108733333</v>
      </c>
      <c r="AE224" s="270">
        <v>0</v>
      </c>
      <c r="AF224" s="208">
        <v>108733333</v>
      </c>
      <c r="AG224" s="271">
        <f>SUM(AE224:AF224)</f>
        <v>108733333</v>
      </c>
      <c r="AH224" s="270">
        <f>X224-AA224</f>
        <v>1130441667</v>
      </c>
      <c r="AI224" s="220">
        <f>X224-AD224</f>
        <v>1130441667</v>
      </c>
      <c r="AJ224" s="269">
        <f>X224-AG224</f>
        <v>1130441667</v>
      </c>
      <c r="AK224" s="101"/>
      <c r="AL224" s="204">
        <v>0</v>
      </c>
      <c r="AM224" s="210">
        <v>0</v>
      </c>
    </row>
    <row r="225" spans="19:39" ht="24.75" customHeight="1">
      <c r="S225" s="266" t="s">
        <v>699</v>
      </c>
      <c r="T225" s="267" t="s">
        <v>743</v>
      </c>
      <c r="U225" s="723"/>
      <c r="V225" s="220">
        <f t="shared" si="220"/>
        <v>0</v>
      </c>
      <c r="W225" s="220">
        <f t="shared" si="220"/>
        <v>0</v>
      </c>
      <c r="X225" s="271">
        <f>SUM(U225:W225)</f>
        <v>0</v>
      </c>
      <c r="Y225" s="270">
        <v>0</v>
      </c>
      <c r="Z225" s="208">
        <v>0</v>
      </c>
      <c r="AA225" s="271">
        <f>SUM(Y225:Z225)</f>
        <v>0</v>
      </c>
      <c r="AB225" s="270">
        <v>0</v>
      </c>
      <c r="AC225" s="208">
        <v>0</v>
      </c>
      <c r="AD225" s="271">
        <f>SUM(AB225:AC225)</f>
        <v>0</v>
      </c>
      <c r="AE225" s="270">
        <v>0</v>
      </c>
      <c r="AF225" s="208">
        <v>0</v>
      </c>
      <c r="AG225" s="271">
        <f>SUM(AE225:AF225)</f>
        <v>0</v>
      </c>
      <c r="AH225" s="270">
        <f>X225-AA225</f>
        <v>0</v>
      </c>
      <c r="AI225" s="220">
        <f>X225-AD225</f>
        <v>0</v>
      </c>
      <c r="AJ225" s="269">
        <f>X225-AG225</f>
        <v>0</v>
      </c>
      <c r="AK225" s="101"/>
      <c r="AL225" s="204">
        <v>0</v>
      </c>
      <c r="AM225" s="210">
        <v>0</v>
      </c>
    </row>
    <row r="226" spans="19:39" ht="24.75" customHeight="1">
      <c r="S226" s="189"/>
      <c r="T226" s="488"/>
      <c r="U226" s="191"/>
      <c r="V226" s="191"/>
      <c r="W226" s="191"/>
      <c r="X226" s="191"/>
      <c r="Y226" s="191"/>
      <c r="Z226" s="191"/>
      <c r="AA226" s="191"/>
      <c r="AB226" s="191"/>
      <c r="AC226" s="191"/>
      <c r="AD226" s="191"/>
      <c r="AE226" s="191"/>
      <c r="AF226" s="191"/>
      <c r="AG226" s="191"/>
      <c r="AH226" s="193"/>
      <c r="AI226" s="191"/>
      <c r="AJ226" s="192"/>
      <c r="AK226" s="216"/>
      <c r="AL226" s="370"/>
      <c r="AM226" s="371"/>
    </row>
    <row r="227" spans="19:39" ht="24.75" customHeight="1">
      <c r="S227" s="257">
        <v>7002001</v>
      </c>
      <c r="T227" s="258" t="s">
        <v>310</v>
      </c>
      <c r="U227" s="230">
        <f t="shared" ref="U227:AJ227" si="221">SUM(U228:U230)</f>
        <v>0</v>
      </c>
      <c r="V227" s="231">
        <f t="shared" si="221"/>
        <v>0</v>
      </c>
      <c r="W227" s="231">
        <f t="shared" si="221"/>
        <v>0</v>
      </c>
      <c r="X227" s="234">
        <f t="shared" si="221"/>
        <v>0</v>
      </c>
      <c r="Y227" s="233">
        <f t="shared" si="221"/>
        <v>0</v>
      </c>
      <c r="Z227" s="231">
        <f t="shared" si="221"/>
        <v>0</v>
      </c>
      <c r="AA227" s="234">
        <f t="shared" si="221"/>
        <v>0</v>
      </c>
      <c r="AB227" s="233">
        <f t="shared" si="221"/>
        <v>0</v>
      </c>
      <c r="AC227" s="231">
        <f t="shared" si="221"/>
        <v>0</v>
      </c>
      <c r="AD227" s="234">
        <f t="shared" si="221"/>
        <v>0</v>
      </c>
      <c r="AE227" s="233">
        <f t="shared" si="221"/>
        <v>0</v>
      </c>
      <c r="AF227" s="231">
        <f t="shared" si="221"/>
        <v>0</v>
      </c>
      <c r="AG227" s="234">
        <f t="shared" si="221"/>
        <v>0</v>
      </c>
      <c r="AH227" s="233">
        <f t="shared" si="221"/>
        <v>0</v>
      </c>
      <c r="AI227" s="231">
        <f t="shared" si="221"/>
        <v>0</v>
      </c>
      <c r="AJ227" s="232">
        <f t="shared" si="221"/>
        <v>0</v>
      </c>
      <c r="AK227" s="216"/>
      <c r="AL227" s="233">
        <f>SUM(AL228:AL230)</f>
        <v>0</v>
      </c>
      <c r="AM227" s="232">
        <f>SUM(AM228:AM230)</f>
        <v>0</v>
      </c>
    </row>
    <row r="228" spans="19:39" ht="24.75" customHeight="1">
      <c r="S228" s="266">
        <v>7002100</v>
      </c>
      <c r="T228" s="267" t="s">
        <v>311</v>
      </c>
      <c r="U228" s="268">
        <v>0</v>
      </c>
      <c r="V228" s="220">
        <f t="shared" ref="V228:W230" si="222">AL228</f>
        <v>0</v>
      </c>
      <c r="W228" s="220">
        <f t="shared" si="222"/>
        <v>0</v>
      </c>
      <c r="X228" s="271">
        <f>SUM(U228:W228)</f>
        <v>0</v>
      </c>
      <c r="Y228" s="270">
        <v>0</v>
      </c>
      <c r="Z228" s="208">
        <v>0</v>
      </c>
      <c r="AA228" s="271">
        <f>SUM(Y228:Z228)</f>
        <v>0</v>
      </c>
      <c r="AB228" s="270">
        <v>0</v>
      </c>
      <c r="AC228" s="208">
        <v>0</v>
      </c>
      <c r="AD228" s="271">
        <f>SUM(AB228:AC228)</f>
        <v>0</v>
      </c>
      <c r="AE228" s="270">
        <v>0</v>
      </c>
      <c r="AF228" s="208">
        <v>0</v>
      </c>
      <c r="AG228" s="271">
        <f>SUM(AE228:AF228)</f>
        <v>0</v>
      </c>
      <c r="AH228" s="270">
        <f>X228-AA228</f>
        <v>0</v>
      </c>
      <c r="AI228" s="220">
        <f>X228-AD228</f>
        <v>0</v>
      </c>
      <c r="AJ228" s="269">
        <f>X228-AG228</f>
        <v>0</v>
      </c>
      <c r="AK228" s="101"/>
      <c r="AL228" s="204">
        <v>0</v>
      </c>
      <c r="AM228" s="210">
        <v>0</v>
      </c>
    </row>
    <row r="229" spans="19:39" ht="24.75" customHeight="1">
      <c r="S229" s="266">
        <v>7002200</v>
      </c>
      <c r="T229" s="267" t="s">
        <v>309</v>
      </c>
      <c r="U229" s="268">
        <v>0</v>
      </c>
      <c r="V229" s="220">
        <f t="shared" si="222"/>
        <v>0</v>
      </c>
      <c r="W229" s="220">
        <f t="shared" si="222"/>
        <v>0</v>
      </c>
      <c r="X229" s="271">
        <f>SUM(U229:W229)</f>
        <v>0</v>
      </c>
      <c r="Y229" s="270">
        <v>0</v>
      </c>
      <c r="Z229" s="208">
        <v>0</v>
      </c>
      <c r="AA229" s="271">
        <f>SUM(Y229:Z229)</f>
        <v>0</v>
      </c>
      <c r="AB229" s="270">
        <v>0</v>
      </c>
      <c r="AC229" s="208">
        <v>0</v>
      </c>
      <c r="AD229" s="271">
        <f>SUM(AB229:AC229)</f>
        <v>0</v>
      </c>
      <c r="AE229" s="270">
        <v>0</v>
      </c>
      <c r="AF229" s="208">
        <v>0</v>
      </c>
      <c r="AG229" s="271">
        <f>SUM(AE229:AF229)</f>
        <v>0</v>
      </c>
      <c r="AH229" s="270">
        <f>X229-AA229</f>
        <v>0</v>
      </c>
      <c r="AI229" s="220">
        <f>X229-AD229</f>
        <v>0</v>
      </c>
      <c r="AJ229" s="269">
        <f>X229-AG229</f>
        <v>0</v>
      </c>
      <c r="AK229" s="101"/>
      <c r="AL229" s="204">
        <v>0</v>
      </c>
      <c r="AM229" s="210">
        <v>0</v>
      </c>
    </row>
    <row r="230" spans="19:39" ht="24.75" customHeight="1">
      <c r="S230" s="466">
        <v>7002999</v>
      </c>
      <c r="T230" s="467" t="s">
        <v>196</v>
      </c>
      <c r="U230" s="391">
        <v>0</v>
      </c>
      <c r="V230" s="468">
        <f t="shared" si="222"/>
        <v>0</v>
      </c>
      <c r="W230" s="468">
        <f t="shared" si="222"/>
        <v>0</v>
      </c>
      <c r="X230" s="471">
        <f>SUM(U230:W230)</f>
        <v>0</v>
      </c>
      <c r="Y230" s="470">
        <v>0</v>
      </c>
      <c r="Z230" s="246">
        <v>0</v>
      </c>
      <c r="AA230" s="471">
        <f>SUM(Y230:Z230)</f>
        <v>0</v>
      </c>
      <c r="AB230" s="470">
        <v>0</v>
      </c>
      <c r="AC230" s="246">
        <v>0</v>
      </c>
      <c r="AD230" s="471">
        <f>SUM(AB230:AC230)</f>
        <v>0</v>
      </c>
      <c r="AE230" s="470">
        <v>0</v>
      </c>
      <c r="AF230" s="246">
        <v>0</v>
      </c>
      <c r="AG230" s="471">
        <f>SUM(AE230:AF230)</f>
        <v>0</v>
      </c>
      <c r="AH230" s="470">
        <f>X230-AA230</f>
        <v>0</v>
      </c>
      <c r="AI230" s="468">
        <f>X230-AD230</f>
        <v>0</v>
      </c>
      <c r="AJ230" s="469">
        <f>X230-AG230</f>
        <v>0</v>
      </c>
      <c r="AK230" s="101"/>
      <c r="AL230" s="489">
        <v>0</v>
      </c>
      <c r="AM230" s="490">
        <v>0</v>
      </c>
    </row>
    <row r="231" spans="19:39" ht="24.75" customHeight="1">
      <c r="S231" s="455"/>
      <c r="T231" s="456"/>
      <c r="U231" s="457"/>
      <c r="V231" s="457"/>
      <c r="W231" s="457"/>
      <c r="X231" s="457"/>
      <c r="Y231" s="457"/>
      <c r="Z231" s="457"/>
      <c r="AA231" s="457"/>
      <c r="AB231" s="457"/>
      <c r="AC231" s="457"/>
      <c r="AD231" s="457"/>
      <c r="AE231" s="457"/>
      <c r="AF231" s="457"/>
      <c r="AG231" s="457"/>
      <c r="AH231" s="459"/>
      <c r="AI231" s="457"/>
      <c r="AJ231" s="458"/>
      <c r="AK231" s="101"/>
      <c r="AL231" s="491"/>
      <c r="AM231" s="492"/>
    </row>
    <row r="232" spans="19:39" ht="24.75" customHeight="1">
      <c r="S232" s="493" t="s">
        <v>312</v>
      </c>
      <c r="T232" s="494" t="s">
        <v>117</v>
      </c>
      <c r="U232" s="405">
        <f t="shared" ref="U232:AJ232" si="223">U234+U243</f>
        <v>0</v>
      </c>
      <c r="V232" s="406">
        <f t="shared" si="223"/>
        <v>0</v>
      </c>
      <c r="W232" s="406">
        <f t="shared" si="223"/>
        <v>6401468407</v>
      </c>
      <c r="X232" s="407">
        <f t="shared" si="223"/>
        <v>6401468407</v>
      </c>
      <c r="Y232" s="217">
        <f t="shared" si="223"/>
        <v>0</v>
      </c>
      <c r="Z232" s="406">
        <f t="shared" si="223"/>
        <v>5164181771</v>
      </c>
      <c r="AA232" s="407">
        <f t="shared" si="223"/>
        <v>5164181771</v>
      </c>
      <c r="AB232" s="217">
        <f t="shared" si="223"/>
        <v>0</v>
      </c>
      <c r="AC232" s="406">
        <f t="shared" si="223"/>
        <v>661895081</v>
      </c>
      <c r="AD232" s="407">
        <f t="shared" si="223"/>
        <v>661895081</v>
      </c>
      <c r="AE232" s="217">
        <f t="shared" si="223"/>
        <v>0</v>
      </c>
      <c r="AF232" s="406">
        <f t="shared" si="223"/>
        <v>0</v>
      </c>
      <c r="AG232" s="407">
        <f t="shared" si="223"/>
        <v>0</v>
      </c>
      <c r="AH232" s="217">
        <f t="shared" si="223"/>
        <v>1237286636</v>
      </c>
      <c r="AI232" s="406">
        <f t="shared" si="223"/>
        <v>5739573326</v>
      </c>
      <c r="AJ232" s="218">
        <f t="shared" si="223"/>
        <v>6401468407</v>
      </c>
      <c r="AK232" s="487"/>
      <c r="AL232" s="217">
        <f>AL234+AL243</f>
        <v>0</v>
      </c>
      <c r="AM232" s="218">
        <f>AM234+AM243</f>
        <v>6401468407</v>
      </c>
    </row>
    <row r="233" spans="19:39" ht="24.75" customHeight="1">
      <c r="S233" s="189"/>
      <c r="T233" s="488"/>
      <c r="U233" s="191"/>
      <c r="V233" s="191"/>
      <c r="W233" s="191"/>
      <c r="X233" s="191"/>
      <c r="Y233" s="191"/>
      <c r="Z233" s="191"/>
      <c r="AA233" s="191"/>
      <c r="AB233" s="191"/>
      <c r="AC233" s="191"/>
      <c r="AD233" s="191"/>
      <c r="AE233" s="191"/>
      <c r="AF233" s="191"/>
      <c r="AG233" s="191"/>
      <c r="AH233" s="193"/>
      <c r="AI233" s="191"/>
      <c r="AJ233" s="192"/>
      <c r="AK233" s="101"/>
      <c r="AL233" s="370"/>
      <c r="AM233" s="371"/>
    </row>
    <row r="234" spans="19:39" ht="24.75" customHeight="1">
      <c r="S234" s="257">
        <v>8000000</v>
      </c>
      <c r="T234" s="258" t="s">
        <v>313</v>
      </c>
      <c r="U234" s="230">
        <f t="shared" ref="U234:AJ234" si="224">U235</f>
        <v>0</v>
      </c>
      <c r="V234" s="231">
        <f t="shared" si="224"/>
        <v>0</v>
      </c>
      <c r="W234" s="231">
        <f t="shared" si="224"/>
        <v>6401468407</v>
      </c>
      <c r="X234" s="234">
        <f t="shared" si="224"/>
        <v>6401468407</v>
      </c>
      <c r="Y234" s="233">
        <f t="shared" si="224"/>
        <v>0</v>
      </c>
      <c r="Z234" s="231">
        <f t="shared" si="224"/>
        <v>5164181771</v>
      </c>
      <c r="AA234" s="234">
        <f t="shared" si="224"/>
        <v>5164181771</v>
      </c>
      <c r="AB234" s="233">
        <f t="shared" si="224"/>
        <v>0</v>
      </c>
      <c r="AC234" s="231">
        <f t="shared" si="224"/>
        <v>661895081</v>
      </c>
      <c r="AD234" s="234">
        <f t="shared" si="224"/>
        <v>661895081</v>
      </c>
      <c r="AE234" s="233">
        <f t="shared" si="224"/>
        <v>0</v>
      </c>
      <c r="AF234" s="231">
        <f t="shared" si="224"/>
        <v>0</v>
      </c>
      <c r="AG234" s="234">
        <f t="shared" si="224"/>
        <v>0</v>
      </c>
      <c r="AH234" s="233">
        <f t="shared" si="224"/>
        <v>1237286636</v>
      </c>
      <c r="AI234" s="231">
        <f t="shared" si="224"/>
        <v>5739573326</v>
      </c>
      <c r="AJ234" s="232">
        <f t="shared" si="224"/>
        <v>6401468407</v>
      </c>
      <c r="AK234" s="101"/>
      <c r="AL234" s="233">
        <f>AL235</f>
        <v>0</v>
      </c>
      <c r="AM234" s="232">
        <f>AM235</f>
        <v>6401468407</v>
      </c>
    </row>
    <row r="235" spans="19:39" ht="24.75" customHeight="1">
      <c r="S235" s="266">
        <v>8001000</v>
      </c>
      <c r="T235" s="267" t="s">
        <v>314</v>
      </c>
      <c r="U235" s="495">
        <f t="shared" ref="U235:AJ235" si="225">SUM(U236:U241)</f>
        <v>0</v>
      </c>
      <c r="V235" s="220">
        <f t="shared" si="225"/>
        <v>0</v>
      </c>
      <c r="W235" s="220">
        <f t="shared" si="225"/>
        <v>6401468407</v>
      </c>
      <c r="X235" s="271">
        <f t="shared" si="225"/>
        <v>6401468407</v>
      </c>
      <c r="Y235" s="270">
        <f t="shared" si="225"/>
        <v>0</v>
      </c>
      <c r="Z235" s="300">
        <f t="shared" si="225"/>
        <v>5164181771</v>
      </c>
      <c r="AA235" s="271">
        <f t="shared" si="225"/>
        <v>5164181771</v>
      </c>
      <c r="AB235" s="270">
        <f t="shared" si="225"/>
        <v>0</v>
      </c>
      <c r="AC235" s="300">
        <f t="shared" si="225"/>
        <v>661895081</v>
      </c>
      <c r="AD235" s="271">
        <f t="shared" si="225"/>
        <v>661895081</v>
      </c>
      <c r="AE235" s="270">
        <f t="shared" si="225"/>
        <v>0</v>
      </c>
      <c r="AF235" s="300">
        <f t="shared" si="225"/>
        <v>0</v>
      </c>
      <c r="AG235" s="271">
        <f t="shared" si="225"/>
        <v>0</v>
      </c>
      <c r="AH235" s="270">
        <f t="shared" si="225"/>
        <v>1237286636</v>
      </c>
      <c r="AI235" s="220">
        <f t="shared" si="225"/>
        <v>5739573326</v>
      </c>
      <c r="AJ235" s="269">
        <f t="shared" si="225"/>
        <v>6401468407</v>
      </c>
      <c r="AK235" s="101"/>
      <c r="AL235" s="301">
        <f>SUM(AL236:AL241)</f>
        <v>0</v>
      </c>
      <c r="AM235" s="302">
        <f>SUM(AM236:AM241)</f>
        <v>6401468407</v>
      </c>
    </row>
    <row r="236" spans="19:39" ht="24.75" customHeight="1">
      <c r="S236" s="659" t="s">
        <v>660</v>
      </c>
      <c r="T236" s="658" t="s">
        <v>661</v>
      </c>
      <c r="U236" s="268">
        <v>0</v>
      </c>
      <c r="V236" s="220">
        <f t="shared" ref="V236:W241" si="226">AL236</f>
        <v>0</v>
      </c>
      <c r="W236" s="220">
        <f t="shared" si="226"/>
        <v>0</v>
      </c>
      <c r="X236" s="271">
        <f t="shared" ref="X236:X241" si="227">SUM(U236:W236)</f>
        <v>0</v>
      </c>
      <c r="Y236" s="270">
        <v>0</v>
      </c>
      <c r="Z236" s="208">
        <v>0</v>
      </c>
      <c r="AA236" s="271">
        <f t="shared" ref="AA236:AA241" si="228">SUM(Y236:Z236)</f>
        <v>0</v>
      </c>
      <c r="AB236" s="270">
        <v>0</v>
      </c>
      <c r="AC236" s="208">
        <v>0</v>
      </c>
      <c r="AD236" s="271">
        <f t="shared" ref="AD236:AD241" si="229">SUM(AB236:AC236)</f>
        <v>0</v>
      </c>
      <c r="AE236" s="270">
        <v>0</v>
      </c>
      <c r="AF236" s="208">
        <v>0</v>
      </c>
      <c r="AG236" s="271">
        <f t="shared" ref="AG236:AG241" si="230">SUM(AE236:AF236)</f>
        <v>0</v>
      </c>
      <c r="AH236" s="270">
        <f t="shared" ref="AH236:AH241" si="231">X236-AA236</f>
        <v>0</v>
      </c>
      <c r="AI236" s="220">
        <f t="shared" ref="AI236:AI241" si="232">X236-AD236</f>
        <v>0</v>
      </c>
      <c r="AJ236" s="269">
        <f t="shared" ref="AJ236:AJ241" si="233">X236-AG236</f>
        <v>0</v>
      </c>
      <c r="AK236" s="101"/>
      <c r="AL236" s="204">
        <v>0</v>
      </c>
      <c r="AM236" s="210">
        <v>0</v>
      </c>
    </row>
    <row r="237" spans="19:39" ht="24.75" customHeight="1">
      <c r="S237" s="311" t="s">
        <v>662</v>
      </c>
      <c r="T237" s="312" t="s">
        <v>663</v>
      </c>
      <c r="U237" s="268">
        <v>0</v>
      </c>
      <c r="V237" s="220">
        <f t="shared" si="226"/>
        <v>0</v>
      </c>
      <c r="W237" s="220">
        <f t="shared" si="226"/>
        <v>0</v>
      </c>
      <c r="X237" s="271">
        <f t="shared" si="227"/>
        <v>0</v>
      </c>
      <c r="Y237" s="270">
        <v>0</v>
      </c>
      <c r="Z237" s="208">
        <v>0</v>
      </c>
      <c r="AA237" s="271">
        <f t="shared" si="228"/>
        <v>0</v>
      </c>
      <c r="AB237" s="270">
        <v>0</v>
      </c>
      <c r="AC237" s="208">
        <v>0</v>
      </c>
      <c r="AD237" s="271">
        <f t="shared" si="229"/>
        <v>0</v>
      </c>
      <c r="AE237" s="270">
        <v>0</v>
      </c>
      <c r="AF237" s="208">
        <v>0</v>
      </c>
      <c r="AG237" s="271">
        <f t="shared" si="230"/>
        <v>0</v>
      </c>
      <c r="AH237" s="270">
        <f t="shared" si="231"/>
        <v>0</v>
      </c>
      <c r="AI237" s="220">
        <f t="shared" si="232"/>
        <v>0</v>
      </c>
      <c r="AJ237" s="269">
        <f t="shared" si="233"/>
        <v>0</v>
      </c>
      <c r="AK237" s="101"/>
      <c r="AL237" s="204">
        <v>0</v>
      </c>
      <c r="AM237" s="210">
        <v>0</v>
      </c>
    </row>
    <row r="238" spans="19:39" ht="24.75" customHeight="1">
      <c r="S238" s="311" t="s">
        <v>664</v>
      </c>
      <c r="T238" s="312" t="s">
        <v>665</v>
      </c>
      <c r="U238" s="268">
        <v>0</v>
      </c>
      <c r="V238" s="220">
        <f t="shared" si="226"/>
        <v>0</v>
      </c>
      <c r="W238" s="220">
        <f t="shared" si="226"/>
        <v>6401468407</v>
      </c>
      <c r="X238" s="271">
        <f t="shared" si="227"/>
        <v>6401468407</v>
      </c>
      <c r="Y238" s="270">
        <v>0</v>
      </c>
      <c r="Z238" s="208">
        <v>5164181771</v>
      </c>
      <c r="AA238" s="271">
        <f t="shared" si="228"/>
        <v>5164181771</v>
      </c>
      <c r="AB238" s="270">
        <v>0</v>
      </c>
      <c r="AC238" s="208">
        <v>661895081</v>
      </c>
      <c r="AD238" s="271">
        <f t="shared" si="229"/>
        <v>661895081</v>
      </c>
      <c r="AE238" s="270">
        <v>0</v>
      </c>
      <c r="AF238" s="208">
        <v>0</v>
      </c>
      <c r="AG238" s="271">
        <f t="shared" si="230"/>
        <v>0</v>
      </c>
      <c r="AH238" s="270">
        <f t="shared" si="231"/>
        <v>1237286636</v>
      </c>
      <c r="AI238" s="220">
        <f t="shared" si="232"/>
        <v>5739573326</v>
      </c>
      <c r="AJ238" s="269">
        <f t="shared" si="233"/>
        <v>6401468407</v>
      </c>
      <c r="AK238" s="101"/>
      <c r="AL238" s="204">
        <v>0</v>
      </c>
      <c r="AM238" s="204">
        <v>6401468407</v>
      </c>
    </row>
    <row r="239" spans="19:39" ht="24.75" customHeight="1">
      <c r="S239" s="311" t="s">
        <v>315</v>
      </c>
      <c r="T239" s="312" t="s">
        <v>316</v>
      </c>
      <c r="U239" s="268">
        <v>0</v>
      </c>
      <c r="V239" s="220">
        <f t="shared" si="226"/>
        <v>0</v>
      </c>
      <c r="W239" s="220">
        <f t="shared" si="226"/>
        <v>0</v>
      </c>
      <c r="X239" s="271">
        <f t="shared" si="227"/>
        <v>0</v>
      </c>
      <c r="Y239" s="270">
        <v>0</v>
      </c>
      <c r="Z239" s="208">
        <v>0</v>
      </c>
      <c r="AA239" s="271">
        <f t="shared" si="228"/>
        <v>0</v>
      </c>
      <c r="AB239" s="270">
        <v>0</v>
      </c>
      <c r="AC239" s="208">
        <v>0</v>
      </c>
      <c r="AD239" s="271">
        <f t="shared" si="229"/>
        <v>0</v>
      </c>
      <c r="AE239" s="270">
        <v>0</v>
      </c>
      <c r="AF239" s="208">
        <v>0</v>
      </c>
      <c r="AG239" s="271">
        <f t="shared" si="230"/>
        <v>0</v>
      </c>
      <c r="AH239" s="270">
        <f t="shared" si="231"/>
        <v>0</v>
      </c>
      <c r="AI239" s="220">
        <f t="shared" si="232"/>
        <v>0</v>
      </c>
      <c r="AJ239" s="269">
        <f t="shared" si="233"/>
        <v>0</v>
      </c>
      <c r="AK239" s="101"/>
      <c r="AL239" s="204">
        <v>0</v>
      </c>
      <c r="AM239" s="210">
        <v>0</v>
      </c>
    </row>
    <row r="240" spans="19:39" ht="24.75" customHeight="1">
      <c r="S240" s="311" t="s">
        <v>317</v>
      </c>
      <c r="T240" s="312" t="s">
        <v>318</v>
      </c>
      <c r="U240" s="268">
        <v>0</v>
      </c>
      <c r="V240" s="220">
        <f t="shared" si="226"/>
        <v>0</v>
      </c>
      <c r="W240" s="220">
        <f t="shared" si="226"/>
        <v>0</v>
      </c>
      <c r="X240" s="271">
        <f t="shared" si="227"/>
        <v>0</v>
      </c>
      <c r="Y240" s="270">
        <v>0</v>
      </c>
      <c r="Z240" s="208">
        <v>0</v>
      </c>
      <c r="AA240" s="271">
        <f t="shared" si="228"/>
        <v>0</v>
      </c>
      <c r="AB240" s="270">
        <v>0</v>
      </c>
      <c r="AC240" s="208">
        <v>0</v>
      </c>
      <c r="AD240" s="271">
        <f t="shared" si="229"/>
        <v>0</v>
      </c>
      <c r="AE240" s="270">
        <v>0</v>
      </c>
      <c r="AF240" s="208">
        <v>0</v>
      </c>
      <c r="AG240" s="271">
        <f t="shared" si="230"/>
        <v>0</v>
      </c>
      <c r="AH240" s="270">
        <f t="shared" si="231"/>
        <v>0</v>
      </c>
      <c r="AI240" s="220">
        <f t="shared" si="232"/>
        <v>0</v>
      </c>
      <c r="AJ240" s="269">
        <f t="shared" si="233"/>
        <v>0</v>
      </c>
      <c r="AK240" s="101"/>
      <c r="AL240" s="204">
        <v>0</v>
      </c>
      <c r="AM240" s="210">
        <v>0</v>
      </c>
    </row>
    <row r="241" spans="19:39" ht="24.75" customHeight="1">
      <c r="S241" s="311" t="s">
        <v>669</v>
      </c>
      <c r="T241" s="312" t="s">
        <v>668</v>
      </c>
      <c r="U241" s="268">
        <v>0</v>
      </c>
      <c r="V241" s="220">
        <f t="shared" si="226"/>
        <v>0</v>
      </c>
      <c r="W241" s="220">
        <f t="shared" si="226"/>
        <v>0</v>
      </c>
      <c r="X241" s="271">
        <f t="shared" si="227"/>
        <v>0</v>
      </c>
      <c r="Y241" s="270">
        <v>0</v>
      </c>
      <c r="Z241" s="208">
        <v>0</v>
      </c>
      <c r="AA241" s="271">
        <f t="shared" si="228"/>
        <v>0</v>
      </c>
      <c r="AB241" s="270">
        <v>0</v>
      </c>
      <c r="AC241" s="208">
        <v>0</v>
      </c>
      <c r="AD241" s="271">
        <f t="shared" si="229"/>
        <v>0</v>
      </c>
      <c r="AE241" s="270">
        <v>0</v>
      </c>
      <c r="AF241" s="208">
        <v>0</v>
      </c>
      <c r="AG241" s="271">
        <f t="shared" si="230"/>
        <v>0</v>
      </c>
      <c r="AH241" s="270">
        <f t="shared" si="231"/>
        <v>0</v>
      </c>
      <c r="AI241" s="220">
        <f t="shared" si="232"/>
        <v>0</v>
      </c>
      <c r="AJ241" s="269">
        <f t="shared" si="233"/>
        <v>0</v>
      </c>
      <c r="AK241" s="101"/>
      <c r="AL241" s="204">
        <v>0</v>
      </c>
      <c r="AM241" s="210">
        <v>0</v>
      </c>
    </row>
    <row r="242" spans="19:39" ht="24.75" customHeight="1">
      <c r="S242" s="189"/>
      <c r="T242" s="488"/>
      <c r="U242" s="191"/>
      <c r="V242" s="191"/>
      <c r="W242" s="191"/>
      <c r="X242" s="191"/>
      <c r="Y242" s="191"/>
      <c r="Z242" s="191"/>
      <c r="AA242" s="191"/>
      <c r="AB242" s="191"/>
      <c r="AC242" s="191"/>
      <c r="AD242" s="191"/>
      <c r="AE242" s="191"/>
      <c r="AF242" s="191"/>
      <c r="AG242" s="191"/>
      <c r="AH242" s="193"/>
      <c r="AI242" s="191"/>
      <c r="AJ242" s="192"/>
      <c r="AK242" s="101"/>
      <c r="AL242" s="370"/>
      <c r="AM242" s="371"/>
    </row>
    <row r="243" spans="19:39" ht="24.75" customHeight="1">
      <c r="S243" s="497">
        <v>8002001</v>
      </c>
      <c r="T243" s="498" t="s">
        <v>319</v>
      </c>
      <c r="U243" s="424">
        <f t="shared" ref="U243:AJ243" si="234">SUM(U244:U256)</f>
        <v>0</v>
      </c>
      <c r="V243" s="424">
        <f t="shared" si="234"/>
        <v>0</v>
      </c>
      <c r="W243" s="424">
        <f t="shared" si="234"/>
        <v>0</v>
      </c>
      <c r="X243" s="424">
        <f t="shared" si="234"/>
        <v>0</v>
      </c>
      <c r="Y243" s="424">
        <f t="shared" si="234"/>
        <v>0</v>
      </c>
      <c r="Z243" s="424">
        <f t="shared" si="234"/>
        <v>0</v>
      </c>
      <c r="AA243" s="424">
        <f t="shared" si="234"/>
        <v>0</v>
      </c>
      <c r="AB243" s="424">
        <f t="shared" si="234"/>
        <v>0</v>
      </c>
      <c r="AC243" s="424">
        <f t="shared" si="234"/>
        <v>0</v>
      </c>
      <c r="AD243" s="424">
        <f t="shared" si="234"/>
        <v>0</v>
      </c>
      <c r="AE243" s="424">
        <f t="shared" si="234"/>
        <v>0</v>
      </c>
      <c r="AF243" s="424">
        <f t="shared" si="234"/>
        <v>0</v>
      </c>
      <c r="AG243" s="424">
        <f t="shared" si="234"/>
        <v>0</v>
      </c>
      <c r="AH243" s="424">
        <f t="shared" si="234"/>
        <v>0</v>
      </c>
      <c r="AI243" s="424">
        <f t="shared" si="234"/>
        <v>0</v>
      </c>
      <c r="AJ243" s="424">
        <f t="shared" si="234"/>
        <v>0</v>
      </c>
      <c r="AK243" s="101"/>
      <c r="AL243" s="424">
        <f>SUM(AL244:AL256)</f>
        <v>0</v>
      </c>
      <c r="AM243" s="424">
        <f>SUM(AM244:AM256)</f>
        <v>0</v>
      </c>
    </row>
    <row r="244" spans="19:39" ht="24.75" customHeight="1">
      <c r="S244" s="311" t="s">
        <v>320</v>
      </c>
      <c r="T244" s="312" t="s">
        <v>265</v>
      </c>
      <c r="U244" s="268">
        <v>0</v>
      </c>
      <c r="V244" s="220">
        <f t="shared" ref="V244:V256" si="235">AL244</f>
        <v>0</v>
      </c>
      <c r="W244" s="220">
        <f t="shared" ref="W244:W256" si="236">AM244</f>
        <v>0</v>
      </c>
      <c r="X244" s="271">
        <f t="shared" ref="X244:X256" si="237">SUM(U244:W244)</f>
        <v>0</v>
      </c>
      <c r="Y244" s="270">
        <v>0</v>
      </c>
      <c r="Z244" s="208">
        <v>0</v>
      </c>
      <c r="AA244" s="271">
        <f t="shared" ref="AA244:AA256" si="238">SUM(Y244:Z244)</f>
        <v>0</v>
      </c>
      <c r="AB244" s="270">
        <v>0</v>
      </c>
      <c r="AC244" s="208">
        <v>0</v>
      </c>
      <c r="AD244" s="271">
        <f t="shared" ref="AD244:AD256" si="239">SUM(AB244:AC244)</f>
        <v>0</v>
      </c>
      <c r="AE244" s="270">
        <v>0</v>
      </c>
      <c r="AF244" s="208">
        <v>0</v>
      </c>
      <c r="AG244" s="271">
        <f t="shared" ref="AG244:AG256" si="240">SUM(AE244:AF244)</f>
        <v>0</v>
      </c>
      <c r="AH244" s="270">
        <f t="shared" ref="AH244:AH256" si="241">X244-AA244</f>
        <v>0</v>
      </c>
      <c r="AI244" s="220">
        <f t="shared" ref="AI244:AI256" si="242">X244-AD244</f>
        <v>0</v>
      </c>
      <c r="AJ244" s="269">
        <f t="shared" ref="AJ244:AJ256" si="243">X244-AG244</f>
        <v>0</v>
      </c>
      <c r="AK244" s="101"/>
      <c r="AL244" s="204">
        <v>0</v>
      </c>
      <c r="AM244" s="210"/>
    </row>
    <row r="245" spans="19:39" ht="24.75" customHeight="1">
      <c r="S245" s="311" t="s">
        <v>321</v>
      </c>
      <c r="T245" s="548" t="s">
        <v>350</v>
      </c>
      <c r="U245" s="268">
        <v>0</v>
      </c>
      <c r="V245" s="220">
        <f t="shared" si="235"/>
        <v>0</v>
      </c>
      <c r="W245" s="220">
        <f t="shared" si="236"/>
        <v>0</v>
      </c>
      <c r="X245" s="271">
        <f t="shared" si="237"/>
        <v>0</v>
      </c>
      <c r="Y245" s="270">
        <v>0</v>
      </c>
      <c r="Z245" s="208">
        <v>0</v>
      </c>
      <c r="AA245" s="271">
        <f t="shared" si="238"/>
        <v>0</v>
      </c>
      <c r="AB245" s="270">
        <v>0</v>
      </c>
      <c r="AC245" s="208">
        <v>0</v>
      </c>
      <c r="AD245" s="271">
        <f t="shared" si="239"/>
        <v>0</v>
      </c>
      <c r="AE245" s="270">
        <v>0</v>
      </c>
      <c r="AF245" s="208">
        <v>0</v>
      </c>
      <c r="AG245" s="271">
        <f t="shared" si="240"/>
        <v>0</v>
      </c>
      <c r="AH245" s="270">
        <f t="shared" si="241"/>
        <v>0</v>
      </c>
      <c r="AI245" s="220">
        <f t="shared" si="242"/>
        <v>0</v>
      </c>
      <c r="AJ245" s="269">
        <f t="shared" si="243"/>
        <v>0</v>
      </c>
      <c r="AK245" s="101"/>
      <c r="AL245" s="204">
        <v>0</v>
      </c>
      <c r="AM245" s="210">
        <v>0</v>
      </c>
    </row>
    <row r="246" spans="19:39" ht="24.75" customHeight="1">
      <c r="S246" s="311" t="s">
        <v>322</v>
      </c>
      <c r="T246" s="312" t="s">
        <v>323</v>
      </c>
      <c r="U246" s="268">
        <v>0</v>
      </c>
      <c r="V246" s="220">
        <f t="shared" si="235"/>
        <v>0</v>
      </c>
      <c r="W246" s="220">
        <f t="shared" si="236"/>
        <v>0</v>
      </c>
      <c r="X246" s="271">
        <f t="shared" si="237"/>
        <v>0</v>
      </c>
      <c r="Y246" s="270">
        <v>0</v>
      </c>
      <c r="Z246" s="208">
        <v>0</v>
      </c>
      <c r="AA246" s="271">
        <f t="shared" si="238"/>
        <v>0</v>
      </c>
      <c r="AB246" s="270">
        <v>0</v>
      </c>
      <c r="AC246" s="208">
        <v>0</v>
      </c>
      <c r="AD246" s="271">
        <f t="shared" si="239"/>
        <v>0</v>
      </c>
      <c r="AE246" s="270">
        <v>0</v>
      </c>
      <c r="AF246" s="208">
        <v>0</v>
      </c>
      <c r="AG246" s="271">
        <f t="shared" si="240"/>
        <v>0</v>
      </c>
      <c r="AH246" s="270">
        <f t="shared" si="241"/>
        <v>0</v>
      </c>
      <c r="AI246" s="220">
        <f t="shared" si="242"/>
        <v>0</v>
      </c>
      <c r="AJ246" s="269">
        <f t="shared" si="243"/>
        <v>0</v>
      </c>
      <c r="AK246" s="101"/>
      <c r="AL246" s="204">
        <v>0</v>
      </c>
      <c r="AM246" s="210">
        <v>0</v>
      </c>
    </row>
    <row r="247" spans="19:39" ht="24.75" customHeight="1">
      <c r="S247" s="311" t="s">
        <v>324</v>
      </c>
      <c r="T247" s="312" t="s">
        <v>325</v>
      </c>
      <c r="U247" s="268">
        <v>0</v>
      </c>
      <c r="V247" s="220">
        <f t="shared" si="235"/>
        <v>0</v>
      </c>
      <c r="W247" s="220">
        <f t="shared" si="236"/>
        <v>0</v>
      </c>
      <c r="X247" s="271">
        <f t="shared" si="237"/>
        <v>0</v>
      </c>
      <c r="Y247" s="270">
        <v>0</v>
      </c>
      <c r="Z247" s="208">
        <v>0</v>
      </c>
      <c r="AA247" s="271">
        <f t="shared" si="238"/>
        <v>0</v>
      </c>
      <c r="AB247" s="270">
        <v>0</v>
      </c>
      <c r="AC247" s="208">
        <v>0</v>
      </c>
      <c r="AD247" s="271">
        <f t="shared" si="239"/>
        <v>0</v>
      </c>
      <c r="AE247" s="270">
        <v>0</v>
      </c>
      <c r="AF247" s="208">
        <v>0</v>
      </c>
      <c r="AG247" s="271">
        <f t="shared" si="240"/>
        <v>0</v>
      </c>
      <c r="AH247" s="270">
        <f t="shared" si="241"/>
        <v>0</v>
      </c>
      <c r="AI247" s="220">
        <f t="shared" si="242"/>
        <v>0</v>
      </c>
      <c r="AJ247" s="269">
        <f t="shared" si="243"/>
        <v>0</v>
      </c>
      <c r="AK247" s="101"/>
      <c r="AL247" s="204">
        <v>0</v>
      </c>
      <c r="AM247" s="210">
        <v>0</v>
      </c>
    </row>
    <row r="248" spans="19:39" ht="24.75" customHeight="1">
      <c r="S248" s="311" t="s">
        <v>326</v>
      </c>
      <c r="T248" s="312" t="s">
        <v>327</v>
      </c>
      <c r="U248" s="268">
        <v>0</v>
      </c>
      <c r="V248" s="220">
        <f t="shared" si="235"/>
        <v>0</v>
      </c>
      <c r="W248" s="220">
        <f t="shared" si="236"/>
        <v>0</v>
      </c>
      <c r="X248" s="271">
        <f t="shared" si="237"/>
        <v>0</v>
      </c>
      <c r="Y248" s="270">
        <v>0</v>
      </c>
      <c r="Z248" s="208">
        <v>0</v>
      </c>
      <c r="AA248" s="271">
        <f t="shared" si="238"/>
        <v>0</v>
      </c>
      <c r="AB248" s="270">
        <v>0</v>
      </c>
      <c r="AC248" s="208">
        <v>0</v>
      </c>
      <c r="AD248" s="271">
        <f t="shared" si="239"/>
        <v>0</v>
      </c>
      <c r="AE248" s="270">
        <v>0</v>
      </c>
      <c r="AF248" s="208">
        <v>0</v>
      </c>
      <c r="AG248" s="271">
        <f t="shared" si="240"/>
        <v>0</v>
      </c>
      <c r="AH248" s="270">
        <f t="shared" si="241"/>
        <v>0</v>
      </c>
      <c r="AI248" s="220">
        <f t="shared" si="242"/>
        <v>0</v>
      </c>
      <c r="AJ248" s="269">
        <f t="shared" si="243"/>
        <v>0</v>
      </c>
      <c r="AK248" s="101"/>
      <c r="AL248" s="204">
        <v>0</v>
      </c>
      <c r="AM248" s="210">
        <v>0</v>
      </c>
    </row>
    <row r="249" spans="19:39" ht="24.75" customHeight="1">
      <c r="S249" s="311" t="s">
        <v>328</v>
      </c>
      <c r="T249" s="312" t="s">
        <v>329</v>
      </c>
      <c r="U249" s="268">
        <v>0</v>
      </c>
      <c r="V249" s="220">
        <f t="shared" si="235"/>
        <v>0</v>
      </c>
      <c r="W249" s="220">
        <f t="shared" si="236"/>
        <v>0</v>
      </c>
      <c r="X249" s="271">
        <f t="shared" si="237"/>
        <v>0</v>
      </c>
      <c r="Y249" s="270">
        <v>0</v>
      </c>
      <c r="Z249" s="208">
        <v>0</v>
      </c>
      <c r="AA249" s="271">
        <f t="shared" si="238"/>
        <v>0</v>
      </c>
      <c r="AB249" s="270">
        <v>0</v>
      </c>
      <c r="AC249" s="208">
        <v>0</v>
      </c>
      <c r="AD249" s="271">
        <f t="shared" si="239"/>
        <v>0</v>
      </c>
      <c r="AE249" s="270">
        <v>0</v>
      </c>
      <c r="AF249" s="208">
        <v>0</v>
      </c>
      <c r="AG249" s="271">
        <f t="shared" si="240"/>
        <v>0</v>
      </c>
      <c r="AH249" s="270">
        <f t="shared" si="241"/>
        <v>0</v>
      </c>
      <c r="AI249" s="220">
        <f t="shared" si="242"/>
        <v>0</v>
      </c>
      <c r="AJ249" s="269">
        <f t="shared" si="243"/>
        <v>0</v>
      </c>
      <c r="AK249" s="101"/>
      <c r="AL249" s="204">
        <v>0</v>
      </c>
      <c r="AM249" s="210">
        <v>0</v>
      </c>
    </row>
    <row r="250" spans="19:39" ht="24.75" customHeight="1">
      <c r="S250" s="311" t="s">
        <v>330</v>
      </c>
      <c r="T250" s="312" t="s">
        <v>331</v>
      </c>
      <c r="U250" s="268">
        <v>0</v>
      </c>
      <c r="V250" s="220">
        <f t="shared" si="235"/>
        <v>0</v>
      </c>
      <c r="W250" s="220">
        <f t="shared" si="236"/>
        <v>0</v>
      </c>
      <c r="X250" s="271">
        <f t="shared" si="237"/>
        <v>0</v>
      </c>
      <c r="Y250" s="270">
        <v>0</v>
      </c>
      <c r="Z250" s="208">
        <v>0</v>
      </c>
      <c r="AA250" s="271">
        <f t="shared" si="238"/>
        <v>0</v>
      </c>
      <c r="AB250" s="270">
        <v>0</v>
      </c>
      <c r="AC250" s="208">
        <v>0</v>
      </c>
      <c r="AD250" s="271">
        <f t="shared" si="239"/>
        <v>0</v>
      </c>
      <c r="AE250" s="270">
        <v>0</v>
      </c>
      <c r="AF250" s="208">
        <v>0</v>
      </c>
      <c r="AG250" s="271">
        <f t="shared" si="240"/>
        <v>0</v>
      </c>
      <c r="AH250" s="270">
        <f t="shared" si="241"/>
        <v>0</v>
      </c>
      <c r="AI250" s="220">
        <f t="shared" si="242"/>
        <v>0</v>
      </c>
      <c r="AJ250" s="269">
        <f t="shared" si="243"/>
        <v>0</v>
      </c>
      <c r="AK250" s="101"/>
      <c r="AL250" s="204">
        <v>0</v>
      </c>
      <c r="AM250" s="210">
        <v>0</v>
      </c>
    </row>
    <row r="251" spans="19:39" ht="24.75" customHeight="1">
      <c r="S251" s="311" t="s">
        <v>332</v>
      </c>
      <c r="T251" s="312" t="s">
        <v>333</v>
      </c>
      <c r="U251" s="268">
        <v>0</v>
      </c>
      <c r="V251" s="220">
        <f t="shared" si="235"/>
        <v>0</v>
      </c>
      <c r="W251" s="220">
        <f t="shared" si="236"/>
        <v>0</v>
      </c>
      <c r="X251" s="271">
        <f t="shared" si="237"/>
        <v>0</v>
      </c>
      <c r="Y251" s="270">
        <v>0</v>
      </c>
      <c r="Z251" s="208">
        <v>0</v>
      </c>
      <c r="AA251" s="271">
        <f t="shared" si="238"/>
        <v>0</v>
      </c>
      <c r="AB251" s="270">
        <v>0</v>
      </c>
      <c r="AC251" s="208">
        <v>0</v>
      </c>
      <c r="AD251" s="271">
        <f t="shared" si="239"/>
        <v>0</v>
      </c>
      <c r="AE251" s="270">
        <v>0</v>
      </c>
      <c r="AF251" s="208">
        <v>0</v>
      </c>
      <c r="AG251" s="271">
        <f t="shared" si="240"/>
        <v>0</v>
      </c>
      <c r="AH251" s="270">
        <f t="shared" si="241"/>
        <v>0</v>
      </c>
      <c r="AI251" s="220">
        <f t="shared" si="242"/>
        <v>0</v>
      </c>
      <c r="AJ251" s="269">
        <f t="shared" si="243"/>
        <v>0</v>
      </c>
      <c r="AK251" s="101"/>
      <c r="AL251" s="204">
        <v>0</v>
      </c>
      <c r="AM251" s="210">
        <v>0</v>
      </c>
    </row>
    <row r="252" spans="19:39" ht="24.75" customHeight="1">
      <c r="S252" s="311" t="s">
        <v>334</v>
      </c>
      <c r="T252" s="312" t="s">
        <v>335</v>
      </c>
      <c r="U252" s="268">
        <v>0</v>
      </c>
      <c r="V252" s="220">
        <f t="shared" si="235"/>
        <v>0</v>
      </c>
      <c r="W252" s="220">
        <f t="shared" si="236"/>
        <v>0</v>
      </c>
      <c r="X252" s="271">
        <f t="shared" si="237"/>
        <v>0</v>
      </c>
      <c r="Y252" s="270">
        <v>0</v>
      </c>
      <c r="Z252" s="208">
        <v>0</v>
      </c>
      <c r="AA252" s="271">
        <f t="shared" si="238"/>
        <v>0</v>
      </c>
      <c r="AB252" s="270">
        <v>0</v>
      </c>
      <c r="AC252" s="208">
        <v>0</v>
      </c>
      <c r="AD252" s="271">
        <f t="shared" si="239"/>
        <v>0</v>
      </c>
      <c r="AE252" s="270">
        <v>0</v>
      </c>
      <c r="AF252" s="208">
        <v>0</v>
      </c>
      <c r="AG252" s="271">
        <f t="shared" si="240"/>
        <v>0</v>
      </c>
      <c r="AH252" s="270">
        <f t="shared" si="241"/>
        <v>0</v>
      </c>
      <c r="AI252" s="220">
        <f t="shared" si="242"/>
        <v>0</v>
      </c>
      <c r="AJ252" s="269">
        <f t="shared" si="243"/>
        <v>0</v>
      </c>
      <c r="AK252" s="101"/>
      <c r="AL252" s="204">
        <v>0</v>
      </c>
      <c r="AM252" s="210">
        <v>0</v>
      </c>
    </row>
    <row r="253" spans="19:39" ht="24.75" customHeight="1">
      <c r="S253" s="311" t="s">
        <v>336</v>
      </c>
      <c r="T253" s="312" t="s">
        <v>337</v>
      </c>
      <c r="U253" s="268">
        <v>0</v>
      </c>
      <c r="V253" s="220">
        <f t="shared" si="235"/>
        <v>0</v>
      </c>
      <c r="W253" s="220">
        <f t="shared" si="236"/>
        <v>0</v>
      </c>
      <c r="X253" s="271">
        <f t="shared" si="237"/>
        <v>0</v>
      </c>
      <c r="Y253" s="270">
        <v>0</v>
      </c>
      <c r="Z253" s="208">
        <v>0</v>
      </c>
      <c r="AA253" s="271">
        <f t="shared" si="238"/>
        <v>0</v>
      </c>
      <c r="AB253" s="270">
        <v>0</v>
      </c>
      <c r="AC253" s="208">
        <v>0</v>
      </c>
      <c r="AD253" s="271">
        <f t="shared" si="239"/>
        <v>0</v>
      </c>
      <c r="AE253" s="270">
        <v>0</v>
      </c>
      <c r="AF253" s="208">
        <v>0</v>
      </c>
      <c r="AG253" s="271">
        <f t="shared" si="240"/>
        <v>0</v>
      </c>
      <c r="AH253" s="270">
        <f t="shared" si="241"/>
        <v>0</v>
      </c>
      <c r="AI253" s="220">
        <f t="shared" si="242"/>
        <v>0</v>
      </c>
      <c r="AJ253" s="269">
        <f t="shared" si="243"/>
        <v>0</v>
      </c>
      <c r="AK253" s="101"/>
      <c r="AL253" s="204">
        <v>0</v>
      </c>
      <c r="AM253" s="210">
        <v>0</v>
      </c>
    </row>
    <row r="254" spans="19:39" ht="24.75" customHeight="1">
      <c r="S254" s="311" t="s">
        <v>338</v>
      </c>
      <c r="T254" s="312" t="s">
        <v>339</v>
      </c>
      <c r="U254" s="268">
        <v>0</v>
      </c>
      <c r="V254" s="220">
        <f t="shared" si="235"/>
        <v>0</v>
      </c>
      <c r="W254" s="220">
        <f t="shared" si="236"/>
        <v>0</v>
      </c>
      <c r="X254" s="271">
        <f t="shared" si="237"/>
        <v>0</v>
      </c>
      <c r="Y254" s="270">
        <v>0</v>
      </c>
      <c r="Z254" s="208">
        <v>0</v>
      </c>
      <c r="AA254" s="271">
        <f t="shared" si="238"/>
        <v>0</v>
      </c>
      <c r="AB254" s="270">
        <v>0</v>
      </c>
      <c r="AC254" s="208">
        <v>0</v>
      </c>
      <c r="AD254" s="271">
        <f t="shared" si="239"/>
        <v>0</v>
      </c>
      <c r="AE254" s="270">
        <v>0</v>
      </c>
      <c r="AF254" s="208">
        <v>0</v>
      </c>
      <c r="AG254" s="271">
        <f t="shared" si="240"/>
        <v>0</v>
      </c>
      <c r="AH254" s="270">
        <f t="shared" si="241"/>
        <v>0</v>
      </c>
      <c r="AI254" s="220">
        <f t="shared" si="242"/>
        <v>0</v>
      </c>
      <c r="AJ254" s="269">
        <f t="shared" si="243"/>
        <v>0</v>
      </c>
      <c r="AK254" s="101"/>
      <c r="AL254" s="204">
        <v>0</v>
      </c>
      <c r="AM254" s="210">
        <v>0</v>
      </c>
    </row>
    <row r="255" spans="19:39" ht="24.75" customHeight="1">
      <c r="S255" s="311" t="s">
        <v>340</v>
      </c>
      <c r="T255" s="312" t="s">
        <v>341</v>
      </c>
      <c r="U255" s="268">
        <v>0</v>
      </c>
      <c r="V255" s="220">
        <f t="shared" si="235"/>
        <v>0</v>
      </c>
      <c r="W255" s="220">
        <f t="shared" si="236"/>
        <v>0</v>
      </c>
      <c r="X255" s="271">
        <f t="shared" si="237"/>
        <v>0</v>
      </c>
      <c r="Y255" s="270">
        <v>0</v>
      </c>
      <c r="Z255" s="208">
        <v>0</v>
      </c>
      <c r="AA255" s="271">
        <f t="shared" si="238"/>
        <v>0</v>
      </c>
      <c r="AB255" s="270">
        <v>0</v>
      </c>
      <c r="AC255" s="208">
        <v>0</v>
      </c>
      <c r="AD255" s="271">
        <f t="shared" si="239"/>
        <v>0</v>
      </c>
      <c r="AE255" s="270">
        <v>0</v>
      </c>
      <c r="AF255" s="208">
        <v>0</v>
      </c>
      <c r="AG255" s="271">
        <f t="shared" si="240"/>
        <v>0</v>
      </c>
      <c r="AH255" s="270">
        <f t="shared" si="241"/>
        <v>0</v>
      </c>
      <c r="AI255" s="220">
        <f t="shared" si="242"/>
        <v>0</v>
      </c>
      <c r="AJ255" s="269">
        <f t="shared" si="243"/>
        <v>0</v>
      </c>
      <c r="AK255" s="101"/>
      <c r="AL255" s="204">
        <v>0</v>
      </c>
      <c r="AM255" s="210">
        <v>0</v>
      </c>
    </row>
    <row r="256" spans="19:39" ht="24.75" customHeight="1" thickBot="1">
      <c r="S256" s="659" t="s">
        <v>744</v>
      </c>
      <c r="T256" s="500" t="s">
        <v>745</v>
      </c>
      <c r="U256" s="391">
        <v>0</v>
      </c>
      <c r="V256" s="468">
        <f t="shared" si="235"/>
        <v>0</v>
      </c>
      <c r="W256" s="468">
        <f t="shared" si="236"/>
        <v>0</v>
      </c>
      <c r="X256" s="471">
        <f t="shared" si="237"/>
        <v>0</v>
      </c>
      <c r="Y256" s="470">
        <v>0</v>
      </c>
      <c r="Z256" s="246">
        <v>0</v>
      </c>
      <c r="AA256" s="471">
        <f t="shared" si="238"/>
        <v>0</v>
      </c>
      <c r="AB256" s="470">
        <v>0</v>
      </c>
      <c r="AC256" s="246">
        <v>0</v>
      </c>
      <c r="AD256" s="471">
        <f t="shared" si="239"/>
        <v>0</v>
      </c>
      <c r="AE256" s="470">
        <v>0</v>
      </c>
      <c r="AF256" s="246">
        <v>0</v>
      </c>
      <c r="AG256" s="471">
        <f t="shared" si="240"/>
        <v>0</v>
      </c>
      <c r="AH256" s="470">
        <f t="shared" si="241"/>
        <v>0</v>
      </c>
      <c r="AI256" s="468">
        <f t="shared" si="242"/>
        <v>0</v>
      </c>
      <c r="AJ256" s="469">
        <f t="shared" si="243"/>
        <v>0</v>
      </c>
      <c r="AK256" s="101"/>
      <c r="AL256" s="242">
        <v>0</v>
      </c>
      <c r="AM256" s="248">
        <v>0</v>
      </c>
    </row>
    <row r="258" spans="19:39" ht="24.75" customHeight="1">
      <c r="S258" s="503" t="s">
        <v>342</v>
      </c>
      <c r="T258" s="504" t="s">
        <v>197</v>
      </c>
      <c r="U258" s="136">
        <f t="shared" ref="U258:AJ258" si="244">+(C10+C17+C113)-(U10+U193+U220+U232)</f>
        <v>0.30987548828125</v>
      </c>
      <c r="V258" s="136">
        <f t="shared" si="244"/>
        <v>0</v>
      </c>
      <c r="W258" s="136">
        <f t="shared" si="244"/>
        <v>100</v>
      </c>
      <c r="X258" s="136">
        <f t="shared" si="244"/>
        <v>100.30987548828125</v>
      </c>
      <c r="Y258" s="136">
        <f t="shared" si="244"/>
        <v>0</v>
      </c>
      <c r="Z258" s="136">
        <f t="shared" si="244"/>
        <v>-44010824551</v>
      </c>
      <c r="AA258" s="136">
        <f t="shared" si="244"/>
        <v>-44010824551</v>
      </c>
      <c r="AB258" s="136">
        <f t="shared" si="244"/>
        <v>0</v>
      </c>
      <c r="AC258" s="136">
        <f t="shared" si="244"/>
        <v>-10218883749</v>
      </c>
      <c r="AD258" s="136">
        <f t="shared" si="244"/>
        <v>-10218883749</v>
      </c>
      <c r="AE258" s="136">
        <f t="shared" si="244"/>
        <v>137464414824.4765</v>
      </c>
      <c r="AF258" s="136">
        <f t="shared" si="244"/>
        <v>144433873058.47653</v>
      </c>
      <c r="AG258" s="136">
        <f t="shared" si="244"/>
        <v>-9700282252</v>
      </c>
      <c r="AH258" s="136">
        <f t="shared" si="244"/>
        <v>-93453590173.166656</v>
      </c>
      <c r="AI258" s="136">
        <f t="shared" si="244"/>
        <v>-137513802954.16666</v>
      </c>
      <c r="AJ258" s="505">
        <f t="shared" si="244"/>
        <v>-154844339292.16666</v>
      </c>
      <c r="AK258" s="101"/>
      <c r="AL258" s="134">
        <v>0</v>
      </c>
      <c r="AM258" s="135">
        <v>0</v>
      </c>
    </row>
    <row r="259" spans="19:39" ht="24.75" customHeight="1">
      <c r="S259" s="1326"/>
      <c r="T259" s="1327"/>
      <c r="U259" s="506"/>
      <c r="V259" s="506"/>
      <c r="W259" s="506"/>
      <c r="X259" s="506"/>
      <c r="Y259" s="506"/>
      <c r="Z259" s="506"/>
      <c r="AA259" s="506"/>
      <c r="AB259" s="506"/>
      <c r="AC259" s="506"/>
      <c r="AD259" s="506"/>
      <c r="AE259" s="506"/>
      <c r="AF259" s="506"/>
      <c r="AG259" s="506"/>
      <c r="AH259" s="506"/>
      <c r="AI259" s="506"/>
      <c r="AJ259" s="507"/>
      <c r="AK259" s="216"/>
      <c r="AL259" s="508">
        <f>+SUMIF(AK8:AK256,AK33,AL8:AL256)</f>
        <v>0</v>
      </c>
      <c r="AM259" s="727">
        <f>+SUMIF(AL8:AL256,AL33,AM8:AM256)</f>
        <v>32007342035</v>
      </c>
    </row>
    <row r="260" spans="19:39" ht="24.75" customHeight="1">
      <c r="S260" s="510" t="s">
        <v>343</v>
      </c>
      <c r="T260" s="511"/>
      <c r="U260" s="512">
        <f t="shared" ref="U260:AJ260" si="245">+U8-U262</f>
        <v>135355804552.9446</v>
      </c>
      <c r="V260" s="512">
        <f t="shared" si="245"/>
        <v>-845559635</v>
      </c>
      <c r="W260" s="512">
        <f t="shared" si="245"/>
        <v>6401468407</v>
      </c>
      <c r="X260" s="512">
        <f t="shared" si="245"/>
        <v>140111713324.94461</v>
      </c>
      <c r="Y260" s="512">
        <f t="shared" si="245"/>
        <v>0</v>
      </c>
      <c r="Z260" s="512">
        <f t="shared" si="245"/>
        <v>62145308155</v>
      </c>
      <c r="AA260" s="512">
        <f t="shared" si="245"/>
        <v>62145308155</v>
      </c>
      <c r="AB260" s="512">
        <f t="shared" si="245"/>
        <v>0</v>
      </c>
      <c r="AC260" s="512">
        <f t="shared" si="245"/>
        <v>11683626867</v>
      </c>
      <c r="AD260" s="512">
        <f t="shared" si="245"/>
        <v>11683626867</v>
      </c>
      <c r="AE260" s="512">
        <f t="shared" si="245"/>
        <v>0</v>
      </c>
      <c r="AF260" s="512">
        <f t="shared" si="245"/>
        <v>772532970</v>
      </c>
      <c r="AG260" s="512">
        <f t="shared" si="245"/>
        <v>772532970</v>
      </c>
      <c r="AH260" s="512">
        <f t="shared" si="245"/>
        <v>78766405169.944595</v>
      </c>
      <c r="AI260" s="512">
        <f t="shared" si="245"/>
        <v>129228086457.9446</v>
      </c>
      <c r="AJ260" s="513">
        <f t="shared" si="245"/>
        <v>140139180354.94461</v>
      </c>
      <c r="AK260" s="36"/>
      <c r="AL260" s="31"/>
      <c r="AM260" s="31"/>
    </row>
    <row r="261" spans="19:39" ht="24.75" customHeight="1">
      <c r="S261" s="514"/>
      <c r="T261" s="515"/>
      <c r="U261" s="516"/>
      <c r="V261" s="516"/>
      <c r="W261" s="516"/>
      <c r="X261" s="516"/>
      <c r="Y261" s="516"/>
      <c r="Z261" s="516"/>
      <c r="AA261" s="516"/>
      <c r="AB261" s="516"/>
      <c r="AC261" s="516"/>
      <c r="AD261" s="516"/>
      <c r="AE261" s="516"/>
      <c r="AF261" s="516"/>
      <c r="AG261" s="516"/>
      <c r="AH261" s="516"/>
      <c r="AI261" s="516"/>
      <c r="AJ261" s="517"/>
      <c r="AK261" s="36"/>
      <c r="AL261" s="31"/>
      <c r="AM261" s="31"/>
    </row>
    <row r="262" spans="19:39" ht="24.75" customHeight="1">
      <c r="S262" s="518" t="s">
        <v>344</v>
      </c>
      <c r="T262" s="518" t="s">
        <v>344</v>
      </c>
      <c r="U262" s="660">
        <f>SUM(U256+U241+U230+U225+U218+U207+U191+U182+U167+U153+U139+U121+U108+U102+U88+U81+U61+U55+U41+U33)</f>
        <v>22787348584.222057</v>
      </c>
      <c r="V262" s="660">
        <f>SUM(V256+V241+V230+V225+V218+V207+V191+V182+V167+V153+V139+V121+V108+V102+V88+V81+V61+V55+V41+V33)</f>
        <v>845559635</v>
      </c>
      <c r="W262" s="660">
        <f>SUM(W33+W41+W55+W61+W81+W88+W102+W108+W121+W139+W143+W153+W167+W173+W182+W191+W207+W218)</f>
        <v>0</v>
      </c>
      <c r="X262" s="660">
        <f>SUM(X33+X41+X55+X61+X81+X88+X102+X108+X121+X139+X143+X153+X167+X173+X182+X191+X207+X218)</f>
        <v>24432908219.222054</v>
      </c>
      <c r="Y262" s="660">
        <f t="shared" ref="Y262:AK262" si="246">SUM(Y256+Y241+Y230+Y225+Y218+Y207+Y191+Y182+Y167+Y153+Y139+Y121+Y108+Y102+Y88+Y81+Y61+Y55+Y41+Y33)</f>
        <v>0</v>
      </c>
      <c r="Z262" s="660">
        <f t="shared" si="246"/>
        <v>8945723216</v>
      </c>
      <c r="AA262" s="660">
        <f t="shared" si="246"/>
        <v>8945723216</v>
      </c>
      <c r="AB262" s="660">
        <f t="shared" si="246"/>
        <v>0</v>
      </c>
      <c r="AC262" s="660">
        <f t="shared" si="246"/>
        <v>8945723216</v>
      </c>
      <c r="AD262" s="660">
        <f t="shared" si="246"/>
        <v>8945723216</v>
      </c>
      <c r="AE262" s="660">
        <f t="shared" si="246"/>
        <v>0</v>
      </c>
      <c r="AF262" s="660">
        <f t="shared" si="246"/>
        <v>8927749282</v>
      </c>
      <c r="AG262" s="660">
        <f t="shared" si="246"/>
        <v>8927749282</v>
      </c>
      <c r="AH262" s="660">
        <f t="shared" si="246"/>
        <v>14687185003.222059</v>
      </c>
      <c r="AI262" s="660">
        <f t="shared" si="246"/>
        <v>14687185003.222059</v>
      </c>
      <c r="AJ262" s="660">
        <f t="shared" si="246"/>
        <v>14705158937.222059</v>
      </c>
      <c r="AK262" s="660">
        <f t="shared" si="246"/>
        <v>0</v>
      </c>
      <c r="AL262" s="31"/>
      <c r="AM262" s="31"/>
    </row>
    <row r="263" spans="19:39" ht="24.75" customHeight="1">
      <c r="S263" s="514"/>
      <c r="T263" s="515"/>
      <c r="U263" s="515"/>
      <c r="V263" s="516"/>
      <c r="W263" s="516"/>
      <c r="X263" s="516"/>
      <c r="Y263" s="516"/>
      <c r="Z263" s="516"/>
      <c r="AA263" s="516"/>
      <c r="AB263" s="516"/>
      <c r="AC263" s="516"/>
      <c r="AD263" s="516"/>
      <c r="AE263" s="516"/>
      <c r="AF263" s="516"/>
      <c r="AG263" s="516"/>
      <c r="AH263" s="516"/>
      <c r="AI263" s="516"/>
      <c r="AJ263" s="516"/>
      <c r="AK263" s="36"/>
      <c r="AL263" s="31"/>
      <c r="AM263" s="31"/>
    </row>
    <row r="264" spans="19:39" ht="24.75" customHeight="1">
      <c r="S264" s="520" t="s">
        <v>345</v>
      </c>
      <c r="T264" s="521"/>
      <c r="U264" s="522">
        <f t="shared" ref="U264:AJ264" si="247">+U260+U262</f>
        <v>158143153137.16666</v>
      </c>
      <c r="V264" s="522">
        <f t="shared" si="247"/>
        <v>0</v>
      </c>
      <c r="W264" s="522">
        <f t="shared" si="247"/>
        <v>6401468407</v>
      </c>
      <c r="X264" s="522">
        <f t="shared" si="247"/>
        <v>164544621544.16666</v>
      </c>
      <c r="Y264" s="522">
        <f t="shared" si="247"/>
        <v>0</v>
      </c>
      <c r="Z264" s="522">
        <f t="shared" si="247"/>
        <v>71091031371</v>
      </c>
      <c r="AA264" s="522">
        <f t="shared" si="247"/>
        <v>71091031371</v>
      </c>
      <c r="AB264" s="522">
        <f t="shared" si="247"/>
        <v>0</v>
      </c>
      <c r="AC264" s="522">
        <f t="shared" si="247"/>
        <v>20629350083</v>
      </c>
      <c r="AD264" s="522">
        <f t="shared" si="247"/>
        <v>20629350083</v>
      </c>
      <c r="AE264" s="522">
        <f t="shared" si="247"/>
        <v>0</v>
      </c>
      <c r="AF264" s="522">
        <f t="shared" si="247"/>
        <v>9700282252</v>
      </c>
      <c r="AG264" s="522">
        <f t="shared" si="247"/>
        <v>9700282252</v>
      </c>
      <c r="AH264" s="522">
        <f t="shared" si="247"/>
        <v>93453590173.166656</v>
      </c>
      <c r="AI264" s="522">
        <f t="shared" si="247"/>
        <v>143915271461.16666</v>
      </c>
      <c r="AJ264" s="523">
        <f t="shared" si="247"/>
        <v>154844339292.16666</v>
      </c>
      <c r="AK264" s="36"/>
      <c r="AL264" s="31"/>
      <c r="AM264" s="31"/>
    </row>
  </sheetData>
  <mergeCells count="53">
    <mergeCell ref="BN5:BQ5"/>
    <mergeCell ref="AP3:AZ3"/>
    <mergeCell ref="BB3:BC3"/>
    <mergeCell ref="BG3:BI3"/>
    <mergeCell ref="BM3:BO3"/>
    <mergeCell ref="AW4:AZ4"/>
    <mergeCell ref="BG5:BG6"/>
    <mergeCell ref="BM5:BM6"/>
    <mergeCell ref="A1:B1"/>
    <mergeCell ref="K1:N1"/>
    <mergeCell ref="U1:X1"/>
    <mergeCell ref="L2:M2"/>
    <mergeCell ref="P2:Q2"/>
    <mergeCell ref="V2:X2"/>
    <mergeCell ref="BG2:BI2"/>
    <mergeCell ref="BM2:BO2"/>
    <mergeCell ref="D2:E2"/>
    <mergeCell ref="D3:E4"/>
    <mergeCell ref="A5:A6"/>
    <mergeCell ref="B5:B6"/>
    <mergeCell ref="C5:F5"/>
    <mergeCell ref="B3:B4"/>
    <mergeCell ref="V3:X4"/>
    <mergeCell ref="S5:S6"/>
    <mergeCell ref="T5:T6"/>
    <mergeCell ref="U5:X5"/>
    <mergeCell ref="Y5:AA5"/>
    <mergeCell ref="AB5:AD5"/>
    <mergeCell ref="AE5:AG5"/>
    <mergeCell ref="BH5:BK5"/>
    <mergeCell ref="Y2:AG2"/>
    <mergeCell ref="AH2:AI2"/>
    <mergeCell ref="AL2:AM2"/>
    <mergeCell ref="AP2:AZ2"/>
    <mergeCell ref="BB2:BC2"/>
    <mergeCell ref="S259:T259"/>
    <mergeCell ref="AM3:AM5"/>
    <mergeCell ref="AW19:AZ19"/>
    <mergeCell ref="AW35:AX35"/>
    <mergeCell ref="N3:N4"/>
    <mergeCell ref="T3:T4"/>
    <mergeCell ref="Y3:AG4"/>
    <mergeCell ref="AH3:AI4"/>
    <mergeCell ref="AJ3:AJ4"/>
    <mergeCell ref="AL3:AL5"/>
    <mergeCell ref="AH5:AJ5"/>
    <mergeCell ref="F3:K4"/>
    <mergeCell ref="L3:M4"/>
    <mergeCell ref="P3:P5"/>
    <mergeCell ref="Q3:Q5"/>
    <mergeCell ref="G5:I5"/>
    <mergeCell ref="J5:L5"/>
    <mergeCell ref="M5:N5"/>
  </mergeCells>
  <conditionalFormatting sqref="A21">
    <cfRule type="expression" dxfId="888" priority="1825">
      <formula>#REF!="A3"</formula>
    </cfRule>
    <cfRule type="expression" dxfId="887" priority="1824">
      <formula>#REF!="A4"</formula>
    </cfRule>
    <cfRule type="expression" dxfId="886" priority="1823">
      <formula>#REF!="A5"</formula>
    </cfRule>
    <cfRule type="expression" dxfId="885" priority="1822">
      <formula>#REF!="A6"</formula>
    </cfRule>
    <cfRule type="expression" dxfId="884" priority="1821">
      <formula>#REF!="A7"</formula>
    </cfRule>
    <cfRule type="expression" dxfId="883" priority="1829">
      <formula>#REF!="A8"</formula>
    </cfRule>
    <cfRule type="expression" dxfId="882" priority="1830">
      <formula>#REF!="A7"</formula>
    </cfRule>
    <cfRule type="expression" dxfId="881" priority="1831">
      <formula>#REF!="A6"</formula>
    </cfRule>
    <cfRule type="expression" dxfId="880" priority="1819">
      <formula>#REF!="A9"</formula>
    </cfRule>
    <cfRule type="expression" dxfId="879" priority="1833">
      <formula>#REF!="A4"</formula>
    </cfRule>
    <cfRule type="expression" dxfId="878" priority="1820">
      <formula>#REF!="A8"</formula>
    </cfRule>
    <cfRule type="expression" dxfId="877" priority="1834">
      <formula>#REF!="A3"</formula>
    </cfRule>
    <cfRule type="expression" dxfId="876" priority="1835">
      <formula>#REF!="A2"</formula>
    </cfRule>
    <cfRule type="expression" dxfId="875" priority="1836">
      <formula>#REF!="A1"</formula>
    </cfRule>
    <cfRule type="expression" dxfId="874" priority="1832">
      <formula>#REF!="A5"</formula>
    </cfRule>
    <cfRule type="expression" dxfId="873" priority="1826">
      <formula>#REF!="A2"</formula>
    </cfRule>
    <cfRule type="expression" dxfId="872" priority="1827">
      <formula>#REF!="A1"</formula>
    </cfRule>
    <cfRule type="expression" dxfId="871" priority="1828">
      <formula>#REF!="A9"</formula>
    </cfRule>
  </conditionalFormatting>
  <conditionalFormatting sqref="A22:A27">
    <cfRule type="expression" dxfId="870" priority="1816">
      <formula>$I21="A3"</formula>
    </cfRule>
    <cfRule type="expression" dxfId="869" priority="1815">
      <formula>$I21="A4"</formula>
    </cfRule>
    <cfRule type="expression" dxfId="868" priority="1814">
      <formula>$I21="A5"</formula>
    </cfRule>
    <cfRule type="expression" dxfId="867" priority="1813">
      <formula>$I21="A6"</formula>
    </cfRule>
    <cfRule type="expression" dxfId="866" priority="1812">
      <formula>$I21="A7"</formula>
    </cfRule>
    <cfRule type="expression" dxfId="865" priority="1811">
      <formula>$I21="A8"</formula>
    </cfRule>
    <cfRule type="expression" dxfId="864" priority="1818">
      <formula>$I21="A1"</formula>
    </cfRule>
    <cfRule type="expression" dxfId="863" priority="1810">
      <formula>$I21="A9"</formula>
    </cfRule>
    <cfRule type="expression" dxfId="862" priority="1817">
      <formula>$I21="A2"</formula>
    </cfRule>
  </conditionalFormatting>
  <conditionalFormatting sqref="A32:A34">
    <cfRule type="expression" dxfId="861" priority="1791">
      <formula>$G30="A1"</formula>
    </cfRule>
    <cfRule type="expression" dxfId="860" priority="1783">
      <formula>$G30="A9"</formula>
    </cfRule>
    <cfRule type="expression" dxfId="859" priority="1784">
      <formula>$G30="A8"</formula>
    </cfRule>
    <cfRule type="expression" dxfId="858" priority="1785">
      <formula>$G30="A7"</formula>
    </cfRule>
    <cfRule type="expression" dxfId="857" priority="1786">
      <formula>$G30="A6"</formula>
    </cfRule>
    <cfRule type="expression" dxfId="856" priority="1787">
      <formula>$G30="A5"</formula>
    </cfRule>
    <cfRule type="expression" dxfId="855" priority="1788">
      <formula>$G30="A4"</formula>
    </cfRule>
    <cfRule type="expression" dxfId="854" priority="1789">
      <formula>$G30="A3"</formula>
    </cfRule>
    <cfRule type="expression" dxfId="853" priority="1790">
      <formula>$G30="A2"</formula>
    </cfRule>
  </conditionalFormatting>
  <conditionalFormatting sqref="A48:A50">
    <cfRule type="expression" dxfId="852" priority="1760">
      <formula>$I47="A5"</formula>
    </cfRule>
    <cfRule type="expression" dxfId="851" priority="1757">
      <formula>$I47="A8"</formula>
    </cfRule>
    <cfRule type="expression" dxfId="850" priority="1756">
      <formula>$I47="A9"</formula>
    </cfRule>
    <cfRule type="expression" dxfId="849" priority="1759">
      <formula>$I47="A6"</formula>
    </cfRule>
    <cfRule type="expression" dxfId="848" priority="1758">
      <formula>$I47="A7"</formula>
    </cfRule>
    <cfRule type="expression" dxfId="847" priority="1762">
      <formula>$I47="A3"</formula>
    </cfRule>
    <cfRule type="expression" dxfId="846" priority="1763">
      <formula>$I47="A2"</formula>
    </cfRule>
    <cfRule type="expression" dxfId="845" priority="1764">
      <formula>$I47="A1"</formula>
    </cfRule>
    <cfRule type="expression" dxfId="844" priority="1761">
      <formula>$I47="A4"</formula>
    </cfRule>
  </conditionalFormatting>
  <conditionalFormatting sqref="A51:A56">
    <cfRule type="expression" dxfId="843" priority="1702">
      <formula>$G49="A9"</formula>
    </cfRule>
    <cfRule type="expression" dxfId="842" priority="1703">
      <formula>$G49="A8"</formula>
    </cfRule>
    <cfRule type="expression" dxfId="841" priority="1709">
      <formula>$G49="A2"</formula>
    </cfRule>
    <cfRule type="expression" dxfId="840" priority="1708">
      <formula>$G49="A3"</formula>
    </cfRule>
    <cfRule type="expression" dxfId="839" priority="1707">
      <formula>$G49="A4"</formula>
    </cfRule>
    <cfRule type="expression" dxfId="838" priority="1706">
      <formula>$G49="A5"</formula>
    </cfRule>
    <cfRule type="expression" dxfId="837" priority="1705">
      <formula>$G49="A6"</formula>
    </cfRule>
    <cfRule type="expression" dxfId="836" priority="1704">
      <formula>$G49="A7"</formula>
    </cfRule>
    <cfRule type="expression" dxfId="835" priority="1710">
      <formula>$G49="A1"</formula>
    </cfRule>
  </conditionalFormatting>
  <conditionalFormatting sqref="A57:A68">
    <cfRule type="expression" dxfId="834" priority="1598">
      <formula>$I56="A5"</formula>
    </cfRule>
    <cfRule type="expression" dxfId="833" priority="1599">
      <formula>$I56="A4"</formula>
    </cfRule>
    <cfRule type="expression" dxfId="832" priority="1601">
      <formula>$I56="A2"</formula>
    </cfRule>
    <cfRule type="expression" dxfId="831" priority="1602">
      <formula>$I56="A1"</formula>
    </cfRule>
    <cfRule type="expression" dxfId="830" priority="1600">
      <formula>$I56="A3"</formula>
    </cfRule>
    <cfRule type="expression" dxfId="829" priority="1594">
      <formula>$I56="A9"</formula>
    </cfRule>
    <cfRule type="expression" dxfId="828" priority="1595">
      <formula>$I56="A8"</formula>
    </cfRule>
    <cfRule type="expression" dxfId="827" priority="1596">
      <formula>$I56="A7"</formula>
    </cfRule>
    <cfRule type="expression" dxfId="826" priority="1597">
      <formula>$I56="A6"</formula>
    </cfRule>
  </conditionalFormatting>
  <conditionalFormatting sqref="A69:A71">
    <cfRule type="expression" dxfId="825" priority="1572">
      <formula>$I67="A4"</formula>
    </cfRule>
    <cfRule type="expression" dxfId="824" priority="1571">
      <formula>$I67="A5"</formula>
    </cfRule>
    <cfRule type="expression" dxfId="823" priority="1569">
      <formula>$I67="A7"</formula>
    </cfRule>
    <cfRule type="expression" dxfId="822" priority="1568">
      <formula>$I67="A8"</formula>
    </cfRule>
    <cfRule type="expression" dxfId="821" priority="1567">
      <formula>$I67="A9"</formula>
    </cfRule>
    <cfRule type="expression" dxfId="820" priority="1570">
      <formula>$I67="A6"</formula>
    </cfRule>
    <cfRule type="expression" dxfId="819" priority="1575">
      <formula>$I67="A1"</formula>
    </cfRule>
    <cfRule type="expression" dxfId="818" priority="1574">
      <formula>$I67="A2"</formula>
    </cfRule>
    <cfRule type="expression" dxfId="817" priority="1573">
      <formula>$I67="A3"</formula>
    </cfRule>
  </conditionalFormatting>
  <conditionalFormatting sqref="A72:A83">
    <cfRule type="expression" dxfId="816" priority="1485">
      <formula>$I71="A1"</formula>
    </cfRule>
    <cfRule type="expression" dxfId="815" priority="1484">
      <formula>$I71="A2"</formula>
    </cfRule>
    <cfRule type="expression" dxfId="814" priority="1483">
      <formula>$I71="A3"</formula>
    </cfRule>
    <cfRule type="expression" dxfId="813" priority="1482">
      <formula>$I71="A4"</formula>
    </cfRule>
    <cfRule type="expression" dxfId="812" priority="1481">
      <formula>$I71="A5"</formula>
    </cfRule>
    <cfRule type="expression" dxfId="811" priority="1480">
      <formula>$I71="A6"</formula>
    </cfRule>
    <cfRule type="expression" dxfId="810" priority="1479">
      <formula>$I71="A7"</formula>
    </cfRule>
    <cfRule type="expression" dxfId="809" priority="1478">
      <formula>$I71="A8"</formula>
    </cfRule>
    <cfRule type="expression" dxfId="808" priority="1477">
      <formula>$I71="A9"</formula>
    </cfRule>
  </conditionalFormatting>
  <conditionalFormatting sqref="A85:A86">
    <cfRule type="expression" dxfId="807" priority="441">
      <formula>$I84="A1"</formula>
    </cfRule>
    <cfRule type="expression" dxfId="806" priority="438">
      <formula>$I84="A4"</formula>
    </cfRule>
    <cfRule type="expression" dxfId="805" priority="437">
      <formula>$I84="A5"</formula>
    </cfRule>
    <cfRule type="expression" dxfId="804" priority="436">
      <formula>$I84="A6"</formula>
    </cfRule>
    <cfRule type="expression" dxfId="803" priority="435">
      <formula>$I84="A7"</formula>
    </cfRule>
    <cfRule type="expression" dxfId="802" priority="434">
      <formula>$I84="A8"</formula>
    </cfRule>
    <cfRule type="expression" dxfId="801" priority="433">
      <formula>$I84="A9"</formula>
    </cfRule>
    <cfRule type="expression" dxfId="800" priority="440">
      <formula>$I84="A2"</formula>
    </cfRule>
    <cfRule type="expression" dxfId="799" priority="439">
      <formula>$I84="A3"</formula>
    </cfRule>
  </conditionalFormatting>
  <conditionalFormatting sqref="A88">
    <cfRule type="expression" dxfId="798" priority="1439">
      <formula>$I87="A2"</formula>
    </cfRule>
    <cfRule type="expression" dxfId="797" priority="1438">
      <formula>$I87="A3"</formula>
    </cfRule>
    <cfRule type="expression" dxfId="796" priority="1437">
      <formula>$I87="A4"</formula>
    </cfRule>
    <cfRule type="expression" dxfId="795" priority="1436">
      <formula>$I87="A5"</formula>
    </cfRule>
    <cfRule type="expression" dxfId="794" priority="1435">
      <formula>$I87="A6"</formula>
    </cfRule>
    <cfRule type="expression" dxfId="793" priority="1433">
      <formula>$I87="A8"</formula>
    </cfRule>
    <cfRule type="expression" dxfId="792" priority="1440">
      <formula>$I87="A1"</formula>
    </cfRule>
    <cfRule type="expression" dxfId="791" priority="1432">
      <formula>$I87="A9"</formula>
    </cfRule>
    <cfRule type="expression" dxfId="790" priority="1434">
      <formula>$I87="A7"</formula>
    </cfRule>
  </conditionalFormatting>
  <conditionalFormatting sqref="A89">
    <cfRule type="expression" dxfId="789" priority="1455">
      <formula>$I87="A4"</formula>
    </cfRule>
    <cfRule type="expression" dxfId="788" priority="1453">
      <formula>$I87="A6"</formula>
    </cfRule>
    <cfRule type="expression" dxfId="787" priority="1452">
      <formula>$I87="A7"</formula>
    </cfRule>
    <cfRule type="expression" dxfId="786" priority="1451">
      <formula>$I87="A8"</formula>
    </cfRule>
    <cfRule type="expression" dxfId="785" priority="1450">
      <formula>$I87="A9"</formula>
    </cfRule>
    <cfRule type="expression" dxfId="784" priority="1454">
      <formula>$I87="A5"</formula>
    </cfRule>
    <cfRule type="expression" dxfId="783" priority="1458">
      <formula>$I87="A1"</formula>
    </cfRule>
    <cfRule type="expression" dxfId="782" priority="1457">
      <formula>$I87="A2"</formula>
    </cfRule>
    <cfRule type="expression" dxfId="781" priority="1456">
      <formula>$I87="A3"</formula>
    </cfRule>
  </conditionalFormatting>
  <conditionalFormatting sqref="A90">
    <cfRule type="expression" dxfId="780" priority="1427">
      <formula>$I89="A5"</formula>
    </cfRule>
    <cfRule type="expression" dxfId="779" priority="1426">
      <formula>$I89="A6"</formula>
    </cfRule>
    <cfRule type="expression" dxfId="778" priority="1425">
      <formula>$I89="A7"</formula>
    </cfRule>
    <cfRule type="expression" dxfId="777" priority="1424">
      <formula>$I89="A8"</formula>
    </cfRule>
    <cfRule type="expression" dxfId="776" priority="1423">
      <formula>$I89="A9"</formula>
    </cfRule>
    <cfRule type="expression" dxfId="775" priority="1430">
      <formula>$I89="A2"</formula>
    </cfRule>
    <cfRule type="expression" dxfId="774" priority="1431">
      <formula>$I89="A1"</formula>
    </cfRule>
    <cfRule type="expression" dxfId="773" priority="1429">
      <formula>$I89="A3"</formula>
    </cfRule>
    <cfRule type="expression" dxfId="772" priority="1428">
      <formula>$I89="A4"</formula>
    </cfRule>
  </conditionalFormatting>
  <conditionalFormatting sqref="A92">
    <cfRule type="expression" dxfId="771" priority="459">
      <formula>$I91="A1"</formula>
    </cfRule>
    <cfRule type="expression" dxfId="770" priority="454">
      <formula>$I91="A6"</formula>
    </cfRule>
    <cfRule type="expression" dxfId="769" priority="453">
      <formula>$I91="A7"</formula>
    </cfRule>
    <cfRule type="expression" dxfId="768" priority="452">
      <formula>$I91="A8"</formula>
    </cfRule>
    <cfRule type="expression" dxfId="767" priority="451">
      <formula>$I91="A9"</formula>
    </cfRule>
    <cfRule type="expression" dxfId="766" priority="458">
      <formula>$I91="A2"</formula>
    </cfRule>
    <cfRule type="expression" dxfId="765" priority="457">
      <formula>$I91="A3"</formula>
    </cfRule>
    <cfRule type="expression" dxfId="764" priority="456">
      <formula>$I91="A4"</formula>
    </cfRule>
    <cfRule type="expression" dxfId="763" priority="455">
      <formula>$I91="A5"</formula>
    </cfRule>
  </conditionalFormatting>
  <conditionalFormatting sqref="A94">
    <cfRule type="expression" dxfId="762" priority="1411">
      <formula>#REF!="A3"</formula>
    </cfRule>
    <cfRule type="expression" dxfId="761" priority="1408">
      <formula>#REF!="A6"</formula>
    </cfRule>
    <cfRule type="expression" dxfId="760" priority="1407">
      <formula>#REF!="A7"</formula>
    </cfRule>
    <cfRule type="expression" dxfId="759" priority="1406">
      <formula>#REF!="A8"</formula>
    </cfRule>
    <cfRule type="expression" dxfId="758" priority="1418">
      <formula>#REF!="A5"</formula>
    </cfRule>
    <cfRule type="expression" dxfId="757" priority="1422">
      <formula>#REF!="A1"</formula>
    </cfRule>
    <cfRule type="expression" dxfId="756" priority="1421">
      <formula>#REF!="A2"</formula>
    </cfRule>
    <cfRule type="expression" dxfId="755" priority="1420">
      <formula>#REF!="A3"</formula>
    </cfRule>
    <cfRule type="expression" dxfId="754" priority="1419">
      <formula>#REF!="A4"</formula>
    </cfRule>
    <cfRule type="expression" dxfId="753" priority="1409">
      <formula>#REF!="A5"</formula>
    </cfRule>
    <cfRule type="expression" dxfId="752" priority="1410">
      <formula>#REF!="A4"</formula>
    </cfRule>
    <cfRule type="expression" dxfId="751" priority="1417">
      <formula>#REF!="A6"</formula>
    </cfRule>
    <cfRule type="expression" dxfId="750" priority="1416">
      <formula>#REF!="A7"</formula>
    </cfRule>
    <cfRule type="expression" dxfId="749" priority="1415">
      <formula>#REF!="A8"</formula>
    </cfRule>
    <cfRule type="expression" dxfId="748" priority="1414">
      <formula>#REF!="A9"</formula>
    </cfRule>
    <cfRule type="expression" dxfId="747" priority="1405">
      <formula>#REF!="A9"</formula>
    </cfRule>
    <cfRule type="expression" dxfId="746" priority="1413">
      <formula>#REF!="A1"</formula>
    </cfRule>
    <cfRule type="expression" dxfId="745" priority="1412">
      <formula>#REF!="A2"</formula>
    </cfRule>
  </conditionalFormatting>
  <conditionalFormatting sqref="A96:A98">
    <cfRule type="expression" dxfId="744" priority="1344">
      <formula>$I94="A7"</formula>
    </cfRule>
    <cfRule type="expression" dxfId="743" priority="1345">
      <formula>$I94="A6"</formula>
    </cfRule>
    <cfRule type="expression" dxfId="742" priority="1347">
      <formula>$I94="A4"</formula>
    </cfRule>
    <cfRule type="expression" dxfId="741" priority="1348">
      <formula>$I94="A3"</formula>
    </cfRule>
    <cfRule type="expression" dxfId="740" priority="1349">
      <formula>$I94="A2"</formula>
    </cfRule>
    <cfRule type="expression" dxfId="739" priority="1346">
      <formula>$I94="A5"</formula>
    </cfRule>
    <cfRule type="expression" dxfId="738" priority="1350">
      <formula>$I94="A1"</formula>
    </cfRule>
    <cfRule type="expression" dxfId="737" priority="1342">
      <formula>$I94="A9"</formula>
    </cfRule>
    <cfRule type="expression" dxfId="736" priority="1343">
      <formula>$I94="A8"</formula>
    </cfRule>
  </conditionalFormatting>
  <conditionalFormatting sqref="A107">
    <cfRule type="expression" dxfId="735" priority="2">
      <formula>$I106="A8"</formula>
    </cfRule>
    <cfRule type="expression" dxfId="734" priority="3">
      <formula>$I106="A7"</formula>
    </cfRule>
    <cfRule type="expression" dxfId="733" priority="4">
      <formula>$I106="A6"</formula>
    </cfRule>
    <cfRule type="expression" dxfId="732" priority="5">
      <formula>$I106="A5"</formula>
    </cfRule>
    <cfRule type="expression" dxfId="731" priority="1">
      <formula>$I106="A9"</formula>
    </cfRule>
    <cfRule type="expression" dxfId="730" priority="6">
      <formula>$I106="A4"</formula>
    </cfRule>
    <cfRule type="expression" dxfId="729" priority="7">
      <formula>$I106="A3"</formula>
    </cfRule>
    <cfRule type="expression" dxfId="728" priority="8">
      <formula>$I106="A2"</formula>
    </cfRule>
    <cfRule type="expression" dxfId="727" priority="9">
      <formula>$I106="A1"</formula>
    </cfRule>
  </conditionalFormatting>
  <conditionalFormatting sqref="B5:B7">
    <cfRule type="expression" dxfId="726" priority="1846" stopIfTrue="1">
      <formula>$B$5="OJO - RECUERDE RECAUDAR LA DISPONIBLIDAD INICIAL EN ESTE TRIMESTRE, haga clik en H9 para ampliar la información"</formula>
    </cfRule>
  </conditionalFormatting>
  <conditionalFormatting sqref="B92">
    <cfRule type="expression" dxfId="725" priority="450">
      <formula>$G91="A1"</formula>
    </cfRule>
    <cfRule type="expression" dxfId="724" priority="449">
      <formula>$G91="A2"</formula>
    </cfRule>
    <cfRule type="expression" dxfId="723" priority="448">
      <formula>$G91="A3"</formula>
    </cfRule>
    <cfRule type="expression" dxfId="722" priority="447">
      <formula>$G91="A4"</formula>
    </cfRule>
    <cfRule type="expression" dxfId="721" priority="446">
      <formula>$G91="A5"</formula>
    </cfRule>
    <cfRule type="expression" dxfId="720" priority="445">
      <formula>$G91="A6"</formula>
    </cfRule>
    <cfRule type="expression" dxfId="719" priority="444">
      <formula>$G91="A7"</formula>
    </cfRule>
    <cfRule type="expression" dxfId="718" priority="443">
      <formula>$G91="A8"</formula>
    </cfRule>
    <cfRule type="expression" dxfId="717" priority="442">
      <formula>$G91="A9"</formula>
    </cfRule>
  </conditionalFormatting>
  <conditionalFormatting sqref="B96:B98">
    <cfRule type="expression" dxfId="716" priority="1337">
      <formula>$G94="A5"</formula>
    </cfRule>
    <cfRule type="expression" dxfId="715" priority="1336">
      <formula>$G94="A6"</formula>
    </cfRule>
    <cfRule type="expression" dxfId="714" priority="1338">
      <formula>$G94="A4"</formula>
    </cfRule>
    <cfRule type="expression" dxfId="713" priority="1341">
      <formula>$G94="A1"</formula>
    </cfRule>
    <cfRule type="expression" dxfId="712" priority="1340">
      <formula>$G94="A2"</formula>
    </cfRule>
    <cfRule type="expression" dxfId="711" priority="1339">
      <formula>$G94="A3"</formula>
    </cfRule>
    <cfRule type="expression" dxfId="710" priority="1335">
      <formula>$G94="A7"</formula>
    </cfRule>
    <cfRule type="expression" dxfId="709" priority="1334">
      <formula>$G94="A8"</formula>
    </cfRule>
    <cfRule type="expression" dxfId="708" priority="1333">
      <formula>$G94="A9"</formula>
    </cfRule>
  </conditionalFormatting>
  <conditionalFormatting sqref="S35">
    <cfRule type="expression" dxfId="707" priority="1324">
      <formula>#REF!="A9"</formula>
    </cfRule>
    <cfRule type="expression" dxfId="706" priority="1326">
      <formula>#REF!="A7"</formula>
    </cfRule>
    <cfRule type="expression" dxfId="705" priority="1327">
      <formula>#REF!="A6"</formula>
    </cfRule>
    <cfRule type="expression" dxfId="704" priority="1328">
      <formula>#REF!="A5"</formula>
    </cfRule>
    <cfRule type="expression" dxfId="703" priority="1325">
      <formula>#REF!="A8"</formula>
    </cfRule>
    <cfRule type="expression" dxfId="702" priority="1329">
      <formula>#REF!="A4"</formula>
    </cfRule>
    <cfRule type="expression" dxfId="701" priority="1330">
      <formula>#REF!="A3"</formula>
    </cfRule>
    <cfRule type="expression" dxfId="700" priority="1331">
      <formula>#REF!="A2"</formula>
    </cfRule>
    <cfRule type="expression" dxfId="699" priority="1332">
      <formula>#REF!="A1"</formula>
    </cfRule>
  </conditionalFormatting>
  <conditionalFormatting sqref="S36 S159">
    <cfRule type="expression" dxfId="698" priority="295">
      <formula>$K35="A3"</formula>
    </cfRule>
    <cfRule type="expression" dxfId="697" priority="294">
      <formula>$K35="A4"</formula>
    </cfRule>
    <cfRule type="expression" dxfId="696" priority="293">
      <formula>$K35="A5"</formula>
    </cfRule>
    <cfRule type="expression" dxfId="695" priority="292">
      <formula>$K35="A6"</formula>
    </cfRule>
    <cfRule type="expression" dxfId="694" priority="291">
      <formula>$K35="A7"</formula>
    </cfRule>
    <cfRule type="expression" dxfId="693" priority="290">
      <formula>$K35="A8"</formula>
    </cfRule>
    <cfRule type="expression" dxfId="692" priority="289">
      <formula>$K35="A9"</formula>
    </cfRule>
    <cfRule type="expression" dxfId="691" priority="297">
      <formula>$K35="A1"</formula>
    </cfRule>
    <cfRule type="expression" dxfId="690" priority="296">
      <formula>$K35="A2"</formula>
    </cfRule>
  </conditionalFormatting>
  <conditionalFormatting sqref="S37">
    <cfRule type="expression" dxfId="689" priority="1223">
      <formula>$K34="A2"</formula>
    </cfRule>
    <cfRule type="expression" dxfId="688" priority="1217">
      <formula>$K34="A8"</formula>
    </cfRule>
    <cfRule type="expression" dxfId="687" priority="1218">
      <formula>$K34="A7"</formula>
    </cfRule>
    <cfRule type="expression" dxfId="686" priority="1219">
      <formula>$K34="A6"</formula>
    </cfRule>
    <cfRule type="expression" dxfId="685" priority="1222">
      <formula>$K34="A3"</formula>
    </cfRule>
    <cfRule type="expression" dxfId="684" priority="1220">
      <formula>$K34="A5"</formula>
    </cfRule>
    <cfRule type="expression" dxfId="683" priority="1224">
      <formula>$K34="A1"</formula>
    </cfRule>
    <cfRule type="expression" dxfId="682" priority="1216">
      <formula>$K34="A9"</formula>
    </cfRule>
    <cfRule type="expression" dxfId="681" priority="1221">
      <formula>$K34="A4"</formula>
    </cfRule>
  </conditionalFormatting>
  <conditionalFormatting sqref="S38">
    <cfRule type="expression" dxfId="680" priority="80">
      <formula>$K37="A2"</formula>
    </cfRule>
    <cfRule type="expression" dxfId="679" priority="81">
      <formula>$K37="A1"</formula>
    </cfRule>
    <cfRule type="expression" dxfId="678" priority="79">
      <formula>$K37="A3"</formula>
    </cfRule>
    <cfRule type="expression" dxfId="677" priority="73">
      <formula>$K37="A9"</formula>
    </cfRule>
    <cfRule type="expression" dxfId="676" priority="74">
      <formula>$K37="A8"</formula>
    </cfRule>
    <cfRule type="expression" dxfId="675" priority="75">
      <formula>$K37="A7"</formula>
    </cfRule>
    <cfRule type="expression" dxfId="674" priority="76">
      <formula>$K37="A6"</formula>
    </cfRule>
    <cfRule type="expression" dxfId="673" priority="77">
      <formula>$K37="A5"</formula>
    </cfRule>
    <cfRule type="expression" dxfId="672" priority="78">
      <formula>$K37="A4"</formula>
    </cfRule>
  </conditionalFormatting>
  <conditionalFormatting sqref="S39">
    <cfRule type="expression" dxfId="671" priority="1273">
      <formula>$K36="A6"</formula>
    </cfRule>
    <cfRule type="expression" dxfId="670" priority="1278">
      <formula>$K36="A1"</formula>
    </cfRule>
    <cfRule type="expression" dxfId="669" priority="1270">
      <formula>$K36="A9"</formula>
    </cfRule>
    <cfRule type="expression" dxfId="668" priority="1276">
      <formula>$K36="A3"</formula>
    </cfRule>
    <cfRule type="expression" dxfId="667" priority="1275">
      <formula>$K36="A4"</formula>
    </cfRule>
    <cfRule type="expression" dxfId="666" priority="1274">
      <formula>$K36="A5"</formula>
    </cfRule>
    <cfRule type="expression" dxfId="665" priority="1277">
      <formula>$K36="A2"</formula>
    </cfRule>
    <cfRule type="expression" dxfId="664" priority="1272">
      <formula>$K36="A7"</formula>
    </cfRule>
    <cfRule type="expression" dxfId="663" priority="1271">
      <formula>$K36="A8"</formula>
    </cfRule>
  </conditionalFormatting>
  <conditionalFormatting sqref="S81">
    <cfRule type="expression" dxfId="662" priority="483">
      <formula>$K80="A4"</formula>
    </cfRule>
    <cfRule type="expression" dxfId="661" priority="484">
      <formula>$K80="A3"</formula>
    </cfRule>
    <cfRule type="expression" dxfId="660" priority="485">
      <formula>$K80="A2"</formula>
    </cfRule>
    <cfRule type="expression" dxfId="659" priority="486">
      <formula>$K80="A1"</formula>
    </cfRule>
    <cfRule type="expression" dxfId="658" priority="478">
      <formula>$K80="A9"</formula>
    </cfRule>
    <cfRule type="expression" dxfId="657" priority="479">
      <formula>$K80="A8"</formula>
    </cfRule>
    <cfRule type="expression" dxfId="656" priority="480">
      <formula>$K80="A7"</formula>
    </cfRule>
    <cfRule type="expression" dxfId="655" priority="481">
      <formula>$K80="A6"</formula>
    </cfRule>
    <cfRule type="expression" dxfId="654" priority="482">
      <formula>$K80="A5"</formula>
    </cfRule>
  </conditionalFormatting>
  <conditionalFormatting sqref="S84">
    <cfRule type="expression" dxfId="653" priority="1247">
      <formula>$K83="A5"</formula>
    </cfRule>
    <cfRule type="expression" dxfId="652" priority="1251">
      <formula>$K83="A1"</formula>
    </cfRule>
    <cfRule type="expression" dxfId="651" priority="1248">
      <formula>$K83="A4"</formula>
    </cfRule>
    <cfRule type="expression" dxfId="650" priority="1249">
      <formula>$K83="A3"</formula>
    </cfRule>
    <cfRule type="expression" dxfId="649" priority="1250">
      <formula>$K83="A2"</formula>
    </cfRule>
    <cfRule type="expression" dxfId="648" priority="1243">
      <formula>$K83="A9"</formula>
    </cfRule>
    <cfRule type="expression" dxfId="647" priority="1244">
      <formula>$K83="A8"</formula>
    </cfRule>
    <cfRule type="expression" dxfId="646" priority="1246">
      <formula>$K83="A6"</formula>
    </cfRule>
    <cfRule type="expression" dxfId="645" priority="1245">
      <formula>$K83="A7"</formula>
    </cfRule>
  </conditionalFormatting>
  <conditionalFormatting sqref="S88">
    <cfRule type="expression" dxfId="644" priority="1208">
      <formula>$K85="A8"</formula>
    </cfRule>
    <cfRule type="expression" dxfId="643" priority="1215">
      <formula>$K85="A1"</formula>
    </cfRule>
    <cfRule type="expression" dxfId="642" priority="1214">
      <formula>$K85="A2"</formula>
    </cfRule>
    <cfRule type="expression" dxfId="641" priority="1213">
      <formula>$K85="A3"</formula>
    </cfRule>
    <cfRule type="expression" dxfId="640" priority="1212">
      <formula>$K85="A4"</formula>
    </cfRule>
    <cfRule type="expression" dxfId="639" priority="1211">
      <formula>$K85="A5"</formula>
    </cfRule>
    <cfRule type="expression" dxfId="638" priority="1210">
      <formula>$K85="A6"</formula>
    </cfRule>
    <cfRule type="expression" dxfId="637" priority="1209">
      <formula>$K85="A7"</formula>
    </cfRule>
    <cfRule type="expression" dxfId="636" priority="1207">
      <formula>$K85="A9"</formula>
    </cfRule>
  </conditionalFormatting>
  <conditionalFormatting sqref="S116">
    <cfRule type="expression" dxfId="635" priority="405">
      <formula>$K269="A1"</formula>
    </cfRule>
    <cfRule type="expression" dxfId="634" priority="399">
      <formula>$K269="A7"</formula>
    </cfRule>
    <cfRule type="expression" dxfId="633" priority="397">
      <formula>$K269="A9"</formula>
    </cfRule>
    <cfRule type="expression" dxfId="632" priority="400">
      <formula>$K269="A6"</formula>
    </cfRule>
    <cfRule type="expression" dxfId="631" priority="398">
      <formula>$K269="A8"</formula>
    </cfRule>
    <cfRule type="expression" dxfId="630" priority="401">
      <formula>$K269="A5"</formula>
    </cfRule>
    <cfRule type="expression" dxfId="629" priority="402">
      <formula>$K269="A4"</formula>
    </cfRule>
    <cfRule type="expression" dxfId="628" priority="403">
      <formula>$K269="A3"</formula>
    </cfRule>
    <cfRule type="expression" dxfId="627" priority="404">
      <formula>$K269="A2"</formula>
    </cfRule>
  </conditionalFormatting>
  <conditionalFormatting sqref="S118">
    <cfRule type="expression" dxfId="626" priority="130">
      <formula>$K277="A6"</formula>
    </cfRule>
    <cfRule type="expression" dxfId="625" priority="127">
      <formula>$K277="A9"</formula>
    </cfRule>
    <cfRule type="expression" dxfId="624" priority="128">
      <formula>$K277="A8"</formula>
    </cfRule>
    <cfRule type="expression" dxfId="623" priority="129">
      <formula>$K277="A7"</formula>
    </cfRule>
    <cfRule type="expression" dxfId="622" priority="134">
      <formula>$K277="A2"</formula>
    </cfRule>
    <cfRule type="expression" dxfId="621" priority="131">
      <formula>$K277="A5"</formula>
    </cfRule>
    <cfRule type="expression" dxfId="620" priority="135">
      <formula>$K277="A1"</formula>
    </cfRule>
    <cfRule type="expression" dxfId="619" priority="133">
      <formula>$K277="A3"</formula>
    </cfRule>
    <cfRule type="expression" dxfId="618" priority="132">
      <formula>$K277="A4"</formula>
    </cfRule>
  </conditionalFormatting>
  <conditionalFormatting sqref="S119">
    <cfRule type="expression" dxfId="617" priority="116">
      <formula>$K277="A2"</formula>
    </cfRule>
    <cfRule type="expression" dxfId="616" priority="117">
      <formula>$K277="A1"</formula>
    </cfRule>
    <cfRule type="expression" dxfId="615" priority="113">
      <formula>$K277="A5"</formula>
    </cfRule>
    <cfRule type="expression" dxfId="614" priority="114">
      <formula>$K277="A4"</formula>
    </cfRule>
    <cfRule type="expression" dxfId="613" priority="115">
      <formula>$K277="A3"</formula>
    </cfRule>
    <cfRule type="expression" dxfId="612" priority="112">
      <formula>$K277="A6"</formula>
    </cfRule>
    <cfRule type="expression" dxfId="611" priority="111">
      <formula>$K277="A7"</formula>
    </cfRule>
    <cfRule type="expression" dxfId="610" priority="110">
      <formula>$K277="A8"</formula>
    </cfRule>
    <cfRule type="expression" dxfId="609" priority="109">
      <formula>$K277="A9"</formula>
    </cfRule>
  </conditionalFormatting>
  <conditionalFormatting sqref="S120">
    <cfRule type="expression" dxfId="608" priority="54">
      <formula>$K279="A1"</formula>
    </cfRule>
    <cfRule type="expression" dxfId="607" priority="53">
      <formula>$K279="A2"</formula>
    </cfRule>
    <cfRule type="expression" dxfId="606" priority="52">
      <formula>$K279="A3"</formula>
    </cfRule>
    <cfRule type="expression" dxfId="605" priority="51">
      <formula>$K279="A4"</formula>
    </cfRule>
    <cfRule type="expression" dxfId="604" priority="49">
      <formula>$K279="A6"</formula>
    </cfRule>
    <cfRule type="expression" dxfId="603" priority="50">
      <formula>$K279="A5"</formula>
    </cfRule>
    <cfRule type="expression" dxfId="602" priority="47">
      <formula>$K279="A8"</formula>
    </cfRule>
    <cfRule type="expression" dxfId="601" priority="48">
      <formula>$K279="A7"</formula>
    </cfRule>
    <cfRule type="expression" dxfId="600" priority="46">
      <formula>$K279="A9"</formula>
    </cfRule>
  </conditionalFormatting>
  <conditionalFormatting sqref="S121">
    <cfRule type="expression" dxfId="599" priority="97">
      <formula>$K279="A3"</formula>
    </cfRule>
    <cfRule type="expression" dxfId="598" priority="96">
      <formula>$K279="A4"</formula>
    </cfRule>
    <cfRule type="expression" dxfId="597" priority="95">
      <formula>$K279="A5"</formula>
    </cfRule>
    <cfRule type="expression" dxfId="596" priority="94">
      <formula>$K279="A6"</formula>
    </cfRule>
    <cfRule type="expression" dxfId="595" priority="93">
      <formula>$K279="A7"</formula>
    </cfRule>
    <cfRule type="expression" dxfId="594" priority="92">
      <formula>$K279="A8"</formula>
    </cfRule>
    <cfRule type="expression" dxfId="593" priority="91">
      <formula>$K279="A9"</formula>
    </cfRule>
    <cfRule type="expression" dxfId="592" priority="99">
      <formula>$K279="A1"</formula>
    </cfRule>
    <cfRule type="expression" dxfId="591" priority="98">
      <formula>$K279="A2"</formula>
    </cfRule>
  </conditionalFormatting>
  <conditionalFormatting sqref="S124:S128">
    <cfRule type="expression" dxfId="590" priority="28">
      <formula>$K123="A9"</formula>
    </cfRule>
    <cfRule type="expression" dxfId="589" priority="29">
      <formula>$K123="A8"</formula>
    </cfRule>
    <cfRule type="expression" dxfId="588" priority="34">
      <formula>$K123="A3"</formula>
    </cfRule>
    <cfRule type="expression" dxfId="587" priority="33">
      <formula>$K123="A4"</formula>
    </cfRule>
    <cfRule type="expression" dxfId="586" priority="32">
      <formula>$K123="A5"</formula>
    </cfRule>
    <cfRule type="expression" dxfId="585" priority="31">
      <formula>$K123="A6"</formula>
    </cfRule>
    <cfRule type="expression" dxfId="584" priority="30">
      <formula>$K123="A7"</formula>
    </cfRule>
    <cfRule type="expression" dxfId="583" priority="36">
      <formula>$K123="A1"</formula>
    </cfRule>
    <cfRule type="expression" dxfId="582" priority="35">
      <formula>$K123="A2"</formula>
    </cfRule>
  </conditionalFormatting>
  <conditionalFormatting sqref="S129">
    <cfRule type="expression" dxfId="581" priority="67">
      <formula>$K127="A6"</formula>
    </cfRule>
    <cfRule type="expression" dxfId="580" priority="64">
      <formula>$K127="A9"</formula>
    </cfRule>
    <cfRule type="expression" dxfId="579" priority="65">
      <formula>$K127="A8"</formula>
    </cfRule>
    <cfRule type="expression" dxfId="578" priority="66">
      <formula>$K127="A7"</formula>
    </cfRule>
    <cfRule type="expression" dxfId="577" priority="68">
      <formula>$K127="A5"</formula>
    </cfRule>
    <cfRule type="expression" dxfId="576" priority="69">
      <formula>$K127="A4"</formula>
    </cfRule>
    <cfRule type="expression" dxfId="575" priority="70">
      <formula>$K127="A3"</formula>
    </cfRule>
    <cfRule type="expression" dxfId="574" priority="71">
      <formula>$K127="A2"</formula>
    </cfRule>
    <cfRule type="expression" dxfId="573" priority="72">
      <formula>$K127="A1"</formula>
    </cfRule>
  </conditionalFormatting>
  <conditionalFormatting sqref="S130">
    <cfRule type="expression" dxfId="572" priority="1102">
      <formula>$K129="A6"</formula>
    </cfRule>
    <cfRule type="expression" dxfId="571" priority="1106">
      <formula>$K129="A2"</formula>
    </cfRule>
    <cfRule type="expression" dxfId="570" priority="1105">
      <formula>$K129="A3"</formula>
    </cfRule>
    <cfRule type="expression" dxfId="569" priority="1104">
      <formula>$K129="A4"</formula>
    </cfRule>
    <cfRule type="expression" dxfId="568" priority="1103">
      <formula>$K129="A5"</formula>
    </cfRule>
    <cfRule type="expression" dxfId="567" priority="1101">
      <formula>$K129="A7"</formula>
    </cfRule>
    <cfRule type="expression" dxfId="566" priority="1107">
      <formula>$K129="A1"</formula>
    </cfRule>
    <cfRule type="expression" dxfId="565" priority="1099">
      <formula>$K129="A9"</formula>
    </cfRule>
    <cfRule type="expression" dxfId="564" priority="1100">
      <formula>$K129="A8"</formula>
    </cfRule>
  </conditionalFormatting>
  <conditionalFormatting sqref="S131">
    <cfRule type="expression" dxfId="563" priority="1093">
      <formula>$K128="A6"</formula>
    </cfRule>
    <cfRule type="expression" dxfId="562" priority="1096">
      <formula>$K128="A3"</formula>
    </cfRule>
    <cfRule type="expression" dxfId="561" priority="1092">
      <formula>$K128="A7"</formula>
    </cfRule>
    <cfRule type="expression" dxfId="560" priority="1090">
      <formula>$K128="A9"</formula>
    </cfRule>
    <cfRule type="expression" dxfId="559" priority="1094">
      <formula>$K128="A5"</formula>
    </cfRule>
    <cfRule type="expression" dxfId="558" priority="1095">
      <formula>$K128="A4"</formula>
    </cfRule>
    <cfRule type="expression" dxfId="557" priority="1091">
      <formula>$K128="A8"</formula>
    </cfRule>
    <cfRule type="expression" dxfId="556" priority="1097">
      <formula>$K128="A2"</formula>
    </cfRule>
    <cfRule type="expression" dxfId="555" priority="1098">
      <formula>$K128="A1"</formula>
    </cfRule>
  </conditionalFormatting>
  <conditionalFormatting sqref="S133">
    <cfRule type="expression" dxfId="554" priority="1188">
      <formula>$K132="A1"</formula>
    </cfRule>
    <cfRule type="expression" dxfId="553" priority="1187">
      <formula>$K132="A2"</formula>
    </cfRule>
    <cfRule type="expression" dxfId="552" priority="1186">
      <formula>$K132="A3"</formula>
    </cfRule>
    <cfRule type="expression" dxfId="551" priority="1180">
      <formula>$K132="A9"</formula>
    </cfRule>
    <cfRule type="expression" dxfId="550" priority="1183">
      <formula>$K132="A6"</formula>
    </cfRule>
    <cfRule type="expression" dxfId="549" priority="1185">
      <formula>$K132="A4"</formula>
    </cfRule>
    <cfRule type="expression" dxfId="548" priority="1184">
      <formula>$K132="A5"</formula>
    </cfRule>
    <cfRule type="expression" dxfId="547" priority="1182">
      <formula>$K132="A7"</formula>
    </cfRule>
    <cfRule type="expression" dxfId="546" priority="1181">
      <formula>$K132="A8"</formula>
    </cfRule>
  </conditionalFormatting>
  <conditionalFormatting sqref="S135">
    <cfRule type="expression" dxfId="545" priority="1065">
      <formula>$K132="A7"</formula>
    </cfRule>
    <cfRule type="expression" dxfId="544" priority="1064">
      <formula>$K132="A8"</formula>
    </cfRule>
    <cfRule type="expression" dxfId="543" priority="1066">
      <formula>$K132="A6"</formula>
    </cfRule>
    <cfRule type="expression" dxfId="542" priority="1063">
      <formula>$K132="A9"</formula>
    </cfRule>
    <cfRule type="expression" dxfId="541" priority="1067">
      <formula>$K132="A5"</formula>
    </cfRule>
    <cfRule type="expression" dxfId="540" priority="1071">
      <formula>$K132="A1"</formula>
    </cfRule>
    <cfRule type="expression" dxfId="539" priority="1070">
      <formula>$K132="A2"</formula>
    </cfRule>
    <cfRule type="expression" dxfId="538" priority="1069">
      <formula>$K132="A3"</formula>
    </cfRule>
    <cfRule type="expression" dxfId="537" priority="1068">
      <formula>$K132="A4"</formula>
    </cfRule>
  </conditionalFormatting>
  <conditionalFormatting sqref="S136">
    <cfRule type="expression" dxfId="536" priority="82">
      <formula>$K132="A9"</formula>
    </cfRule>
    <cfRule type="expression" dxfId="535" priority="84">
      <formula>$K132="A7"</formula>
    </cfRule>
    <cfRule type="expression" dxfId="534" priority="83">
      <formula>$K132="A8"</formula>
    </cfRule>
    <cfRule type="expression" dxfId="533" priority="85">
      <formula>$K132="A6"</formula>
    </cfRule>
    <cfRule type="expression" dxfId="532" priority="86">
      <formula>$K132="A5"</formula>
    </cfRule>
    <cfRule type="expression" dxfId="531" priority="88">
      <formula>$K132="A3"</formula>
    </cfRule>
    <cfRule type="expression" dxfId="530" priority="89">
      <formula>$K132="A2"</formula>
    </cfRule>
    <cfRule type="expression" dxfId="529" priority="90">
      <formula>$K132="A1"</formula>
    </cfRule>
    <cfRule type="expression" dxfId="528" priority="87">
      <formula>$K132="A4"</formula>
    </cfRule>
  </conditionalFormatting>
  <conditionalFormatting sqref="S139">
    <cfRule type="expression" dxfId="527" priority="517">
      <formula>$K138="A6"</formula>
    </cfRule>
    <cfRule type="expression" dxfId="526" priority="522">
      <formula>$K138="A1"</formula>
    </cfRule>
    <cfRule type="expression" dxfId="525" priority="520">
      <formula>$K138="A3"</formula>
    </cfRule>
    <cfRule type="expression" dxfId="524" priority="519">
      <formula>$K138="A4"</formula>
    </cfRule>
    <cfRule type="expression" dxfId="523" priority="521">
      <formula>$K138="A2"</formula>
    </cfRule>
    <cfRule type="expression" dxfId="522" priority="516">
      <formula>$K138="A7"</formula>
    </cfRule>
    <cfRule type="expression" dxfId="521" priority="515">
      <formula>$K138="A8"</formula>
    </cfRule>
    <cfRule type="expression" dxfId="520" priority="514">
      <formula>$K138="A9"</formula>
    </cfRule>
    <cfRule type="expression" dxfId="519" priority="518">
      <formula>$K138="A5"</formula>
    </cfRule>
  </conditionalFormatting>
  <conditionalFormatting sqref="S148">
    <cfRule type="expression" dxfId="518" priority="416">
      <formula>$K306="A8"</formula>
    </cfRule>
    <cfRule type="expression" dxfId="517" priority="415">
      <formula>$K306="A9"</formula>
    </cfRule>
    <cfRule type="expression" dxfId="516" priority="423">
      <formula>$K306="A1"</formula>
    </cfRule>
    <cfRule type="expression" dxfId="515" priority="422">
      <formula>$K306="A2"</formula>
    </cfRule>
    <cfRule type="expression" dxfId="514" priority="420">
      <formula>$K306="A4"</formula>
    </cfRule>
    <cfRule type="expression" dxfId="513" priority="419">
      <formula>$K306="A5"</formula>
    </cfRule>
    <cfRule type="expression" dxfId="512" priority="418">
      <formula>$K306="A6"</formula>
    </cfRule>
    <cfRule type="expression" dxfId="511" priority="417">
      <formula>$K306="A7"</formula>
    </cfRule>
    <cfRule type="expression" dxfId="510" priority="421">
      <formula>$K306="A3"</formula>
    </cfRule>
  </conditionalFormatting>
  <conditionalFormatting sqref="S150:S152">
    <cfRule type="expression" dxfId="509" priority="389">
      <formula>$K308="A8"</formula>
    </cfRule>
    <cfRule type="expression" dxfId="508" priority="396">
      <formula>$K308="A1"</formula>
    </cfRule>
    <cfRule type="expression" dxfId="507" priority="395">
      <formula>$K308="A2"</formula>
    </cfRule>
    <cfRule type="expression" dxfId="506" priority="394">
      <formula>$K308="A3"</formula>
    </cfRule>
    <cfRule type="expression" dxfId="505" priority="393">
      <formula>$K308="A4"</formula>
    </cfRule>
    <cfRule type="expression" dxfId="504" priority="392">
      <formula>$K308="A5"</formula>
    </cfRule>
    <cfRule type="expression" dxfId="503" priority="391">
      <formula>$K308="A6"</formula>
    </cfRule>
    <cfRule type="expression" dxfId="502" priority="390">
      <formula>$K308="A7"</formula>
    </cfRule>
    <cfRule type="expression" dxfId="501" priority="388">
      <formula>$K308="A9"</formula>
    </cfRule>
  </conditionalFormatting>
  <conditionalFormatting sqref="S153">
    <cfRule type="expression" dxfId="500" priority="986">
      <formula>$K150="A5"</formula>
    </cfRule>
    <cfRule type="expression" dxfId="499" priority="987">
      <formula>$K150="A4"</formula>
    </cfRule>
    <cfRule type="expression" dxfId="498" priority="988">
      <formula>$K150="A3"</formula>
    </cfRule>
    <cfRule type="expression" dxfId="497" priority="990">
      <formula>$K150="A1"</formula>
    </cfRule>
    <cfRule type="expression" dxfId="496" priority="982">
      <formula>$K150="A9"</formula>
    </cfRule>
    <cfRule type="expression" dxfId="495" priority="989">
      <formula>$K150="A2"</formula>
    </cfRule>
    <cfRule type="expression" dxfId="494" priority="985">
      <formula>$K150="A6"</formula>
    </cfRule>
    <cfRule type="expression" dxfId="493" priority="984">
      <formula>$K150="A7"</formula>
    </cfRule>
    <cfRule type="expression" dxfId="492" priority="983">
      <formula>$K150="A8"</formula>
    </cfRule>
  </conditionalFormatting>
  <conditionalFormatting sqref="S155">
    <cfRule type="expression" dxfId="491" priority="951">
      <formula>#REF!="A4"</formula>
    </cfRule>
    <cfRule type="expression" dxfId="490" priority="950">
      <formula>#REF!="A5"</formula>
    </cfRule>
    <cfRule type="expression" dxfId="489" priority="949">
      <formula>#REF!="A6"</formula>
    </cfRule>
    <cfRule type="expression" dxfId="488" priority="948">
      <formula>#REF!="A7"</formula>
    </cfRule>
    <cfRule type="expression" dxfId="487" priority="947">
      <formula>#REF!="A8"</formula>
    </cfRule>
    <cfRule type="expression" dxfId="486" priority="946">
      <formula>#REF!="A9"</formula>
    </cfRule>
    <cfRule type="expression" dxfId="485" priority="961">
      <formula>#REF!="A3"</formula>
    </cfRule>
    <cfRule type="expression" dxfId="484" priority="962">
      <formula>#REF!="A2"</formula>
    </cfRule>
    <cfRule type="expression" dxfId="483" priority="963">
      <formula>#REF!="A1"</formula>
    </cfRule>
    <cfRule type="expression" dxfId="482" priority="956">
      <formula>#REF!="A8"</formula>
    </cfRule>
    <cfRule type="expression" dxfId="481" priority="960">
      <formula>#REF!="A4"</formula>
    </cfRule>
    <cfRule type="expression" dxfId="480" priority="959">
      <formula>#REF!="A5"</formula>
    </cfRule>
    <cfRule type="expression" dxfId="479" priority="958">
      <formula>#REF!="A6"</formula>
    </cfRule>
    <cfRule type="expression" dxfId="478" priority="957">
      <formula>#REF!="A7"</formula>
    </cfRule>
    <cfRule type="expression" dxfId="477" priority="955">
      <formula>#REF!="A9"</formula>
    </cfRule>
    <cfRule type="expression" dxfId="476" priority="954">
      <formula>#REF!="A1"</formula>
    </cfRule>
    <cfRule type="expression" dxfId="475" priority="953">
      <formula>#REF!="A2"</formula>
    </cfRule>
    <cfRule type="expression" dxfId="474" priority="952">
      <formula>#REF!="A3"</formula>
    </cfRule>
  </conditionalFormatting>
  <conditionalFormatting sqref="S156">
    <cfRule type="expression" dxfId="473" priority="381">
      <formula>$K315="A7"</formula>
    </cfRule>
    <cfRule type="expression" dxfId="472" priority="385">
      <formula>$K315="A3"</formula>
    </cfRule>
    <cfRule type="expression" dxfId="471" priority="386">
      <formula>$K315="A2"</formula>
    </cfRule>
    <cfRule type="expression" dxfId="470" priority="387">
      <formula>$K315="A1"</formula>
    </cfRule>
    <cfRule type="expression" dxfId="469" priority="383">
      <formula>$K315="A5"</formula>
    </cfRule>
    <cfRule type="expression" dxfId="468" priority="382">
      <formula>$K315="A6"</formula>
    </cfRule>
    <cfRule type="expression" dxfId="467" priority="380">
      <formula>$K315="A8"</formula>
    </cfRule>
    <cfRule type="expression" dxfId="466" priority="379">
      <formula>$K315="A9"</formula>
    </cfRule>
    <cfRule type="expression" dxfId="465" priority="384">
      <formula>$K315="A4"</formula>
    </cfRule>
  </conditionalFormatting>
  <conditionalFormatting sqref="S160:S161">
    <cfRule type="expression" dxfId="464" priority="143">
      <formula>$K158="A2"</formula>
    </cfRule>
    <cfRule type="expression" dxfId="463" priority="139">
      <formula>$K158="A6"</formula>
    </cfRule>
    <cfRule type="expression" dxfId="462" priority="144">
      <formula>$K158="A1"</formula>
    </cfRule>
    <cfRule type="expression" dxfId="461" priority="136">
      <formula>$K158="A9"</formula>
    </cfRule>
    <cfRule type="expression" dxfId="460" priority="137">
      <formula>$K158="A8"</formula>
    </cfRule>
    <cfRule type="expression" dxfId="459" priority="138">
      <formula>$K158="A7"</formula>
    </cfRule>
    <cfRule type="expression" dxfId="458" priority="140">
      <formula>$K158="A5"</formula>
    </cfRule>
    <cfRule type="expression" dxfId="457" priority="141">
      <formula>$K158="A4"</formula>
    </cfRule>
    <cfRule type="expression" dxfId="456" priority="142">
      <formula>$K158="A3"</formula>
    </cfRule>
  </conditionalFormatting>
  <conditionalFormatting sqref="S162">
    <cfRule type="expression" dxfId="455" priority="264">
      <formula>$K161="A7"</formula>
    </cfRule>
    <cfRule type="expression" dxfId="454" priority="262">
      <formula>$K161="A9"</formula>
    </cfRule>
    <cfRule type="expression" dxfId="453" priority="263">
      <formula>$K161="A8"</formula>
    </cfRule>
    <cfRule type="expression" dxfId="452" priority="269">
      <formula>$K161="A2"</formula>
    </cfRule>
    <cfRule type="expression" dxfId="451" priority="268">
      <formula>$K161="A3"</formula>
    </cfRule>
    <cfRule type="expression" dxfId="450" priority="267">
      <formula>$K161="A4"</formula>
    </cfRule>
    <cfRule type="expression" dxfId="449" priority="266">
      <formula>$K161="A5"</formula>
    </cfRule>
    <cfRule type="expression" dxfId="448" priority="265">
      <formula>$K161="A6"</formula>
    </cfRule>
    <cfRule type="expression" dxfId="447" priority="270">
      <formula>$K161="A1"</formula>
    </cfRule>
  </conditionalFormatting>
  <conditionalFormatting sqref="S163:S164">
    <cfRule type="expression" dxfId="446" priority="145">
      <formula>$K161="A9"</formula>
    </cfRule>
    <cfRule type="expression" dxfId="445" priority="151">
      <formula>$K161="A3"</formula>
    </cfRule>
    <cfRule type="expression" dxfId="444" priority="149">
      <formula>$K161="A5"</formula>
    </cfRule>
    <cfRule type="expression" dxfId="443" priority="152">
      <formula>$K161="A2"</formula>
    </cfRule>
    <cfRule type="expression" dxfId="442" priority="153">
      <formula>$K161="A1"</formula>
    </cfRule>
    <cfRule type="expression" dxfId="441" priority="146">
      <formula>$K161="A8"</formula>
    </cfRule>
    <cfRule type="expression" dxfId="440" priority="148">
      <formula>$K161="A6"</formula>
    </cfRule>
    <cfRule type="expression" dxfId="439" priority="147">
      <formula>$K161="A7"</formula>
    </cfRule>
    <cfRule type="expression" dxfId="438" priority="150">
      <formula>$K161="A4"</formula>
    </cfRule>
  </conditionalFormatting>
  <conditionalFormatting sqref="S165">
    <cfRule type="expression" dxfId="437" priority="652">
      <formula>$K162="A6"</formula>
    </cfRule>
    <cfRule type="expression" dxfId="436" priority="651">
      <formula>$K162="A7"</formula>
    </cfRule>
    <cfRule type="expression" dxfId="435" priority="650">
      <formula>$K162="A8"</formula>
    </cfRule>
    <cfRule type="expression" dxfId="434" priority="649">
      <formula>$K162="A9"</formula>
    </cfRule>
    <cfRule type="expression" dxfId="433" priority="653">
      <formula>$K162="A5"</formula>
    </cfRule>
    <cfRule type="expression" dxfId="432" priority="654">
      <formula>$K162="A4"</formula>
    </cfRule>
    <cfRule type="expression" dxfId="431" priority="656">
      <formula>$K162="A2"</formula>
    </cfRule>
    <cfRule type="expression" dxfId="430" priority="657">
      <formula>$K162="A1"</formula>
    </cfRule>
    <cfRule type="expression" dxfId="429" priority="655">
      <formula>$K162="A3"</formula>
    </cfRule>
  </conditionalFormatting>
  <conditionalFormatting sqref="S166:S167">
    <cfRule type="expression" dxfId="428" priority="699">
      <formula>$K165="A4"</formula>
    </cfRule>
    <cfRule type="expression" dxfId="427" priority="695">
      <formula>$K165="A8"</formula>
    </cfRule>
    <cfRule type="expression" dxfId="426" priority="700">
      <formula>$K165="A3"</formula>
    </cfRule>
    <cfRule type="expression" dxfId="425" priority="701">
      <formula>$K165="A2"</formula>
    </cfRule>
    <cfRule type="expression" dxfId="424" priority="702">
      <formula>$K165="A1"</formula>
    </cfRule>
    <cfRule type="expression" dxfId="423" priority="694">
      <formula>$K165="A9"</formula>
    </cfRule>
    <cfRule type="expression" dxfId="422" priority="696">
      <formula>$K165="A7"</formula>
    </cfRule>
    <cfRule type="expression" dxfId="421" priority="697">
      <formula>$K165="A6"</formula>
    </cfRule>
    <cfRule type="expression" dxfId="420" priority="698">
      <formula>$K165="A5"</formula>
    </cfRule>
  </conditionalFormatting>
  <conditionalFormatting sqref="S198:S203">
    <cfRule type="expression" dxfId="419" priority="564">
      <formula>$K197="A4"</formula>
    </cfRule>
    <cfRule type="expression" dxfId="418" priority="565">
      <formula>$K197="A3"</formula>
    </cfRule>
    <cfRule type="expression" dxfId="417" priority="566">
      <formula>$K197="A2"</formula>
    </cfRule>
    <cfRule type="expression" dxfId="416" priority="560">
      <formula>$K197="A8"</formula>
    </cfRule>
    <cfRule type="expression" dxfId="415" priority="559">
      <formula>$K197="A9"</formula>
    </cfRule>
    <cfRule type="expression" dxfId="414" priority="561">
      <formula>$K197="A7"</formula>
    </cfRule>
    <cfRule type="expression" dxfId="413" priority="567">
      <formula>$K197="A1"</formula>
    </cfRule>
    <cfRule type="expression" dxfId="412" priority="563">
      <formula>$K197="A5"</formula>
    </cfRule>
    <cfRule type="expression" dxfId="411" priority="562">
      <formula>$K197="A6"</formula>
    </cfRule>
  </conditionalFormatting>
  <conditionalFormatting sqref="S207">
    <cfRule type="expression" dxfId="410" priority="582">
      <formula>$K206="A4"</formula>
    </cfRule>
    <cfRule type="expression" dxfId="409" priority="584">
      <formula>$K206="A2"</formula>
    </cfRule>
    <cfRule type="expression" dxfId="408" priority="580">
      <formula>$K206="A6"</formula>
    </cfRule>
    <cfRule type="expression" dxfId="407" priority="579">
      <formula>$K206="A7"</formula>
    </cfRule>
    <cfRule type="expression" dxfId="406" priority="578">
      <formula>$K206="A8"</formula>
    </cfRule>
    <cfRule type="expression" dxfId="405" priority="577">
      <formula>$K206="A9"</formula>
    </cfRule>
    <cfRule type="expression" dxfId="404" priority="583">
      <formula>$K206="A3"</formula>
    </cfRule>
    <cfRule type="expression" dxfId="403" priority="581">
      <formula>$K206="A5"</formula>
    </cfRule>
    <cfRule type="expression" dxfId="402" priority="585">
      <formula>$K206="A1"</formula>
    </cfRule>
  </conditionalFormatting>
  <conditionalFormatting sqref="S216:S217">
    <cfRule type="expression" dxfId="401" priority="535">
      <formula>$K215="A6"</formula>
    </cfRule>
    <cfRule type="expression" dxfId="400" priority="532">
      <formula>$K215="A9"</formula>
    </cfRule>
    <cfRule type="expression" dxfId="399" priority="537">
      <formula>$K215="A4"</formula>
    </cfRule>
    <cfRule type="expression" dxfId="398" priority="538">
      <formula>$K215="A3"</formula>
    </cfRule>
    <cfRule type="expression" dxfId="397" priority="539">
      <formula>$K215="A2"</formula>
    </cfRule>
    <cfRule type="expression" dxfId="396" priority="540">
      <formula>$K215="A1"</formula>
    </cfRule>
    <cfRule type="expression" dxfId="395" priority="536">
      <formula>$K215="A5"</formula>
    </cfRule>
    <cfRule type="expression" dxfId="394" priority="533">
      <formula>$K215="A8"</formula>
    </cfRule>
    <cfRule type="expression" dxfId="393" priority="534">
      <formula>$K215="A7"</formula>
    </cfRule>
  </conditionalFormatting>
  <conditionalFormatting sqref="S236">
    <cfRule type="expression" dxfId="392" priority="688">
      <formula>$K235="A6"</formula>
    </cfRule>
    <cfRule type="expression" dxfId="391" priority="693">
      <formula>$K235="A1"</formula>
    </cfRule>
    <cfRule type="expression" dxfId="390" priority="692">
      <formula>$K235="A2"</formula>
    </cfRule>
    <cfRule type="expression" dxfId="389" priority="691">
      <formula>$K235="A3"</formula>
    </cfRule>
    <cfRule type="expression" dxfId="388" priority="690">
      <formula>$K235="A4"</formula>
    </cfRule>
    <cfRule type="expression" dxfId="387" priority="686">
      <formula>$K235="A8"</formula>
    </cfRule>
    <cfRule type="expression" dxfId="386" priority="687">
      <formula>$K235="A7"</formula>
    </cfRule>
    <cfRule type="expression" dxfId="385" priority="685">
      <formula>$K235="A9"</formula>
    </cfRule>
    <cfRule type="expression" dxfId="384" priority="689">
      <formula>$K235="A5"</formula>
    </cfRule>
  </conditionalFormatting>
  <conditionalFormatting sqref="S256">
    <cfRule type="expression" dxfId="383" priority="26">
      <formula>$K255="A2"</formula>
    </cfRule>
    <cfRule type="expression" dxfId="382" priority="27">
      <formula>$K255="A1"</formula>
    </cfRule>
    <cfRule type="expression" dxfId="381" priority="25">
      <formula>$K255="A3"</formula>
    </cfRule>
    <cfRule type="expression" dxfId="380" priority="24">
      <formula>$K255="A4"</formula>
    </cfRule>
    <cfRule type="expression" dxfId="379" priority="23">
      <formula>$K255="A5"</formula>
    </cfRule>
    <cfRule type="expression" dxfId="378" priority="22">
      <formula>$K255="A6"</formula>
    </cfRule>
    <cfRule type="expression" dxfId="377" priority="21">
      <formula>$K255="A7"</formula>
    </cfRule>
    <cfRule type="expression" dxfId="376" priority="20">
      <formula>$K255="A8"</formula>
    </cfRule>
    <cfRule type="expression" dxfId="375" priority="19">
      <formula>$K255="A9"</formula>
    </cfRule>
  </conditionalFormatting>
  <conditionalFormatting sqref="S158:T158">
    <cfRule type="expression" dxfId="374" priority="919">
      <formula>#REF!="A9"</formula>
    </cfRule>
    <cfRule type="expression" dxfId="373" priority="925">
      <formula>#REF!="A3"</formula>
    </cfRule>
    <cfRule type="expression" dxfId="372" priority="926">
      <formula>#REF!="A2"</formula>
    </cfRule>
    <cfRule type="expression" dxfId="371" priority="921">
      <formula>#REF!="A7"</formula>
    </cfRule>
    <cfRule type="expression" dxfId="370" priority="927">
      <formula>#REF!="A1"</formula>
    </cfRule>
    <cfRule type="expression" dxfId="369" priority="924">
      <formula>#REF!="A4"</formula>
    </cfRule>
    <cfRule type="expression" dxfId="368" priority="923">
      <formula>#REF!="A5"</formula>
    </cfRule>
    <cfRule type="expression" dxfId="367" priority="922">
      <formula>#REF!="A6"</formula>
    </cfRule>
    <cfRule type="expression" dxfId="366" priority="920">
      <formula>#REF!="A8"</formula>
    </cfRule>
  </conditionalFormatting>
  <conditionalFormatting sqref="T36">
    <cfRule type="expression" dxfId="365" priority="1259">
      <formula>$G35="A2"</formula>
    </cfRule>
    <cfRule type="expression" dxfId="364" priority="1254">
      <formula>$G35="A7"</formula>
    </cfRule>
    <cfRule type="expression" dxfId="363" priority="1252">
      <formula>$G35="A9"</formula>
    </cfRule>
    <cfRule type="expression" dxfId="362" priority="1260">
      <formula>$G35="A1"</formula>
    </cfRule>
    <cfRule type="expression" dxfId="361" priority="1253">
      <formula>$G35="A8"</formula>
    </cfRule>
    <cfRule type="expression" dxfId="360" priority="1258">
      <formula>$G35="A3"</formula>
    </cfRule>
    <cfRule type="expression" dxfId="359" priority="1257">
      <formula>$G35="A4"</formula>
    </cfRule>
    <cfRule type="expression" dxfId="358" priority="1256">
      <formula>$G35="A5"</formula>
    </cfRule>
    <cfRule type="expression" dxfId="357" priority="1255">
      <formula>$G35="A6"</formula>
    </cfRule>
  </conditionalFormatting>
  <conditionalFormatting sqref="T39 T161">
    <cfRule type="expression" dxfId="356" priority="1267">
      <formula>$G36="A3"</formula>
    </cfRule>
    <cfRule type="expression" dxfId="355" priority="1268">
      <formula>$G36="A2"</formula>
    </cfRule>
    <cfRule type="expression" dxfId="354" priority="1263">
      <formula>$G36="A7"</formula>
    </cfRule>
    <cfRule type="expression" dxfId="353" priority="1262">
      <formula>$G36="A8"</formula>
    </cfRule>
    <cfRule type="expression" dxfId="352" priority="1261">
      <formula>$G36="A9"</formula>
    </cfRule>
    <cfRule type="expression" dxfId="351" priority="1269">
      <formula>$G36="A1"</formula>
    </cfRule>
    <cfRule type="expression" dxfId="350" priority="1266">
      <formula>$G36="A4"</formula>
    </cfRule>
    <cfRule type="expression" dxfId="349" priority="1265">
      <formula>$G36="A5"</formula>
    </cfRule>
    <cfRule type="expression" dxfId="348" priority="1264">
      <formula>$G36="A6"</formula>
    </cfRule>
  </conditionalFormatting>
  <conditionalFormatting sqref="T84">
    <cfRule type="expression" dxfId="347" priority="1241">
      <formula>$G83="A2"</formula>
    </cfRule>
    <cfRule type="expression" dxfId="346" priority="1240">
      <formula>$G83="A3"</formula>
    </cfRule>
    <cfRule type="expression" dxfId="345" priority="1239">
      <formula>$G83="A4"</formula>
    </cfRule>
    <cfRule type="expression" dxfId="344" priority="1238">
      <formula>$G83="A5"</formula>
    </cfRule>
    <cfRule type="expression" dxfId="343" priority="1237">
      <formula>$G83="A6"</formula>
    </cfRule>
    <cfRule type="expression" dxfId="342" priority="1242">
      <formula>$G83="A1"</formula>
    </cfRule>
    <cfRule type="expression" dxfId="341" priority="1236">
      <formula>$G83="A7"</formula>
    </cfRule>
    <cfRule type="expression" dxfId="340" priority="1235">
      <formula>$G83="A8"</formula>
    </cfRule>
    <cfRule type="expression" dxfId="339" priority="1234">
      <formula>$G83="A9"</formula>
    </cfRule>
  </conditionalFormatting>
  <conditionalFormatting sqref="T118">
    <cfRule type="expression" dxfId="338" priority="124">
      <formula>$G266="A3"</formula>
    </cfRule>
    <cfRule type="expression" dxfId="337" priority="118">
      <formula>$G266="A9"</formula>
    </cfRule>
    <cfRule type="expression" dxfId="336" priority="123">
      <formula>$G266="A4"</formula>
    </cfRule>
    <cfRule type="expression" dxfId="335" priority="125">
      <formula>$G266="A2"</formula>
    </cfRule>
    <cfRule type="expression" dxfId="334" priority="126">
      <formula>$G266="A1"</formula>
    </cfRule>
    <cfRule type="expression" dxfId="333" priority="120">
      <formula>$G266="A7"</formula>
    </cfRule>
    <cfRule type="expression" dxfId="332" priority="121">
      <formula>$G266="A6"</formula>
    </cfRule>
    <cfRule type="expression" dxfId="331" priority="122">
      <formula>$G266="A5"</formula>
    </cfRule>
    <cfRule type="expression" dxfId="330" priority="119">
      <formula>$G266="A8"</formula>
    </cfRule>
  </conditionalFormatting>
  <conditionalFormatting sqref="T119">
    <cfRule type="expression" dxfId="329" priority="104">
      <formula>$G118="A5"</formula>
    </cfRule>
    <cfRule type="expression" dxfId="328" priority="105">
      <formula>$G118="A4"</formula>
    </cfRule>
    <cfRule type="expression" dxfId="327" priority="106">
      <formula>$G118="A3"</formula>
    </cfRule>
    <cfRule type="expression" dxfId="326" priority="107">
      <formula>$G118="A2"</formula>
    </cfRule>
    <cfRule type="expression" dxfId="325" priority="108">
      <formula>$G118="A1"</formula>
    </cfRule>
    <cfRule type="expression" dxfId="324" priority="101">
      <formula>$G118="A8"</formula>
    </cfRule>
    <cfRule type="expression" dxfId="323" priority="100">
      <formula>$G118="A9"</formula>
    </cfRule>
    <cfRule type="expression" dxfId="322" priority="102">
      <formula>$G118="A7"</formula>
    </cfRule>
    <cfRule type="expression" dxfId="321" priority="103">
      <formula>$G118="A6"</formula>
    </cfRule>
  </conditionalFormatting>
  <conditionalFormatting sqref="T120">
    <cfRule type="expression" dxfId="320" priority="38">
      <formula>$G268="A8"</formula>
    </cfRule>
    <cfRule type="expression" dxfId="319" priority="39">
      <formula>$G268="A7"</formula>
    </cfRule>
    <cfRule type="expression" dxfId="318" priority="40">
      <formula>$G268="A6"</formula>
    </cfRule>
    <cfRule type="expression" dxfId="317" priority="41">
      <formula>$G268="A5"</formula>
    </cfRule>
    <cfRule type="expression" dxfId="316" priority="43">
      <formula>$G268="A3"</formula>
    </cfRule>
    <cfRule type="expression" dxfId="315" priority="44">
      <formula>$G268="A2"</formula>
    </cfRule>
    <cfRule type="expression" dxfId="314" priority="45">
      <formula>$G268="A1"</formula>
    </cfRule>
    <cfRule type="expression" dxfId="313" priority="42">
      <formula>$G268="A4"</formula>
    </cfRule>
    <cfRule type="expression" dxfId="312" priority="37">
      <formula>$G268="A9"</formula>
    </cfRule>
  </conditionalFormatting>
  <conditionalFormatting sqref="T126">
    <cfRule type="expression" dxfId="311" priority="306">
      <formula>$G125="A1"</formula>
    </cfRule>
    <cfRule type="expression" dxfId="310" priority="298">
      <formula>$G125="A9"</formula>
    </cfRule>
    <cfRule type="expression" dxfId="309" priority="299">
      <formula>$G125="A8"</formula>
    </cfRule>
    <cfRule type="expression" dxfId="308" priority="300">
      <formula>$G125="A7"</formula>
    </cfRule>
    <cfRule type="expression" dxfId="307" priority="301">
      <formula>$G125="A6"</formula>
    </cfRule>
    <cfRule type="expression" dxfId="306" priority="302">
      <formula>$G125="A5"</formula>
    </cfRule>
    <cfRule type="expression" dxfId="305" priority="303">
      <formula>$G125="A4"</formula>
    </cfRule>
    <cfRule type="expression" dxfId="304" priority="304">
      <formula>$G125="A3"</formula>
    </cfRule>
    <cfRule type="expression" dxfId="303" priority="305">
      <formula>$G125="A2"</formula>
    </cfRule>
  </conditionalFormatting>
  <conditionalFormatting sqref="T128">
    <cfRule type="expression" dxfId="302" priority="340">
      <formula>$G127="A3"</formula>
    </cfRule>
    <cfRule type="expression" dxfId="301" priority="337">
      <formula>$G127="A6"</formula>
    </cfRule>
    <cfRule type="expression" dxfId="300" priority="334">
      <formula>$G127="A9"</formula>
    </cfRule>
    <cfRule type="expression" dxfId="299" priority="335">
      <formula>$G127="A8"</formula>
    </cfRule>
    <cfRule type="expression" dxfId="298" priority="336">
      <formula>$G127="A7"</formula>
    </cfRule>
    <cfRule type="expression" dxfId="297" priority="339">
      <formula>$G127="A4"</formula>
    </cfRule>
    <cfRule type="expression" dxfId="296" priority="342">
      <formula>$G127="A1"</formula>
    </cfRule>
    <cfRule type="expression" dxfId="295" priority="338">
      <formula>$G127="A5"</formula>
    </cfRule>
    <cfRule type="expression" dxfId="294" priority="341">
      <formula>$G127="A2"</formula>
    </cfRule>
  </conditionalFormatting>
  <conditionalFormatting sqref="T129">
    <cfRule type="expression" dxfId="293" priority="62">
      <formula>$G127="A2"</formula>
    </cfRule>
    <cfRule type="expression" dxfId="292" priority="63">
      <formula>$G127="A1"</formula>
    </cfRule>
    <cfRule type="expression" dxfId="291" priority="55">
      <formula>$G127="A9"</formula>
    </cfRule>
    <cfRule type="expression" dxfId="290" priority="56">
      <formula>$G127="A8"</formula>
    </cfRule>
    <cfRule type="expression" dxfId="289" priority="58">
      <formula>$G127="A6"</formula>
    </cfRule>
    <cfRule type="expression" dxfId="288" priority="59">
      <formula>$G127="A5"</formula>
    </cfRule>
    <cfRule type="expression" dxfId="287" priority="57">
      <formula>$G127="A7"</formula>
    </cfRule>
    <cfRule type="expression" dxfId="286" priority="60">
      <formula>$G127="A4"</formula>
    </cfRule>
    <cfRule type="expression" dxfId="285" priority="61">
      <formula>$G127="A3"</formula>
    </cfRule>
  </conditionalFormatting>
  <conditionalFormatting sqref="T136">
    <cfRule type="expression" dxfId="284" priority="729">
      <formula>$G129="A1"</formula>
    </cfRule>
    <cfRule type="expression" dxfId="283" priority="725">
      <formula>$G129="A5"</formula>
    </cfRule>
    <cfRule type="expression" dxfId="282" priority="721">
      <formula>$G129="A9"</formula>
    </cfRule>
    <cfRule type="expression" dxfId="281" priority="722">
      <formula>$G129="A8"</formula>
    </cfRule>
    <cfRule type="expression" dxfId="280" priority="723">
      <formula>$G129="A7"</formula>
    </cfRule>
    <cfRule type="expression" dxfId="279" priority="724">
      <formula>$G129="A6"</formula>
    </cfRule>
    <cfRule type="expression" dxfId="278" priority="726">
      <formula>$G129="A4"</formula>
    </cfRule>
    <cfRule type="expression" dxfId="277" priority="727">
      <formula>$G129="A3"</formula>
    </cfRule>
    <cfRule type="expression" dxfId="276" priority="728">
      <formula>$G129="A2"</formula>
    </cfRule>
  </conditionalFormatting>
  <conditionalFormatting sqref="T137">
    <cfRule type="expression" dxfId="275" priority="499">
      <formula>$G135="A6"</formula>
    </cfRule>
    <cfRule type="expression" dxfId="274" priority="504">
      <formula>$G135="A1"</formula>
    </cfRule>
    <cfRule type="expression" dxfId="273" priority="496">
      <formula>$G135="A9"</formula>
    </cfRule>
    <cfRule type="expression" dxfId="272" priority="497">
      <formula>$G135="A8"</formula>
    </cfRule>
    <cfRule type="expression" dxfId="271" priority="502">
      <formula>$G135="A3"</formula>
    </cfRule>
    <cfRule type="expression" dxfId="270" priority="501">
      <formula>$G135="A4"</formula>
    </cfRule>
    <cfRule type="expression" dxfId="269" priority="503">
      <formula>$G135="A2"</formula>
    </cfRule>
    <cfRule type="expression" dxfId="268" priority="500">
      <formula>$G135="A5"</formula>
    </cfRule>
    <cfRule type="expression" dxfId="267" priority="498">
      <formula>$G135="A7"</formula>
    </cfRule>
  </conditionalFormatting>
  <conditionalFormatting sqref="T148">
    <cfRule type="expression" dxfId="266" priority="410">
      <formula>$G147="A5"</formula>
    </cfRule>
    <cfRule type="expression" dxfId="265" priority="411">
      <formula>$G147="A4"</formula>
    </cfRule>
    <cfRule type="expression" dxfId="264" priority="413">
      <formula>$G147="A2"</formula>
    </cfRule>
    <cfRule type="expression" dxfId="263" priority="414">
      <formula>$G147="A1"</formula>
    </cfRule>
    <cfRule type="expression" dxfId="262" priority="409">
      <formula>$G147="A6"</formula>
    </cfRule>
    <cfRule type="expression" dxfId="261" priority="408">
      <formula>$G147="A7"</formula>
    </cfRule>
    <cfRule type="expression" dxfId="260" priority="407">
      <formula>$G147="A8"</formula>
    </cfRule>
    <cfRule type="expression" dxfId="259" priority="406">
      <formula>$G147="A9"</formula>
    </cfRule>
    <cfRule type="expression" dxfId="258" priority="412">
      <formula>$G147="A3"</formula>
    </cfRule>
  </conditionalFormatting>
  <conditionalFormatting sqref="T150:T151">
    <cfRule type="expression" dxfId="257" priority="1009">
      <formula>$G209="A9"</formula>
    </cfRule>
    <cfRule type="expression" dxfId="256" priority="1015">
      <formula>$G209="A3"</formula>
    </cfRule>
    <cfRule type="expression" dxfId="255" priority="1014">
      <formula>$G209="A4"</formula>
    </cfRule>
    <cfRule type="expression" dxfId="254" priority="1013">
      <formula>$G209="A5"</formula>
    </cfRule>
    <cfRule type="expression" dxfId="253" priority="1011">
      <formula>$G209="A7"</formula>
    </cfRule>
    <cfRule type="expression" dxfId="252" priority="1010">
      <formula>$G209="A8"</formula>
    </cfRule>
    <cfRule type="expression" dxfId="251" priority="1012">
      <formula>$G209="A6"</formula>
    </cfRule>
    <cfRule type="expression" dxfId="250" priority="1017">
      <formula>$G209="A1"</formula>
    </cfRule>
    <cfRule type="expression" dxfId="249" priority="1016">
      <formula>$G209="A2"</formula>
    </cfRule>
  </conditionalFormatting>
  <conditionalFormatting sqref="T152:T153">
    <cfRule type="expression" dxfId="248" priority="978">
      <formula>$G149="A4"</formula>
    </cfRule>
    <cfRule type="expression" dxfId="247" priority="980">
      <formula>$G149="A2"</formula>
    </cfRule>
    <cfRule type="expression" dxfId="246" priority="981">
      <formula>$G149="A1"</formula>
    </cfRule>
    <cfRule type="expression" dxfId="245" priority="977">
      <formula>$G149="A5"</formula>
    </cfRule>
    <cfRule type="expression" dxfId="244" priority="976">
      <formula>$G149="A6"</formula>
    </cfRule>
    <cfRule type="expression" dxfId="243" priority="975">
      <formula>$G149="A7"</formula>
    </cfRule>
    <cfRule type="expression" dxfId="242" priority="974">
      <formula>$G149="A8"</formula>
    </cfRule>
    <cfRule type="expression" dxfId="241" priority="973">
      <formula>$G149="A9"</formula>
    </cfRule>
    <cfRule type="expression" dxfId="240" priority="979">
      <formula>$G149="A3"</formula>
    </cfRule>
  </conditionalFormatting>
  <conditionalFormatting sqref="T156">
    <cfRule type="expression" dxfId="239" priority="945">
      <formula>$G153="A1"</formula>
    </cfRule>
    <cfRule type="expression" dxfId="238" priority="943">
      <formula>$G153="A3"</formula>
    </cfRule>
    <cfRule type="expression" dxfId="237" priority="937">
      <formula>$G153="A9"</formula>
    </cfRule>
    <cfRule type="expression" dxfId="236" priority="938">
      <formula>$G153="A8"</formula>
    </cfRule>
    <cfRule type="expression" dxfId="235" priority="939">
      <formula>$G153="A7"</formula>
    </cfRule>
    <cfRule type="expression" dxfId="234" priority="940">
      <formula>$G153="A6"</formula>
    </cfRule>
    <cfRule type="expression" dxfId="233" priority="941">
      <formula>$G153="A5"</formula>
    </cfRule>
    <cfRule type="expression" dxfId="232" priority="942">
      <formula>$G153="A4"</formula>
    </cfRule>
    <cfRule type="expression" dxfId="231" priority="944">
      <formula>$G153="A2"</formula>
    </cfRule>
  </conditionalFormatting>
  <conditionalFormatting sqref="T159:T160">
    <cfRule type="expression" dxfId="230" priority="658">
      <formula>#REF!="A9"</formula>
    </cfRule>
    <cfRule type="expression" dxfId="229" priority="662">
      <formula>#REF!="A5"</formula>
    </cfRule>
    <cfRule type="expression" dxfId="228" priority="663">
      <formula>#REF!="A4"</formula>
    </cfRule>
    <cfRule type="expression" dxfId="227" priority="664">
      <formula>#REF!="A3"</formula>
    </cfRule>
    <cfRule type="expression" dxfId="226" priority="665">
      <formula>#REF!="A2"</formula>
    </cfRule>
    <cfRule type="expression" dxfId="225" priority="666">
      <formula>#REF!="A1"</formula>
    </cfRule>
    <cfRule type="expression" dxfId="224" priority="661">
      <formula>#REF!="A6"</formula>
    </cfRule>
    <cfRule type="expression" dxfId="223" priority="660">
      <formula>#REF!="A7"</formula>
    </cfRule>
    <cfRule type="expression" dxfId="222" priority="659">
      <formula>#REF!="A8"</formula>
    </cfRule>
  </conditionalFormatting>
  <conditionalFormatting sqref="T162">
    <cfRule type="expression" dxfId="221" priority="258">
      <formula>#REF!="A4"</formula>
    </cfRule>
    <cfRule type="expression" dxfId="220" priority="259">
      <formula>#REF!="A3"</formula>
    </cfRule>
  </conditionalFormatting>
  <conditionalFormatting sqref="T162:T164">
    <cfRule type="expression" dxfId="219" priority="162">
      <formula>#REF!="A1"</formula>
    </cfRule>
    <cfRule type="expression" dxfId="218" priority="161">
      <formula>#REF!="A2"</formula>
    </cfRule>
    <cfRule type="expression" dxfId="217" priority="155">
      <formula>#REF!="A8"</formula>
    </cfRule>
    <cfRule type="expression" dxfId="216" priority="158">
      <formula>#REF!="A5"</formula>
    </cfRule>
    <cfRule type="expression" dxfId="215" priority="157">
      <formula>#REF!="A6"</formula>
    </cfRule>
    <cfRule type="expression" dxfId="214" priority="156">
      <formula>#REF!="A7"</formula>
    </cfRule>
    <cfRule type="expression" dxfId="213" priority="154">
      <formula>#REF!="A9"</formula>
    </cfRule>
  </conditionalFormatting>
  <conditionalFormatting sqref="T163:T164">
    <cfRule type="expression" dxfId="212" priority="160">
      <formula>#REF!="A3"</formula>
    </cfRule>
    <cfRule type="expression" dxfId="211" priority="159">
      <formula>#REF!="A4"</formula>
    </cfRule>
  </conditionalFormatting>
  <conditionalFormatting sqref="T165">
    <cfRule type="expression" dxfId="210" priority="648">
      <formula>$G162="A1"</formula>
    </cfRule>
    <cfRule type="expression" dxfId="209" priority="647">
      <formula>$G162="A2"</formula>
    </cfRule>
    <cfRule type="expression" dxfId="208" priority="646">
      <formula>$G162="A3"</formula>
    </cfRule>
    <cfRule type="expression" dxfId="207" priority="645">
      <formula>$G162="A4"</formula>
    </cfRule>
    <cfRule type="expression" dxfId="206" priority="644">
      <formula>$G162="A5"</formula>
    </cfRule>
    <cfRule type="expression" dxfId="205" priority="643">
      <formula>$G162="A6"</formula>
    </cfRule>
    <cfRule type="expression" dxfId="204" priority="642">
      <formula>$G162="A7"</formula>
    </cfRule>
    <cfRule type="expression" dxfId="203" priority="641">
      <formula>$G162="A8"</formula>
    </cfRule>
    <cfRule type="expression" dxfId="202" priority="640">
      <formula>$G162="A9"</formula>
    </cfRule>
  </conditionalFormatting>
  <conditionalFormatting sqref="T166">
    <cfRule type="expression" dxfId="201" priority="708">
      <formula>$G159="A4"</formula>
    </cfRule>
    <cfRule type="expression" dxfId="200" priority="707">
      <formula>$G159="A5"</formula>
    </cfRule>
    <cfRule type="expression" dxfId="199" priority="709">
      <formula>$G159="A3"</formula>
    </cfRule>
    <cfRule type="expression" dxfId="198" priority="711">
      <formula>$G159="A1"</formula>
    </cfRule>
    <cfRule type="expression" dxfId="197" priority="706">
      <formula>$G159="A6"</formula>
    </cfRule>
    <cfRule type="expression" dxfId="196" priority="705">
      <formula>$G159="A7"</formula>
    </cfRule>
    <cfRule type="expression" dxfId="195" priority="703">
      <formula>$G159="A9"</formula>
    </cfRule>
    <cfRule type="expression" dxfId="194" priority="704">
      <formula>$G159="A8"</formula>
    </cfRule>
    <cfRule type="expression" dxfId="193" priority="710">
      <formula>$G159="A2"</formula>
    </cfRule>
  </conditionalFormatting>
  <conditionalFormatting sqref="T198">
    <cfRule type="expression" dxfId="192" priority="622">
      <formula>$G140="A9"</formula>
    </cfRule>
    <cfRule type="expression" dxfId="191" priority="630">
      <formula>$G140="A1"</formula>
    </cfRule>
    <cfRule type="expression" dxfId="190" priority="629">
      <formula>$G140="A2"</formula>
    </cfRule>
    <cfRule type="expression" dxfId="189" priority="623">
      <formula>$G140="A8"</formula>
    </cfRule>
    <cfRule type="expression" dxfId="188" priority="624">
      <formula>$G140="A7"</formula>
    </cfRule>
    <cfRule type="expression" dxfId="187" priority="625">
      <formula>$G140="A6"</formula>
    </cfRule>
    <cfRule type="expression" dxfId="186" priority="626">
      <formula>$G140="A5"</formula>
    </cfRule>
    <cfRule type="expression" dxfId="185" priority="627">
      <formula>$G140="A4"</formula>
    </cfRule>
    <cfRule type="expression" dxfId="184" priority="628">
      <formula>$G140="A3"</formula>
    </cfRule>
  </conditionalFormatting>
  <conditionalFormatting sqref="T202">
    <cfRule type="expression" dxfId="183" priority="557">
      <formula>$G144="A2"</formula>
    </cfRule>
    <cfRule type="expression" dxfId="182" priority="553">
      <formula>$G144="A6"</formula>
    </cfRule>
    <cfRule type="expression" dxfId="181" priority="551">
      <formula>$G144="A8"</formula>
    </cfRule>
    <cfRule type="expression" dxfId="180" priority="552">
      <formula>$G144="A7"</formula>
    </cfRule>
    <cfRule type="expression" dxfId="179" priority="550">
      <formula>$G144="A9"</formula>
    </cfRule>
    <cfRule type="expression" dxfId="178" priority="554">
      <formula>$G144="A5"</formula>
    </cfRule>
    <cfRule type="expression" dxfId="177" priority="555">
      <formula>$G144="A4"</formula>
    </cfRule>
    <cfRule type="expression" dxfId="176" priority="556">
      <formula>$G144="A3"</formula>
    </cfRule>
    <cfRule type="expression" dxfId="175" priority="558">
      <formula>$G144="A1"</formula>
    </cfRule>
  </conditionalFormatting>
  <conditionalFormatting sqref="T206">
    <cfRule type="expression" dxfId="174" priority="591">
      <formula>$G148="A4"</formula>
    </cfRule>
    <cfRule type="expression" dxfId="173" priority="586">
      <formula>$G148="A9"</formula>
    </cfRule>
    <cfRule type="expression" dxfId="172" priority="587">
      <formula>$G148="A8"</formula>
    </cfRule>
    <cfRule type="expression" dxfId="171" priority="588">
      <formula>$G148="A7"</formula>
    </cfRule>
    <cfRule type="expression" dxfId="170" priority="589">
      <formula>$G148="A6"</formula>
    </cfRule>
    <cfRule type="expression" dxfId="169" priority="590">
      <formula>$G148="A5"</formula>
    </cfRule>
    <cfRule type="expression" dxfId="168" priority="594">
      <formula>$G148="A1"</formula>
    </cfRule>
    <cfRule type="expression" dxfId="167" priority="593">
      <formula>$G148="A2"</formula>
    </cfRule>
    <cfRule type="expression" dxfId="166" priority="592">
      <formula>$G148="A3"</formula>
    </cfRule>
  </conditionalFormatting>
  <conditionalFormatting sqref="T236">
    <cfRule type="expression" dxfId="165" priority="684">
      <formula>$G235="A1"</formula>
    </cfRule>
    <cfRule type="expression" dxfId="164" priority="683">
      <formula>$G235="A2"</formula>
    </cfRule>
    <cfRule type="expression" dxfId="163" priority="681">
      <formula>$G235="A4"</formula>
    </cfRule>
    <cfRule type="expression" dxfId="162" priority="680">
      <formula>$G235="A5"</formula>
    </cfRule>
    <cfRule type="expression" dxfId="161" priority="679">
      <formula>$G235="A6"</formula>
    </cfRule>
    <cfRule type="expression" dxfId="160" priority="678">
      <formula>$G235="A7"</formula>
    </cfRule>
    <cfRule type="expression" dxfId="159" priority="677">
      <formula>$G235="A8"</formula>
    </cfRule>
    <cfRule type="expression" dxfId="158" priority="682">
      <formula>$G235="A3"</formula>
    </cfRule>
    <cfRule type="expression" dxfId="157" priority="676">
      <formula>$G235="A9"</formula>
    </cfRule>
  </conditionalFormatting>
  <printOptions horizontalCentered="1"/>
  <pageMargins left="0.59055118110236227" right="0.59055118110236227" top="0.43307086614173229" bottom="0.39370078740157483" header="0" footer="0"/>
  <pageSetup scale="10" fitToHeight="0" orientation="portrait" r:id="rId1"/>
  <headerFooter>
    <oddFooter>&amp;CPágina &amp;P de</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Q264"/>
  <sheetViews>
    <sheetView showGridLines="0" topLeftCell="C87" zoomScale="130" zoomScaleNormal="130" workbookViewId="0">
      <selection activeCell="K90" sqref="K90"/>
    </sheetView>
  </sheetViews>
  <sheetFormatPr baseColWidth="10" defaultColWidth="17.140625" defaultRowHeight="15" customHeight="1"/>
  <cols>
    <col min="1" max="1" width="28.42578125" customWidth="1"/>
    <col min="2" max="2" width="36.28515625" customWidth="1"/>
    <col min="19" max="19" width="21" customWidth="1"/>
    <col min="20" max="20" width="44.7109375" customWidth="1"/>
    <col min="60" max="60" width="20.42578125" customWidth="1"/>
  </cols>
  <sheetData>
    <row r="1" spans="1:69" ht="24.75" customHeight="1" thickBot="1">
      <c r="A1" s="1362">
        <v>0</v>
      </c>
      <c r="B1" s="1363"/>
      <c r="C1" s="1420" t="str">
        <f>IF(SUM(C12:C15)=0,"",IF(SUM(H12:H15)=SUM(C12:C15),"OJO - EN LA DISPONIBILIDAD INICIAL, NI EL RECONOCIMIENTO NI EL RECAUDO PUEDEN SER IGUALES AL PRESUPUESTO INICIAL, haga click en la celda B8 para mas información",""))</f>
        <v/>
      </c>
      <c r="D1" s="1363"/>
      <c r="E1" s="1363"/>
      <c r="F1" s="1363"/>
      <c r="G1" s="1363"/>
      <c r="H1" s="1363"/>
      <c r="I1" s="1363"/>
      <c r="J1" s="1363"/>
      <c r="K1" s="1421" t="str">
        <f>+IF(L8&gt;I8,"OJO - SUS RECAUDOS SON SUPERIORES A SUS RECONOCIMIENTOS, VERIFIQUE","")</f>
        <v/>
      </c>
      <c r="L1" s="1363"/>
      <c r="M1" s="1363"/>
      <c r="N1" s="1363"/>
      <c r="O1" s="766"/>
      <c r="P1" s="767"/>
      <c r="Q1" s="767"/>
      <c r="R1" s="766"/>
      <c r="S1" s="768"/>
      <c r="T1" s="769"/>
      <c r="U1" s="770" t="str">
        <f>+IF(AA8&gt;X8,"OJO - HA COMPROMETIDO MUCHO MAS DE LO QUE TIENE PRESUPUESTADO","")</f>
        <v/>
      </c>
      <c r="V1" s="766"/>
      <c r="W1" s="766"/>
      <c r="X1" s="770"/>
      <c r="Y1" s="770" t="str">
        <f>+IF(AD8&gt;AA8,"OJO - SUS OBLIGACIONES SUPERAN SUS COMPROMISOS, VERIFIQUE","")</f>
        <v/>
      </c>
      <c r="Z1" s="766"/>
      <c r="AA1" s="766"/>
      <c r="AB1" s="766"/>
      <c r="AC1" s="770" t="str">
        <f>+IF(AG8&gt;AD8,"OJO - SUS PAGOS NO PUEDEN SUPERAR SUS OBLIGACIONES, VERIFIQUE","")</f>
        <v/>
      </c>
      <c r="AD1" s="766"/>
      <c r="AE1" s="766"/>
      <c r="AF1" s="766"/>
      <c r="AG1" s="766"/>
      <c r="AH1" s="766"/>
      <c r="AI1" s="766"/>
      <c r="AJ1" s="766"/>
      <c r="AK1" s="771"/>
      <c r="AL1" s="766"/>
      <c r="AM1" s="766"/>
      <c r="AN1" s="766"/>
      <c r="AO1" s="766"/>
      <c r="AP1" s="766"/>
      <c r="AQ1" s="766"/>
      <c r="AR1" s="766"/>
      <c r="AS1" s="766"/>
      <c r="AT1" s="766"/>
      <c r="AU1" s="766"/>
      <c r="AV1" s="766"/>
      <c r="AW1" s="766"/>
      <c r="AX1" s="766"/>
      <c r="AY1" s="766"/>
      <c r="AZ1" s="766"/>
      <c r="BA1" s="766"/>
      <c r="BB1" s="766"/>
      <c r="BC1" s="766"/>
      <c r="BD1" s="766"/>
      <c r="BE1" s="766"/>
      <c r="BF1" s="766"/>
      <c r="BG1" s="766"/>
      <c r="BH1" s="766"/>
      <c r="BI1" s="766"/>
      <c r="BJ1" s="766"/>
      <c r="BK1" s="766"/>
      <c r="BL1" s="766"/>
      <c r="BM1" s="766"/>
      <c r="BN1" s="766"/>
      <c r="BO1" s="766"/>
      <c r="BP1" s="766"/>
      <c r="BQ1" s="766"/>
    </row>
    <row r="2" spans="1:69" ht="53.25" customHeight="1" thickBot="1">
      <c r="A2" s="772"/>
      <c r="B2" s="773" t="str">
        <f>+[1]ENERO!B2</f>
        <v>SECRETARIA SECCIONAL DE SALUD Y PROTECCION SOCIAL DE ANTIOQUIA DE ANTIOQUIA</v>
      </c>
      <c r="C2" s="774"/>
      <c r="D2" s="1407" t="str">
        <f>+IF(F2="","","MUNICIPIO:")</f>
        <v>MUNICIPIO:</v>
      </c>
      <c r="E2" s="1406"/>
      <c r="F2" s="775" t="str">
        <f>IF([1]INSTRUCCIONES!B3=0,"",[1]INSTRUCCIONES!B3)</f>
        <v>BELLO</v>
      </c>
      <c r="G2" s="776"/>
      <c r="H2" s="776"/>
      <c r="I2" s="776"/>
      <c r="J2" s="776"/>
      <c r="K2" s="777"/>
      <c r="L2" s="1422" t="s">
        <v>37</v>
      </c>
      <c r="M2" s="1404"/>
      <c r="N2" s="43" t="s">
        <v>38</v>
      </c>
      <c r="O2" s="766"/>
      <c r="P2" s="1423" t="s">
        <v>346</v>
      </c>
      <c r="Q2" s="1338"/>
      <c r="R2" s="766"/>
      <c r="S2" s="778"/>
      <c r="T2" s="773" t="s">
        <v>36</v>
      </c>
      <c r="U2" s="774"/>
      <c r="V2" s="1433" t="str">
        <f>+IF(Y2="","","M U N I C I P I O:")</f>
        <v>M U N I C I P I O:</v>
      </c>
      <c r="W2" s="1406"/>
      <c r="X2" s="1406"/>
      <c r="Y2" s="1434" t="str">
        <f>IF([1]INSTRUCCIONES!B3=0,"",[1]INSTRUCCIONES!B3)</f>
        <v>BELLO</v>
      </c>
      <c r="Z2" s="1406"/>
      <c r="AA2" s="1406"/>
      <c r="AB2" s="1406"/>
      <c r="AC2" s="1406"/>
      <c r="AD2" s="1406"/>
      <c r="AE2" s="1406"/>
      <c r="AF2" s="1406"/>
      <c r="AG2" s="1338"/>
      <c r="AH2" s="1427" t="s">
        <v>37</v>
      </c>
      <c r="AI2" s="1404"/>
      <c r="AJ2" s="43" t="s">
        <v>38</v>
      </c>
      <c r="AK2" s="771"/>
      <c r="AL2" s="1423" t="s">
        <v>346</v>
      </c>
      <c r="AM2" s="1338"/>
      <c r="AN2" s="766"/>
      <c r="AO2" s="779">
        <v>2</v>
      </c>
      <c r="AP2" s="1428" t="s">
        <v>40</v>
      </c>
      <c r="AQ2" s="1387"/>
      <c r="AR2" s="1387"/>
      <c r="AS2" s="1387"/>
      <c r="AT2" s="1387"/>
      <c r="AU2" s="1387"/>
      <c r="AV2" s="1387"/>
      <c r="AW2" s="1387"/>
      <c r="AX2" s="1387"/>
      <c r="AY2" s="1387"/>
      <c r="AZ2" s="1388"/>
      <c r="BA2" s="766"/>
      <c r="BB2" s="1423" t="s">
        <v>41</v>
      </c>
      <c r="BC2" s="1406"/>
      <c r="BD2" s="47" t="s">
        <v>37</v>
      </c>
      <c r="BE2" s="43" t="str">
        <f>+L3</f>
        <v>FEBRERO</v>
      </c>
      <c r="BF2" s="770"/>
      <c r="BG2" s="1423" t="s">
        <v>42</v>
      </c>
      <c r="BH2" s="1406"/>
      <c r="BI2" s="1406"/>
      <c r="BJ2" s="47" t="s">
        <v>37</v>
      </c>
      <c r="BK2" s="43" t="str">
        <f>+BE2</f>
        <v>FEBRERO</v>
      </c>
      <c r="BL2" s="766"/>
      <c r="BM2" s="1343" t="s">
        <v>42</v>
      </c>
      <c r="BN2" s="1344"/>
      <c r="BO2" s="1345"/>
      <c r="BP2" s="732" t="s">
        <v>37</v>
      </c>
      <c r="BQ2" s="733" t="str">
        <f>+BK2</f>
        <v>FEBRERO</v>
      </c>
    </row>
    <row r="3" spans="1:69" ht="24.75" customHeight="1" thickBot="1">
      <c r="A3" s="780"/>
      <c r="B3" s="1417" t="s">
        <v>43</v>
      </c>
      <c r="C3" s="781"/>
      <c r="D3" s="1408" t="str">
        <f>+IF(F3="","","INSTITUCION:")</f>
        <v>INSTITUCION:</v>
      </c>
      <c r="E3" s="1390"/>
      <c r="F3" s="1391" t="str">
        <f>IF([1]INSTRUCCIONES!B5=0,"",[1]INSTRUCCIONES!B5)</f>
        <v>ESE HOSPITAL MARCO FIDEL SUAREZ</v>
      </c>
      <c r="G3" s="1390"/>
      <c r="H3" s="1390"/>
      <c r="I3" s="1390"/>
      <c r="J3" s="1390"/>
      <c r="K3" s="1392"/>
      <c r="L3" s="1412" t="s">
        <v>347</v>
      </c>
      <c r="M3" s="1313"/>
      <c r="N3" s="1395">
        <f>SUM([1]ENERO!N3)</f>
        <v>2025</v>
      </c>
      <c r="O3" s="766"/>
      <c r="P3" s="1397" t="s">
        <v>45</v>
      </c>
      <c r="Q3" s="1400" t="s">
        <v>348</v>
      </c>
      <c r="R3" s="766"/>
      <c r="S3" s="782"/>
      <c r="T3" s="1417" t="s">
        <v>47</v>
      </c>
      <c r="U3" s="783"/>
      <c r="V3" s="1389" t="str">
        <f>+IF(Y3="","","E.S.E. H O S P I T A L:")</f>
        <v>E.S.E. H O S P I T A L:</v>
      </c>
      <c r="W3" s="1390"/>
      <c r="X3" s="1390"/>
      <c r="Y3" s="1391" t="str">
        <f>IF([1]INSTRUCCIONES!B5=0,"",[1]INSTRUCCIONES!B5)</f>
        <v>ESE HOSPITAL MARCO FIDEL SUAREZ</v>
      </c>
      <c r="Z3" s="1390"/>
      <c r="AA3" s="1390"/>
      <c r="AB3" s="1390"/>
      <c r="AC3" s="1390"/>
      <c r="AD3" s="1390"/>
      <c r="AE3" s="1390"/>
      <c r="AF3" s="1390"/>
      <c r="AG3" s="1392"/>
      <c r="AH3" s="1334" t="str">
        <f>+L3</f>
        <v>FEBRERO</v>
      </c>
      <c r="AI3" s="1313"/>
      <c r="AJ3" s="1395">
        <f>+N3</f>
        <v>2025</v>
      </c>
      <c r="AK3" s="771"/>
      <c r="AL3" s="1397" t="s">
        <v>349</v>
      </c>
      <c r="AM3" s="1400" t="s">
        <v>348</v>
      </c>
      <c r="AN3" s="766"/>
      <c r="AO3" s="784"/>
      <c r="AP3" s="1431" t="s">
        <v>50</v>
      </c>
      <c r="AQ3" s="1425"/>
      <c r="AR3" s="1425"/>
      <c r="AS3" s="1425"/>
      <c r="AT3" s="1425"/>
      <c r="AU3" s="1425"/>
      <c r="AV3" s="1425"/>
      <c r="AW3" s="1425"/>
      <c r="AX3" s="1425"/>
      <c r="AY3" s="1425"/>
      <c r="AZ3" s="1426"/>
      <c r="BA3" s="766"/>
      <c r="BB3" s="1432" t="str">
        <f>+CONCATENATE([1]INSTRUCCIONES!B5, " - ", [1]INSTRUCCIONES!B3)</f>
        <v>ESE HOSPITAL MARCO FIDEL SUAREZ - BELLO</v>
      </c>
      <c r="BC3" s="1390"/>
      <c r="BD3" s="53" t="s">
        <v>38</v>
      </c>
      <c r="BE3" s="54">
        <f>+N3</f>
        <v>2025</v>
      </c>
      <c r="BF3" s="785" t="s">
        <v>51</v>
      </c>
      <c r="BG3" s="1432" t="str">
        <f>+CONCATENATE([1]INSTRUCCIONES!B5, " - ", [1]INSTRUCCIONES!B3)</f>
        <v>ESE HOSPITAL MARCO FIDEL SUAREZ - BELLO</v>
      </c>
      <c r="BH3" s="1390"/>
      <c r="BI3" s="1390"/>
      <c r="BJ3" s="53" t="s">
        <v>38</v>
      </c>
      <c r="BK3" s="54">
        <f>+BE3</f>
        <v>2025</v>
      </c>
      <c r="BL3" s="766"/>
      <c r="BM3" s="1379" t="str">
        <f>+CONCATENATE(INSTRUCCIONES!B5, " - ", INSTRUCCIONES!B3)</f>
        <v>ESE HOSPITAL MARCO FIDEL SUAREZ - BELLO</v>
      </c>
      <c r="BN3" s="1380"/>
      <c r="BO3" s="1381"/>
      <c r="BP3" s="53" t="s">
        <v>38</v>
      </c>
      <c r="BQ3" s="734">
        <f>+BK3</f>
        <v>2025</v>
      </c>
    </row>
    <row r="4" spans="1:69" ht="24.75" customHeight="1" thickBot="1">
      <c r="A4" s="780"/>
      <c r="B4" s="1363"/>
      <c r="C4" s="786"/>
      <c r="D4" s="1363"/>
      <c r="E4" s="1363"/>
      <c r="F4" s="1363"/>
      <c r="G4" s="1363"/>
      <c r="H4" s="1363"/>
      <c r="I4" s="1363"/>
      <c r="J4" s="1363"/>
      <c r="K4" s="1393"/>
      <c r="L4" s="1413"/>
      <c r="M4" s="1394"/>
      <c r="N4" s="1396"/>
      <c r="O4" s="766"/>
      <c r="P4" s="1398"/>
      <c r="Q4" s="1401"/>
      <c r="R4" s="766"/>
      <c r="S4" s="782"/>
      <c r="T4" s="1390"/>
      <c r="U4" s="786"/>
      <c r="V4" s="1363"/>
      <c r="W4" s="1363"/>
      <c r="X4" s="1363"/>
      <c r="Y4" s="1363"/>
      <c r="Z4" s="1363"/>
      <c r="AA4" s="1363"/>
      <c r="AB4" s="1363"/>
      <c r="AC4" s="1363"/>
      <c r="AD4" s="1363"/>
      <c r="AE4" s="1363"/>
      <c r="AF4" s="1363"/>
      <c r="AG4" s="1393"/>
      <c r="AH4" s="1363"/>
      <c r="AI4" s="1394"/>
      <c r="AJ4" s="1396"/>
      <c r="AK4" s="771"/>
      <c r="AL4" s="1398"/>
      <c r="AM4" s="1401"/>
      <c r="AN4" s="766"/>
      <c r="AO4" s="784"/>
      <c r="AP4" s="787"/>
      <c r="AQ4" s="58" t="s">
        <v>52</v>
      </c>
      <c r="AR4" s="58" t="s">
        <v>53</v>
      </c>
      <c r="AS4" s="58" t="s">
        <v>54</v>
      </c>
      <c r="AT4" s="58" t="s">
        <v>55</v>
      </c>
      <c r="AU4" s="58" t="s">
        <v>55</v>
      </c>
      <c r="AV4" s="788" t="s">
        <v>55</v>
      </c>
      <c r="AW4" s="1424" t="str">
        <f>+CONCATENATE("PROYECCION A DICIEMBRE 31 DEL ",N3)</f>
        <v>PROYECCION A DICIEMBRE 31 DEL 2025</v>
      </c>
      <c r="AX4" s="1425"/>
      <c r="AY4" s="1425"/>
      <c r="AZ4" s="1426"/>
      <c r="BA4" s="766"/>
      <c r="BB4" s="789"/>
      <c r="BC4" s="790"/>
      <c r="BD4" s="790"/>
      <c r="BE4" s="63"/>
      <c r="BF4" s="791"/>
      <c r="BG4" s="789"/>
      <c r="BH4" s="790"/>
      <c r="BI4" s="792"/>
      <c r="BJ4" s="792"/>
      <c r="BK4" s="65"/>
      <c r="BL4" s="793"/>
      <c r="BM4" s="735"/>
      <c r="BN4" s="736"/>
      <c r="BO4" s="737"/>
      <c r="BP4" s="737"/>
      <c r="BQ4" s="738"/>
    </row>
    <row r="5" spans="1:69" ht="43.5" customHeight="1" thickBot="1">
      <c r="A5" s="1409" t="s">
        <v>56</v>
      </c>
      <c r="B5" s="1410" t="str">
        <f>IF(SUM(C8:N125)=0,"DESCRIPCIÓN",IF(I10&gt;0,"DESCRIPCIÓN",IF([1]MARZO!I10=0,"OJO - RECUERDE RECAUDAR LA DISPONIBLIDAD INICIAL EN ESTE TRIMESTRE, haga clik en H9 para ampliar la información","")))</f>
        <v>DESCRIPCIÓN</v>
      </c>
      <c r="C5" s="1411" t="s">
        <v>57</v>
      </c>
      <c r="D5" s="1387"/>
      <c r="E5" s="1387"/>
      <c r="F5" s="1388"/>
      <c r="G5" s="1414" t="s">
        <v>58</v>
      </c>
      <c r="H5" s="1387"/>
      <c r="I5" s="1388"/>
      <c r="J5" s="1415" t="str">
        <f>+IF(L8&gt;I8,"OJO - RECAUDOS MAYORES QUE RECONOCIMIENTOS","RECAUDO")</f>
        <v>RECAUDO</v>
      </c>
      <c r="K5" s="1387"/>
      <c r="L5" s="1388"/>
      <c r="M5" s="1416" t="s">
        <v>59</v>
      </c>
      <c r="N5" s="1388"/>
      <c r="O5" s="766"/>
      <c r="P5" s="1399"/>
      <c r="Q5" s="1396"/>
      <c r="R5" s="766"/>
      <c r="S5" s="1418" t="s">
        <v>60</v>
      </c>
      <c r="T5" s="1410" t="s">
        <v>61</v>
      </c>
      <c r="U5" s="1402" t="s">
        <v>57</v>
      </c>
      <c r="V5" s="1387"/>
      <c r="W5" s="1387"/>
      <c r="X5" s="1388"/>
      <c r="Y5" s="1403" t="s">
        <v>62</v>
      </c>
      <c r="Z5" s="1387"/>
      <c r="AA5" s="1404"/>
      <c r="AB5" s="1403" t="s">
        <v>63</v>
      </c>
      <c r="AC5" s="1387"/>
      <c r="AD5" s="1388"/>
      <c r="AE5" s="1403" t="s">
        <v>34</v>
      </c>
      <c r="AF5" s="1387"/>
      <c r="AG5" s="1388"/>
      <c r="AH5" s="1403" t="s">
        <v>64</v>
      </c>
      <c r="AI5" s="1387"/>
      <c r="AJ5" s="1388"/>
      <c r="AK5" s="771"/>
      <c r="AL5" s="1399"/>
      <c r="AM5" s="1396"/>
      <c r="AN5" s="766"/>
      <c r="AO5" s="794"/>
      <c r="AP5" s="795" t="s">
        <v>65</v>
      </c>
      <c r="AQ5" s="58"/>
      <c r="AR5" s="58" t="s">
        <v>66</v>
      </c>
      <c r="AS5" s="58" t="s">
        <v>66</v>
      </c>
      <c r="AT5" s="58" t="s">
        <v>67</v>
      </c>
      <c r="AU5" s="58" t="s">
        <v>68</v>
      </c>
      <c r="AV5" s="58" t="s">
        <v>68</v>
      </c>
      <c r="AW5" s="58" t="s">
        <v>23</v>
      </c>
      <c r="AX5" s="58" t="s">
        <v>26</v>
      </c>
      <c r="AY5" s="58" t="s">
        <v>69</v>
      </c>
      <c r="AZ5" s="70" t="s">
        <v>69</v>
      </c>
      <c r="BA5" s="766"/>
      <c r="BB5" s="796" t="s">
        <v>70</v>
      </c>
      <c r="BC5" s="1419" t="str">
        <f>+CONCATENATE("ACUMULADO ",N3)</f>
        <v>ACUMULADO 2025</v>
      </c>
      <c r="BD5" s="1387"/>
      <c r="BE5" s="1388"/>
      <c r="BF5" s="797" t="s">
        <v>51</v>
      </c>
      <c r="BG5" s="1429" t="s">
        <v>71</v>
      </c>
      <c r="BH5" s="1430" t="str">
        <f>+CONCATENATE("ACUMULADO ",N3)</f>
        <v>ACUMULADO 2025</v>
      </c>
      <c r="BI5" s="1387"/>
      <c r="BJ5" s="1387"/>
      <c r="BK5" s="1388"/>
      <c r="BL5" s="766"/>
      <c r="BM5" s="1384" t="s">
        <v>71</v>
      </c>
      <c r="BN5" s="1370" t="str">
        <f>+CONCATENATE("ACUMULADO ",BQ3)</f>
        <v>ACUMULADO 2025</v>
      </c>
      <c r="BO5" s="1371"/>
      <c r="BP5" s="1371"/>
      <c r="BQ5" s="1372"/>
    </row>
    <row r="6" spans="1:69" ht="24.75" customHeight="1" thickBot="1">
      <c r="A6" s="1398"/>
      <c r="B6" s="1401"/>
      <c r="C6" s="76" t="s">
        <v>72</v>
      </c>
      <c r="D6" s="798" t="s">
        <v>73</v>
      </c>
      <c r="E6" s="798" t="s">
        <v>74</v>
      </c>
      <c r="F6" s="78" t="s">
        <v>75</v>
      </c>
      <c r="G6" s="76" t="s">
        <v>76</v>
      </c>
      <c r="H6" s="798" t="s">
        <v>77</v>
      </c>
      <c r="I6" s="78" t="s">
        <v>78</v>
      </c>
      <c r="J6" s="76" t="s">
        <v>76</v>
      </c>
      <c r="K6" s="798" t="s">
        <v>77</v>
      </c>
      <c r="L6" s="78" t="s">
        <v>78</v>
      </c>
      <c r="M6" s="76" t="s">
        <v>79</v>
      </c>
      <c r="N6" s="78" t="s">
        <v>80</v>
      </c>
      <c r="O6" s="766"/>
      <c r="P6" s="799" t="s">
        <v>39</v>
      </c>
      <c r="Q6" s="800" t="s">
        <v>82</v>
      </c>
      <c r="R6" s="766"/>
      <c r="S6" s="1399"/>
      <c r="T6" s="1396"/>
      <c r="U6" s="81" t="s">
        <v>72</v>
      </c>
      <c r="V6" s="82" t="s">
        <v>73</v>
      </c>
      <c r="W6" s="82" t="s">
        <v>74</v>
      </c>
      <c r="X6" s="83" t="s">
        <v>75</v>
      </c>
      <c r="Y6" s="84" t="s">
        <v>76</v>
      </c>
      <c r="Z6" s="82" t="s">
        <v>77</v>
      </c>
      <c r="AA6" s="82" t="s">
        <v>78</v>
      </c>
      <c r="AB6" s="84" t="s">
        <v>76</v>
      </c>
      <c r="AC6" s="82" t="s">
        <v>77</v>
      </c>
      <c r="AD6" s="82" t="s">
        <v>78</v>
      </c>
      <c r="AE6" s="84" t="s">
        <v>76</v>
      </c>
      <c r="AF6" s="82" t="s">
        <v>77</v>
      </c>
      <c r="AG6" s="82" t="s">
        <v>78</v>
      </c>
      <c r="AH6" s="84" t="s">
        <v>29</v>
      </c>
      <c r="AI6" s="82" t="s">
        <v>31</v>
      </c>
      <c r="AJ6" s="83" t="s">
        <v>34</v>
      </c>
      <c r="AK6" s="771"/>
      <c r="AL6" s="76" t="s">
        <v>39</v>
      </c>
      <c r="AM6" s="78" t="s">
        <v>82</v>
      </c>
      <c r="AN6" s="766"/>
      <c r="AO6" s="801"/>
      <c r="AP6" s="86"/>
      <c r="AQ6" s="87" t="s">
        <v>75</v>
      </c>
      <c r="AR6" s="87" t="str">
        <f>+L3</f>
        <v>FEBRERO</v>
      </c>
      <c r="AS6" s="87" t="str">
        <f>AR6</f>
        <v>FEBRERO</v>
      </c>
      <c r="AT6" s="87" t="str">
        <f>AR6</f>
        <v>FEBRERO</v>
      </c>
      <c r="AU6" s="87" t="s">
        <v>53</v>
      </c>
      <c r="AV6" s="87" t="s">
        <v>26</v>
      </c>
      <c r="AW6" s="87"/>
      <c r="AX6" s="87"/>
      <c r="AY6" s="87" t="s">
        <v>53</v>
      </c>
      <c r="AZ6" s="88" t="s">
        <v>26</v>
      </c>
      <c r="BA6" s="766"/>
      <c r="BB6" s="89"/>
      <c r="BC6" s="90" t="s">
        <v>83</v>
      </c>
      <c r="BD6" s="91" t="s">
        <v>84</v>
      </c>
      <c r="BE6" s="92" t="s">
        <v>85</v>
      </c>
      <c r="BF6" s="802"/>
      <c r="BG6" s="1399"/>
      <c r="BH6" s="739" t="s">
        <v>83</v>
      </c>
      <c r="BI6" s="739" t="s">
        <v>86</v>
      </c>
      <c r="BJ6" s="739" t="s">
        <v>87</v>
      </c>
      <c r="BK6" s="95" t="s">
        <v>88</v>
      </c>
      <c r="BL6" s="766"/>
      <c r="BM6" s="1385"/>
      <c r="BN6" s="96" t="s">
        <v>83</v>
      </c>
      <c r="BO6" s="739" t="s">
        <v>86</v>
      </c>
      <c r="BP6" s="739" t="s">
        <v>87</v>
      </c>
      <c r="BQ6" s="740" t="s">
        <v>88</v>
      </c>
    </row>
    <row r="7" spans="1:69" ht="24.75" customHeight="1" thickBot="1">
      <c r="A7" s="526"/>
      <c r="B7" s="803"/>
      <c r="C7" s="804"/>
      <c r="D7" s="804"/>
      <c r="E7" s="804"/>
      <c r="F7" s="804"/>
      <c r="G7" s="804"/>
      <c r="H7" s="804"/>
      <c r="I7" s="804"/>
      <c r="J7" s="804"/>
      <c r="K7" s="804"/>
      <c r="L7" s="804"/>
      <c r="M7" s="804"/>
      <c r="N7" s="105"/>
      <c r="O7" s="766"/>
      <c r="P7" s="527"/>
      <c r="Q7" s="105"/>
      <c r="R7" s="805"/>
      <c r="S7" s="102"/>
      <c r="T7" s="803"/>
      <c r="U7" s="804"/>
      <c r="V7" s="804"/>
      <c r="W7" s="804"/>
      <c r="X7" s="804"/>
      <c r="Y7" s="804"/>
      <c r="Z7" s="804"/>
      <c r="AA7" s="804"/>
      <c r="AB7" s="804"/>
      <c r="AC7" s="804"/>
      <c r="AD7" s="804"/>
      <c r="AE7" s="804"/>
      <c r="AF7" s="804"/>
      <c r="AG7" s="804"/>
      <c r="AH7" s="804"/>
      <c r="AI7" s="804"/>
      <c r="AJ7" s="105"/>
      <c r="AK7" s="771"/>
      <c r="AL7" s="106"/>
      <c r="AM7" s="107"/>
      <c r="AN7" s="805"/>
      <c r="AO7" s="806"/>
      <c r="AP7" s="109" t="s">
        <v>89</v>
      </c>
      <c r="AQ7" s="807">
        <f>F22</f>
        <v>56030749893.586876</v>
      </c>
      <c r="AR7" s="807">
        <f>I22</f>
        <v>14760429054</v>
      </c>
      <c r="AS7" s="807">
        <f>L22</f>
        <v>4950736848</v>
      </c>
      <c r="AT7" s="805"/>
      <c r="AU7" s="808">
        <f t="shared" ref="AU7:AU17" si="0">IF(AQ7=0," ",AR7/AQ7)</f>
        <v>0.26343443701954516</v>
      </c>
      <c r="AV7" s="808">
        <f t="shared" ref="AV7:AV17" si="1">IF(AQ7=0," ",AS7/AQ7)</f>
        <v>8.8357497577712191E-2</v>
      </c>
      <c r="AW7" s="807">
        <f>I23/AO$2*12+I24</f>
        <v>64327112384</v>
      </c>
      <c r="AX7" s="807">
        <f>L23/AO$2*12+L24</f>
        <v>5468959148</v>
      </c>
      <c r="AY7" s="807">
        <f t="shared" ref="AY7:AY16" si="2">AW7-AQ7</f>
        <v>8296362490.4131241</v>
      </c>
      <c r="AZ7" s="809">
        <f t="shared" ref="AZ7:AZ16" si="3">AX7-AQ7</f>
        <v>-50561790745.586876</v>
      </c>
      <c r="BA7" s="805"/>
      <c r="BB7" s="113" t="s">
        <v>90</v>
      </c>
      <c r="BC7" s="114">
        <f>F10</f>
        <v>1179477265</v>
      </c>
      <c r="BD7" s="115">
        <f>I10</f>
        <v>1179477265</v>
      </c>
      <c r="BE7" s="116">
        <f>K10</f>
        <v>1179477265</v>
      </c>
      <c r="BF7" s="810"/>
      <c r="BG7" s="118" t="s">
        <v>91</v>
      </c>
      <c r="BH7" s="119">
        <f>+SUM(BH8:BH11)</f>
        <v>97345100493.611267</v>
      </c>
      <c r="BI7" s="119">
        <f>+SUM(BI8:BI11)</f>
        <v>46917920448</v>
      </c>
      <c r="BJ7" s="119">
        <f>+SUM(BJ8:BJ11)</f>
        <v>15294569182</v>
      </c>
      <c r="BK7" s="120">
        <f>+SUM(BK8:BK11)</f>
        <v>1687679591</v>
      </c>
      <c r="BL7" s="805"/>
      <c r="BM7" s="741" t="s">
        <v>91</v>
      </c>
      <c r="BN7" s="121">
        <f>BN8+BN15+BN22</f>
        <v>97345100493.611298</v>
      </c>
      <c r="BO7" s="122">
        <f>BO8+BO15+BO22</f>
        <v>46917920448</v>
      </c>
      <c r="BP7" s="122">
        <f>BP8+BP15+BP22</f>
        <v>15294569182</v>
      </c>
      <c r="BQ7" s="742">
        <f>BQ8+BQ15+BQ22</f>
        <v>1687679591</v>
      </c>
    </row>
    <row r="8" spans="1:69" ht="24.75" customHeight="1" thickBot="1">
      <c r="A8" s="123">
        <f>+IF([1]ENERO!A8=0,"",[1]ENERO!A8)</f>
        <v>1</v>
      </c>
      <c r="B8" s="124" t="str">
        <f>+IF([1]ENERO!B8=0,"",[1]ENERO!B8)</f>
        <v>INGRESOS</v>
      </c>
      <c r="C8" s="125">
        <f t="shared" ref="C8:N8" si="4">C10+C17+C113</f>
        <v>158143153137.47653</v>
      </c>
      <c r="D8" s="125">
        <f t="shared" si="4"/>
        <v>0</v>
      </c>
      <c r="E8" s="125">
        <f t="shared" si="4"/>
        <v>15046703295</v>
      </c>
      <c r="F8" s="125">
        <f t="shared" si="4"/>
        <v>173189856432.47653</v>
      </c>
      <c r="G8" s="125">
        <f t="shared" si="4"/>
        <v>25480206820</v>
      </c>
      <c r="H8" s="125">
        <f t="shared" si="4"/>
        <v>22863966445</v>
      </c>
      <c r="I8" s="125">
        <f t="shared" si="4"/>
        <v>48344173265</v>
      </c>
      <c r="J8" s="125">
        <f t="shared" si="4"/>
        <v>10410466334</v>
      </c>
      <c r="K8" s="125">
        <f t="shared" si="4"/>
        <v>11489005675</v>
      </c>
      <c r="L8" s="125">
        <f t="shared" si="4"/>
        <v>21899472009</v>
      </c>
      <c r="M8" s="125">
        <f t="shared" si="4"/>
        <v>124845683167.47652</v>
      </c>
      <c r="N8" s="125">
        <f t="shared" si="4"/>
        <v>151290384423.4765</v>
      </c>
      <c r="O8" s="811"/>
      <c r="P8" s="127">
        <f>P10+P17+P113</f>
        <v>0</v>
      </c>
      <c r="Q8" s="173">
        <f>Q10+Q17+Q113</f>
        <v>8645234788</v>
      </c>
      <c r="R8" s="805"/>
      <c r="S8" s="129" t="str">
        <f>+IF([1]ENERO!S8=0,"",[1]ENERO!S8)</f>
        <v>2</v>
      </c>
      <c r="T8" s="130" t="s">
        <v>92</v>
      </c>
      <c r="U8" s="812">
        <f t="shared" ref="U8:AJ8" si="5">U10+U193+U220+U232</f>
        <v>158143153137.16666</v>
      </c>
      <c r="V8" s="132">
        <f t="shared" si="5"/>
        <v>0</v>
      </c>
      <c r="W8" s="132">
        <f t="shared" si="5"/>
        <v>15046703195</v>
      </c>
      <c r="X8" s="813">
        <f t="shared" si="5"/>
        <v>173189856432.16666</v>
      </c>
      <c r="Y8" s="134">
        <f t="shared" si="5"/>
        <v>71091031371</v>
      </c>
      <c r="Z8" s="132">
        <f t="shared" si="5"/>
        <v>16665686707</v>
      </c>
      <c r="AA8" s="813">
        <f t="shared" si="5"/>
        <v>87756718078</v>
      </c>
      <c r="AB8" s="134">
        <f t="shared" si="5"/>
        <v>20629350083</v>
      </c>
      <c r="AC8" s="132">
        <f t="shared" si="5"/>
        <v>19754168864</v>
      </c>
      <c r="AD8" s="813">
        <f t="shared" si="5"/>
        <v>40383518947</v>
      </c>
      <c r="AE8" s="134">
        <f t="shared" si="5"/>
        <v>9700282252</v>
      </c>
      <c r="AF8" s="132">
        <f t="shared" si="5"/>
        <v>9917879504</v>
      </c>
      <c r="AG8" s="813">
        <f t="shared" si="5"/>
        <v>19618161756</v>
      </c>
      <c r="AH8" s="134">
        <f t="shared" si="5"/>
        <v>85433138354.166656</v>
      </c>
      <c r="AI8" s="132">
        <f t="shared" si="5"/>
        <v>132806337485.16666</v>
      </c>
      <c r="AJ8" s="135">
        <f t="shared" si="5"/>
        <v>153571694676.16666</v>
      </c>
      <c r="AK8" s="805"/>
      <c r="AL8" s="136">
        <f>AL10+AL193+AL220+AL232</f>
        <v>0</v>
      </c>
      <c r="AM8" s="1155">
        <f>AM10+AM193+AM220+AM232</f>
        <v>8645234788</v>
      </c>
      <c r="AN8" s="805"/>
      <c r="AO8" s="806"/>
      <c r="AP8" s="109" t="s">
        <v>93</v>
      </c>
      <c r="AQ8" s="528">
        <f>F25</f>
        <v>91588666596</v>
      </c>
      <c r="AR8" s="814">
        <f>I25</f>
        <v>26552689830</v>
      </c>
      <c r="AS8" s="814">
        <f>L25</f>
        <v>14097365185</v>
      </c>
      <c r="AT8" s="805"/>
      <c r="AU8" s="139">
        <f t="shared" si="0"/>
        <v>0.28991239655365447</v>
      </c>
      <c r="AV8" s="139">
        <f t="shared" si="1"/>
        <v>0.15392041077728369</v>
      </c>
      <c r="AW8" s="814">
        <f>I26/AO$2*12+I27</f>
        <v>90075771270</v>
      </c>
      <c r="AX8" s="814">
        <f>L26/AO$2*12+L27</f>
        <v>15343823400</v>
      </c>
      <c r="AY8" s="814">
        <f t="shared" si="2"/>
        <v>-1512895326</v>
      </c>
      <c r="AZ8" s="140">
        <f t="shared" si="3"/>
        <v>-76244843196</v>
      </c>
      <c r="BA8" s="805"/>
      <c r="BB8" s="141" t="s">
        <v>94</v>
      </c>
      <c r="BC8" s="142">
        <f>BC9+BC19</f>
        <v>152827494698.37653</v>
      </c>
      <c r="BD8" s="143">
        <f>BD9+BD19</f>
        <v>27438589590</v>
      </c>
      <c r="BE8" s="142">
        <f>SUM(BE9+BE19+BE18)</f>
        <v>869295142</v>
      </c>
      <c r="BF8" s="810"/>
      <c r="BG8" s="145" t="s">
        <v>95</v>
      </c>
      <c r="BH8" s="146">
        <f>BN9+BN13</f>
        <v>10773104894.212667</v>
      </c>
      <c r="BI8" s="146">
        <f>BO9+BO13</f>
        <v>1244529868</v>
      </c>
      <c r="BJ8" s="146">
        <f>BP9+BP13</f>
        <v>1244529868</v>
      </c>
      <c r="BK8" s="147">
        <f>BQ9+BQ13</f>
        <v>675383723</v>
      </c>
      <c r="BL8" s="805"/>
      <c r="BM8" s="743" t="s">
        <v>96</v>
      </c>
      <c r="BN8" s="148">
        <f>BN9+BN14+BN13</f>
        <v>77116109684.212677</v>
      </c>
      <c r="BO8" s="146">
        <f>BO9+BO14+BO13</f>
        <v>39311806079</v>
      </c>
      <c r="BP8" s="146">
        <f>BP9+BP14+BP13</f>
        <v>12154672691</v>
      </c>
      <c r="BQ8" s="744">
        <f>BQ9+BQ14+BQ13</f>
        <v>703718721</v>
      </c>
    </row>
    <row r="9" spans="1:69" ht="24.75" customHeight="1" thickBot="1">
      <c r="A9" s="815"/>
      <c r="B9" s="816"/>
      <c r="C9" s="817"/>
      <c r="D9" s="817"/>
      <c r="E9" s="817"/>
      <c r="F9" s="817"/>
      <c r="G9" s="817"/>
      <c r="H9" s="817"/>
      <c r="I9" s="817"/>
      <c r="J9" s="817"/>
      <c r="K9" s="817"/>
      <c r="L9" s="817"/>
      <c r="M9" s="817"/>
      <c r="N9" s="152"/>
      <c r="O9" s="811"/>
      <c r="P9" s="818"/>
      <c r="Q9" s="152"/>
      <c r="R9" s="805"/>
      <c r="S9" s="102"/>
      <c r="T9" s="803"/>
      <c r="U9" s="804"/>
      <c r="V9" s="804"/>
      <c r="W9" s="804"/>
      <c r="X9" s="804"/>
      <c r="Y9" s="804"/>
      <c r="Z9" s="804"/>
      <c r="AA9" s="804"/>
      <c r="AB9" s="804"/>
      <c r="AC9" s="804"/>
      <c r="AD9" s="804"/>
      <c r="AE9" s="804"/>
      <c r="AF9" s="804"/>
      <c r="AG9" s="804"/>
      <c r="AH9" s="804"/>
      <c r="AI9" s="804"/>
      <c r="AJ9" s="105"/>
      <c r="AK9" s="805"/>
      <c r="AL9" s="154"/>
      <c r="AM9" s="155"/>
      <c r="AN9" s="805"/>
      <c r="AO9" s="819"/>
      <c r="AP9" s="109" t="s">
        <v>97</v>
      </c>
      <c r="AQ9" s="528">
        <f>F28+F75</f>
        <v>2299679776</v>
      </c>
      <c r="AR9" s="814">
        <f>I28+I75</f>
        <v>520179869</v>
      </c>
      <c r="AS9" s="814">
        <f>L28+L75</f>
        <v>234320567</v>
      </c>
      <c r="AT9" s="805"/>
      <c r="AU9" s="157">
        <f t="shared" si="0"/>
        <v>0.22619665330309013</v>
      </c>
      <c r="AV9" s="157">
        <f t="shared" si="1"/>
        <v>0.10189269368954089</v>
      </c>
      <c r="AW9" s="820">
        <f>(I30+I33+I36+I76)/AO$2*12+I31+I34+I37+I38+I39+I40+I77</f>
        <v>1949476379</v>
      </c>
      <c r="AX9" s="820">
        <f>(L30+L33+L36+L76)/AO$2*12+L31+L34+L37+L38+L39+L40+L77</f>
        <v>234320567</v>
      </c>
      <c r="AY9" s="820">
        <f t="shared" si="2"/>
        <v>-350203397</v>
      </c>
      <c r="AZ9" s="159">
        <f t="shared" si="3"/>
        <v>-2065359209</v>
      </c>
      <c r="BA9" s="805"/>
      <c r="BB9" s="160" t="s">
        <v>98</v>
      </c>
      <c r="BC9" s="161">
        <f>BC10+BC18</f>
        <v>151942494698.37653</v>
      </c>
      <c r="BD9" s="162">
        <f>BD10+BD18</f>
        <v>27279478250</v>
      </c>
      <c r="BE9" s="161">
        <f>BE10+BE16</f>
        <v>832633760</v>
      </c>
      <c r="BF9" s="821"/>
      <c r="BG9" s="165" t="s">
        <v>99</v>
      </c>
      <c r="BH9" s="166">
        <f t="shared" ref="BH9:BK10" si="6">BN14</f>
        <v>66343004790</v>
      </c>
      <c r="BI9" s="166">
        <f t="shared" si="6"/>
        <v>38067276211</v>
      </c>
      <c r="BJ9" s="166">
        <f t="shared" si="6"/>
        <v>10910142823</v>
      </c>
      <c r="BK9" s="167">
        <f t="shared" si="6"/>
        <v>28334998</v>
      </c>
      <c r="BL9" s="805"/>
      <c r="BM9" s="745" t="s">
        <v>100</v>
      </c>
      <c r="BN9" s="168">
        <f>SUM(BN10:BN12)</f>
        <v>8107453490.916667</v>
      </c>
      <c r="BO9" s="574">
        <f>SUM(BO10:BO12)</f>
        <v>958246968</v>
      </c>
      <c r="BP9" s="166">
        <f>SUM(BP10:BP12)</f>
        <v>958246968</v>
      </c>
      <c r="BQ9" s="746">
        <f>SUM(BQ10:BQ12)</f>
        <v>526674023</v>
      </c>
    </row>
    <row r="10" spans="1:69" ht="24.75" customHeight="1">
      <c r="A10" s="169" t="str">
        <f>+IF([1]ENERO!A10=0,"",[1]ENERO!A10)</f>
        <v>1.0</v>
      </c>
      <c r="B10" s="170" t="str">
        <f>+IF([1]ENERO!B10=0,"",[1]ENERO!B10)</f>
        <v>DISPONIBILIDAD INICIAL</v>
      </c>
      <c r="C10" s="171">
        <f t="shared" ref="C10:N10" si="7">SUM(C12:C15)</f>
        <v>0</v>
      </c>
      <c r="D10" s="172">
        <f t="shared" si="7"/>
        <v>0</v>
      </c>
      <c r="E10" s="172">
        <f t="shared" si="7"/>
        <v>1179477265</v>
      </c>
      <c r="F10" s="173">
        <f t="shared" si="7"/>
        <v>1179477265</v>
      </c>
      <c r="G10" s="174">
        <f t="shared" si="7"/>
        <v>0</v>
      </c>
      <c r="H10" s="172">
        <f t="shared" si="7"/>
        <v>1179477265</v>
      </c>
      <c r="I10" s="175">
        <f t="shared" si="7"/>
        <v>1179477265</v>
      </c>
      <c r="J10" s="171">
        <f t="shared" si="7"/>
        <v>0</v>
      </c>
      <c r="K10" s="172">
        <f t="shared" si="7"/>
        <v>1179477265</v>
      </c>
      <c r="L10" s="173">
        <f t="shared" si="7"/>
        <v>1179477265</v>
      </c>
      <c r="M10" s="171">
        <f t="shared" si="7"/>
        <v>0</v>
      </c>
      <c r="N10" s="173">
        <f t="shared" si="7"/>
        <v>0</v>
      </c>
      <c r="O10" s="805"/>
      <c r="P10" s="171">
        <f>SUM(P12:P15)</f>
        <v>0</v>
      </c>
      <c r="Q10" s="173">
        <f>SUM(Q12:Q15)</f>
        <v>1179477265</v>
      </c>
      <c r="R10" s="805"/>
      <c r="S10" s="176" t="str">
        <f>+IF([1]ENERO!S10=0,"",[1]ENERO!S10)</f>
        <v>2.1</v>
      </c>
      <c r="T10" s="177" t="s">
        <v>91</v>
      </c>
      <c r="U10" s="181">
        <f t="shared" ref="U10:AJ10" si="8">U12+U110+U169</f>
        <v>112528788023.5</v>
      </c>
      <c r="V10" s="179">
        <f t="shared" si="8"/>
        <v>0</v>
      </c>
      <c r="W10" s="179">
        <f t="shared" si="8"/>
        <v>328694736</v>
      </c>
      <c r="X10" s="180">
        <f t="shared" si="8"/>
        <v>112857482859.5</v>
      </c>
      <c r="Y10" s="181">
        <f t="shared" si="8"/>
        <v>51290672797</v>
      </c>
      <c r="Z10" s="179">
        <f t="shared" si="8"/>
        <v>7904228637</v>
      </c>
      <c r="AA10" s="182">
        <f t="shared" si="8"/>
        <v>59194901434</v>
      </c>
      <c r="AB10" s="181">
        <f t="shared" si="8"/>
        <v>14006776564</v>
      </c>
      <c r="AC10" s="179">
        <f t="shared" si="8"/>
        <v>13564773604</v>
      </c>
      <c r="AD10" s="180">
        <f t="shared" si="8"/>
        <v>27571550168</v>
      </c>
      <c r="AE10" s="181">
        <f t="shared" si="8"/>
        <v>7361631231</v>
      </c>
      <c r="AF10" s="179">
        <f t="shared" si="8"/>
        <v>7383502405</v>
      </c>
      <c r="AG10" s="180">
        <f t="shared" si="8"/>
        <v>14745133636</v>
      </c>
      <c r="AH10" s="181">
        <f t="shared" si="8"/>
        <v>53662581425.5</v>
      </c>
      <c r="AI10" s="179">
        <f t="shared" si="8"/>
        <v>85285932691.5</v>
      </c>
      <c r="AJ10" s="180">
        <f t="shared" si="8"/>
        <v>98112349223.5</v>
      </c>
      <c r="AK10" s="805"/>
      <c r="AL10" s="822">
        <f>AL12+AL110+AL169</f>
        <v>0</v>
      </c>
      <c r="AM10" s="184">
        <f>AM12+AM110+AM169</f>
        <v>328694736</v>
      </c>
      <c r="AN10" s="805"/>
      <c r="AO10" s="819"/>
      <c r="AP10" s="109" t="s">
        <v>102</v>
      </c>
      <c r="AQ10" s="528">
        <f>+F42</f>
        <v>287170800</v>
      </c>
      <c r="AR10" s="814">
        <f>I87</f>
        <v>0</v>
      </c>
      <c r="AS10" s="814">
        <f>L87</f>
        <v>0</v>
      </c>
      <c r="AT10" s="805"/>
      <c r="AU10" s="157">
        <f t="shared" si="0"/>
        <v>0</v>
      </c>
      <c r="AV10" s="157">
        <f t="shared" si="1"/>
        <v>0</v>
      </c>
      <c r="AW10" s="820">
        <f>I43/AO$2*12+I44</f>
        <v>64073820</v>
      </c>
      <c r="AX10" s="820">
        <f>L43/AO$2*12+L44</f>
        <v>0</v>
      </c>
      <c r="AY10" s="820">
        <f t="shared" si="2"/>
        <v>-223096980</v>
      </c>
      <c r="AZ10" s="159">
        <f t="shared" si="3"/>
        <v>-287170800</v>
      </c>
      <c r="BA10" s="805"/>
      <c r="BB10" s="185" t="s">
        <v>103</v>
      </c>
      <c r="BC10" s="161">
        <f>BC11+BC12+BC13+BC14+BC16+BC17+BC15</f>
        <v>151942494698.37653</v>
      </c>
      <c r="BD10" s="162">
        <f>BD11+BD12+BD13+BD14+BD16+BD17+BD15</f>
        <v>27279478250</v>
      </c>
      <c r="BE10" s="161">
        <f>SUM(BE11+BE12+BE13+BE14+BE17)</f>
        <v>366876197</v>
      </c>
      <c r="BF10" s="821"/>
      <c r="BG10" s="145" t="s">
        <v>104</v>
      </c>
      <c r="BH10" s="186">
        <f t="shared" si="6"/>
        <v>18435930224.398613</v>
      </c>
      <c r="BI10" s="186">
        <f t="shared" si="6"/>
        <v>7099306569</v>
      </c>
      <c r="BJ10" s="186">
        <f t="shared" si="6"/>
        <v>2633088691</v>
      </c>
      <c r="BK10" s="187">
        <f t="shared" si="6"/>
        <v>779766949</v>
      </c>
      <c r="BL10" s="805"/>
      <c r="BM10" s="747" t="s">
        <v>105</v>
      </c>
      <c r="BN10" s="188">
        <f>X17+X66</f>
        <v>6481850793</v>
      </c>
      <c r="BO10" s="575">
        <f>AA17+AA66</f>
        <v>835951662</v>
      </c>
      <c r="BP10" s="186">
        <f>AD17+AD66</f>
        <v>835951662</v>
      </c>
      <c r="BQ10" s="748">
        <f>AF17+AF66</f>
        <v>436578303</v>
      </c>
    </row>
    <row r="11" spans="1:69" ht="24.75" customHeight="1">
      <c r="A11" s="815"/>
      <c r="B11" s="816"/>
      <c r="C11" s="817"/>
      <c r="D11" s="817"/>
      <c r="E11" s="817"/>
      <c r="F11" s="817"/>
      <c r="G11" s="817"/>
      <c r="H11" s="817"/>
      <c r="I11" s="817"/>
      <c r="J11" s="817"/>
      <c r="K11" s="817"/>
      <c r="L11" s="817"/>
      <c r="M11" s="817"/>
      <c r="N11" s="152"/>
      <c r="O11" s="811"/>
      <c r="P11" s="818"/>
      <c r="Q11" s="152"/>
      <c r="R11" s="805"/>
      <c r="S11" s="189"/>
      <c r="T11" s="190"/>
      <c r="U11" s="193"/>
      <c r="V11" s="191"/>
      <c r="W11" s="191"/>
      <c r="X11" s="192"/>
      <c r="Y11" s="193"/>
      <c r="Z11" s="191"/>
      <c r="AA11" s="191"/>
      <c r="AB11" s="193"/>
      <c r="AC11" s="191"/>
      <c r="AD11" s="192"/>
      <c r="AE11" s="193"/>
      <c r="AF11" s="191"/>
      <c r="AG11" s="192"/>
      <c r="AH11" s="193"/>
      <c r="AI11" s="191"/>
      <c r="AJ11" s="192"/>
      <c r="AK11" s="805"/>
      <c r="AL11" s="194"/>
      <c r="AM11" s="195"/>
      <c r="AN11" s="805"/>
      <c r="AO11" s="823" t="s">
        <v>50</v>
      </c>
      <c r="AP11" s="197" t="s">
        <v>106</v>
      </c>
      <c r="AQ11" s="528">
        <f>F88</f>
        <v>1684010668</v>
      </c>
      <c r="AR11" s="814">
        <f>I88</f>
        <v>187135881</v>
      </c>
      <c r="AS11" s="814">
        <f>L88</f>
        <v>0</v>
      </c>
      <c r="AT11" s="824">
        <f>AO2/12</f>
        <v>0.16666666666666666</v>
      </c>
      <c r="AU11" s="157">
        <f t="shared" si="0"/>
        <v>0.11112511610288682</v>
      </c>
      <c r="AV11" s="157">
        <f t="shared" si="1"/>
        <v>0</v>
      </c>
      <c r="AW11" s="820">
        <f>I88</f>
        <v>187135881</v>
      </c>
      <c r="AX11" s="820">
        <f>L88</f>
        <v>0</v>
      </c>
      <c r="AY11" s="820">
        <f t="shared" si="2"/>
        <v>-1496874787</v>
      </c>
      <c r="AZ11" s="159">
        <f t="shared" si="3"/>
        <v>-1684010668</v>
      </c>
      <c r="BA11" s="805"/>
      <c r="BB11" s="185" t="s">
        <v>107</v>
      </c>
      <c r="BC11" s="161">
        <f>F26</f>
        <v>81866799864</v>
      </c>
      <c r="BD11" s="162">
        <f>I26</f>
        <v>12704616288</v>
      </c>
      <c r="BE11" s="161">
        <f>SUM(K26)</f>
        <v>213334123</v>
      </c>
      <c r="BF11" s="821"/>
      <c r="BG11" s="145" t="s">
        <v>108</v>
      </c>
      <c r="BH11" s="199">
        <f>BN22</f>
        <v>1793060585</v>
      </c>
      <c r="BI11" s="199">
        <f>BO22</f>
        <v>506807800</v>
      </c>
      <c r="BJ11" s="199">
        <f>BP22</f>
        <v>506807800</v>
      </c>
      <c r="BK11" s="200">
        <f>BQ22</f>
        <v>204193921</v>
      </c>
      <c r="BL11" s="805"/>
      <c r="BM11" s="749" t="s">
        <v>109</v>
      </c>
      <c r="BN11" s="201">
        <f>X18+X67</f>
        <v>17000000</v>
      </c>
      <c r="BO11" s="576">
        <f>AA18+AA67</f>
        <v>1898662</v>
      </c>
      <c r="BP11" s="199">
        <f>AD18+AD67</f>
        <v>1898662</v>
      </c>
      <c r="BQ11" s="750">
        <f>AF18+AF67</f>
        <v>985935</v>
      </c>
    </row>
    <row r="12" spans="1:69" ht="24.75" customHeight="1">
      <c r="A12" s="202" t="str">
        <f>+IF([1]ENERO!A12=0,"",[1]ENERO!A12)</f>
        <v>1.0.01</v>
      </c>
      <c r="B12" s="203" t="str">
        <f>+IF([1]ENERO!B12=0,"",[1]ENERO!B12)</f>
        <v>Caja</v>
      </c>
      <c r="C12" s="204">
        <v>0</v>
      </c>
      <c r="D12" s="205">
        <f>[1]ENERO!D12+[1]FEBRERO!P12</f>
        <v>0</v>
      </c>
      <c r="E12" s="205">
        <f>[1]ENERO!E12+[1]FEBRERO!Q12</f>
        <v>3941159</v>
      </c>
      <c r="F12" s="206">
        <f>SUM(C12:E12)</f>
        <v>3941159</v>
      </c>
      <c r="G12" s="207">
        <f>[1]ENERO!I12</f>
        <v>0</v>
      </c>
      <c r="H12" s="208">
        <v>3941159</v>
      </c>
      <c r="I12" s="206">
        <f>SUM(G12:H12)</f>
        <v>3941159</v>
      </c>
      <c r="J12" s="207">
        <f>[1]ENERO!L12</f>
        <v>0</v>
      </c>
      <c r="K12" s="208">
        <v>3941159</v>
      </c>
      <c r="L12" s="206">
        <f>SUM(J12:K12)</f>
        <v>3941159</v>
      </c>
      <c r="M12" s="207">
        <f>F12-I12</f>
        <v>0</v>
      </c>
      <c r="N12" s="206">
        <f>F12-L12</f>
        <v>0</v>
      </c>
      <c r="O12" s="697"/>
      <c r="P12" s="204">
        <v>0</v>
      </c>
      <c r="Q12" s="210">
        <v>3941159</v>
      </c>
      <c r="R12" s="805"/>
      <c r="S12" s="825" t="str">
        <f>+IF([1]ENERO!S12=0,"",[1]ENERO!S12)</f>
        <v>2.1.1</v>
      </c>
      <c r="T12" s="212" t="s">
        <v>110</v>
      </c>
      <c r="U12" s="822">
        <f t="shared" ref="U12:AJ12" si="9">U14+U63</f>
        <v>88367557767.879166</v>
      </c>
      <c r="V12" s="826">
        <f t="shared" si="9"/>
        <v>270999693</v>
      </c>
      <c r="W12" s="826">
        <f t="shared" si="9"/>
        <v>0</v>
      </c>
      <c r="X12" s="184">
        <f t="shared" si="9"/>
        <v>88638557460.879166</v>
      </c>
      <c r="Y12" s="822">
        <f t="shared" si="9"/>
        <v>44366469013</v>
      </c>
      <c r="Z12" s="826">
        <f t="shared" si="9"/>
        <v>6315329810</v>
      </c>
      <c r="AA12" s="215">
        <f t="shared" si="9"/>
        <v>50681798823</v>
      </c>
      <c r="AB12" s="822">
        <f t="shared" si="9"/>
        <v>11403711453</v>
      </c>
      <c r="AC12" s="826">
        <f t="shared" si="9"/>
        <v>12120953982</v>
      </c>
      <c r="AD12" s="184">
        <f t="shared" si="9"/>
        <v>23524665435</v>
      </c>
      <c r="AE12" s="822">
        <f t="shared" si="9"/>
        <v>6421061164</v>
      </c>
      <c r="AF12" s="826">
        <f t="shared" si="9"/>
        <v>6221796446</v>
      </c>
      <c r="AG12" s="184">
        <f t="shared" si="9"/>
        <v>12642857610</v>
      </c>
      <c r="AH12" s="822">
        <f t="shared" si="9"/>
        <v>37956758637.879166</v>
      </c>
      <c r="AI12" s="826">
        <f t="shared" si="9"/>
        <v>65113892025.879166</v>
      </c>
      <c r="AJ12" s="184">
        <f t="shared" si="9"/>
        <v>75995699850.879166</v>
      </c>
      <c r="AK12" s="827"/>
      <c r="AL12" s="217">
        <f>AL14+AL63</f>
        <v>469873052</v>
      </c>
      <c r="AM12" s="218">
        <f>AM14+AM63</f>
        <v>0</v>
      </c>
      <c r="AN12" s="805"/>
      <c r="AO12" s="823"/>
      <c r="AP12" s="197" t="s">
        <v>111</v>
      </c>
      <c r="AQ12" s="528">
        <f>F89</f>
        <v>2520457839</v>
      </c>
      <c r="AR12" s="814">
        <f>I89</f>
        <v>840152613</v>
      </c>
      <c r="AS12" s="814">
        <f>L89</f>
        <v>0</v>
      </c>
      <c r="AT12" s="805"/>
      <c r="AU12" s="157">
        <f t="shared" si="0"/>
        <v>0.33333333333333331</v>
      </c>
      <c r="AV12" s="157">
        <f t="shared" si="1"/>
        <v>0</v>
      </c>
      <c r="AW12" s="820">
        <f>I89</f>
        <v>840152613</v>
      </c>
      <c r="AX12" s="820">
        <f>L89</f>
        <v>0</v>
      </c>
      <c r="AY12" s="820">
        <f t="shared" si="2"/>
        <v>-1680305226</v>
      </c>
      <c r="AZ12" s="159">
        <f t="shared" si="3"/>
        <v>-2520457839</v>
      </c>
      <c r="BA12" s="805"/>
      <c r="BB12" s="185" t="s">
        <v>112</v>
      </c>
      <c r="BC12" s="161">
        <f>F23</f>
        <v>49300076925.586876</v>
      </c>
      <c r="BD12" s="162">
        <f>I23</f>
        <v>9913336666</v>
      </c>
      <c r="BE12" s="161">
        <f>SUM(K23)</f>
        <v>50158726</v>
      </c>
      <c r="BF12" s="821"/>
      <c r="BG12" s="219" t="s">
        <v>113</v>
      </c>
      <c r="BH12" s="199">
        <f>BN25</f>
        <v>34165849515.333328</v>
      </c>
      <c r="BI12" s="220">
        <f>BO25</f>
        <v>15242614813</v>
      </c>
      <c r="BJ12" s="199">
        <f>BP25</f>
        <v>6714141670</v>
      </c>
      <c r="BK12" s="200">
        <f>BQ25</f>
        <v>604752077</v>
      </c>
      <c r="BL12" s="805"/>
      <c r="BM12" s="751" t="s">
        <v>114</v>
      </c>
      <c r="BN12" s="201">
        <f>X16+X65-X81-X33-BN10-BN11</f>
        <v>1608602697.916667</v>
      </c>
      <c r="BO12" s="576">
        <f>AA16+AA65-AA81-AA33-BO10-BO11</f>
        <v>120396644</v>
      </c>
      <c r="BP12" s="199">
        <f>AD16+AD65-AD81-AD33-BP10-BP11</f>
        <v>120396644</v>
      </c>
      <c r="BQ12" s="750">
        <f>AF16+AF65-AF81-AF33-BQ10-BQ11</f>
        <v>89109785</v>
      </c>
    </row>
    <row r="13" spans="1:69" ht="24.75" customHeight="1">
      <c r="A13" s="202" t="str">
        <f>+IF([1]ENERO!A13=0,"",[1]ENERO!A13)</f>
        <v>1.0.02</v>
      </c>
      <c r="B13" s="203" t="str">
        <f>+IF([1]ENERO!B13=0,"",[1]ENERO!B13)</f>
        <v>Bancos</v>
      </c>
      <c r="C13" s="204">
        <f>+[1]ENERO!C13</f>
        <v>0</v>
      </c>
      <c r="D13" s="205">
        <f>[1]ENERO!D13+[1]FEBRERO!P13</f>
        <v>0</v>
      </c>
      <c r="E13" s="205">
        <f>[1]ENERO!E13+[1]FEBRERO!Q13</f>
        <v>554873586</v>
      </c>
      <c r="F13" s="206">
        <f>SUM(C13:E13)</f>
        <v>554873586</v>
      </c>
      <c r="G13" s="207">
        <f>[1]ENERO!I13</f>
        <v>0</v>
      </c>
      <c r="H13" s="208">
        <v>554873586</v>
      </c>
      <c r="I13" s="206">
        <f>SUM(G13:H13)</f>
        <v>554873586</v>
      </c>
      <c r="J13" s="207">
        <f>[1]ENERO!L13</f>
        <v>0</v>
      </c>
      <c r="K13" s="208">
        <v>554873586</v>
      </c>
      <c r="L13" s="206">
        <f>SUM(J13:K13)</f>
        <v>554873586</v>
      </c>
      <c r="M13" s="207">
        <f>F13-I13</f>
        <v>0</v>
      </c>
      <c r="N13" s="206">
        <f>F13-L13</f>
        <v>0</v>
      </c>
      <c r="O13" s="697"/>
      <c r="P13" s="204">
        <v>0</v>
      </c>
      <c r="Q13" s="210">
        <v>554873586</v>
      </c>
      <c r="R13" s="805"/>
      <c r="S13" s="189"/>
      <c r="T13" s="190"/>
      <c r="U13" s="193"/>
      <c r="V13" s="191"/>
      <c r="W13" s="191"/>
      <c r="X13" s="192"/>
      <c r="Y13" s="193"/>
      <c r="Z13" s="191"/>
      <c r="AA13" s="191"/>
      <c r="AB13" s="193"/>
      <c r="AC13" s="191"/>
      <c r="AD13" s="192"/>
      <c r="AE13" s="193"/>
      <c r="AF13" s="191"/>
      <c r="AG13" s="192"/>
      <c r="AH13" s="193"/>
      <c r="AI13" s="191"/>
      <c r="AJ13" s="192"/>
      <c r="AK13" s="827"/>
      <c r="AL13" s="194"/>
      <c r="AM13" s="195"/>
      <c r="AN13" s="805"/>
      <c r="AO13" s="828"/>
      <c r="AP13" s="197" t="s">
        <v>115</v>
      </c>
      <c r="AQ13" s="528">
        <f>F90</f>
        <v>9662757523</v>
      </c>
      <c r="AR13" s="814">
        <f>I90</f>
        <v>2215160000</v>
      </c>
      <c r="AS13" s="814">
        <f>L90</f>
        <v>465757563</v>
      </c>
      <c r="AT13" s="805"/>
      <c r="AU13" s="157">
        <f t="shared" si="0"/>
        <v>0.22924718898588883</v>
      </c>
      <c r="AV13" s="157">
        <f t="shared" si="1"/>
        <v>4.820130919060836E-2</v>
      </c>
      <c r="AW13" s="820">
        <f>I90</f>
        <v>2215160000</v>
      </c>
      <c r="AX13" s="820">
        <f>L90</f>
        <v>465757563</v>
      </c>
      <c r="AY13" s="820">
        <f t="shared" si="2"/>
        <v>-7447597523</v>
      </c>
      <c r="AZ13" s="159">
        <f t="shared" si="3"/>
        <v>-9196999960</v>
      </c>
      <c r="BA13" s="697"/>
      <c r="BB13" s="236" t="s">
        <v>116</v>
      </c>
      <c r="BC13" s="223">
        <f>+F30+F33+F36+F38+F39+F40</f>
        <v>1140706891</v>
      </c>
      <c r="BD13" s="224">
        <f>+I30+I33+I36+I38+I39+I40</f>
        <v>263968746</v>
      </c>
      <c r="BE13" s="161">
        <f>SUM(K33)</f>
        <v>0</v>
      </c>
      <c r="BF13" s="829"/>
      <c r="BG13" s="227" t="s">
        <v>117</v>
      </c>
      <c r="BH13" s="199">
        <f t="shared" ref="BH13:BK15" si="10">BN29</f>
        <v>13867225930</v>
      </c>
      <c r="BI13" s="199">
        <f t="shared" si="10"/>
        <v>9265952655</v>
      </c>
      <c r="BJ13" s="199">
        <f t="shared" si="10"/>
        <v>2050777933</v>
      </c>
      <c r="BK13" s="200">
        <f t="shared" si="10"/>
        <v>174958150</v>
      </c>
      <c r="BL13" s="805"/>
      <c r="BM13" s="745" t="s">
        <v>118</v>
      </c>
      <c r="BN13" s="188">
        <f>X43-X55+X57-X61+X90-X102+X104-X108</f>
        <v>2665651403.2960005</v>
      </c>
      <c r="BO13" s="575">
        <f>AA43-AA55+AA57-AA61+AA90-AA102+AA104-AA108</f>
        <v>286282900</v>
      </c>
      <c r="BP13" s="186">
        <f>AD43-AD55+AD57-AD61+AD90-AD102+AD104-AD108</f>
        <v>286282900</v>
      </c>
      <c r="BQ13" s="748">
        <f>AF43-AF55+AF57-AF61+AF90-AF102+AF104-AF108</f>
        <v>148709700</v>
      </c>
    </row>
    <row r="14" spans="1:69" ht="24.75" customHeight="1">
      <c r="A14" s="202" t="str">
        <f>+IF([1]ENERO!A14=0,"",[1]ENERO!A14)</f>
        <v>1.0.03</v>
      </c>
      <c r="B14" s="203" t="str">
        <f>+IF([1]ENERO!B14=0,"",[1]ENERO!B14)</f>
        <v>Inversiones Temporales</v>
      </c>
      <c r="C14" s="204">
        <f>+[1]ENERO!C14</f>
        <v>0</v>
      </c>
      <c r="D14" s="205">
        <f>[1]ENERO!D14+[1]FEBRERO!P14</f>
        <v>0</v>
      </c>
      <c r="E14" s="205">
        <f>[1]ENERO!E14+[1]FEBRERO!Q14</f>
        <v>620662520</v>
      </c>
      <c r="F14" s="206">
        <f>SUM(C14:E14)</f>
        <v>620662520</v>
      </c>
      <c r="G14" s="207">
        <f>[1]ENERO!I14</f>
        <v>0</v>
      </c>
      <c r="H14" s="208">
        <v>620662520</v>
      </c>
      <c r="I14" s="206">
        <f>SUM(G14:H14)</f>
        <v>620662520</v>
      </c>
      <c r="J14" s="207">
        <f>[1]ENERO!L14</f>
        <v>0</v>
      </c>
      <c r="K14" s="208">
        <v>620662520</v>
      </c>
      <c r="L14" s="206">
        <f>SUM(J14:K14)</f>
        <v>620662520</v>
      </c>
      <c r="M14" s="207">
        <f>F14-I14</f>
        <v>0</v>
      </c>
      <c r="N14" s="206">
        <f>F14-L14</f>
        <v>0</v>
      </c>
      <c r="O14" s="697"/>
      <c r="P14" s="204">
        <v>0</v>
      </c>
      <c r="Q14" s="210">
        <v>620662520</v>
      </c>
      <c r="R14" s="805"/>
      <c r="S14" s="228" t="str">
        <f>+IF([1]ENERO!S14=0,"",[1]ENERO!S14)</f>
        <v>2.1.1.01</v>
      </c>
      <c r="T14" s="229" t="s">
        <v>119</v>
      </c>
      <c r="U14" s="233">
        <f t="shared" ref="U14:AJ14" si="11">U16+U35+U43+U57</f>
        <v>23848754297.879169</v>
      </c>
      <c r="V14" s="231">
        <f t="shared" si="11"/>
        <v>-29000307</v>
      </c>
      <c r="W14" s="231">
        <f t="shared" si="11"/>
        <v>0</v>
      </c>
      <c r="X14" s="232">
        <f t="shared" si="11"/>
        <v>23819753990.879169</v>
      </c>
      <c r="Y14" s="233">
        <f t="shared" si="11"/>
        <v>9025646148</v>
      </c>
      <c r="Z14" s="231">
        <f t="shared" si="11"/>
        <v>2209077358</v>
      </c>
      <c r="AA14" s="234">
        <f t="shared" si="11"/>
        <v>11234723506</v>
      </c>
      <c r="AB14" s="233">
        <f t="shared" si="11"/>
        <v>1758966919</v>
      </c>
      <c r="AC14" s="231">
        <f t="shared" si="11"/>
        <v>3875419940</v>
      </c>
      <c r="AD14" s="232">
        <f t="shared" si="11"/>
        <v>5634386859</v>
      </c>
      <c r="AE14" s="233">
        <f t="shared" si="11"/>
        <v>1393918379</v>
      </c>
      <c r="AF14" s="231">
        <f t="shared" si="11"/>
        <v>2115543994</v>
      </c>
      <c r="AG14" s="232">
        <f t="shared" si="11"/>
        <v>3509462373</v>
      </c>
      <c r="AH14" s="233">
        <f t="shared" si="11"/>
        <v>12585030484.879169</v>
      </c>
      <c r="AI14" s="231">
        <f t="shared" si="11"/>
        <v>18185367131.879169</v>
      </c>
      <c r="AJ14" s="232">
        <f t="shared" si="11"/>
        <v>20310291617.879169</v>
      </c>
      <c r="AK14" s="827"/>
      <c r="AL14" s="233">
        <f>AL16+AL35+AL43+AL57</f>
        <v>169873052</v>
      </c>
      <c r="AM14" s="232">
        <f>AM16+AM35+AM43+AM57</f>
        <v>0</v>
      </c>
      <c r="AN14" s="805"/>
      <c r="AO14" s="806"/>
      <c r="AP14" s="109" t="s">
        <v>120</v>
      </c>
      <c r="AQ14" s="528">
        <f>F19-AQ7-AQ8-AQ9-AQ10-AQ11-AQ12-AQ13</f>
        <v>7051886071.8896484</v>
      </c>
      <c r="AR14" s="814">
        <f>I19-AR7-AR8-AR9-AR10-AR11-AR12-AR13</f>
        <v>1911481884</v>
      </c>
      <c r="AS14" s="814">
        <f>L19-AS7-AS8-AS9-AS10-AS11-AS12-AS13</f>
        <v>886617551</v>
      </c>
      <c r="AT14" s="697"/>
      <c r="AU14" s="157">
        <f t="shared" si="0"/>
        <v>0.27105966609693011</v>
      </c>
      <c r="AV14" s="157">
        <f t="shared" si="1"/>
        <v>0.12572771907564564</v>
      </c>
      <c r="AW14" s="820">
        <f>(I41+I46+I49+I52+I55+I58+I61+I64+I67+I70+I73+I78+I81+I82+I83+I85+I94+I104)/AO$2*12+I47+I50+I53+I56+I59+I62+I65+I68+I71+I74</f>
        <v>28928960615</v>
      </c>
      <c r="AX14" s="820">
        <f>(L41+L46+L49+L52+L55+L58+L61+L64+L67+L70+L73+L78+L81+L82+L83+L85+L94+L104)/AO$2*12+L47+L50+L53+L56+L59+L62+L65+L68+L71+L74</f>
        <v>5313192155</v>
      </c>
      <c r="AY14" s="820">
        <f t="shared" si="2"/>
        <v>21877074543.110352</v>
      </c>
      <c r="AZ14" s="159">
        <f t="shared" si="3"/>
        <v>-1738693916.8896484</v>
      </c>
      <c r="BA14" s="805"/>
      <c r="BB14" s="236" t="s">
        <v>121</v>
      </c>
      <c r="BC14" s="237">
        <f>+F64</f>
        <v>2137731076.9417498</v>
      </c>
      <c r="BD14" s="238">
        <f>+I64</f>
        <v>355530016</v>
      </c>
      <c r="BE14" s="239">
        <f>K64</f>
        <v>71464510</v>
      </c>
      <c r="BF14" s="830"/>
      <c r="BG14" s="227" t="s">
        <v>122</v>
      </c>
      <c r="BH14" s="186">
        <f t="shared" si="10"/>
        <v>3239175000</v>
      </c>
      <c r="BI14" s="186">
        <f t="shared" si="10"/>
        <v>221425252</v>
      </c>
      <c r="BJ14" s="186">
        <f t="shared" si="10"/>
        <v>221425252</v>
      </c>
      <c r="BK14" s="187">
        <f t="shared" si="10"/>
        <v>112691919</v>
      </c>
      <c r="BL14" s="805"/>
      <c r="BM14" s="752" t="s">
        <v>123</v>
      </c>
      <c r="BN14" s="201">
        <f>X35-X41+X83-X88</f>
        <v>66343004790</v>
      </c>
      <c r="BO14" s="199">
        <f>AA35-AA41+AA83-AA88</f>
        <v>38067276211</v>
      </c>
      <c r="BP14" s="199">
        <f>AD35-AD41+AD83-AD88</f>
        <v>10910142823</v>
      </c>
      <c r="BQ14" s="753">
        <f>AF35-AF41+AF83-AF88</f>
        <v>28334998</v>
      </c>
    </row>
    <row r="15" spans="1:69" ht="24.75" customHeight="1" thickBot="1">
      <c r="A15" s="241">
        <f>+IF([1]ENERO!A15=0,"",[1]ENERO!A15)</f>
        <v>1004</v>
      </c>
      <c r="B15" s="203" t="str">
        <f>+IF([1]ENERO!B15=0,"",[1]ENERO!B15)</f>
        <v>Cesantias Ley 50/1990 a Dic-31-2024</v>
      </c>
      <c r="C15" s="242">
        <f>+[1]ENERO!C15</f>
        <v>0</v>
      </c>
      <c r="D15" s="243">
        <f>[1]ENERO!D15+[1]FEBRERO!P15</f>
        <v>0</v>
      </c>
      <c r="E15" s="243">
        <f>[1]ENERO!E15+[1]FEBRERO!Q15</f>
        <v>0</v>
      </c>
      <c r="F15" s="244">
        <f>SUM(C15:E15)</f>
        <v>0</v>
      </c>
      <c r="G15" s="245">
        <f>[1]ENERO!I15</f>
        <v>0</v>
      </c>
      <c r="H15" s="246">
        <v>0</v>
      </c>
      <c r="I15" s="244">
        <f>SUM(G15:H15)</f>
        <v>0</v>
      </c>
      <c r="J15" s="245">
        <f>[1]ENERO!L15</f>
        <v>0</v>
      </c>
      <c r="K15" s="246">
        <v>0</v>
      </c>
      <c r="L15" s="244">
        <f>SUM(J15:K15)</f>
        <v>0</v>
      </c>
      <c r="M15" s="245">
        <f>F15-I15</f>
        <v>0</v>
      </c>
      <c r="N15" s="244">
        <f>F15-L15</f>
        <v>0</v>
      </c>
      <c r="O15" s="697"/>
      <c r="P15" s="242">
        <v>0</v>
      </c>
      <c r="Q15" s="248">
        <v>0</v>
      </c>
      <c r="R15" s="805"/>
      <c r="S15" s="189" t="str">
        <f>+IF([1]ENERO!S15=0,"",[1]ENERO!S15)</f>
        <v/>
      </c>
      <c r="T15" s="190" t="s">
        <v>51</v>
      </c>
      <c r="U15" s="193"/>
      <c r="V15" s="191"/>
      <c r="W15" s="191"/>
      <c r="X15" s="192"/>
      <c r="Y15" s="193"/>
      <c r="Z15" s="191"/>
      <c r="AA15" s="191"/>
      <c r="AB15" s="193"/>
      <c r="AC15" s="191"/>
      <c r="AD15" s="192"/>
      <c r="AE15" s="193"/>
      <c r="AF15" s="191"/>
      <c r="AG15" s="192"/>
      <c r="AH15" s="193"/>
      <c r="AI15" s="191"/>
      <c r="AJ15" s="192"/>
      <c r="AK15" s="827"/>
      <c r="AL15" s="249"/>
      <c r="AM15" s="250"/>
      <c r="AN15" s="805"/>
      <c r="AO15" s="828"/>
      <c r="AP15" s="109" t="s">
        <v>124</v>
      </c>
      <c r="AQ15" s="528">
        <f>F113</f>
        <v>0</v>
      </c>
      <c r="AR15" s="814">
        <f>I113</f>
        <v>0</v>
      </c>
      <c r="AS15" s="814">
        <f>L113</f>
        <v>0</v>
      </c>
      <c r="AT15" s="805"/>
      <c r="AU15" s="139" t="str">
        <f t="shared" si="0"/>
        <v xml:space="preserve"> </v>
      </c>
      <c r="AV15" s="139" t="str">
        <f t="shared" si="1"/>
        <v xml:space="preserve"> </v>
      </c>
      <c r="AW15" s="814">
        <f>+AR15</f>
        <v>0</v>
      </c>
      <c r="AX15" s="814">
        <f>+AS15</f>
        <v>0</v>
      </c>
      <c r="AY15" s="814">
        <f t="shared" si="2"/>
        <v>0</v>
      </c>
      <c r="AZ15" s="140">
        <f t="shared" si="3"/>
        <v>0</v>
      </c>
      <c r="BA15" s="697"/>
      <c r="BB15" s="236" t="s">
        <v>125</v>
      </c>
      <c r="BC15" s="237">
        <f>F46+F49</f>
        <v>976431378</v>
      </c>
      <c r="BD15" s="238">
        <f>I46+I49</f>
        <v>98736714</v>
      </c>
      <c r="BE15" s="239">
        <f>K46</f>
        <v>4215387</v>
      </c>
      <c r="BF15" s="830"/>
      <c r="BG15" s="227" t="s">
        <v>126</v>
      </c>
      <c r="BH15" s="186">
        <f t="shared" si="10"/>
        <v>24572505493.222054</v>
      </c>
      <c r="BI15" s="186">
        <f t="shared" si="10"/>
        <v>16328872434</v>
      </c>
      <c r="BJ15" s="186">
        <f t="shared" si="10"/>
        <v>16322672434</v>
      </c>
      <c r="BK15" s="187">
        <f t="shared" si="10"/>
        <v>7337797767</v>
      </c>
      <c r="BL15" s="805"/>
      <c r="BM15" s="743" t="s">
        <v>104</v>
      </c>
      <c r="BN15" s="188">
        <f>SUM(BN16:BN21)</f>
        <v>18435930224.398613</v>
      </c>
      <c r="BO15" s="186">
        <f>SUM(BO16:BO21)</f>
        <v>7099306569</v>
      </c>
      <c r="BP15" s="186">
        <f>SUM(BP16:BP21)</f>
        <v>2633088691</v>
      </c>
      <c r="BQ15" s="754">
        <f>SUM(BQ16:BQ21)</f>
        <v>779766949</v>
      </c>
    </row>
    <row r="16" spans="1:69" ht="24.75" customHeight="1" thickBot="1">
      <c r="A16" s="831" t="str">
        <f>+IF([1]ENERO!A16=0,"",[1]ENERO!A16)</f>
        <v/>
      </c>
      <c r="B16" s="832" t="str">
        <f>+IF([1]ENERO!B16=0,"",[1]ENERO!B16)</f>
        <v/>
      </c>
      <c r="C16" s="833"/>
      <c r="D16" s="833"/>
      <c r="E16" s="833"/>
      <c r="F16" s="833"/>
      <c r="G16" s="833"/>
      <c r="H16" s="833"/>
      <c r="I16" s="833"/>
      <c r="J16" s="833"/>
      <c r="K16" s="833"/>
      <c r="L16" s="833"/>
      <c r="M16" s="833"/>
      <c r="N16" s="834"/>
      <c r="O16" s="697"/>
      <c r="P16" s="255"/>
      <c r="Q16" s="256"/>
      <c r="R16" s="805"/>
      <c r="S16" s="257" t="str">
        <f>+IF([1]ENERO!S16=0,"",[1]ENERO!S16)</f>
        <v>2.1.1.01.01</v>
      </c>
      <c r="T16" s="258" t="s">
        <v>127</v>
      </c>
      <c r="U16" s="233">
        <f t="shared" ref="U16:AJ16" si="12">SUM(U17:U20)+U33</f>
        <v>8136453797.916667</v>
      </c>
      <c r="V16" s="231">
        <f t="shared" si="12"/>
        <v>-29000307</v>
      </c>
      <c r="W16" s="231">
        <f t="shared" si="12"/>
        <v>0</v>
      </c>
      <c r="X16" s="232">
        <f t="shared" si="12"/>
        <v>8107453490.916667</v>
      </c>
      <c r="Y16" s="233">
        <f t="shared" si="12"/>
        <v>435068897</v>
      </c>
      <c r="Z16" s="231">
        <f t="shared" si="12"/>
        <v>523178071</v>
      </c>
      <c r="AA16" s="234">
        <f t="shared" si="12"/>
        <v>958246968</v>
      </c>
      <c r="AB16" s="233">
        <f t="shared" si="12"/>
        <v>435068897</v>
      </c>
      <c r="AC16" s="231">
        <f t="shared" si="12"/>
        <v>523178071</v>
      </c>
      <c r="AD16" s="232">
        <f t="shared" si="12"/>
        <v>958246968</v>
      </c>
      <c r="AE16" s="233">
        <f t="shared" si="12"/>
        <v>431572945</v>
      </c>
      <c r="AF16" s="231">
        <f t="shared" si="12"/>
        <v>526674023</v>
      </c>
      <c r="AG16" s="232">
        <f t="shared" si="12"/>
        <v>958246968</v>
      </c>
      <c r="AH16" s="233">
        <f t="shared" si="12"/>
        <v>7149206522.916667</v>
      </c>
      <c r="AI16" s="231">
        <f t="shared" si="12"/>
        <v>7149206522.916667</v>
      </c>
      <c r="AJ16" s="232">
        <f t="shared" si="12"/>
        <v>7149206522.916667</v>
      </c>
      <c r="AK16" s="827"/>
      <c r="AL16" s="233">
        <f>SUM(AL17:AL20)+AL33</f>
        <v>169873052</v>
      </c>
      <c r="AM16" s="232">
        <f>SUM(AM17:AM20)+AM33</f>
        <v>0</v>
      </c>
      <c r="AN16" s="805"/>
      <c r="AO16" s="806"/>
      <c r="AP16" s="259" t="s">
        <v>128</v>
      </c>
      <c r="AQ16" s="533">
        <f>F10</f>
        <v>1179477265</v>
      </c>
      <c r="AR16" s="260">
        <f>I10</f>
        <v>1179477265</v>
      </c>
      <c r="AS16" s="260">
        <f>L10</f>
        <v>1179477265</v>
      </c>
      <c r="AT16" s="697"/>
      <c r="AU16" s="261">
        <f t="shared" si="0"/>
        <v>1</v>
      </c>
      <c r="AV16" s="261">
        <f t="shared" si="1"/>
        <v>1</v>
      </c>
      <c r="AW16" s="260">
        <f>+AR16</f>
        <v>1179477265</v>
      </c>
      <c r="AX16" s="260">
        <f>+AS16</f>
        <v>1179477265</v>
      </c>
      <c r="AY16" s="814">
        <f t="shared" si="2"/>
        <v>0</v>
      </c>
      <c r="AZ16" s="262">
        <f t="shared" si="3"/>
        <v>0</v>
      </c>
      <c r="BA16" s="697"/>
      <c r="BB16" s="185" t="s">
        <v>129</v>
      </c>
      <c r="BC16" s="161">
        <f>F43</f>
        <v>0</v>
      </c>
      <c r="BD16" s="162">
        <f>I43</f>
        <v>10678970</v>
      </c>
      <c r="BE16" s="237">
        <f>SUM(K86:K91)</f>
        <v>465757563</v>
      </c>
      <c r="BF16" s="821"/>
      <c r="BG16" s="227" t="s">
        <v>130</v>
      </c>
      <c r="BH16" s="263">
        <f>BH7+BH12+BH13+BH14+BH15</f>
        <v>173189856432.16663</v>
      </c>
      <c r="BI16" s="263">
        <f>BI7+BI12+BI13+BI14+BI15</f>
        <v>87976785602</v>
      </c>
      <c r="BJ16" s="263">
        <f>BJ7+BJ12+BJ13+BJ14+BJ15</f>
        <v>40603586471</v>
      </c>
      <c r="BK16" s="264">
        <f>BK7+BK12+BK13+BK14+BK15</f>
        <v>9917879504</v>
      </c>
      <c r="BL16" s="805"/>
      <c r="BM16" s="745" t="s">
        <v>131</v>
      </c>
      <c r="BN16" s="188">
        <f>SUM(X115+X116+X117+X149)</f>
        <v>1583007702.1208334</v>
      </c>
      <c r="BO16" s="188">
        <f>SUM(AA115+AA116+AA117+AA149)</f>
        <v>607695080</v>
      </c>
      <c r="BP16" s="188">
        <f>SUM(AD115+AD116+AD117+AD149)</f>
        <v>216209681</v>
      </c>
      <c r="BQ16" s="188">
        <f>SUM(AF115+AF116+AF117+AF149)</f>
        <v>658588</v>
      </c>
    </row>
    <row r="17" spans="1:69" ht="24.75" customHeight="1" thickBot="1">
      <c r="A17" s="169" t="str">
        <f>+IF([1]ENERO!A17=0,"",[1]ENERO!A17)</f>
        <v>1.1</v>
      </c>
      <c r="B17" s="265" t="str">
        <f>+IF([1]ENERO!B17=0,"",[1]ENERO!B17)</f>
        <v>INGRESOS  CORRIENTES</v>
      </c>
      <c r="C17" s="127">
        <f t="shared" ref="C17:N17" si="13">C19+C94+C104</f>
        <v>158143153137.47653</v>
      </c>
      <c r="D17" s="125">
        <f t="shared" si="13"/>
        <v>0</v>
      </c>
      <c r="E17" s="125">
        <f t="shared" si="13"/>
        <v>13867226030</v>
      </c>
      <c r="F17" s="125">
        <f t="shared" si="13"/>
        <v>172010379167.47653</v>
      </c>
      <c r="G17" s="125">
        <f t="shared" si="13"/>
        <v>25480206820</v>
      </c>
      <c r="H17" s="125">
        <f t="shared" si="13"/>
        <v>21684489180</v>
      </c>
      <c r="I17" s="125">
        <f t="shared" si="13"/>
        <v>47164696000</v>
      </c>
      <c r="J17" s="125">
        <f t="shared" si="13"/>
        <v>10410466334</v>
      </c>
      <c r="K17" s="125">
        <f>K19+K94+K104</f>
        <v>10309528410</v>
      </c>
      <c r="L17" s="125">
        <f t="shared" si="13"/>
        <v>20719994744</v>
      </c>
      <c r="M17" s="125">
        <f t="shared" si="13"/>
        <v>124845683167.47652</v>
      </c>
      <c r="N17" s="128">
        <f t="shared" si="13"/>
        <v>151290384423.4765</v>
      </c>
      <c r="O17" s="697"/>
      <c r="P17" s="171">
        <f>P19+P94+P104</f>
        <v>0</v>
      </c>
      <c r="Q17" s="173">
        <f>Q19+Q94+Q104</f>
        <v>7465757523</v>
      </c>
      <c r="R17" s="805"/>
      <c r="S17" s="266" t="str">
        <f>+IF([1]ENERO!S17=0,"",[1]ENERO!S17)</f>
        <v>2.1.1.01.01.001.01</v>
      </c>
      <c r="T17" s="267" t="str">
        <f>[1]ENERO!T17</f>
        <v>Sueldos del Personal de nómina</v>
      </c>
      <c r="U17" s="301">
        <f>SUM(ENERO!U17)</f>
        <v>6531851100</v>
      </c>
      <c r="V17" s="220">
        <f>[1]ENERO!V17+[1]FEBRERO!AL17</f>
        <v>-50000307</v>
      </c>
      <c r="W17" s="220">
        <f>[1]ENERO!W17+[1]FEBRERO!AM17</f>
        <v>0</v>
      </c>
      <c r="X17" s="269">
        <f>SUM(U17:W17)</f>
        <v>6481850793</v>
      </c>
      <c r="Y17" s="270">
        <f>[1]ENERO!AA17</f>
        <v>399373359</v>
      </c>
      <c r="Z17" s="204">
        <v>436578303</v>
      </c>
      <c r="AA17" s="271">
        <f>SUM(Y17:Z17)</f>
        <v>835951662</v>
      </c>
      <c r="AB17" s="270">
        <f>[1]ENERO!AD17</f>
        <v>399373359</v>
      </c>
      <c r="AC17" s="204">
        <v>436578303</v>
      </c>
      <c r="AD17" s="269">
        <f>SUM(AB17:AC17)</f>
        <v>835951662</v>
      </c>
      <c r="AE17" s="270">
        <f>[1]ENERO!AG17</f>
        <v>399373359</v>
      </c>
      <c r="AF17" s="204">
        <v>436578303</v>
      </c>
      <c r="AG17" s="269">
        <f>SUM(AE17:AF17)</f>
        <v>835951662</v>
      </c>
      <c r="AH17" s="270">
        <f>X17-AA17</f>
        <v>5645899131</v>
      </c>
      <c r="AI17" s="220">
        <f>X17-AD17</f>
        <v>5645899131</v>
      </c>
      <c r="AJ17" s="269">
        <f>X17-AG17</f>
        <v>5645899131</v>
      </c>
      <c r="AK17" s="805"/>
      <c r="AL17" s="204">
        <v>169873052</v>
      </c>
      <c r="AM17" s="210">
        <v>0</v>
      </c>
      <c r="AN17" s="805"/>
      <c r="AO17" s="819"/>
      <c r="AP17" s="835" t="s">
        <v>134</v>
      </c>
      <c r="AQ17" s="836">
        <f>SUM(AQ7:AQ16)</f>
        <v>172304856432.47653</v>
      </c>
      <c r="AR17" s="274">
        <f>SUM(AR7:AR16)</f>
        <v>48166706396</v>
      </c>
      <c r="AS17" s="837">
        <f>SUM(AS7:AS16)</f>
        <v>21814274979</v>
      </c>
      <c r="AT17" s="276"/>
      <c r="AU17" s="274">
        <f t="shared" si="0"/>
        <v>0.27954352183262893</v>
      </c>
      <c r="AV17" s="274">
        <f t="shared" si="1"/>
        <v>0.12660278665766253</v>
      </c>
      <c r="AW17" s="277">
        <f>SUM(AX7:AX16)</f>
        <v>28005530098</v>
      </c>
      <c r="AX17" s="277">
        <f>SUM(AX7:AX16)</f>
        <v>28005530098</v>
      </c>
      <c r="AY17" s="277">
        <f>SUM(AY7:AY16)</f>
        <v>17462463794.523476</v>
      </c>
      <c r="AZ17" s="278">
        <f>SUM(AZ7:AZ16)</f>
        <v>-144299326334.47653</v>
      </c>
      <c r="BA17" s="805"/>
      <c r="BB17" s="185" t="s">
        <v>135</v>
      </c>
      <c r="BC17" s="161">
        <f>F41+F52+F55+F58+F61+F67+F70+F73+F76+F79+F82+F86+F87+F88+F89+F90+F91</f>
        <v>16520748562.847889</v>
      </c>
      <c r="BD17" s="162">
        <f>I41+I52+I55+I58+I61+I67+I70+I73+I76+I79+I82+I86+I87+I88+I89+I90+I91</f>
        <v>3932610850</v>
      </c>
      <c r="BE17" s="161">
        <f>SUM(K43+K49+K46+K49+K52+K55+K58+K61+K67+K70+K73+K79+K76+K82)</f>
        <v>31918838</v>
      </c>
      <c r="BF17" s="821"/>
      <c r="BG17" s="279" t="s">
        <v>136</v>
      </c>
      <c r="BH17" s="280">
        <f>BC23-BH16</f>
        <v>-173189856432.16663</v>
      </c>
      <c r="BI17" s="280"/>
      <c r="BJ17" s="280"/>
      <c r="BK17" s="281"/>
      <c r="BL17" s="697"/>
      <c r="BM17" s="745" t="s">
        <v>137</v>
      </c>
      <c r="BN17" s="188">
        <f>X124+X127+X128+X129+X130+X131+X132+X133+X134+X135+X136+X125+X137+X138</f>
        <v>5007032828.2777777</v>
      </c>
      <c r="BO17" s="188">
        <f>AA124+AA127+AA128+AA129+AA130+AA131+AA132+AA133+AA134+AA135+AA136+AA125+AA137+AA138</f>
        <v>3952708593</v>
      </c>
      <c r="BP17" s="188">
        <f>AD124+AD127+AD128+AD129+AD130+AD131+AD132+AD133+AD134+AD135+AD136+AD125+AD137+AD138</f>
        <v>1481211305</v>
      </c>
      <c r="BQ17" s="188">
        <f>AF124+AF127+AF128+AF129+AF130+AF131+AF132+AF133+AF134+AF135+AF136+AF125+AF137+AF138</f>
        <v>518724695</v>
      </c>
    </row>
    <row r="18" spans="1:69" ht="24.75" customHeight="1" thickBot="1">
      <c r="A18" s="202">
        <f>+IF([1]ENERO!A18=0,"",[1]ENERO!A18)</f>
        <v>399373312</v>
      </c>
      <c r="B18" s="838">
        <f>+IF([1]ENERO!B18=0,"",[1]ENERO!B18)</f>
        <v>399373312</v>
      </c>
      <c r="C18" s="697"/>
      <c r="D18" s="697"/>
      <c r="E18" s="697"/>
      <c r="F18" s="697"/>
      <c r="G18" s="697"/>
      <c r="H18" s="697"/>
      <c r="I18" s="697"/>
      <c r="J18" s="697"/>
      <c r="K18" s="697"/>
      <c r="L18" s="697"/>
      <c r="M18" s="697"/>
      <c r="N18" s="283"/>
      <c r="O18" s="805"/>
      <c r="P18" s="284"/>
      <c r="Q18" s="285"/>
      <c r="R18" s="805"/>
      <c r="S18" s="266" t="str">
        <f>+IF([1]ENERO!S18=0,"",[1]ENERO!S18)</f>
        <v>2.1.1.01.01.001.02</v>
      </c>
      <c r="T18" s="267" t="str">
        <f>[1]ENERO!T18</f>
        <v>Horas Extras,Dominic.,Festivos y Rec. Nocturnos</v>
      </c>
      <c r="U18" s="301">
        <f>SUM(ENERO!U18)</f>
        <v>17000000</v>
      </c>
      <c r="V18" s="220">
        <f>[1]ENERO!V18+[1]FEBRERO!AL18</f>
        <v>0</v>
      </c>
      <c r="W18" s="220">
        <f>[1]ENERO!W18+[1]FEBRERO!AM18</f>
        <v>0</v>
      </c>
      <c r="X18" s="269">
        <f>SUM(U18:W18)</f>
        <v>17000000</v>
      </c>
      <c r="Y18" s="270">
        <f>[1]ENERO!AA18</f>
        <v>912727</v>
      </c>
      <c r="Z18" s="204">
        <v>985935</v>
      </c>
      <c r="AA18" s="271">
        <f>SUM(Y18:Z18)</f>
        <v>1898662</v>
      </c>
      <c r="AB18" s="270">
        <f>[1]ENERO!AD18</f>
        <v>912727</v>
      </c>
      <c r="AC18" s="204">
        <v>985935</v>
      </c>
      <c r="AD18" s="269">
        <f>SUM(AB18:AC18)</f>
        <v>1898662</v>
      </c>
      <c r="AE18" s="270">
        <f>[1]ENERO!AG18</f>
        <v>912727</v>
      </c>
      <c r="AF18" s="204">
        <v>985935</v>
      </c>
      <c r="AG18" s="269">
        <f>SUM(AE18:AF18)</f>
        <v>1898662</v>
      </c>
      <c r="AH18" s="270">
        <f>X18-AA18</f>
        <v>15101338</v>
      </c>
      <c r="AI18" s="220">
        <f>X18-AD18</f>
        <v>15101338</v>
      </c>
      <c r="AJ18" s="269">
        <f>X18-AG18</f>
        <v>15101338</v>
      </c>
      <c r="AK18" s="805"/>
      <c r="AL18" s="204">
        <v>0</v>
      </c>
      <c r="AM18" s="210">
        <v>0</v>
      </c>
      <c r="AN18" s="805"/>
      <c r="AO18" s="806"/>
      <c r="AP18" s="697" t="s">
        <v>92</v>
      </c>
      <c r="AQ18" s="697"/>
      <c r="AR18" s="697"/>
      <c r="AS18" s="697"/>
      <c r="AT18" s="697"/>
      <c r="AU18" s="697"/>
      <c r="AV18" s="697"/>
      <c r="AW18" s="697"/>
      <c r="AX18" s="697"/>
      <c r="AY18" s="697"/>
      <c r="AZ18" s="697"/>
      <c r="BA18" s="697"/>
      <c r="BB18" s="236" t="s">
        <v>139</v>
      </c>
      <c r="BC18" s="161">
        <f>+F95+F96+F97+F99</f>
        <v>0</v>
      </c>
      <c r="BD18" s="162">
        <f>+I95+I96+I97+I99</f>
        <v>0</v>
      </c>
      <c r="BE18" s="163">
        <f>+K95+K96+K97+K99</f>
        <v>0</v>
      </c>
      <c r="BF18" s="830"/>
      <c r="BG18" s="805"/>
      <c r="BH18" s="805"/>
      <c r="BI18" s="805"/>
      <c r="BJ18" s="805"/>
      <c r="BK18" s="805"/>
      <c r="BL18" s="805"/>
      <c r="BM18" s="745" t="s">
        <v>140</v>
      </c>
      <c r="BN18" s="188">
        <f>X118+X120+X148+X156+X157</f>
        <v>8493867035</v>
      </c>
      <c r="BO18" s="188">
        <f>AA118+AA120+AA148+AA156+AA157</f>
        <v>2209315115</v>
      </c>
      <c r="BP18" s="188">
        <f>AD118+AD120+AD148+AD156+AD157</f>
        <v>606079924</v>
      </c>
      <c r="BQ18" s="188">
        <f>AF118+AF120+AF148+AF156+AF157</f>
        <v>6673133</v>
      </c>
    </row>
    <row r="19" spans="1:69" ht="24.75" customHeight="1" thickBot="1">
      <c r="A19" s="286">
        <f>+IF([1]ENERO!A19=0,"",[1]ENERO!A19)</f>
        <v>113</v>
      </c>
      <c r="B19" s="287" t="str">
        <f>+IF([1]ENERO!B19=0,"",[1]ENERO!B19)</f>
        <v>VENTA DE SERVICIOS</v>
      </c>
      <c r="C19" s="127">
        <f t="shared" ref="C19:N19" si="14">C21+C85</f>
        <v>157258153137.47653</v>
      </c>
      <c r="D19" s="125">
        <f t="shared" si="14"/>
        <v>0</v>
      </c>
      <c r="E19" s="125">
        <f t="shared" si="14"/>
        <v>13867226030</v>
      </c>
      <c r="F19" s="128">
        <f t="shared" si="14"/>
        <v>171125379167.47653</v>
      </c>
      <c r="G19" s="127">
        <f t="shared" si="14"/>
        <v>25330977987</v>
      </c>
      <c r="H19" s="125">
        <f t="shared" si="14"/>
        <v>21656251144</v>
      </c>
      <c r="I19" s="128">
        <f t="shared" si="14"/>
        <v>46987229131</v>
      </c>
      <c r="J19" s="127">
        <f t="shared" si="14"/>
        <v>10361930686</v>
      </c>
      <c r="K19" s="125">
        <f t="shared" si="14"/>
        <v>10272867028</v>
      </c>
      <c r="L19" s="128">
        <f t="shared" si="14"/>
        <v>20634797714</v>
      </c>
      <c r="M19" s="127">
        <f t="shared" si="14"/>
        <v>124138150036.47652</v>
      </c>
      <c r="N19" s="128">
        <f t="shared" si="14"/>
        <v>150490581453.4765</v>
      </c>
      <c r="O19" s="697"/>
      <c r="P19" s="288">
        <f>P21+P85</f>
        <v>0</v>
      </c>
      <c r="Q19" s="289">
        <f>Q21+Q85</f>
        <v>7465757523</v>
      </c>
      <c r="R19" s="805"/>
      <c r="S19" s="266">
        <f>+IF([1]ENERO!S19=0,"",[1]ENERO!S19)</f>
        <v>1010103</v>
      </c>
      <c r="T19" s="267" t="str">
        <f>[1]ENERO!T19</f>
        <v>Prima Técnica</v>
      </c>
      <c r="U19" s="301">
        <f>SUM(ENERO!U19)</f>
        <v>0</v>
      </c>
      <c r="V19" s="220">
        <f>[1]ENERO!V19+[1]FEBRERO!AL19</f>
        <v>0</v>
      </c>
      <c r="W19" s="220">
        <f>[1]ENERO!W19+[1]FEBRERO!AM19</f>
        <v>0</v>
      </c>
      <c r="X19" s="269">
        <f>SUM(U19:W19)</f>
        <v>0</v>
      </c>
      <c r="Y19" s="270">
        <f>[1]ENERO!AA19</f>
        <v>0</v>
      </c>
      <c r="Z19" s="208">
        <v>0</v>
      </c>
      <c r="AA19" s="271">
        <f>SUM(Y19:Z19)</f>
        <v>0</v>
      </c>
      <c r="AB19" s="270">
        <f>[1]ENERO!AD19</f>
        <v>0</v>
      </c>
      <c r="AC19" s="208">
        <v>0</v>
      </c>
      <c r="AD19" s="269">
        <f>SUM(AB19:AC19)</f>
        <v>0</v>
      </c>
      <c r="AE19" s="270">
        <f>[1]ENERO!AG19</f>
        <v>0</v>
      </c>
      <c r="AF19" s="208">
        <v>0</v>
      </c>
      <c r="AG19" s="269">
        <f>SUM(AE19:AF19)</f>
        <v>0</v>
      </c>
      <c r="AH19" s="270">
        <f>X19-AA19</f>
        <v>0</v>
      </c>
      <c r="AI19" s="220">
        <f>X19-AD19</f>
        <v>0</v>
      </c>
      <c r="AJ19" s="269">
        <f>X19-AG19</f>
        <v>0</v>
      </c>
      <c r="AK19" s="805"/>
      <c r="AL19" s="204">
        <v>0</v>
      </c>
      <c r="AM19" s="210">
        <v>0</v>
      </c>
      <c r="AN19" s="805"/>
      <c r="AO19" s="806"/>
      <c r="AP19" s="290"/>
      <c r="AQ19" s="291" t="s">
        <v>52</v>
      </c>
      <c r="AR19" s="292" t="s">
        <v>31</v>
      </c>
      <c r="AS19" s="293" t="s">
        <v>143</v>
      </c>
      <c r="AT19" s="292" t="s">
        <v>55</v>
      </c>
      <c r="AU19" s="294" t="s">
        <v>55</v>
      </c>
      <c r="AV19" s="295" t="s">
        <v>55</v>
      </c>
      <c r="AW19" s="1386" t="str">
        <f>+CONCATENATE("PROYECCION A DICIEMBRE 31 DEL ",N3)</f>
        <v>PROYECCION A DICIEMBRE 31 DEL 2025</v>
      </c>
      <c r="AX19" s="1387"/>
      <c r="AY19" s="1387"/>
      <c r="AZ19" s="1388"/>
      <c r="BA19" s="697"/>
      <c r="BB19" s="296" t="s">
        <v>144</v>
      </c>
      <c r="BC19" s="297">
        <f>+F105+F106+F107+F108+F109+F110+F98+F100+F101</f>
        <v>885000000</v>
      </c>
      <c r="BD19" s="238">
        <f>+I105+I106+I107+I108+I109+I110+I98+I100+I101</f>
        <v>159111340</v>
      </c>
      <c r="BE19" s="239">
        <f>+K105+K106+K107+K108+K109+K110+K98+K100+K101</f>
        <v>36661382</v>
      </c>
      <c r="BF19" s="810"/>
      <c r="BG19" s="697"/>
      <c r="BH19" s="697"/>
      <c r="BI19" s="697"/>
      <c r="BJ19" s="697"/>
      <c r="BK19" s="697"/>
      <c r="BL19" s="805"/>
      <c r="BM19" s="745" t="s">
        <v>145</v>
      </c>
      <c r="BN19" s="188">
        <f>X126</f>
        <v>2804022659</v>
      </c>
      <c r="BO19" s="188">
        <f>AA126</f>
        <v>320707721</v>
      </c>
      <c r="BP19" s="188">
        <f>AD126</f>
        <v>320707721</v>
      </c>
      <c r="BQ19" s="755">
        <f>AF126</f>
        <v>253710533</v>
      </c>
    </row>
    <row r="20" spans="1:69" ht="24.75" customHeight="1" thickBot="1">
      <c r="A20" s="202" t="str">
        <f>+IF([1]ENERO!A20=0,"",[1]ENERO!A20)</f>
        <v/>
      </c>
      <c r="B20" s="298" t="str">
        <f>+IF([1]ENERO!B20=0,"",[1]ENERO!B20)</f>
        <v/>
      </c>
      <c r="C20" s="697"/>
      <c r="D20" s="697"/>
      <c r="E20" s="697"/>
      <c r="F20" s="697"/>
      <c r="G20" s="697"/>
      <c r="H20" s="697"/>
      <c r="I20" s="697"/>
      <c r="J20" s="697"/>
      <c r="K20" s="697"/>
      <c r="L20" s="697"/>
      <c r="M20" s="697"/>
      <c r="N20" s="283"/>
      <c r="O20" s="805"/>
      <c r="P20" s="284"/>
      <c r="Q20" s="285"/>
      <c r="R20" s="805"/>
      <c r="S20" s="266">
        <f>+IF([1]ENERO!S20=0,"",[1]ENERO!S20)</f>
        <v>1010104</v>
      </c>
      <c r="T20" s="267" t="str">
        <f>[1]ENERO!T20</f>
        <v>Otros</v>
      </c>
      <c r="U20" s="301">
        <f>SUM(ENERO!U20)</f>
        <v>1587602697.9166667</v>
      </c>
      <c r="V20" s="220">
        <f t="shared" ref="V20:AJ20" si="15">SUM(V21:V32)</f>
        <v>21000000</v>
      </c>
      <c r="W20" s="220">
        <f t="shared" si="15"/>
        <v>0</v>
      </c>
      <c r="X20" s="269">
        <f t="shared" si="15"/>
        <v>1608602697.9166667</v>
      </c>
      <c r="Y20" s="270">
        <f t="shared" si="15"/>
        <v>34782811</v>
      </c>
      <c r="Z20" s="300">
        <f>SUM(Z21:Z32)</f>
        <v>85613833</v>
      </c>
      <c r="AA20" s="271">
        <f t="shared" si="15"/>
        <v>120396644</v>
      </c>
      <c r="AB20" s="270">
        <f t="shared" si="15"/>
        <v>34782811</v>
      </c>
      <c r="AC20" s="300">
        <f t="shared" si="15"/>
        <v>85613833</v>
      </c>
      <c r="AD20" s="269">
        <f t="shared" si="15"/>
        <v>120396644</v>
      </c>
      <c r="AE20" s="270">
        <f t="shared" si="15"/>
        <v>31286859</v>
      </c>
      <c r="AF20" s="300">
        <f t="shared" si="15"/>
        <v>89109785</v>
      </c>
      <c r="AG20" s="269">
        <f t="shared" si="15"/>
        <v>120396644</v>
      </c>
      <c r="AH20" s="270">
        <f t="shared" si="15"/>
        <v>1488206053.9166667</v>
      </c>
      <c r="AI20" s="220">
        <f t="shared" si="15"/>
        <v>1488206053.9166667</v>
      </c>
      <c r="AJ20" s="269">
        <f t="shared" si="15"/>
        <v>1488206053.9166667</v>
      </c>
      <c r="AK20" s="805"/>
      <c r="AL20" s="301">
        <f>SUM(AL21:AL32)</f>
        <v>0</v>
      </c>
      <c r="AM20" s="302">
        <f>SUM(AM21:AM32)</f>
        <v>0</v>
      </c>
      <c r="AN20" s="805"/>
      <c r="AO20" s="819"/>
      <c r="AP20" s="303" t="s">
        <v>65</v>
      </c>
      <c r="AQ20" s="839" t="s">
        <v>75</v>
      </c>
      <c r="AR20" s="839" t="s">
        <v>66</v>
      </c>
      <c r="AS20" s="305" t="s">
        <v>66</v>
      </c>
      <c r="AT20" s="839" t="s">
        <v>67</v>
      </c>
      <c r="AU20" s="840" t="s">
        <v>68</v>
      </c>
      <c r="AV20" s="840" t="s">
        <v>68</v>
      </c>
      <c r="AW20" s="840" t="s">
        <v>31</v>
      </c>
      <c r="AX20" s="840" t="s">
        <v>34</v>
      </c>
      <c r="AY20" s="840" t="s">
        <v>147</v>
      </c>
      <c r="AZ20" s="307" t="s">
        <v>147</v>
      </c>
      <c r="BA20" s="697"/>
      <c r="BB20" s="308" t="s">
        <v>148</v>
      </c>
      <c r="BC20" s="142">
        <f>+F115+F117+F119+F120+F121+F123+F124</f>
        <v>0</v>
      </c>
      <c r="BD20" s="143">
        <f>+I115+I117+I119+I120+I121+I123+I124</f>
        <v>0</v>
      </c>
      <c r="BE20" s="144">
        <f>+K115+K117+K119+K120+K121+K123+K124</f>
        <v>0</v>
      </c>
      <c r="BF20" s="810"/>
      <c r="BG20" s="697"/>
      <c r="BH20" s="697"/>
      <c r="BI20" s="697"/>
      <c r="BJ20" s="697"/>
      <c r="BK20" s="697"/>
      <c r="BL20" s="697"/>
      <c r="BM20" s="745" t="s">
        <v>149</v>
      </c>
      <c r="BN20" s="188">
        <f>+X141</f>
        <v>548000000</v>
      </c>
      <c r="BO20" s="188">
        <f>+AA141</f>
        <v>8880060</v>
      </c>
      <c r="BP20" s="188">
        <f>+AD141</f>
        <v>8880060</v>
      </c>
      <c r="BQ20" s="755">
        <f>+AF141</f>
        <v>0</v>
      </c>
    </row>
    <row r="21" spans="1:69" ht="24.75" customHeight="1" thickBot="1">
      <c r="A21" s="309" t="str">
        <f>+IF([1]ENERO!A21=0,"",[1]ENERO!A21)</f>
        <v>1.1.02.05.001.09.02</v>
      </c>
      <c r="B21" s="310" t="str">
        <f>+IF([1]ENERO!B21=0,"",[1]ENERO!B21)</f>
        <v>Venta de Servicios de Salud</v>
      </c>
      <c r="C21" s="171">
        <f t="shared" ref="C21:N21" si="16">C22+C25+C28+C41+C42+C45+C48+C51+C54+C57+C60+C63+C66+C69+C72+C75+C78+C81</f>
        <v>157258153137.47653</v>
      </c>
      <c r="D21" s="172">
        <f t="shared" si="16"/>
        <v>0</v>
      </c>
      <c r="E21" s="172">
        <f t="shared" si="16"/>
        <v>0</v>
      </c>
      <c r="F21" s="172">
        <f t="shared" si="16"/>
        <v>157258153137.47653</v>
      </c>
      <c r="G21" s="172">
        <f t="shared" si="16"/>
        <v>23115817987</v>
      </c>
      <c r="H21" s="172">
        <f t="shared" si="16"/>
        <v>20628962650</v>
      </c>
      <c r="I21" s="172">
        <f t="shared" si="16"/>
        <v>43744780637</v>
      </c>
      <c r="J21" s="172">
        <f t="shared" si="16"/>
        <v>10361930686</v>
      </c>
      <c r="K21" s="172">
        <f>K22+K25+K28+K41+K42+K45+K48+K51+K54+K57+K60+K63+K66+K69+K72+K75+K78+K81</f>
        <v>9807109465</v>
      </c>
      <c r="L21" s="172">
        <f t="shared" si="16"/>
        <v>20169040151</v>
      </c>
      <c r="M21" s="172">
        <f t="shared" si="16"/>
        <v>113513372500.47652</v>
      </c>
      <c r="N21" s="173">
        <f t="shared" si="16"/>
        <v>137089112986.47652</v>
      </c>
      <c r="O21" s="697"/>
      <c r="P21" s="288">
        <f>P22+P25+P28+P41+P42+P45+P48+P51+P54+P57+P60+P63+P66+P69+P72+P75+P78+P81</f>
        <v>0</v>
      </c>
      <c r="Q21" s="289">
        <f>Q22+Q25+Q28+Q41+Q42+Q45+Q48+Q51+Q54+Q57+Q60+Q63+Q66+Q69+Q72+Q75+Q78+Q81</f>
        <v>0</v>
      </c>
      <c r="R21" s="805"/>
      <c r="S21" s="311" t="str">
        <f>+IF([1]ENERO!S21=0,"",[1]ENERO!S21)</f>
        <v>2.1.1.01.01.001.08.01</v>
      </c>
      <c r="T21" s="267" t="str">
        <f>[1]ENERO!T21</f>
        <v xml:space="preserve">Prima de Navidad </v>
      </c>
      <c r="U21" s="301">
        <f>SUM(ENERO!U21)</f>
        <v>544320925</v>
      </c>
      <c r="V21" s="220">
        <f>[1]ENERO!V21+[1]FEBRERO!AL21</f>
        <v>0</v>
      </c>
      <c r="W21" s="220">
        <f>[1]ENERO!W21+[1]FEBRERO!AM21</f>
        <v>0</v>
      </c>
      <c r="X21" s="269">
        <f t="shared" ref="X21:X33" si="17">SUM(U21:W21)</f>
        <v>544320925</v>
      </c>
      <c r="Y21" s="270">
        <f>[1]ENERO!AA21</f>
        <v>0</v>
      </c>
      <c r="Z21" s="204">
        <v>3547652</v>
      </c>
      <c r="AA21" s="271">
        <f>SUM(Y21:Z21)</f>
        <v>3547652</v>
      </c>
      <c r="AB21" s="270">
        <f>[1]ENERO!AD21</f>
        <v>0</v>
      </c>
      <c r="AC21" s="204">
        <v>3547652</v>
      </c>
      <c r="AD21" s="269">
        <f t="shared" ref="AD21:AD33" si="18">SUM(AB21:AC21)</f>
        <v>3547652</v>
      </c>
      <c r="AE21" s="270">
        <f>[1]ENERO!AG21</f>
        <v>0</v>
      </c>
      <c r="AF21" s="204">
        <v>3547652</v>
      </c>
      <c r="AG21" s="269">
        <f t="shared" ref="AG21:AG33" si="19">SUM(AE21:AF21)</f>
        <v>3547652</v>
      </c>
      <c r="AH21" s="270">
        <f t="shared" ref="AH21:AH33" si="20">X21-AA21</f>
        <v>540773273</v>
      </c>
      <c r="AI21" s="220">
        <f t="shared" ref="AI21:AI33" si="21">X21-AD21</f>
        <v>540773273</v>
      </c>
      <c r="AJ21" s="269">
        <f t="shared" ref="AJ21:AJ33" si="22">X21-AG21</f>
        <v>540773273</v>
      </c>
      <c r="AK21" s="805"/>
      <c r="AL21" s="204">
        <v>0</v>
      </c>
      <c r="AM21" s="210">
        <v>0</v>
      </c>
      <c r="AN21" s="805"/>
      <c r="AO21" s="819"/>
      <c r="AP21" s="313"/>
      <c r="AQ21" s="314"/>
      <c r="AR21" s="315" t="str">
        <f>AR6</f>
        <v>FEBRERO</v>
      </c>
      <c r="AS21" s="316" t="str">
        <f>AR6</f>
        <v>FEBRERO</v>
      </c>
      <c r="AT21" s="315" t="str">
        <f>AR6</f>
        <v>FEBRERO</v>
      </c>
      <c r="AU21" s="315" t="s">
        <v>31</v>
      </c>
      <c r="AV21" s="315" t="s">
        <v>34</v>
      </c>
      <c r="AW21" s="317"/>
      <c r="AX21" s="317"/>
      <c r="AY21" s="315" t="s">
        <v>31</v>
      </c>
      <c r="AZ21" s="318" t="s">
        <v>34</v>
      </c>
      <c r="BA21" s="805"/>
      <c r="BB21" s="308" t="s">
        <v>152</v>
      </c>
      <c r="BC21" s="142">
        <f>SUMIF($B8:B122,$B24,F8:F122)+F122</f>
        <v>19182884469.099998</v>
      </c>
      <c r="BD21" s="143">
        <f>SUMIF($B8:B122,$B24,I8:I122)+I122</f>
        <v>19707750881</v>
      </c>
      <c r="BE21" s="142">
        <f>SUM(K128)</f>
        <v>9440233268</v>
      </c>
      <c r="BF21" s="810"/>
      <c r="BG21" s="697"/>
      <c r="BH21" s="697"/>
      <c r="BI21" s="697"/>
      <c r="BJ21" s="697"/>
      <c r="BK21" s="697"/>
      <c r="BL21" s="697"/>
      <c r="BM21" s="745" t="s">
        <v>153</v>
      </c>
      <c r="BN21" s="188">
        <v>0</v>
      </c>
      <c r="BO21" s="186">
        <v>0</v>
      </c>
      <c r="BP21" s="186">
        <v>0</v>
      </c>
      <c r="BQ21" s="754">
        <v>0</v>
      </c>
    </row>
    <row r="22" spans="1:69" ht="24.75" customHeight="1" thickBot="1">
      <c r="A22" s="286" t="str">
        <f>+IF([1]ENERO!A22=0,"",[1]ENERO!A22)</f>
        <v>1.1.02.05.001.09.02.02</v>
      </c>
      <c r="B22" s="319" t="str">
        <f>+IF([1]ENERO!B22=0,"",[1]ENERO!B22)</f>
        <v>EPS - REGIMEN CONTRIBUTIVO</v>
      </c>
      <c r="C22" s="288">
        <f t="shared" ref="C22:N22" si="23">SUM(C23:C24)</f>
        <v>56030749893.586876</v>
      </c>
      <c r="D22" s="320">
        <f t="shared" si="23"/>
        <v>0</v>
      </c>
      <c r="E22" s="320">
        <f t="shared" si="23"/>
        <v>0</v>
      </c>
      <c r="F22" s="320">
        <f t="shared" si="23"/>
        <v>56030749893.586876</v>
      </c>
      <c r="G22" s="320">
        <f t="shared" si="23"/>
        <v>8619609747</v>
      </c>
      <c r="H22" s="320">
        <f t="shared" si="23"/>
        <v>6140819307</v>
      </c>
      <c r="I22" s="320">
        <f t="shared" si="23"/>
        <v>14760429054</v>
      </c>
      <c r="J22" s="320">
        <f t="shared" si="23"/>
        <v>3199509191</v>
      </c>
      <c r="K22" s="320">
        <f t="shared" si="23"/>
        <v>1751227657</v>
      </c>
      <c r="L22" s="320">
        <f t="shared" si="23"/>
        <v>4950736848</v>
      </c>
      <c r="M22" s="320">
        <f t="shared" si="23"/>
        <v>41270320839.586876</v>
      </c>
      <c r="N22" s="289">
        <f t="shared" si="23"/>
        <v>51080013045.586876</v>
      </c>
      <c r="O22" s="805"/>
      <c r="P22" s="288">
        <f>SUM(P23:P24)</f>
        <v>0</v>
      </c>
      <c r="Q22" s="289">
        <f>SUM(Q23:Q24)</f>
        <v>0</v>
      </c>
      <c r="R22" s="805"/>
      <c r="S22" s="311" t="str">
        <f>+IF([1]ENERO!S22=0,"",[1]ENERO!S22)</f>
        <v>2.1.1.01.01.001.08.02</v>
      </c>
      <c r="T22" s="267" t="str">
        <f>[1]ENERO!T22</f>
        <v>Prima de Vacaciones</v>
      </c>
      <c r="U22" s="301">
        <f>SUM(ENERO!U22)</f>
        <v>272160462.5</v>
      </c>
      <c r="V22" s="220">
        <f>[1]ENERO!V22+[1]FEBRERO!AL22</f>
        <v>0</v>
      </c>
      <c r="W22" s="220">
        <f>[1]ENERO!W22+[1]FEBRERO!AM22</f>
        <v>0</v>
      </c>
      <c r="X22" s="269">
        <f t="shared" si="17"/>
        <v>272160462.5</v>
      </c>
      <c r="Y22" s="270">
        <f>[1]ENERO!AA22</f>
        <v>6822128</v>
      </c>
      <c r="Z22" s="204">
        <v>23663743</v>
      </c>
      <c r="AA22" s="271">
        <f t="shared" ref="AA22:AA33" si="24">SUM(Y22:Z22)</f>
        <v>30485871</v>
      </c>
      <c r="AB22" s="270">
        <f>[1]ENERO!AD22</f>
        <v>6822128</v>
      </c>
      <c r="AC22" s="204">
        <v>23663743</v>
      </c>
      <c r="AD22" s="269">
        <f t="shared" si="18"/>
        <v>30485871</v>
      </c>
      <c r="AE22" s="270">
        <f>[1]ENERO!AG22</f>
        <v>5799124</v>
      </c>
      <c r="AF22" s="204">
        <v>24686747</v>
      </c>
      <c r="AG22" s="269">
        <f t="shared" si="19"/>
        <v>30485871</v>
      </c>
      <c r="AH22" s="270">
        <f t="shared" si="20"/>
        <v>241674591.5</v>
      </c>
      <c r="AI22" s="220">
        <f t="shared" si="21"/>
        <v>241674591.5</v>
      </c>
      <c r="AJ22" s="269">
        <f t="shared" si="22"/>
        <v>241674591.5</v>
      </c>
      <c r="AK22" s="805"/>
      <c r="AL22" s="204">
        <v>0</v>
      </c>
      <c r="AM22" s="210">
        <v>0</v>
      </c>
      <c r="AN22" s="805"/>
      <c r="AO22" s="806"/>
      <c r="AP22" s="536" t="s">
        <v>156</v>
      </c>
      <c r="AQ22" s="842">
        <f>X17+X66</f>
        <v>6481850793</v>
      </c>
      <c r="AR22" s="842">
        <f>AD17+AD66</f>
        <v>835951662</v>
      </c>
      <c r="AS22" s="842">
        <f>AG17+AG66</f>
        <v>835951662</v>
      </c>
      <c r="AT22" s="843"/>
      <c r="AU22" s="325">
        <f t="shared" ref="AU22:AU32" si="25">IF(AQ22=0," ",AR22/AQ22)</f>
        <v>0.12896805074605797</v>
      </c>
      <c r="AV22" s="325">
        <f t="shared" ref="AV22:AV32" si="26">IF(AQ22=0," ",AS22/AQ22)</f>
        <v>0.12896805074605797</v>
      </c>
      <c r="AW22" s="323">
        <f>AR22/$AO$2*12</f>
        <v>5015709972</v>
      </c>
      <c r="AX22" s="323">
        <f>AS22/$AO$2*12</f>
        <v>5015709972</v>
      </c>
      <c r="AY22" s="323">
        <f t="shared" ref="AY22:AY28" si="27">AQ22-AW22</f>
        <v>1466140821</v>
      </c>
      <c r="AZ22" s="326">
        <f t="shared" ref="AZ22:AZ31" si="28">AQ22-AX22</f>
        <v>1466140821</v>
      </c>
      <c r="BA22" s="697"/>
      <c r="BB22" s="844" t="s">
        <v>157</v>
      </c>
      <c r="BC22" s="328">
        <f>BC7+BC8+BC20+BC21</f>
        <v>173189856432.47653</v>
      </c>
      <c r="BD22" s="329">
        <f>BD7+BD8+BD20+BD21</f>
        <v>48325817736</v>
      </c>
      <c r="BE22" s="328">
        <f>SUM(BE8+BE21)</f>
        <v>10309528410</v>
      </c>
      <c r="BF22" s="810"/>
      <c r="BG22" s="697"/>
      <c r="BH22" s="697"/>
      <c r="BI22" s="697"/>
      <c r="BJ22" s="697"/>
      <c r="BK22" s="697"/>
      <c r="BL22" s="805"/>
      <c r="BM22" s="743" t="s">
        <v>108</v>
      </c>
      <c r="BN22" s="188">
        <f>BN23+BN24</f>
        <v>1793060585</v>
      </c>
      <c r="BO22" s="186">
        <f>BO23+BO24</f>
        <v>506807800</v>
      </c>
      <c r="BP22" s="186">
        <f>BP23+BP24</f>
        <v>506807800</v>
      </c>
      <c r="BQ22" s="748">
        <f>BQ23+BQ24</f>
        <v>204193921</v>
      </c>
    </row>
    <row r="23" spans="1:69" ht="24.75" customHeight="1">
      <c r="A23" s="202" t="str">
        <f>+IF([1]ENERO!A23=0,"",[1]ENERO!A23)</f>
        <v>1.1.02.05.001.09.02.02</v>
      </c>
      <c r="B23" s="331" t="str">
        <f>+CONCATENATE("Vigencia ",[1]INSTRUCCIONES!$F$3)</f>
        <v>Vigencia 2025</v>
      </c>
      <c r="C23" s="204">
        <f>+[1]ENERO!C23</f>
        <v>49300076925.586876</v>
      </c>
      <c r="D23" s="205">
        <f>[1]ENERO!D23+[1]FEBRERO!P23</f>
        <v>0</v>
      </c>
      <c r="E23" s="205">
        <f>[1]ENERO!E23+[1]FEBRERO!Q23</f>
        <v>0</v>
      </c>
      <c r="F23" s="205">
        <f>SUM(C23:E23)</f>
        <v>49300076925.586876</v>
      </c>
      <c r="G23" s="205">
        <f>[1]ENERO!I23</f>
        <v>5473586290</v>
      </c>
      <c r="H23" s="208">
        <v>4439750376</v>
      </c>
      <c r="I23" s="205">
        <f>SUM(G23:H23)</f>
        <v>9913336666</v>
      </c>
      <c r="J23" s="205">
        <f>[1]ENERO!L23</f>
        <v>53485734</v>
      </c>
      <c r="K23" s="208">
        <f>47747436+2411290</f>
        <v>50158726</v>
      </c>
      <c r="L23" s="205">
        <f>SUM(J23:K23)</f>
        <v>103644460</v>
      </c>
      <c r="M23" s="205">
        <f>F23-I23</f>
        <v>39386740259.586876</v>
      </c>
      <c r="N23" s="206">
        <f>F23-L23</f>
        <v>49196432465.586876</v>
      </c>
      <c r="O23" s="805"/>
      <c r="P23" s="204">
        <v>0</v>
      </c>
      <c r="Q23" s="210">
        <v>0</v>
      </c>
      <c r="R23" s="805"/>
      <c r="S23" s="311" t="str">
        <f>+IF([1]ENERO!S23=0,"",[1]ENERO!S23)</f>
        <v>2.1.1.01.01.001.07</v>
      </c>
      <c r="T23" s="267" t="str">
        <f>[1]ENERO!T23</f>
        <v>Bonificación  por servicios prestados</v>
      </c>
      <c r="U23" s="301">
        <f>SUM(ENERO!U23)</f>
        <v>190512323.74999997</v>
      </c>
      <c r="V23" s="220">
        <f>[1]ENERO!V23+[1]FEBRERO!AL23</f>
        <v>0</v>
      </c>
      <c r="W23" s="220">
        <f>[1]ENERO!W23+[1]FEBRERO!AM23</f>
        <v>0</v>
      </c>
      <c r="X23" s="269">
        <f t="shared" si="17"/>
        <v>190512323.74999997</v>
      </c>
      <c r="Y23" s="270">
        <f>[1]ENERO!AA23</f>
        <v>15794572</v>
      </c>
      <c r="Z23" s="204">
        <v>14902202</v>
      </c>
      <c r="AA23" s="271">
        <f t="shared" si="24"/>
        <v>30696774</v>
      </c>
      <c r="AB23" s="270">
        <f>[1]ENERO!AD23</f>
        <v>15794572</v>
      </c>
      <c r="AC23" s="204">
        <v>14902202</v>
      </c>
      <c r="AD23" s="269">
        <f t="shared" si="18"/>
        <v>30696774</v>
      </c>
      <c r="AE23" s="270">
        <f>[1]ENERO!AG23</f>
        <v>15128603</v>
      </c>
      <c r="AF23" s="204">
        <v>15568171</v>
      </c>
      <c r="AG23" s="269">
        <f t="shared" si="19"/>
        <v>30696774</v>
      </c>
      <c r="AH23" s="270">
        <f t="shared" si="20"/>
        <v>159815549.74999997</v>
      </c>
      <c r="AI23" s="220">
        <f t="shared" si="21"/>
        <v>159815549.74999997</v>
      </c>
      <c r="AJ23" s="269">
        <f t="shared" si="22"/>
        <v>159815549.74999997</v>
      </c>
      <c r="AK23" s="805"/>
      <c r="AL23" s="204">
        <v>0</v>
      </c>
      <c r="AM23" s="210">
        <v>0</v>
      </c>
      <c r="AN23" s="805"/>
      <c r="AO23" s="823"/>
      <c r="AP23" s="845" t="s">
        <v>159</v>
      </c>
      <c r="AQ23" s="334">
        <f>X16+X65-AQ22</f>
        <v>1625602697.916667</v>
      </c>
      <c r="AR23" s="334">
        <f>AD16+AD65-AR22</f>
        <v>122295306</v>
      </c>
      <c r="AS23" s="334">
        <f>AG16+AG65-AS22</f>
        <v>122295306</v>
      </c>
      <c r="AT23" s="807"/>
      <c r="AU23" s="139">
        <f t="shared" si="25"/>
        <v>7.5230747437077153E-2</v>
      </c>
      <c r="AV23" s="139">
        <f t="shared" si="26"/>
        <v>7.5230747437077153E-2</v>
      </c>
      <c r="AW23" s="334">
        <f>(AR23-AD21-AD22-AD23-AD25-AD30-AD33-AD70-AD71-AD72-AD74-AD78-AD81)/$AO$2*12+AX22/12*2.5+AD30+AD33+AD78+AD81</f>
        <v>1371761726.5</v>
      </c>
      <c r="AX23" s="334">
        <f>(AS23-AG21-AG22-AG23-AG25-AG30-AG33-AG70-AG71-AG72-AG74-AG78-AG81)/$AO$2*12+AX22/12*2.5+AG30+AG33+AG78+AG81</f>
        <v>1371761726.5</v>
      </c>
      <c r="AY23" s="334">
        <f t="shared" si="27"/>
        <v>253840971.41666698</v>
      </c>
      <c r="AZ23" s="335">
        <f t="shared" si="28"/>
        <v>253840971.41666698</v>
      </c>
      <c r="BA23" s="697"/>
      <c r="BB23" s="841"/>
      <c r="BC23" s="841"/>
      <c r="BD23" s="841"/>
      <c r="BE23" s="841"/>
      <c r="BF23" s="697"/>
      <c r="BG23" s="697"/>
      <c r="BH23" s="697"/>
      <c r="BI23" s="697"/>
      <c r="BJ23" s="697"/>
      <c r="BK23" s="697"/>
      <c r="BL23" s="697"/>
      <c r="BM23" s="745" t="s">
        <v>160</v>
      </c>
      <c r="BN23" s="188">
        <f>X176</f>
        <v>0</v>
      </c>
      <c r="BO23" s="186">
        <f>AA176</f>
        <v>0</v>
      </c>
      <c r="BP23" s="186">
        <f>AD176</f>
        <v>0</v>
      </c>
      <c r="BQ23" s="748">
        <f>AF176</f>
        <v>0</v>
      </c>
    </row>
    <row r="24" spans="1:69" ht="24.75" customHeight="1">
      <c r="A24" s="202" t="str">
        <f>+IF([1]ENERO!A24=0,"",[1]ENERO!A24)</f>
        <v>1.1.02.05.001.09.02.02,99</v>
      </c>
      <c r="B24" s="331" t="str">
        <f>+IF([1]ENERO!B24=0,"",[1]ENERO!B24)</f>
        <v>Vigencia Anterior</v>
      </c>
      <c r="C24" s="204">
        <f>+[1]ENERO!C24</f>
        <v>6730672968</v>
      </c>
      <c r="D24" s="205">
        <f>[1]ENERO!D24+[1]FEBRERO!P24</f>
        <v>0</v>
      </c>
      <c r="E24" s="205">
        <f>[1]ENERO!E24+[1]FEBRERO!Q24</f>
        <v>0</v>
      </c>
      <c r="F24" s="205">
        <f>SUM(C24:E24)</f>
        <v>6730672968</v>
      </c>
      <c r="G24" s="205">
        <f>[1]ENERO!I24</f>
        <v>3146023457</v>
      </c>
      <c r="H24" s="208">
        <v>1701068931</v>
      </c>
      <c r="I24" s="205">
        <f>SUM(G24:H24)</f>
        <v>4847092388</v>
      </c>
      <c r="J24" s="205">
        <f>[1]ENERO!L24</f>
        <v>3146023457</v>
      </c>
      <c r="K24" s="208">
        <f>1701063045+5886</f>
        <v>1701068931</v>
      </c>
      <c r="L24" s="205">
        <f>SUM(J24:K24)</f>
        <v>4847092388</v>
      </c>
      <c r="M24" s="205">
        <f>F24-I24</f>
        <v>1883580580</v>
      </c>
      <c r="N24" s="206">
        <f>F24-L24</f>
        <v>1883580580</v>
      </c>
      <c r="O24" s="697"/>
      <c r="P24" s="204">
        <v>0</v>
      </c>
      <c r="Q24" s="210">
        <v>0</v>
      </c>
      <c r="R24" s="805"/>
      <c r="S24" s="311" t="str">
        <f>+IF([1]ENERO!S24=0,"",[1]ENERO!S24)</f>
        <v>2.1.1.01.01.001.06</v>
      </c>
      <c r="T24" s="267" t="str">
        <f>[1]ENERO!T24</f>
        <v>Prima de Servicios</v>
      </c>
      <c r="U24" s="301">
        <f>SUM(ENERO!U24)</f>
        <v>272160462.5</v>
      </c>
      <c r="V24" s="220">
        <f>[1]ENERO!V24+[1]FEBRERO!AL24</f>
        <v>0</v>
      </c>
      <c r="W24" s="220">
        <f>[1]ENERO!W24+[1]FEBRERO!AM24</f>
        <v>0</v>
      </c>
      <c r="X24" s="269">
        <f t="shared" si="17"/>
        <v>272160462.5</v>
      </c>
      <c r="Y24" s="270">
        <f>[1]ENERO!AA24</f>
        <v>657124</v>
      </c>
      <c r="Z24" s="204">
        <v>14696359</v>
      </c>
      <c r="AA24" s="271">
        <f t="shared" si="24"/>
        <v>15353483</v>
      </c>
      <c r="AB24" s="270">
        <f>[1]ENERO!AD24</f>
        <v>657124</v>
      </c>
      <c r="AC24" s="204">
        <v>14696359</v>
      </c>
      <c r="AD24" s="269">
        <f t="shared" si="18"/>
        <v>15353483</v>
      </c>
      <c r="AE24" s="270">
        <f>[1]ENERO!AG24</f>
        <v>0</v>
      </c>
      <c r="AF24" s="204">
        <v>15353483</v>
      </c>
      <c r="AG24" s="269">
        <f t="shared" si="19"/>
        <v>15353483</v>
      </c>
      <c r="AH24" s="270">
        <f t="shared" si="20"/>
        <v>256806979.5</v>
      </c>
      <c r="AI24" s="220">
        <f t="shared" si="21"/>
        <v>256806979.5</v>
      </c>
      <c r="AJ24" s="269">
        <f t="shared" si="22"/>
        <v>256806979.5</v>
      </c>
      <c r="AK24" s="805"/>
      <c r="AL24" s="204">
        <v>0</v>
      </c>
      <c r="AM24" s="210">
        <v>0</v>
      </c>
      <c r="AN24" s="805"/>
      <c r="AO24" s="823"/>
      <c r="AP24" s="303" t="s">
        <v>163</v>
      </c>
      <c r="AQ24" s="843">
        <f>X35+X83</f>
        <v>77333311477</v>
      </c>
      <c r="AR24" s="843">
        <f>AD35+AD83</f>
        <v>21758067589</v>
      </c>
      <c r="AS24" s="843">
        <f>AG35+AG83</f>
        <v>10876259764</v>
      </c>
      <c r="AT24" s="843"/>
      <c r="AU24" s="205">
        <f t="shared" si="25"/>
        <v>0.28135440178933951</v>
      </c>
      <c r="AV24" s="205">
        <f t="shared" si="26"/>
        <v>0.14064132980047997</v>
      </c>
      <c r="AW24" s="205">
        <f>(AR24-AD41-AD88)/$AO$2*12+AD41+AD88</f>
        <v>76308781704</v>
      </c>
      <c r="AX24" s="205">
        <f>(AS24-AG41-AG88)/$AO$2*12+AG41+AG88</f>
        <v>11017934754</v>
      </c>
      <c r="AY24" s="205">
        <f t="shared" si="27"/>
        <v>1024529773</v>
      </c>
      <c r="AZ24" s="206">
        <f t="shared" si="28"/>
        <v>66315376723</v>
      </c>
      <c r="BA24" s="805"/>
      <c r="BB24" s="846"/>
      <c r="BC24" s="697"/>
      <c r="BD24" s="697"/>
      <c r="BE24" s="697"/>
      <c r="BF24" s="697"/>
      <c r="BG24" s="697"/>
      <c r="BH24" s="697"/>
      <c r="BI24" s="697"/>
      <c r="BJ24" s="697"/>
      <c r="BK24" s="697"/>
      <c r="BL24" s="697"/>
      <c r="BM24" s="745" t="s">
        <v>164</v>
      </c>
      <c r="BN24" s="188">
        <f>X169-X191</f>
        <v>1793060585</v>
      </c>
      <c r="BO24" s="188">
        <f>AA169-AA182</f>
        <v>506807800</v>
      </c>
      <c r="BP24" s="188">
        <f>AD169-AD182</f>
        <v>506807800</v>
      </c>
      <c r="BQ24" s="188">
        <f>AF169-AF182-AF191</f>
        <v>204193921</v>
      </c>
    </row>
    <row r="25" spans="1:69" ht="24.75" customHeight="1">
      <c r="A25" s="286" t="str">
        <f>+IF([1]ENERO!A25=0,"",[1]ENERO!A25)</f>
        <v>1.1.02.05.001.09.02.01</v>
      </c>
      <c r="B25" s="319" t="str">
        <f>+IF([1]ENERO!B25=0,"",[1]ENERO!B25)</f>
        <v>ARS - REGIMEN SUBSIDIADO</v>
      </c>
      <c r="C25" s="288">
        <f t="shared" ref="C25:N25" si="29">SUM(C26:C27)</f>
        <v>91588666596</v>
      </c>
      <c r="D25" s="320">
        <f t="shared" si="29"/>
        <v>0</v>
      </c>
      <c r="E25" s="320">
        <f t="shared" si="29"/>
        <v>0</v>
      </c>
      <c r="F25" s="320">
        <f t="shared" si="29"/>
        <v>91588666596</v>
      </c>
      <c r="G25" s="320">
        <f t="shared" si="29"/>
        <v>13195761074</v>
      </c>
      <c r="H25" s="320">
        <f t="shared" si="29"/>
        <v>13356928756</v>
      </c>
      <c r="I25" s="320">
        <f t="shared" si="29"/>
        <v>26552689830</v>
      </c>
      <c r="J25" s="320">
        <f t="shared" si="29"/>
        <v>6655454622</v>
      </c>
      <c r="K25" s="320">
        <f t="shared" si="29"/>
        <v>7441910563</v>
      </c>
      <c r="L25" s="320">
        <f t="shared" si="29"/>
        <v>14097365185</v>
      </c>
      <c r="M25" s="320">
        <f t="shared" si="29"/>
        <v>65035976766</v>
      </c>
      <c r="N25" s="289">
        <f t="shared" si="29"/>
        <v>77491301411</v>
      </c>
      <c r="O25" s="697"/>
      <c r="P25" s="288">
        <f>SUM(P26:P27)</f>
        <v>0</v>
      </c>
      <c r="Q25" s="289">
        <f>SUM(Q26:Q27)</f>
        <v>0</v>
      </c>
      <c r="R25" s="805"/>
      <c r="S25" s="311" t="str">
        <f>+IF([1]ENERO!S25=0,"",[1]ENERO!S25)</f>
        <v>1010104-5</v>
      </c>
      <c r="T25" s="267" t="str">
        <f>[1]ENERO!T25</f>
        <v>Bonificación Convencional</v>
      </c>
      <c r="U25" s="301">
        <f>SUM(ENERO!U25)</f>
        <v>0</v>
      </c>
      <c r="V25" s="220">
        <f>[1]ENERO!V25+[1]FEBRERO!AL25</f>
        <v>0</v>
      </c>
      <c r="W25" s="220">
        <f>[1]ENERO!W25+[1]FEBRERO!AM25</f>
        <v>0</v>
      </c>
      <c r="X25" s="269">
        <f t="shared" si="17"/>
        <v>0</v>
      </c>
      <c r="Y25" s="270">
        <f>[1]ENERO!AA25</f>
        <v>0</v>
      </c>
      <c r="Z25" s="208">
        <v>0</v>
      </c>
      <c r="AA25" s="271">
        <f t="shared" si="24"/>
        <v>0</v>
      </c>
      <c r="AB25" s="270">
        <f>[1]ENERO!AD25</f>
        <v>0</v>
      </c>
      <c r="AC25" s="208">
        <v>0</v>
      </c>
      <c r="AD25" s="269">
        <f t="shared" si="18"/>
        <v>0</v>
      </c>
      <c r="AE25" s="270">
        <f>[1]ENERO!AG25</f>
        <v>0</v>
      </c>
      <c r="AF25" s="208">
        <v>0</v>
      </c>
      <c r="AG25" s="269">
        <f t="shared" si="19"/>
        <v>0</v>
      </c>
      <c r="AH25" s="270">
        <f t="shared" si="20"/>
        <v>0</v>
      </c>
      <c r="AI25" s="220">
        <f t="shared" si="21"/>
        <v>0</v>
      </c>
      <c r="AJ25" s="269">
        <f t="shared" si="22"/>
        <v>0</v>
      </c>
      <c r="AK25" s="805"/>
      <c r="AL25" s="204">
        <v>0</v>
      </c>
      <c r="AM25" s="210">
        <v>0</v>
      </c>
      <c r="AN25" s="805"/>
      <c r="AO25" s="806"/>
      <c r="AP25" s="696" t="s">
        <v>168</v>
      </c>
      <c r="AQ25" s="205">
        <f>X43+X57+X90+X104</f>
        <v>3197792492.9625015</v>
      </c>
      <c r="AR25" s="205">
        <f>AD43+AD57+AD90+AD104</f>
        <v>808350878</v>
      </c>
      <c r="AS25" s="205">
        <f>AG43+AG57+AG90+AG104</f>
        <v>808350878</v>
      </c>
      <c r="AT25" s="843"/>
      <c r="AU25" s="205">
        <f t="shared" si="25"/>
        <v>0.25278403141509875</v>
      </c>
      <c r="AV25" s="205">
        <f t="shared" si="26"/>
        <v>0.25278403141509875</v>
      </c>
      <c r="AW25" s="205">
        <f>(AR25-AD55-AD61-AD102-AD108)/$AO$2*12+AD55+AD61+AD102+AD108</f>
        <v>2239765378</v>
      </c>
      <c r="AX25" s="205">
        <f>(AS25-AG55-AG61-AG102-AG108)/$AO$2*12+AG55+AG61+AG102+AG108</f>
        <v>2239765378</v>
      </c>
      <c r="AY25" s="205">
        <f t="shared" si="27"/>
        <v>958027114.96250153</v>
      </c>
      <c r="AZ25" s="206">
        <f t="shared" si="28"/>
        <v>958027114.96250153</v>
      </c>
      <c r="BA25" s="697"/>
      <c r="BB25" s="697"/>
      <c r="BC25" s="697"/>
      <c r="BD25" s="697"/>
      <c r="BE25" s="697"/>
      <c r="BF25" s="697"/>
      <c r="BG25" s="697"/>
      <c r="BH25" s="697"/>
      <c r="BI25" s="697"/>
      <c r="BJ25" s="697"/>
      <c r="BK25" s="697"/>
      <c r="BL25" s="697"/>
      <c r="BM25" s="756" t="s">
        <v>169</v>
      </c>
      <c r="BN25" s="340">
        <f>+SUM(BN26:BN28)</f>
        <v>34165849515.333328</v>
      </c>
      <c r="BO25" s="341">
        <f>+SUM(BO26:BO28)</f>
        <v>15242614813</v>
      </c>
      <c r="BP25" s="341">
        <f>+SUM(BP26:BP28)</f>
        <v>6714141670</v>
      </c>
      <c r="BQ25" s="757">
        <f>+SUM(BQ26:BQ28)</f>
        <v>604752077</v>
      </c>
    </row>
    <row r="26" spans="1:69" ht="24.75" customHeight="1">
      <c r="A26" s="202" t="str">
        <f>+IF([1]ENERO!A26=0,"",[1]ENERO!A26)</f>
        <v>1.1.02.05.001.09.02.01</v>
      </c>
      <c r="B26" s="331" t="str">
        <f>+CONCATENATE("Vigencia ",[1]INSTRUCCIONES!$F$3)</f>
        <v>Vigencia 2025</v>
      </c>
      <c r="C26" s="204">
        <f>+[1]ENERO!C26</f>
        <v>81866799864</v>
      </c>
      <c r="D26" s="205">
        <f>[1]ENERO!D26+[1]FEBRERO!P26</f>
        <v>0</v>
      </c>
      <c r="E26" s="205">
        <f>[1]ENERO!E26+[1]FEBRERO!Q26</f>
        <v>0</v>
      </c>
      <c r="F26" s="205">
        <f>SUM(C26:E26)</f>
        <v>81866799864</v>
      </c>
      <c r="G26" s="205">
        <f>[1]ENERO!I26</f>
        <v>6576263972</v>
      </c>
      <c r="H26" s="208">
        <v>6128352316</v>
      </c>
      <c r="I26" s="205">
        <f>SUM(G26:H26)</f>
        <v>12704616288</v>
      </c>
      <c r="J26" s="205">
        <f>[1]ENERO!L26</f>
        <v>35957520</v>
      </c>
      <c r="K26" s="208">
        <v>213334123</v>
      </c>
      <c r="L26" s="205">
        <f>SUM(J26:K26)</f>
        <v>249291643</v>
      </c>
      <c r="M26" s="205">
        <f>F26-I26</f>
        <v>69162183576</v>
      </c>
      <c r="N26" s="206">
        <f>F26-L26</f>
        <v>81617508221</v>
      </c>
      <c r="O26" s="805"/>
      <c r="P26" s="204">
        <v>0</v>
      </c>
      <c r="Q26" s="210">
        <v>0</v>
      </c>
      <c r="R26" s="805"/>
      <c r="S26" s="311" t="str">
        <f>+IF([1]ENERO!S26=0,"",[1]ENERO!S26)</f>
        <v>2.1.1.01.01.001.05</v>
      </c>
      <c r="T26" s="267" t="str">
        <f>[1]ENERO!T26</f>
        <v>Auxilio de Transporte</v>
      </c>
      <c r="U26" s="301">
        <f>SUM(ENERO!U26)</f>
        <v>0</v>
      </c>
      <c r="V26" s="220">
        <f>[1]ENERO!V26+[1]FEBRERO!AL26</f>
        <v>21000000</v>
      </c>
      <c r="W26" s="220">
        <f>[1]ENERO!W26+[1]FEBRERO!AM26</f>
        <v>0</v>
      </c>
      <c r="X26" s="269">
        <f t="shared" si="17"/>
        <v>21000000</v>
      </c>
      <c r="Y26" s="270">
        <f>[1]ENERO!AA26</f>
        <v>2280000</v>
      </c>
      <c r="Z26" s="204">
        <v>2326666</v>
      </c>
      <c r="AA26" s="271">
        <f t="shared" si="24"/>
        <v>4606666</v>
      </c>
      <c r="AB26" s="270">
        <f>[1]ENERO!AD26</f>
        <v>2280000</v>
      </c>
      <c r="AC26" s="204">
        <v>2326666</v>
      </c>
      <c r="AD26" s="269">
        <f t="shared" si="18"/>
        <v>4606666</v>
      </c>
      <c r="AE26" s="270">
        <f>[1]ENERO!AG26</f>
        <v>2280000</v>
      </c>
      <c r="AF26" s="204">
        <v>2326666</v>
      </c>
      <c r="AG26" s="269">
        <f t="shared" si="19"/>
        <v>4606666</v>
      </c>
      <c r="AH26" s="270">
        <f t="shared" si="20"/>
        <v>16393334</v>
      </c>
      <c r="AI26" s="220">
        <f t="shared" si="21"/>
        <v>16393334</v>
      </c>
      <c r="AJ26" s="269">
        <f t="shared" si="22"/>
        <v>16393334</v>
      </c>
      <c r="AK26" s="805"/>
      <c r="AL26" s="204">
        <v>0</v>
      </c>
      <c r="AM26" s="210">
        <v>0</v>
      </c>
      <c r="AN26" s="805"/>
      <c r="AO26" s="806"/>
      <c r="AP26" s="539" t="s">
        <v>171</v>
      </c>
      <c r="AQ26" s="807">
        <f>X110</f>
        <v>22025864813.620834</v>
      </c>
      <c r="AR26" s="807">
        <f>AD110</f>
        <v>3540076933</v>
      </c>
      <c r="AS26" s="807">
        <f>AG110</f>
        <v>1711615875</v>
      </c>
      <c r="AT26" s="824">
        <f>AO2/12</f>
        <v>0.16666666666666666</v>
      </c>
      <c r="AU26" s="139">
        <f t="shared" si="25"/>
        <v>0.16072362937644155</v>
      </c>
      <c r="AV26" s="139">
        <f t="shared" si="26"/>
        <v>7.7709360766689786E-2</v>
      </c>
      <c r="AW26" s="334">
        <f>(AR26-AD121-AD139-AD143-AD153-AD167)/$AO$2*12+AD121+AD139+AD143+AD153+AD167</f>
        <v>16661120088</v>
      </c>
      <c r="AX26" s="334">
        <f>(AS26-AG121-AG139-AG143-AG153-AG167)/$AO$2*12+AG121+AG139+AG143+AG153+AG167</f>
        <v>5690353740</v>
      </c>
      <c r="AY26" s="334">
        <f t="shared" si="27"/>
        <v>5364744725.6208344</v>
      </c>
      <c r="AZ26" s="335">
        <f t="shared" si="28"/>
        <v>16335511073.620834</v>
      </c>
      <c r="BA26" s="697"/>
      <c r="BB26" s="697"/>
      <c r="BC26" s="697"/>
      <c r="BD26" s="697"/>
      <c r="BE26" s="697"/>
      <c r="BF26" s="697"/>
      <c r="BG26" s="697"/>
      <c r="BH26" s="697"/>
      <c r="BI26" s="697"/>
      <c r="BJ26" s="697"/>
      <c r="BK26" s="697"/>
      <c r="BL26" s="805"/>
      <c r="BM26" s="758" t="s">
        <v>172</v>
      </c>
      <c r="BN26" s="199">
        <f>+X198</f>
        <v>7396066391.666666</v>
      </c>
      <c r="BO26" s="199">
        <f>+AA198+AA212</f>
        <v>2341035017</v>
      </c>
      <c r="BP26" s="199">
        <f>+AD198+AD212</f>
        <v>1391969505</v>
      </c>
      <c r="BQ26" s="750">
        <f>+AF198+AF212</f>
        <v>1667000</v>
      </c>
    </row>
    <row r="27" spans="1:69" ht="24.75" customHeight="1">
      <c r="A27" s="202" t="str">
        <f>+IF([1]ENERO!A27=0,"",[1]ENERO!A27)</f>
        <v>1.1.02.05.001.09.02.01.99</v>
      </c>
      <c r="B27" s="331" t="str">
        <f>+IF([1]ENERO!B27=0,"",[1]ENERO!B27)</f>
        <v>Vigencia Anterior</v>
      </c>
      <c r="C27" s="204">
        <f>+[1]ENERO!C27</f>
        <v>9721866732</v>
      </c>
      <c r="D27" s="205">
        <f>[1]ENERO!D27+[1]FEBRERO!P27</f>
        <v>0</v>
      </c>
      <c r="E27" s="205">
        <f>[1]ENERO!E27+[1]FEBRERO!Q27</f>
        <v>0</v>
      </c>
      <c r="F27" s="205">
        <f>SUM(C27:E27)</f>
        <v>9721866732</v>
      </c>
      <c r="G27" s="205">
        <f>[1]ENERO!I27</f>
        <v>6619497102</v>
      </c>
      <c r="H27" s="208">
        <f>6869807396+358769044</f>
        <v>7228576440</v>
      </c>
      <c r="I27" s="205">
        <f>SUM(G27:H27)</f>
        <v>13848073542</v>
      </c>
      <c r="J27" s="205">
        <f>[1]ENERO!L27</f>
        <v>6619497102</v>
      </c>
      <c r="K27" s="208">
        <f>6869807396+358769044</f>
        <v>7228576440</v>
      </c>
      <c r="L27" s="205">
        <f>SUM(J27:K27)</f>
        <v>13848073542</v>
      </c>
      <c r="M27" s="205">
        <f>F27-I27</f>
        <v>-4126206810</v>
      </c>
      <c r="N27" s="671">
        <f>F27-L27</f>
        <v>-4126206810</v>
      </c>
      <c r="O27" s="697"/>
      <c r="P27" s="204">
        <v>0</v>
      </c>
      <c r="Q27" s="210">
        <v>0</v>
      </c>
      <c r="R27" s="805"/>
      <c r="S27" s="311" t="str">
        <f>+IF([1]ENERO!S27=0,"",[1]ENERO!S27)</f>
        <v>2.1.1.01.01.001.04</v>
      </c>
      <c r="T27" s="267" t="str">
        <f>[1]ENERO!T27</f>
        <v>Auxilio de Alimentación</v>
      </c>
      <c r="U27" s="301">
        <f>SUM(ENERO!U27)</f>
        <v>0</v>
      </c>
      <c r="V27" s="220">
        <f>[1]ENERO!V27+[1]FEBRERO!AL27</f>
        <v>0</v>
      </c>
      <c r="W27" s="220">
        <f>[1]ENERO!W27+[1]FEBRERO!AM27</f>
        <v>0</v>
      </c>
      <c r="X27" s="269">
        <f t="shared" si="17"/>
        <v>0</v>
      </c>
      <c r="Y27" s="270">
        <f>[1]ENERO!AA27</f>
        <v>0</v>
      </c>
      <c r="Z27" s="208">
        <v>0</v>
      </c>
      <c r="AA27" s="271">
        <f t="shared" si="24"/>
        <v>0</v>
      </c>
      <c r="AB27" s="270">
        <f>[1]ENERO!AD27</f>
        <v>0</v>
      </c>
      <c r="AC27" s="208">
        <v>0</v>
      </c>
      <c r="AD27" s="269">
        <f t="shared" si="18"/>
        <v>0</v>
      </c>
      <c r="AE27" s="270">
        <f>[1]ENERO!AG27</f>
        <v>0</v>
      </c>
      <c r="AF27" s="208">
        <v>0</v>
      </c>
      <c r="AG27" s="269">
        <f t="shared" si="19"/>
        <v>0</v>
      </c>
      <c r="AH27" s="270">
        <f t="shared" si="20"/>
        <v>0</v>
      </c>
      <c r="AI27" s="220">
        <f t="shared" si="21"/>
        <v>0</v>
      </c>
      <c r="AJ27" s="269">
        <f t="shared" si="22"/>
        <v>0</v>
      </c>
      <c r="AK27" s="805"/>
      <c r="AL27" s="204">
        <v>0</v>
      </c>
      <c r="AM27" s="210">
        <v>0</v>
      </c>
      <c r="AN27" s="805"/>
      <c r="AO27" s="819"/>
      <c r="AP27" s="696" t="s">
        <v>174</v>
      </c>
      <c r="AQ27" s="205">
        <f>X169</f>
        <v>2193060585</v>
      </c>
      <c r="AR27" s="205">
        <f>AD169</f>
        <v>506807800</v>
      </c>
      <c r="AS27" s="205">
        <f>AG169</f>
        <v>390660151</v>
      </c>
      <c r="AT27" s="843"/>
      <c r="AU27" s="205">
        <f t="shared" si="25"/>
        <v>0.2310961235938678</v>
      </c>
      <c r="AV27" s="205">
        <f t="shared" si="26"/>
        <v>0.17813468249441911</v>
      </c>
      <c r="AW27" s="205">
        <f>(AR27-AD173-AD182-AD191)/$AO$2*12+AD173+AD182+AD191</f>
        <v>1984909480</v>
      </c>
      <c r="AX27" s="205">
        <f>(AS27-AG173-AG182-AG191)/$AO$2*12+AG173+AG182+AG191</f>
        <v>1288023586</v>
      </c>
      <c r="AY27" s="205">
        <f t="shared" si="27"/>
        <v>208151105</v>
      </c>
      <c r="AZ27" s="206">
        <f t="shared" si="28"/>
        <v>905036999</v>
      </c>
      <c r="BA27" s="805"/>
      <c r="BB27" s="697"/>
      <c r="BC27" s="697"/>
      <c r="BD27" s="697"/>
      <c r="BE27" s="697"/>
      <c r="BF27" s="697"/>
      <c r="BG27" s="697"/>
      <c r="BH27" s="697"/>
      <c r="BI27" s="697"/>
      <c r="BJ27" s="697"/>
      <c r="BK27" s="697"/>
      <c r="BL27" s="697"/>
      <c r="BM27" s="758" t="s">
        <v>175</v>
      </c>
      <c r="BN27" s="201">
        <f>+X209-X212-X218</f>
        <v>3000000</v>
      </c>
      <c r="BO27" s="199">
        <f>+AA209-AA212-AA218</f>
        <v>0</v>
      </c>
      <c r="BP27" s="199">
        <f>+AD209-AD212-AD218</f>
        <v>0</v>
      </c>
      <c r="BQ27" s="750">
        <f>+AF209-AF212-AF218</f>
        <v>0</v>
      </c>
    </row>
    <row r="28" spans="1:69" ht="24.75" customHeight="1">
      <c r="A28" s="286">
        <f>+IF([1]ENERO!A28=0,"",[1]ENERO!A28)</f>
        <v>1130103</v>
      </c>
      <c r="B28" s="848" t="str">
        <f>+IF([1]ENERO!B28=0,"",[1]ENERO!B28)</f>
        <v>SUBSIDIO A LA OFERTA- ATENCION PERSONAS POBRES NO CUBIERTOS CON SUBSIDIO A LA DEMANDA</v>
      </c>
      <c r="C28" s="288">
        <f>C29+C32+C35+C38+C39+C40</f>
        <v>1850957800</v>
      </c>
      <c r="D28" s="320">
        <f>+D29+D32+D35+D38+D39+D40</f>
        <v>0</v>
      </c>
      <c r="E28" s="320">
        <f>+E29+E32+E35+E38+E39+E40</f>
        <v>0</v>
      </c>
      <c r="F28" s="320">
        <f>+F29+F32+F35+F38+F39+F40</f>
        <v>1850957800</v>
      </c>
      <c r="G28" s="320">
        <f t="shared" ref="G28:N28" si="30">G29+G32+G35+G38+G39+G40</f>
        <v>173431065</v>
      </c>
      <c r="H28" s="320">
        <f t="shared" si="30"/>
        <v>324858248</v>
      </c>
      <c r="I28" s="320">
        <f t="shared" si="30"/>
        <v>498289313</v>
      </c>
      <c r="J28" s="320">
        <f t="shared" si="30"/>
        <v>0</v>
      </c>
      <c r="K28" s="320">
        <f t="shared" si="30"/>
        <v>234320567</v>
      </c>
      <c r="L28" s="320">
        <f t="shared" si="30"/>
        <v>234320567</v>
      </c>
      <c r="M28" s="320">
        <f t="shared" si="30"/>
        <v>1352668487</v>
      </c>
      <c r="N28" s="289">
        <f t="shared" si="30"/>
        <v>1616637233</v>
      </c>
      <c r="O28" s="697"/>
      <c r="P28" s="288">
        <f>P29+P32+P35+P38+P39+P940</f>
        <v>0</v>
      </c>
      <c r="Q28" s="289">
        <f>Q29+Q32+Q35+Q38+Q39+Q40</f>
        <v>0</v>
      </c>
      <c r="R28" s="805"/>
      <c r="S28" s="311" t="str">
        <f>+IF([1]ENERO!S28=0,"",[1]ENERO!S28)</f>
        <v>1010104-8</v>
      </c>
      <c r="T28" s="267" t="str">
        <f>[1]ENERO!T28</f>
        <v>Indemnizaciones por Vacaciones o Supresión de Cargos por Reestructuración</v>
      </c>
      <c r="U28" s="301">
        <f>SUM(ENERO!U28)</f>
        <v>0</v>
      </c>
      <c r="V28" s="220">
        <f>[1]ENERO!V28+[1]FEBRERO!AL28</f>
        <v>0</v>
      </c>
      <c r="W28" s="220">
        <f>[1]ENERO!W28+[1]FEBRERO!AM28</f>
        <v>0</v>
      </c>
      <c r="X28" s="269">
        <f t="shared" si="17"/>
        <v>0</v>
      </c>
      <c r="Y28" s="270">
        <f>[1]ENERO!AA28</f>
        <v>0</v>
      </c>
      <c r="Z28" s="208">
        <v>0</v>
      </c>
      <c r="AA28" s="271">
        <f t="shared" si="24"/>
        <v>0</v>
      </c>
      <c r="AB28" s="270">
        <f>[1]ENERO!AD28</f>
        <v>0</v>
      </c>
      <c r="AC28" s="208">
        <v>0</v>
      </c>
      <c r="AD28" s="269">
        <f t="shared" si="18"/>
        <v>0</v>
      </c>
      <c r="AE28" s="270">
        <f>[1]ENERO!AG28</f>
        <v>0</v>
      </c>
      <c r="AF28" s="208">
        <v>0</v>
      </c>
      <c r="AG28" s="269">
        <f t="shared" si="19"/>
        <v>0</v>
      </c>
      <c r="AH28" s="270">
        <f t="shared" si="20"/>
        <v>0</v>
      </c>
      <c r="AI28" s="220">
        <f t="shared" si="21"/>
        <v>0</v>
      </c>
      <c r="AJ28" s="269">
        <f t="shared" si="22"/>
        <v>0</v>
      </c>
      <c r="AK28" s="805"/>
      <c r="AL28" s="204">
        <v>0</v>
      </c>
      <c r="AM28" s="210">
        <v>0</v>
      </c>
      <c r="AN28" s="805"/>
      <c r="AO28" s="819"/>
      <c r="AP28" s="333" t="s">
        <v>179</v>
      </c>
      <c r="AQ28" s="205">
        <f>X195</f>
        <v>40076630478.666664</v>
      </c>
      <c r="AR28" s="205">
        <f>AD195</f>
        <v>8437493010</v>
      </c>
      <c r="AS28" s="205">
        <f>AG195</f>
        <v>2374372134</v>
      </c>
      <c r="AT28" s="843"/>
      <c r="AU28" s="205">
        <f t="shared" si="25"/>
        <v>0.21053399223498573</v>
      </c>
      <c r="AV28" s="205">
        <f t="shared" si="26"/>
        <v>5.9245802494895639E-2</v>
      </c>
      <c r="AW28" s="205">
        <f>(AR28-AD207)/$AO$2*12+AD207</f>
        <v>42008201360</v>
      </c>
      <c r="AX28" s="205">
        <f>(AS28-AG207)/$AO$2*12+AG207</f>
        <v>5629476114</v>
      </c>
      <c r="AY28" s="205">
        <f t="shared" si="27"/>
        <v>-1931570881.3333359</v>
      </c>
      <c r="AZ28" s="206">
        <f t="shared" si="28"/>
        <v>34447154364.666664</v>
      </c>
      <c r="BA28" s="697"/>
      <c r="BB28" s="697"/>
      <c r="BC28" s="697"/>
      <c r="BD28" s="697"/>
      <c r="BE28" s="697"/>
      <c r="BF28" s="697"/>
      <c r="BG28" s="697"/>
      <c r="BH28" s="697"/>
      <c r="BI28" s="697"/>
      <c r="BJ28" s="697"/>
      <c r="BK28" s="697"/>
      <c r="BL28" s="697"/>
      <c r="BM28" s="743" t="s">
        <v>180</v>
      </c>
      <c r="BN28" s="186">
        <f>+X196-X198-X207</f>
        <v>26766783123.666664</v>
      </c>
      <c r="BO28" s="186">
        <f>+AA196-AA198-AA207</f>
        <v>12901579796</v>
      </c>
      <c r="BP28" s="186">
        <f>+AD196-AD198-AD207</f>
        <v>5322172165</v>
      </c>
      <c r="BQ28" s="748">
        <f>+AF196-AF198-AF207</f>
        <v>603085077</v>
      </c>
    </row>
    <row r="29" spans="1:69" ht="24.75" customHeight="1">
      <c r="A29" s="202" t="str">
        <f>+IF([1]ENERO!A29=0,"",[1]ENERO!A29)</f>
        <v>1130103-1</v>
      </c>
      <c r="B29" s="345" t="str">
        <f>+IF([1]ENERO!B29=0,"",[1]ENERO!B29)</f>
        <v>Prestación de Servicios de salud  1er Nivel</v>
      </c>
      <c r="C29" s="270">
        <f t="shared" ref="C29:N29" si="31">SUM(C30:C31)</f>
        <v>0</v>
      </c>
      <c r="D29" s="220">
        <f t="shared" si="31"/>
        <v>0</v>
      </c>
      <c r="E29" s="220">
        <f t="shared" si="31"/>
        <v>0</v>
      </c>
      <c r="F29" s="220">
        <f t="shared" si="31"/>
        <v>0</v>
      </c>
      <c r="G29" s="220">
        <f t="shared" si="31"/>
        <v>0</v>
      </c>
      <c r="H29" s="220">
        <f t="shared" si="31"/>
        <v>0</v>
      </c>
      <c r="I29" s="220">
        <f t="shared" si="31"/>
        <v>0</v>
      </c>
      <c r="J29" s="220">
        <f t="shared" si="31"/>
        <v>0</v>
      </c>
      <c r="K29" s="220">
        <f t="shared" si="31"/>
        <v>0</v>
      </c>
      <c r="L29" s="220">
        <f t="shared" si="31"/>
        <v>0</v>
      </c>
      <c r="M29" s="220">
        <f t="shared" si="31"/>
        <v>0</v>
      </c>
      <c r="N29" s="269">
        <f t="shared" si="31"/>
        <v>0</v>
      </c>
      <c r="O29" s="697"/>
      <c r="P29" s="346">
        <f>SUM(P30:P31)</f>
        <v>0</v>
      </c>
      <c r="Q29" s="347">
        <f>SUM(Q30:Q31)</f>
        <v>0</v>
      </c>
      <c r="R29" s="805"/>
      <c r="S29" s="311" t="str">
        <f>+IF([1]ENERO!S29=0,"",[1]ENERO!S29)</f>
        <v>1010104-9</v>
      </c>
      <c r="T29" s="267" t="str">
        <f>[1]ENERO!T29</f>
        <v>Gastos de Representacion</v>
      </c>
      <c r="U29" s="301">
        <f>SUM(ENERO!U29)</f>
        <v>0</v>
      </c>
      <c r="V29" s="220">
        <f>[1]ENERO!V29+[1]FEBRERO!AL29</f>
        <v>0</v>
      </c>
      <c r="W29" s="220">
        <f>[1]ENERO!W29+[1]FEBRERO!AM29</f>
        <v>0</v>
      </c>
      <c r="X29" s="269">
        <f t="shared" si="17"/>
        <v>0</v>
      </c>
      <c r="Y29" s="270">
        <f>[1]ENERO!AA29</f>
        <v>0</v>
      </c>
      <c r="Z29" s="208">
        <v>0</v>
      </c>
      <c r="AA29" s="271">
        <f t="shared" si="24"/>
        <v>0</v>
      </c>
      <c r="AB29" s="270">
        <f>[1]ENERO!AD29</f>
        <v>0</v>
      </c>
      <c r="AC29" s="208">
        <v>0</v>
      </c>
      <c r="AD29" s="269">
        <f t="shared" si="18"/>
        <v>0</v>
      </c>
      <c r="AE29" s="270">
        <f>[1]ENERO!AG29</f>
        <v>0</v>
      </c>
      <c r="AF29" s="208">
        <v>0</v>
      </c>
      <c r="AG29" s="269">
        <f t="shared" si="19"/>
        <v>0</v>
      </c>
      <c r="AH29" s="270">
        <f t="shared" si="20"/>
        <v>0</v>
      </c>
      <c r="AI29" s="220">
        <f t="shared" si="21"/>
        <v>0</v>
      </c>
      <c r="AJ29" s="269">
        <f t="shared" si="22"/>
        <v>0</v>
      </c>
      <c r="AK29" s="805"/>
      <c r="AL29" s="204">
        <v>0</v>
      </c>
      <c r="AM29" s="210">
        <v>0</v>
      </c>
      <c r="AN29" s="805"/>
      <c r="AO29" s="806"/>
      <c r="AP29" s="333" t="s">
        <v>185</v>
      </c>
      <c r="AQ29" s="205">
        <f>X209</f>
        <v>2698559635</v>
      </c>
      <c r="AR29" s="205">
        <f>AD209</f>
        <v>2102272584</v>
      </c>
      <c r="AS29" s="205">
        <f>AG209</f>
        <v>2102272584</v>
      </c>
      <c r="AT29" s="807"/>
      <c r="AU29" s="139">
        <f t="shared" si="25"/>
        <v>0.77903506623821561</v>
      </c>
      <c r="AV29" s="139">
        <f t="shared" si="26"/>
        <v>0.77903506623821561</v>
      </c>
      <c r="AW29" s="334">
        <f>(AR29-AD218)/$AO$2*12+AD218</f>
        <v>2102272584</v>
      </c>
      <c r="AX29" s="334">
        <f>(AS29-AG218)/$AO$2*12+AG218</f>
        <v>2102272584</v>
      </c>
      <c r="AY29" s="334">
        <v>0</v>
      </c>
      <c r="AZ29" s="335">
        <f t="shared" si="28"/>
        <v>596287051</v>
      </c>
      <c r="BA29" s="697"/>
      <c r="BB29" s="841"/>
      <c r="BC29" s="841"/>
      <c r="BD29" s="841"/>
      <c r="BE29" s="841"/>
      <c r="BF29" s="841"/>
      <c r="BG29" s="697"/>
      <c r="BH29" s="697"/>
      <c r="BI29" s="697"/>
      <c r="BJ29" s="697"/>
      <c r="BK29" s="697"/>
      <c r="BL29" s="805"/>
      <c r="BM29" s="759" t="s">
        <v>117</v>
      </c>
      <c r="BN29" s="340">
        <f>X238</f>
        <v>13867225930</v>
      </c>
      <c r="BO29" s="341">
        <f>AA232-AA256-AA241</f>
        <v>9265952655</v>
      </c>
      <c r="BP29" s="341">
        <f>AD232-AD256-AD241</f>
        <v>2050777933</v>
      </c>
      <c r="BQ29" s="757">
        <f>AF232-AF256-AF241</f>
        <v>174958150</v>
      </c>
    </row>
    <row r="30" spans="1:69" ht="24.75" customHeight="1">
      <c r="A30" s="202" t="str">
        <f>+IF([1]ENERO!A30=0,"",[1]ENERO!A30)</f>
        <v>1130103-1-1</v>
      </c>
      <c r="B30" s="331" t="str">
        <f>+CONCATENATE("Vigencia ",[1]INSTRUCCIONES!$F$3)</f>
        <v>Vigencia 2025</v>
      </c>
      <c r="C30" s="204">
        <f>+[1]ENERO!C30</f>
        <v>0</v>
      </c>
      <c r="D30" s="205">
        <f>[1]ENERO!D30+[1]FEBRERO!P30</f>
        <v>0</v>
      </c>
      <c r="E30" s="205">
        <f>[1]ENERO!E30+[1]FEBRERO!Q30</f>
        <v>0</v>
      </c>
      <c r="F30" s="205">
        <f>SUM(C30:E30)</f>
        <v>0</v>
      </c>
      <c r="G30" s="205">
        <f>[1]ENERO!I30</f>
        <v>0</v>
      </c>
      <c r="H30" s="208">
        <v>0</v>
      </c>
      <c r="I30" s="205">
        <f>SUM(G30:H30)</f>
        <v>0</v>
      </c>
      <c r="J30" s="205">
        <f>[1]ENERO!L30</f>
        <v>0</v>
      </c>
      <c r="K30" s="208">
        <v>0</v>
      </c>
      <c r="L30" s="205">
        <f>SUM(J30:K30)</f>
        <v>0</v>
      </c>
      <c r="M30" s="205">
        <f>F30-I30</f>
        <v>0</v>
      </c>
      <c r="N30" s="206">
        <f>F30-L30</f>
        <v>0</v>
      </c>
      <c r="O30" s="805"/>
      <c r="P30" s="204">
        <v>0</v>
      </c>
      <c r="Q30" s="210">
        <v>0</v>
      </c>
      <c r="R30" s="805"/>
      <c r="S30" s="311" t="str">
        <f>+IF([1]ENERO!S30=0,"",[1]ENERO!S30)</f>
        <v>2.1.1.01.03.001.03</v>
      </c>
      <c r="T30" s="267" t="str">
        <f>[1]ENERO!T30</f>
        <v>Bonificación Especial por Recreación</v>
      </c>
      <c r="U30" s="301">
        <f>SUM(ENERO!U30)</f>
        <v>36288061.666666657</v>
      </c>
      <c r="V30" s="220">
        <f>[1]ENERO!V30+[1]FEBRERO!AL30</f>
        <v>0</v>
      </c>
      <c r="W30" s="220">
        <f>[1]ENERO!W30+[1]FEBRERO!AM30</f>
        <v>0</v>
      </c>
      <c r="X30" s="269">
        <f t="shared" si="17"/>
        <v>36288061.666666657</v>
      </c>
      <c r="Y30" s="270">
        <f>[1]ENERO!AA30</f>
        <v>871267</v>
      </c>
      <c r="Z30" s="204">
        <v>2842314</v>
      </c>
      <c r="AA30" s="271">
        <f t="shared" si="24"/>
        <v>3713581</v>
      </c>
      <c r="AB30" s="270">
        <f>[1]ENERO!AD30</f>
        <v>871267</v>
      </c>
      <c r="AC30" s="204">
        <v>2842314</v>
      </c>
      <c r="AD30" s="269">
        <f t="shared" si="18"/>
        <v>3713581</v>
      </c>
      <c r="AE30" s="270">
        <f>[1]ENERO!AG30</f>
        <v>744416</v>
      </c>
      <c r="AF30" s="204">
        <v>2969165</v>
      </c>
      <c r="AG30" s="269">
        <f t="shared" si="19"/>
        <v>3713581</v>
      </c>
      <c r="AH30" s="270">
        <f t="shared" si="20"/>
        <v>32574480.666666657</v>
      </c>
      <c r="AI30" s="220">
        <f t="shared" si="21"/>
        <v>32574480.666666657</v>
      </c>
      <c r="AJ30" s="269">
        <f t="shared" si="22"/>
        <v>32574480.666666657</v>
      </c>
      <c r="AK30" s="805"/>
      <c r="AL30" s="204">
        <v>0</v>
      </c>
      <c r="AM30" s="210">
        <v>0</v>
      </c>
      <c r="AN30" s="805"/>
      <c r="AO30" s="823" t="s">
        <v>92</v>
      </c>
      <c r="AP30" s="696" t="s">
        <v>188</v>
      </c>
      <c r="AQ30" s="205">
        <f>X220+X232</f>
        <v>17557183459</v>
      </c>
      <c r="AR30" s="205">
        <f>AD220+AD232</f>
        <v>2272203185</v>
      </c>
      <c r="AS30" s="205">
        <f>AG220+AG232</f>
        <v>396383402</v>
      </c>
      <c r="AT30" s="843"/>
      <c r="AU30" s="205">
        <f t="shared" si="25"/>
        <v>0.12941729465355928</v>
      </c>
      <c r="AV30" s="205">
        <f t="shared" si="26"/>
        <v>2.2576707871490038E-2</v>
      </c>
      <c r="AW30" s="205">
        <f>(AR30-AD225-AD230-AD241-AD256)/$AO$2*12+AD225+AD230+AD241+AD256</f>
        <v>13633219110</v>
      </c>
      <c r="AX30" s="205">
        <f>(AS30-AG225-AG230-AG241-AG256)/$AO$2*12+AG225+AG230+AG241+AG256</f>
        <v>2378300412</v>
      </c>
      <c r="AY30" s="205">
        <f>AQ30-AW30</f>
        <v>3923964349</v>
      </c>
      <c r="AZ30" s="206">
        <f t="shared" si="28"/>
        <v>15178883047</v>
      </c>
      <c r="BA30" s="697"/>
      <c r="BB30" s="841"/>
      <c r="BC30" s="841"/>
      <c r="BD30" s="841"/>
      <c r="BE30" s="841"/>
      <c r="BF30" s="841"/>
      <c r="BG30" s="697"/>
      <c r="BH30" s="697"/>
      <c r="BI30" s="697"/>
      <c r="BJ30" s="697"/>
      <c r="BK30" s="697"/>
      <c r="BL30" s="697"/>
      <c r="BM30" s="759" t="s">
        <v>122</v>
      </c>
      <c r="BN30" s="340">
        <f>X220-X225-X230</f>
        <v>3239175000</v>
      </c>
      <c r="BO30" s="341">
        <f>AA220-AA225-AA230</f>
        <v>221425252</v>
      </c>
      <c r="BP30" s="341">
        <f>AD220-AD225-AD230</f>
        <v>221425252</v>
      </c>
      <c r="BQ30" s="757">
        <f>AF220-AF225-AF230</f>
        <v>112691919</v>
      </c>
    </row>
    <row r="31" spans="1:69" ht="24.75" customHeight="1">
      <c r="A31" s="202" t="str">
        <f>+IF([1]ENERO!A31=0,"",[1]ENERO!A31)</f>
        <v>1130103-1-2</v>
      </c>
      <c r="B31" s="331" t="str">
        <f>+IF([1]ENERO!B31=0,"",[1]ENERO!B31)</f>
        <v>Vigencia Anterior</v>
      </c>
      <c r="C31" s="204">
        <f>+[1]ENERO!C31</f>
        <v>0</v>
      </c>
      <c r="D31" s="205">
        <f>[1]ENERO!D31+[1]FEBRERO!P31</f>
        <v>0</v>
      </c>
      <c r="E31" s="205">
        <f>[1]ENERO!E31+[1]FEBRERO!Q31</f>
        <v>0</v>
      </c>
      <c r="F31" s="205">
        <f>SUM(C31:E31)</f>
        <v>0</v>
      </c>
      <c r="G31" s="205">
        <f>[1]ENERO!I31</f>
        <v>0</v>
      </c>
      <c r="H31" s="208">
        <v>0</v>
      </c>
      <c r="I31" s="205">
        <f>SUM(G31:H31)</f>
        <v>0</v>
      </c>
      <c r="J31" s="205">
        <f>[1]ENERO!L31</f>
        <v>0</v>
      </c>
      <c r="K31" s="208">
        <v>0</v>
      </c>
      <c r="L31" s="205">
        <f>SUM(J31:K31)</f>
        <v>0</v>
      </c>
      <c r="M31" s="205">
        <f>F31-I31</f>
        <v>0</v>
      </c>
      <c r="N31" s="206">
        <f>F31-L31</f>
        <v>0</v>
      </c>
      <c r="O31" s="697"/>
      <c r="P31" s="204">
        <v>0</v>
      </c>
      <c r="Q31" s="210">
        <v>0</v>
      </c>
      <c r="R31" s="805"/>
      <c r="S31" s="311" t="str">
        <f>+IF([1]ENERO!S31=0,"",[1]ENERO!S31)</f>
        <v>2.1.1.01.03.001.01</v>
      </c>
      <c r="T31" s="267" t="str">
        <f>[1]ENERO!T31</f>
        <v>Vacaciones</v>
      </c>
      <c r="U31" s="301">
        <f>SUM(ENERO!U31)</f>
        <v>272160462.5</v>
      </c>
      <c r="V31" s="220">
        <f>[1]ENERO!V31+[1]FEBRERO!AL31</f>
        <v>0</v>
      </c>
      <c r="W31" s="220">
        <f>[1]ENERO!W31+[1]FEBRERO!AM31</f>
        <v>0</v>
      </c>
      <c r="X31" s="269">
        <f t="shared" si="17"/>
        <v>272160462.5</v>
      </c>
      <c r="Y31" s="270">
        <f>[1]ENERO!AA31</f>
        <v>8357720</v>
      </c>
      <c r="Z31" s="204">
        <v>23634897</v>
      </c>
      <c r="AA31" s="271">
        <f t="shared" si="24"/>
        <v>31992617</v>
      </c>
      <c r="AB31" s="270">
        <f>[1]ENERO!AD31</f>
        <v>8357720</v>
      </c>
      <c r="AC31" s="204">
        <v>23634897</v>
      </c>
      <c r="AD31" s="269">
        <f t="shared" si="18"/>
        <v>31992617</v>
      </c>
      <c r="AE31" s="270">
        <f>[1]ENERO!AG31</f>
        <v>7334716</v>
      </c>
      <c r="AF31" s="204">
        <v>24657901</v>
      </c>
      <c r="AG31" s="269">
        <f t="shared" si="19"/>
        <v>31992617</v>
      </c>
      <c r="AH31" s="270">
        <f t="shared" si="20"/>
        <v>240167845.5</v>
      </c>
      <c r="AI31" s="220">
        <f t="shared" si="21"/>
        <v>240167845.5</v>
      </c>
      <c r="AJ31" s="269">
        <f t="shared" si="22"/>
        <v>240167845.5</v>
      </c>
      <c r="AK31" s="805"/>
      <c r="AL31" s="204">
        <v>0</v>
      </c>
      <c r="AM31" s="210">
        <v>0</v>
      </c>
      <c r="AN31" s="805"/>
      <c r="AO31" s="819"/>
      <c r="AP31" s="303" t="s">
        <v>190</v>
      </c>
      <c r="AQ31" s="843">
        <f>X258</f>
        <v>0.30987548828125</v>
      </c>
      <c r="AR31" s="843">
        <f>AD258</f>
        <v>-18484046938</v>
      </c>
      <c r="AS31" s="843">
        <f>AG258</f>
        <v>-19618161756</v>
      </c>
      <c r="AT31" s="843"/>
      <c r="AU31" s="205">
        <f t="shared" si="25"/>
        <v>-59649916295.487885</v>
      </c>
      <c r="AV31" s="205">
        <f t="shared" si="26"/>
        <v>-63309821195.647827</v>
      </c>
      <c r="AW31" s="205">
        <f>AQ31</f>
        <v>0.30987548828125</v>
      </c>
      <c r="AX31" s="205">
        <f>AQ31</f>
        <v>0.30987548828125</v>
      </c>
      <c r="AY31" s="205">
        <f>AQ31-AW31</f>
        <v>0</v>
      </c>
      <c r="AZ31" s="206">
        <f t="shared" si="28"/>
        <v>0</v>
      </c>
      <c r="BA31" s="697"/>
      <c r="BB31" s="697"/>
      <c r="BC31" s="697"/>
      <c r="BD31" s="697"/>
      <c r="BE31" s="697"/>
      <c r="BF31" s="697"/>
      <c r="BG31" s="697"/>
      <c r="BH31" s="697"/>
      <c r="BI31" s="697"/>
      <c r="BJ31" s="697"/>
      <c r="BK31" s="697"/>
      <c r="BL31" s="697"/>
      <c r="BM31" s="759" t="s">
        <v>191</v>
      </c>
      <c r="BN31" s="340">
        <f>X33+X41+X55+X61+X81+X88+X102+X108+X121+X139+X153+X167+X182+X191+X207+X218+X230+X241+X256+X225</f>
        <v>24572505493.222054</v>
      </c>
      <c r="BO31" s="341">
        <f>AA33+AA41+AA55+AA61+AA81+AA88+AA102+AA108+AA121+AA139+AA143+AA153+AA167+AA173+AA182+AA191+AA207+AA218+AA230+AA241+AA256+AA225</f>
        <v>16328872434</v>
      </c>
      <c r="BP31" s="341">
        <f>AD33+AD41+AD55+AD61+AD81+AD88+AD102+AD108+AD121+AD139+AD143+AD153+AD167+AD173+AD182+AD191+AD207+AD218+AD230+AD241+AD256+AD225</f>
        <v>16322672434</v>
      </c>
      <c r="BQ31" s="847">
        <f>SUM(AF262)</f>
        <v>7337797767</v>
      </c>
    </row>
    <row r="32" spans="1:69" ht="24.75" customHeight="1" thickBot="1">
      <c r="A32" s="202" t="str">
        <f>+IF([1]ENERO!A32=0,"",[1]ENERO!A32)</f>
        <v>1.1.02.05.001.09.02.15</v>
      </c>
      <c r="B32" s="345" t="str">
        <f>+IF([1]ENERO!B32=0,"",[1]ENERO!B32)</f>
        <v>Prestación de Servicios de salud  2o. Nivel</v>
      </c>
      <c r="C32" s="270">
        <f t="shared" ref="C32:N32" si="32">SUM(C33:C34)</f>
        <v>1850957800</v>
      </c>
      <c r="D32" s="220">
        <f t="shared" si="32"/>
        <v>0</v>
      </c>
      <c r="E32" s="220">
        <f t="shared" si="32"/>
        <v>0</v>
      </c>
      <c r="F32" s="220">
        <f t="shared" si="32"/>
        <v>1850957800</v>
      </c>
      <c r="G32" s="220">
        <f t="shared" si="32"/>
        <v>173431065</v>
      </c>
      <c r="H32" s="220">
        <f t="shared" si="32"/>
        <v>324858248</v>
      </c>
      <c r="I32" s="220">
        <f t="shared" si="32"/>
        <v>498289313</v>
      </c>
      <c r="J32" s="220">
        <f t="shared" si="32"/>
        <v>0</v>
      </c>
      <c r="K32" s="220">
        <f t="shared" si="32"/>
        <v>234320567</v>
      </c>
      <c r="L32" s="220">
        <f t="shared" si="32"/>
        <v>234320567</v>
      </c>
      <c r="M32" s="220">
        <f t="shared" si="32"/>
        <v>1352668487</v>
      </c>
      <c r="N32" s="269">
        <f t="shared" si="32"/>
        <v>1616637233</v>
      </c>
      <c r="O32" s="697"/>
      <c r="P32" s="346">
        <f>SUM(P33:P34)</f>
        <v>0</v>
      </c>
      <c r="Q32" s="347">
        <f>SUM(Q33:Q34)</f>
        <v>0</v>
      </c>
      <c r="R32" s="805"/>
      <c r="S32" s="311" t="str">
        <f>+IF([1]ENERO!S32=0,"",[1]ENERO!S32)</f>
        <v>1010104-12</v>
      </c>
      <c r="T32" s="267"/>
      <c r="U32" s="301">
        <f>SUM(ENERO!U32)</f>
        <v>0</v>
      </c>
      <c r="V32" s="220">
        <f>[1]ENERO!V32+[1]FEBRERO!AL32</f>
        <v>0</v>
      </c>
      <c r="W32" s="220">
        <f>[1]ENERO!W32+[1]FEBRERO!AM32</f>
        <v>0</v>
      </c>
      <c r="X32" s="269">
        <f t="shared" si="17"/>
        <v>0</v>
      </c>
      <c r="Y32" s="270">
        <f>[1]ENERO!AA32</f>
        <v>0</v>
      </c>
      <c r="Z32" s="208">
        <v>0</v>
      </c>
      <c r="AA32" s="271">
        <f t="shared" si="24"/>
        <v>0</v>
      </c>
      <c r="AB32" s="270">
        <f>[1]ENERO!AD32</f>
        <v>0</v>
      </c>
      <c r="AC32" s="208">
        <v>0</v>
      </c>
      <c r="AD32" s="269">
        <f t="shared" si="18"/>
        <v>0</v>
      </c>
      <c r="AE32" s="270">
        <f>[1]ENERO!AG32</f>
        <v>0</v>
      </c>
      <c r="AF32" s="208">
        <v>0</v>
      </c>
      <c r="AG32" s="269">
        <f t="shared" si="19"/>
        <v>0</v>
      </c>
      <c r="AH32" s="270">
        <f t="shared" si="20"/>
        <v>0</v>
      </c>
      <c r="AI32" s="220">
        <f t="shared" si="21"/>
        <v>0</v>
      </c>
      <c r="AJ32" s="269">
        <f t="shared" si="22"/>
        <v>0</v>
      </c>
      <c r="AK32" s="805"/>
      <c r="AL32" s="204">
        <v>0</v>
      </c>
      <c r="AM32" s="210">
        <v>0</v>
      </c>
      <c r="AN32" s="805"/>
      <c r="AO32" s="806"/>
      <c r="AP32" s="540" t="s">
        <v>194</v>
      </c>
      <c r="AQ32" s="260">
        <f>SUM(AQ22:AQ31)</f>
        <v>173189856432.47656</v>
      </c>
      <c r="AR32" s="260">
        <f>SUM(AR22:AR31)</f>
        <v>21899472009</v>
      </c>
      <c r="AS32" s="260">
        <f>SUM(AS22:AS31)</f>
        <v>0</v>
      </c>
      <c r="AT32" s="349"/>
      <c r="AU32" s="350">
        <f t="shared" si="25"/>
        <v>0.12644777506088059</v>
      </c>
      <c r="AV32" s="350">
        <f t="shared" si="26"/>
        <v>0</v>
      </c>
      <c r="AW32" s="820">
        <f>SUM(AW22:AW31)</f>
        <v>161325741402.80988</v>
      </c>
      <c r="AX32" s="820">
        <f>SUM(AX22:AX31)</f>
        <v>36733598266.809875</v>
      </c>
      <c r="AY32" s="820">
        <f>SUM(AY22:AY31)</f>
        <v>11267827978.666668</v>
      </c>
      <c r="AZ32" s="159">
        <f>SUM(AZ22:AZ31)</f>
        <v>136456258165.66666</v>
      </c>
      <c r="BA32" s="697"/>
      <c r="BB32" s="841"/>
      <c r="BC32" s="841"/>
      <c r="BD32" s="841"/>
      <c r="BE32" s="841"/>
      <c r="BF32" s="841"/>
      <c r="BG32" s="697"/>
      <c r="BH32" s="697"/>
      <c r="BI32" s="697"/>
      <c r="BJ32" s="697"/>
      <c r="BK32" s="697"/>
      <c r="BL32" s="805"/>
      <c r="BM32" s="759" t="s">
        <v>195</v>
      </c>
      <c r="BN32" s="340">
        <f>+BN7+BN25+BN29+BN30+BN31</f>
        <v>173189856432.16669</v>
      </c>
      <c r="BO32" s="340">
        <f>+BO7+BO25+BO29+BO30+BO31</f>
        <v>87976785602</v>
      </c>
      <c r="BP32" s="340">
        <f>+BP7+BP25+BP29+BP30+BP31</f>
        <v>40603586471</v>
      </c>
      <c r="BQ32" s="760">
        <f>+BQ7+BQ25+BQ29+BQ30+BQ31</f>
        <v>9917879504</v>
      </c>
    </row>
    <row r="33" spans="1:69" ht="24.75" customHeight="1" thickBot="1">
      <c r="A33" s="202" t="str">
        <f>+IF([1]ENERO!A33=0,"",[1]ENERO!A33)</f>
        <v>1.1.02.05.001.09.02.15</v>
      </c>
      <c r="B33" s="331" t="str">
        <f>+CONCATENATE("Vigencia ",[1]INSTRUCCIONES!$F$3)</f>
        <v>Vigencia 2025</v>
      </c>
      <c r="C33" s="204">
        <f>+[1]ENERO!C33</f>
        <v>1140706891</v>
      </c>
      <c r="D33" s="205">
        <f>[1]ENERO!D33+[1]FEBRERO!P33</f>
        <v>0</v>
      </c>
      <c r="E33" s="205">
        <f>[1]ENERO!E33+[1]FEBRERO!Q33</f>
        <v>0</v>
      </c>
      <c r="F33" s="205">
        <f>SUM(C33:E33)</f>
        <v>1140706891</v>
      </c>
      <c r="G33" s="205">
        <f>[1]ENERO!I33</f>
        <v>173431065</v>
      </c>
      <c r="H33" s="208">
        <f>83942137+6595544</f>
        <v>90537681</v>
      </c>
      <c r="I33" s="205">
        <f>SUM(G33:H33)</f>
        <v>263968746</v>
      </c>
      <c r="J33" s="205">
        <f>[1]ENERO!L33</f>
        <v>0</v>
      </c>
      <c r="K33" s="208">
        <v>0</v>
      </c>
      <c r="L33" s="205">
        <f>SUM(J33:K33)</f>
        <v>0</v>
      </c>
      <c r="M33" s="205">
        <f>F33-I33</f>
        <v>876738145</v>
      </c>
      <c r="N33" s="206">
        <f>F33-L33</f>
        <v>1140706891</v>
      </c>
      <c r="O33" s="805"/>
      <c r="P33" s="204">
        <v>0</v>
      </c>
      <c r="Q33" s="210">
        <v>0</v>
      </c>
      <c r="R33" s="805"/>
      <c r="S33" s="266">
        <f>+IF([1]ENERO!S33=0,"",[1]ENERO!S33)</f>
        <v>1010199</v>
      </c>
      <c r="T33" s="267" t="str">
        <f>[1]ENERO!T33</f>
        <v>Vigencias Anteriores</v>
      </c>
      <c r="U33" s="301">
        <f>SUM(ENERO!U33)</f>
        <v>0</v>
      </c>
      <c r="V33" s="220">
        <f>[1]ENERO!V33+[1]FEBRERO!AL33</f>
        <v>0</v>
      </c>
      <c r="W33" s="220">
        <f>[1]ENERO!W33+[1]FEBRERO!AM33</f>
        <v>0</v>
      </c>
      <c r="X33" s="269">
        <f t="shared" si="17"/>
        <v>0</v>
      </c>
      <c r="Y33" s="270">
        <f>[1]ENERO!AA33</f>
        <v>0</v>
      </c>
      <c r="Z33" s="208">
        <v>0</v>
      </c>
      <c r="AA33" s="271">
        <f t="shared" si="24"/>
        <v>0</v>
      </c>
      <c r="AB33" s="270">
        <f>[1]ENERO!AD33</f>
        <v>0</v>
      </c>
      <c r="AC33" s="208">
        <v>0</v>
      </c>
      <c r="AD33" s="269">
        <f t="shared" si="18"/>
        <v>0</v>
      </c>
      <c r="AE33" s="270">
        <f>[1]ENERO!AG33</f>
        <v>0</v>
      </c>
      <c r="AF33" s="208">
        <v>0</v>
      </c>
      <c r="AG33" s="269">
        <f t="shared" si="19"/>
        <v>0</v>
      </c>
      <c r="AH33" s="270">
        <f t="shared" si="20"/>
        <v>0</v>
      </c>
      <c r="AI33" s="220">
        <f t="shared" si="21"/>
        <v>0</v>
      </c>
      <c r="AJ33" s="269">
        <f t="shared" si="22"/>
        <v>0</v>
      </c>
      <c r="AK33" s="805"/>
      <c r="AL33" s="204">
        <v>0</v>
      </c>
      <c r="AM33" s="210">
        <v>0</v>
      </c>
      <c r="AN33" s="805"/>
      <c r="AO33" s="819"/>
      <c r="AP33" s="849"/>
      <c r="AQ33" s="850">
        <f>IF((AQ32-X8)&lt;&gt;0,(AQ32-X8),"")</f>
        <v>0.309906005859375</v>
      </c>
      <c r="AR33" s="850"/>
      <c r="AS33" s="850"/>
      <c r="AT33" s="850"/>
      <c r="AU33" s="353"/>
      <c r="AV33" s="325"/>
      <c r="AW33" s="323"/>
      <c r="AX33" s="323"/>
      <c r="AY33" s="323"/>
      <c r="AZ33" s="326"/>
      <c r="BA33" s="697"/>
      <c r="BB33" s="841"/>
      <c r="BC33" s="841"/>
      <c r="BD33" s="841"/>
      <c r="BE33" s="841"/>
      <c r="BF33" s="841"/>
      <c r="BG33" s="697"/>
      <c r="BH33" s="697"/>
      <c r="BI33" s="697"/>
      <c r="BJ33" s="697"/>
      <c r="BK33" s="697"/>
      <c r="BL33" s="697"/>
      <c r="BM33" s="761" t="s">
        <v>197</v>
      </c>
      <c r="BN33" s="762">
        <f>X258</f>
        <v>0.30987548828125</v>
      </c>
      <c r="BO33" s="763">
        <f>AA258</f>
        <v>-39412544813</v>
      </c>
      <c r="BP33" s="763">
        <f>AD258</f>
        <v>-18484046938</v>
      </c>
      <c r="BQ33" s="764">
        <f>AF258</f>
        <v>141372504919.4765</v>
      </c>
    </row>
    <row r="34" spans="1:69" ht="24.75" customHeight="1" thickBot="1">
      <c r="A34" s="202" t="str">
        <f>+IF([1]ENERO!A34=0,"",[1]ENERO!A34)</f>
        <v>1.1.02.05.001.09.02.15.99</v>
      </c>
      <c r="B34" s="331" t="str">
        <f>+IF([1]ENERO!B34=0,"",[1]ENERO!B34)</f>
        <v>Vigencia Anterior</v>
      </c>
      <c r="C34" s="204">
        <f>+[1]ENERO!C34</f>
        <v>710250909</v>
      </c>
      <c r="D34" s="205">
        <f>[1]ENERO!D34+[1]FEBRERO!P34</f>
        <v>0</v>
      </c>
      <c r="E34" s="205">
        <f>[1]ENERO!E34+[1]FEBRERO!Q34</f>
        <v>0</v>
      </c>
      <c r="F34" s="205">
        <f>SUM(C34:E34)</f>
        <v>710250909</v>
      </c>
      <c r="G34" s="205">
        <f>[1]ENERO!I34</f>
        <v>0</v>
      </c>
      <c r="H34" s="208">
        <f>336428+233984139</f>
        <v>234320567</v>
      </c>
      <c r="I34" s="205">
        <f>SUM(G34:H34)</f>
        <v>234320567</v>
      </c>
      <c r="J34" s="205">
        <f>[1]ENERO!L34</f>
        <v>0</v>
      </c>
      <c r="K34" s="208">
        <f>336428+233984139</f>
        <v>234320567</v>
      </c>
      <c r="L34" s="205">
        <f>SUM(J34:K34)</f>
        <v>234320567</v>
      </c>
      <c r="M34" s="205">
        <f>F34-I34</f>
        <v>475930342</v>
      </c>
      <c r="N34" s="206">
        <f>F34-L34</f>
        <v>475930342</v>
      </c>
      <c r="O34" s="697"/>
      <c r="P34" s="204">
        <v>0</v>
      </c>
      <c r="Q34" s="210">
        <v>0</v>
      </c>
      <c r="R34" s="805"/>
      <c r="S34" s="189" t="str">
        <f>+IF([1]ENERO!S34=0,"",[1]ENERO!S34)</f>
        <v/>
      </c>
      <c r="T34" s="190"/>
      <c r="U34" s="193"/>
      <c r="V34" s="191"/>
      <c r="W34" s="191"/>
      <c r="X34" s="192"/>
      <c r="Y34" s="193"/>
      <c r="Z34" s="191"/>
      <c r="AA34" s="191"/>
      <c r="AB34" s="193"/>
      <c r="AC34" s="191"/>
      <c r="AD34" s="192"/>
      <c r="AE34" s="193"/>
      <c r="AF34" s="191"/>
      <c r="AG34" s="192"/>
      <c r="AH34" s="193"/>
      <c r="AI34" s="191"/>
      <c r="AJ34" s="192"/>
      <c r="AK34" s="805"/>
      <c r="AL34" s="249"/>
      <c r="AM34" s="250"/>
      <c r="AN34" s="805"/>
      <c r="AO34" s="819"/>
      <c r="AP34" s="851"/>
      <c r="AQ34" s="805"/>
      <c r="AR34" s="805"/>
      <c r="AS34" s="805" t="s">
        <v>198</v>
      </c>
      <c r="AT34" s="805"/>
      <c r="AU34" s="355" t="s">
        <v>199</v>
      </c>
      <c r="AV34" s="356" t="s">
        <v>200</v>
      </c>
      <c r="AW34" s="243" t="s">
        <v>198</v>
      </c>
      <c r="AX34" s="357"/>
      <c r="AY34" s="243" t="s">
        <v>201</v>
      </c>
      <c r="AZ34" s="244" t="s">
        <v>202</v>
      </c>
      <c r="BA34" s="697"/>
      <c r="BB34" s="697"/>
      <c r="BC34" s="697"/>
      <c r="BD34" s="697"/>
      <c r="BE34" s="697"/>
      <c r="BF34" s="697"/>
      <c r="BG34" s="697"/>
      <c r="BH34" s="697"/>
      <c r="BI34" s="697"/>
      <c r="BJ34" s="697"/>
      <c r="BK34" s="697"/>
      <c r="BL34" s="697"/>
      <c r="BM34" s="805"/>
      <c r="BN34" s="805"/>
      <c r="BO34" s="805"/>
      <c r="BP34" s="805"/>
      <c r="BQ34" s="805"/>
    </row>
    <row r="35" spans="1:69" ht="24.75" customHeight="1" thickBot="1">
      <c r="A35" s="202" t="str">
        <f>+IF([1]ENERO!A35=0,"",[1]ENERO!A35)</f>
        <v>1130103-3</v>
      </c>
      <c r="B35" s="345" t="str">
        <f>+IF([1]ENERO!B35=0,"",[1]ENERO!B35)</f>
        <v>Prestación de Servicios de salud  3o. Nivel</v>
      </c>
      <c r="C35" s="270">
        <f t="shared" ref="C35:N35" si="33">SUM(C36:C37)</f>
        <v>0</v>
      </c>
      <c r="D35" s="220">
        <f t="shared" si="33"/>
        <v>0</v>
      </c>
      <c r="E35" s="220">
        <f t="shared" si="33"/>
        <v>0</v>
      </c>
      <c r="F35" s="220">
        <f t="shared" si="33"/>
        <v>0</v>
      </c>
      <c r="G35" s="220">
        <f t="shared" si="33"/>
        <v>0</v>
      </c>
      <c r="H35" s="220">
        <f t="shared" si="33"/>
        <v>0</v>
      </c>
      <c r="I35" s="220">
        <f t="shared" si="33"/>
        <v>0</v>
      </c>
      <c r="J35" s="220">
        <f t="shared" si="33"/>
        <v>0</v>
      </c>
      <c r="K35" s="220">
        <f t="shared" si="33"/>
        <v>0</v>
      </c>
      <c r="L35" s="220">
        <f t="shared" si="33"/>
        <v>0</v>
      </c>
      <c r="M35" s="220">
        <f t="shared" si="33"/>
        <v>0</v>
      </c>
      <c r="N35" s="269">
        <f t="shared" si="33"/>
        <v>0</v>
      </c>
      <c r="O35" s="697"/>
      <c r="P35" s="346">
        <f>SUM(P36:P37)</f>
        <v>0</v>
      </c>
      <c r="Q35" s="347">
        <f>SUM(Q36:Q37)</f>
        <v>0</v>
      </c>
      <c r="R35" s="805"/>
      <c r="S35" s="257" t="str">
        <f>+IF([1]ENERO!S35=0,"",[1]ENERO!S35)</f>
        <v>2.1.2.02.02.008</v>
      </c>
      <c r="T35" s="258" t="s">
        <v>163</v>
      </c>
      <c r="U35" s="233">
        <f t="shared" ref="U35:AJ35" si="34">SUM(U36:U41)</f>
        <v>12514508007</v>
      </c>
      <c r="V35" s="231">
        <f t="shared" si="34"/>
        <v>0</v>
      </c>
      <c r="W35" s="231">
        <f t="shared" si="34"/>
        <v>0</v>
      </c>
      <c r="X35" s="232">
        <f t="shared" si="34"/>
        <v>12514508007</v>
      </c>
      <c r="Y35" s="233">
        <f t="shared" si="34"/>
        <v>8398315828</v>
      </c>
      <c r="Z35" s="231">
        <f t="shared" si="34"/>
        <v>1069809832</v>
      </c>
      <c r="AA35" s="234">
        <f t="shared" si="34"/>
        <v>9468125660</v>
      </c>
      <c r="AB35" s="233">
        <f t="shared" si="34"/>
        <v>1131636599</v>
      </c>
      <c r="AC35" s="231">
        <f t="shared" si="34"/>
        <v>2736152414</v>
      </c>
      <c r="AD35" s="232">
        <f t="shared" si="34"/>
        <v>3867789013</v>
      </c>
      <c r="AE35" s="233">
        <f t="shared" si="34"/>
        <v>772642367</v>
      </c>
      <c r="AF35" s="231">
        <f t="shared" si="34"/>
        <v>970222160</v>
      </c>
      <c r="AG35" s="232">
        <f t="shared" si="34"/>
        <v>1742864527</v>
      </c>
      <c r="AH35" s="233">
        <f t="shared" si="34"/>
        <v>3046382347</v>
      </c>
      <c r="AI35" s="231">
        <f t="shared" si="34"/>
        <v>8646718994</v>
      </c>
      <c r="AJ35" s="232">
        <f t="shared" si="34"/>
        <v>10771643480</v>
      </c>
      <c r="AK35" s="805"/>
      <c r="AL35" s="233">
        <f>SUM(AL36:AL41)</f>
        <v>0</v>
      </c>
      <c r="AM35" s="232">
        <f>SUM(AM36:AM41)</f>
        <v>0</v>
      </c>
      <c r="AN35" s="805"/>
      <c r="AO35" s="819"/>
      <c r="AP35" s="852"/>
      <c r="AQ35" s="790"/>
      <c r="AR35" s="853"/>
      <c r="AS35" s="853"/>
      <c r="AT35" s="853"/>
      <c r="AU35" s="360">
        <f>AR17-AR32</f>
        <v>26267234387</v>
      </c>
      <c r="AV35" s="361">
        <f>AS17-AR32</f>
        <v>-85197030</v>
      </c>
      <c r="AW35" s="1329" t="s">
        <v>205</v>
      </c>
      <c r="AX35" s="1330"/>
      <c r="AY35" s="361">
        <f>AY17+AY32</f>
        <v>28730291773.190144</v>
      </c>
      <c r="AZ35" s="362">
        <f>AZ17+AY32</f>
        <v>-133031498355.80986</v>
      </c>
      <c r="BA35" s="697"/>
      <c r="BB35" s="841"/>
      <c r="BC35" s="841"/>
      <c r="BD35" s="841"/>
      <c r="BE35" s="841"/>
      <c r="BF35" s="841"/>
      <c r="BG35" s="697"/>
      <c r="BH35" s="697"/>
      <c r="BI35" s="697"/>
      <c r="BJ35" s="697"/>
      <c r="BK35" s="697"/>
      <c r="BL35" s="697"/>
      <c r="BM35" s="697"/>
      <c r="BN35" s="697"/>
      <c r="BO35" s="697"/>
      <c r="BP35" s="697"/>
      <c r="BQ35" s="697"/>
    </row>
    <row r="36" spans="1:69" ht="24.75" customHeight="1" thickBot="1">
      <c r="A36" s="202" t="str">
        <f>+IF([1]ENERO!A36=0,"",[1]ENERO!A36)</f>
        <v>1130103-3-1</v>
      </c>
      <c r="B36" s="331" t="str">
        <f>+CONCATENATE("Vigencia ",[1]INSTRUCCIONES!$F$3)</f>
        <v>Vigencia 2025</v>
      </c>
      <c r="C36" s="204">
        <f>+[1]ENERO!C36</f>
        <v>0</v>
      </c>
      <c r="D36" s="205">
        <f>[1]ENERO!D36+[1]FEBRERO!P36</f>
        <v>0</v>
      </c>
      <c r="E36" s="205">
        <f>[1]ENERO!E36+[1]FEBRERO!Q36</f>
        <v>0</v>
      </c>
      <c r="F36" s="205">
        <f t="shared" ref="F36:F41" si="35">SUM(C36:E36)</f>
        <v>0</v>
      </c>
      <c r="G36" s="205">
        <f>[1]ENERO!I36</f>
        <v>0</v>
      </c>
      <c r="H36" s="208">
        <v>0</v>
      </c>
      <c r="I36" s="205">
        <f t="shared" ref="I36:I41" si="36">SUM(G36:H36)</f>
        <v>0</v>
      </c>
      <c r="J36" s="205">
        <f>[1]ENERO!L36</f>
        <v>0</v>
      </c>
      <c r="K36" s="208">
        <v>0</v>
      </c>
      <c r="L36" s="205">
        <f t="shared" ref="L36:L41" si="37">SUM(J36:K36)</f>
        <v>0</v>
      </c>
      <c r="M36" s="205">
        <f t="shared" ref="M36:M41" si="38">F36-I36</f>
        <v>0</v>
      </c>
      <c r="N36" s="206">
        <f t="shared" ref="N36:N41" si="39">F36-L36</f>
        <v>0</v>
      </c>
      <c r="O36" s="805"/>
      <c r="P36" s="204">
        <v>0</v>
      </c>
      <c r="Q36" s="210">
        <v>0</v>
      </c>
      <c r="R36" s="805"/>
      <c r="S36" s="266" t="str">
        <f>+IF([1]ENERO!S36=0,"",[1]ENERO!S36)</f>
        <v>2.1.2.02.02.008.802</v>
      </c>
      <c r="T36" s="267" t="str">
        <f>[1]ENERO!T36</f>
        <v>Servicios Personales Administrativos (Contador, Abogado, otros)</v>
      </c>
      <c r="U36" s="301">
        <f>SUM(ENERO!U36)</f>
        <v>771615965</v>
      </c>
      <c r="V36" s="220">
        <f>[1]ENERO!V36+[1]FEBRERO!AL36</f>
        <v>0</v>
      </c>
      <c r="W36" s="220">
        <f>[1]ENERO!W36+[1]FEBRERO!AM36</f>
        <v>0</v>
      </c>
      <c r="X36" s="269">
        <f t="shared" ref="X36:X41" si="40">SUM(U36:W36)</f>
        <v>771615965</v>
      </c>
      <c r="Y36" s="270">
        <f>[1]ENERO!AA36</f>
        <v>101643060</v>
      </c>
      <c r="Z36" s="204">
        <v>124363920</v>
      </c>
      <c r="AA36" s="271">
        <f t="shared" ref="AA36:AA41" si="41">SUM(Y36:Z36)</f>
        <v>226006980</v>
      </c>
      <c r="AB36" s="270">
        <f>[1]ENERO!AD36</f>
        <v>29595009</v>
      </c>
      <c r="AC36" s="204">
        <v>30594742</v>
      </c>
      <c r="AD36" s="269">
        <f t="shared" ref="AD36:AD41" si="42">SUM(AB36:AC36)</f>
        <v>60189751</v>
      </c>
      <c r="AE36" s="270">
        <f>[1]ENERO!AG36</f>
        <v>0</v>
      </c>
      <c r="AF36" s="204">
        <v>28334998</v>
      </c>
      <c r="AG36" s="269">
        <f t="shared" ref="AG36:AG41" si="43">SUM(AE36:AF36)</f>
        <v>28334998</v>
      </c>
      <c r="AH36" s="270">
        <f t="shared" ref="AH36:AH41" si="44">X36-AA36</f>
        <v>545608985</v>
      </c>
      <c r="AI36" s="220">
        <f t="shared" ref="AI36:AI41" si="45">X36-AD36</f>
        <v>711426214</v>
      </c>
      <c r="AJ36" s="269">
        <f t="shared" ref="AJ36:AJ41" si="46">X36-AG36</f>
        <v>743280967</v>
      </c>
      <c r="AK36" s="805"/>
      <c r="AL36" s="204">
        <v>0</v>
      </c>
      <c r="AM36" s="210">
        <v>0</v>
      </c>
      <c r="AN36" s="805"/>
      <c r="AO36" s="363"/>
      <c r="AP36" s="854"/>
      <c r="AQ36" s="854"/>
      <c r="AR36" s="854"/>
      <c r="AS36" s="854"/>
      <c r="AT36" s="854"/>
      <c r="AU36" s="854"/>
      <c r="AV36" s="854"/>
      <c r="AW36" s="854"/>
      <c r="AX36" s="854"/>
      <c r="AY36" s="854"/>
      <c r="AZ36" s="365"/>
      <c r="BA36" s="697"/>
      <c r="BB36" s="841"/>
      <c r="BC36" s="841"/>
      <c r="BD36" s="841"/>
      <c r="BE36" s="841"/>
      <c r="BF36" s="841"/>
      <c r="BG36" s="697"/>
      <c r="BH36" s="697"/>
      <c r="BI36" s="697"/>
      <c r="BJ36" s="697"/>
      <c r="BK36" s="697"/>
      <c r="BL36" s="697"/>
      <c r="BM36" s="697"/>
      <c r="BN36" s="697"/>
      <c r="BO36" s="697"/>
      <c r="BP36" s="697"/>
      <c r="BQ36" s="697"/>
    </row>
    <row r="37" spans="1:69" ht="24.75" customHeight="1">
      <c r="A37" s="202" t="str">
        <f>+IF([1]ENERO!A37=0,"",[1]ENERO!A37)</f>
        <v>1130103-3-2</v>
      </c>
      <c r="B37" s="331" t="str">
        <f>+IF([1]ENERO!B37=0,"",[1]ENERO!B37)</f>
        <v>Vigencia Anterior</v>
      </c>
      <c r="C37" s="204">
        <f>+[1]ENERO!C37</f>
        <v>0</v>
      </c>
      <c r="D37" s="205">
        <f>[1]ENERO!D37+[1]FEBRERO!P37</f>
        <v>0</v>
      </c>
      <c r="E37" s="205">
        <f>[1]ENERO!E37+[1]FEBRERO!Q37</f>
        <v>0</v>
      </c>
      <c r="F37" s="205">
        <f t="shared" si="35"/>
        <v>0</v>
      </c>
      <c r="G37" s="205">
        <f>[1]ENERO!I37</f>
        <v>0</v>
      </c>
      <c r="H37" s="208">
        <v>0</v>
      </c>
      <c r="I37" s="205">
        <f t="shared" si="36"/>
        <v>0</v>
      </c>
      <c r="J37" s="205">
        <f>[1]ENERO!L37</f>
        <v>0</v>
      </c>
      <c r="K37" s="208">
        <v>0</v>
      </c>
      <c r="L37" s="205">
        <f t="shared" si="37"/>
        <v>0</v>
      </c>
      <c r="M37" s="205">
        <f t="shared" si="38"/>
        <v>0</v>
      </c>
      <c r="N37" s="206">
        <f t="shared" si="39"/>
        <v>0</v>
      </c>
      <c r="O37" s="697"/>
      <c r="P37" s="204">
        <v>0</v>
      </c>
      <c r="Q37" s="210">
        <v>0</v>
      </c>
      <c r="R37" s="805"/>
      <c r="S37" s="266" t="str">
        <f>+IF([1]ENERO!S37=0,"",[1]ENERO!S37)</f>
        <v>1010200-2</v>
      </c>
      <c r="T37" s="267" t="str">
        <f>[1]ENERO!T37</f>
        <v>Personal Supernumerario</v>
      </c>
      <c r="U37" s="301">
        <f>SUM(ENERO!U37)</f>
        <v>0</v>
      </c>
      <c r="V37" s="220">
        <f>[1]ENERO!V37+[1]FEBRERO!AL37</f>
        <v>0</v>
      </c>
      <c r="W37" s="220">
        <f>[1]ENERO!W37+[1]FEBRERO!AM37</f>
        <v>0</v>
      </c>
      <c r="X37" s="269">
        <f t="shared" si="40"/>
        <v>0</v>
      </c>
      <c r="Y37" s="270">
        <f>[1]ENERO!AA37</f>
        <v>0</v>
      </c>
      <c r="Z37" s="208">
        <v>0</v>
      </c>
      <c r="AA37" s="271">
        <f t="shared" si="41"/>
        <v>0</v>
      </c>
      <c r="AB37" s="270">
        <f>[1]ENERO!AD37</f>
        <v>0</v>
      </c>
      <c r="AC37" s="208">
        <v>0</v>
      </c>
      <c r="AD37" s="269">
        <f t="shared" si="42"/>
        <v>0</v>
      </c>
      <c r="AE37" s="270">
        <f>[1]ENERO!AG37</f>
        <v>0</v>
      </c>
      <c r="AF37" s="208">
        <v>0</v>
      </c>
      <c r="AG37" s="269">
        <f t="shared" si="43"/>
        <v>0</v>
      </c>
      <c r="AH37" s="270">
        <f t="shared" si="44"/>
        <v>0</v>
      </c>
      <c r="AI37" s="220">
        <f t="shared" si="45"/>
        <v>0</v>
      </c>
      <c r="AJ37" s="269">
        <f t="shared" si="46"/>
        <v>0</v>
      </c>
      <c r="AK37" s="805"/>
      <c r="AL37" s="204">
        <v>0</v>
      </c>
      <c r="AM37" s="210">
        <v>0</v>
      </c>
      <c r="AN37" s="805"/>
      <c r="AO37" s="855" t="s">
        <v>209</v>
      </c>
      <c r="AP37" s="697"/>
      <c r="AQ37" s="697"/>
      <c r="AR37" s="697"/>
      <c r="AS37" s="697"/>
      <c r="AT37" s="697"/>
      <c r="AU37" s="697"/>
      <c r="AV37" s="697"/>
      <c r="AW37" s="697"/>
      <c r="AX37" s="697"/>
      <c r="AY37" s="697"/>
      <c r="AZ37" s="697"/>
      <c r="BA37" s="697"/>
      <c r="BB37" s="697"/>
      <c r="BC37" s="697"/>
      <c r="BD37" s="697"/>
      <c r="BE37" s="697"/>
      <c r="BF37" s="697"/>
      <c r="BG37" s="697"/>
      <c r="BH37" s="697"/>
      <c r="BI37" s="697"/>
      <c r="BJ37" s="697"/>
      <c r="BK37" s="697"/>
      <c r="BL37" s="697"/>
      <c r="BM37" s="697"/>
      <c r="BN37" s="697"/>
      <c r="BO37" s="697"/>
      <c r="BP37" s="697"/>
      <c r="BQ37" s="697"/>
    </row>
    <row r="38" spans="1:69" ht="24.75" customHeight="1">
      <c r="A38" s="856" t="str">
        <f>+IF([1]ENERO!A38=0,"",[1]ENERO!A38)</f>
        <v>1130103-4</v>
      </c>
      <c r="B38" s="857" t="str">
        <f>+IF([1]ENERO!B38=0,"",[1]ENERO!B38)</f>
        <v xml:space="preserve"> Aportes Patronales  1o. Nivel</v>
      </c>
      <c r="C38" s="204">
        <f>+[1]ENERO!C38</f>
        <v>0</v>
      </c>
      <c r="D38" s="205">
        <f>[1]ENERO!D38+[1]FEBRERO!P38</f>
        <v>0</v>
      </c>
      <c r="E38" s="205">
        <f>[1]ENERO!E38+[1]FEBRERO!Q38</f>
        <v>0</v>
      </c>
      <c r="F38" s="205">
        <f t="shared" si="35"/>
        <v>0</v>
      </c>
      <c r="G38" s="205">
        <f>[1]ENERO!I38</f>
        <v>0</v>
      </c>
      <c r="H38" s="208">
        <v>0</v>
      </c>
      <c r="I38" s="205">
        <f t="shared" si="36"/>
        <v>0</v>
      </c>
      <c r="J38" s="205">
        <f>[1]ENERO!L38</f>
        <v>0</v>
      </c>
      <c r="K38" s="208">
        <v>0</v>
      </c>
      <c r="L38" s="205">
        <f t="shared" si="37"/>
        <v>0</v>
      </c>
      <c r="M38" s="205">
        <f t="shared" si="38"/>
        <v>0</v>
      </c>
      <c r="N38" s="206">
        <f t="shared" si="39"/>
        <v>0</v>
      </c>
      <c r="O38" s="369"/>
      <c r="P38" s="204">
        <v>0</v>
      </c>
      <c r="Q38" s="210">
        <v>0</v>
      </c>
      <c r="R38" s="805"/>
      <c r="S38" s="266" t="str">
        <f>+IF([1]ENERO!S38=0,"",[1]ENERO!S38)</f>
        <v>2.1.2.02.02.008.810</v>
      </c>
      <c r="T38" s="267" t="str">
        <f>[1]ENERO!T38</f>
        <v>Honorarios de la Junta Directiva</v>
      </c>
      <c r="U38" s="301">
        <f>SUM(ENERO!U38)</f>
        <v>38518134</v>
      </c>
      <c r="V38" s="220">
        <f>[1]ENERO!V38+[1]FEBRERO!AL38</f>
        <v>0</v>
      </c>
      <c r="W38" s="220">
        <f>[1]ENERO!W38+[1]FEBRERO!AM38</f>
        <v>0</v>
      </c>
      <c r="X38" s="269">
        <f t="shared" si="40"/>
        <v>38518134</v>
      </c>
      <c r="Y38" s="270">
        <f>[1]ENERO!AA38</f>
        <v>0</v>
      </c>
      <c r="Z38" s="204">
        <v>3558750</v>
      </c>
      <c r="AA38" s="271">
        <f t="shared" si="41"/>
        <v>3558750</v>
      </c>
      <c r="AB38" s="270">
        <f>[1]ENERO!AD38</f>
        <v>0</v>
      </c>
      <c r="AC38" s="204">
        <v>3558750</v>
      </c>
      <c r="AD38" s="269">
        <f t="shared" si="42"/>
        <v>3558750</v>
      </c>
      <c r="AE38" s="270">
        <f>[1]ENERO!AG38</f>
        <v>0</v>
      </c>
      <c r="AF38" s="208">
        <v>0</v>
      </c>
      <c r="AG38" s="269">
        <f t="shared" si="43"/>
        <v>0</v>
      </c>
      <c r="AH38" s="270">
        <f t="shared" si="44"/>
        <v>34959384</v>
      </c>
      <c r="AI38" s="220">
        <f t="shared" si="45"/>
        <v>34959384</v>
      </c>
      <c r="AJ38" s="269">
        <f t="shared" si="46"/>
        <v>38518134</v>
      </c>
      <c r="AK38" s="805"/>
      <c r="AL38" s="204">
        <v>0</v>
      </c>
      <c r="AM38" s="210">
        <v>0</v>
      </c>
      <c r="AN38" s="805"/>
      <c r="AO38" s="697"/>
      <c r="AP38" s="697"/>
      <c r="AQ38" s="697"/>
      <c r="AR38" s="697"/>
      <c r="AS38" s="697"/>
      <c r="AT38" s="697"/>
      <c r="AU38" s="697"/>
      <c r="AV38" s="697"/>
      <c r="AW38" s="697"/>
      <c r="AX38" s="697"/>
      <c r="AY38" s="697"/>
      <c r="AZ38" s="697"/>
      <c r="BA38" s="697"/>
      <c r="BB38" s="697"/>
      <c r="BC38" s="697"/>
      <c r="BD38" s="697"/>
      <c r="BE38" s="697"/>
      <c r="BF38" s="697"/>
      <c r="BG38" s="697"/>
      <c r="BH38" s="697"/>
      <c r="BI38" s="697"/>
      <c r="BJ38" s="697"/>
      <c r="BK38" s="697"/>
      <c r="BL38" s="697"/>
      <c r="BM38" s="697"/>
      <c r="BN38" s="697"/>
      <c r="BO38" s="697"/>
      <c r="BP38" s="697"/>
      <c r="BQ38" s="697"/>
    </row>
    <row r="39" spans="1:69" ht="24.75" customHeight="1">
      <c r="A39" s="856" t="str">
        <f>+IF([1]ENERO!A39=0,"",[1]ENERO!A39)</f>
        <v>1130103-5</v>
      </c>
      <c r="B39" s="857" t="str">
        <f>+IF([1]ENERO!B39=0,"",[1]ENERO!B39)</f>
        <v xml:space="preserve"> Aportes Patronales  2o. Nivel</v>
      </c>
      <c r="C39" s="204">
        <f>+[1]ENERO!C39</f>
        <v>0</v>
      </c>
      <c r="D39" s="205">
        <f>[1]ENERO!D39+[1]FEBRERO!P39</f>
        <v>0</v>
      </c>
      <c r="E39" s="205">
        <f>[1]ENERO!E39+[1]FEBRERO!Q39</f>
        <v>0</v>
      </c>
      <c r="F39" s="205">
        <f t="shared" si="35"/>
        <v>0</v>
      </c>
      <c r="G39" s="205">
        <f>[1]ENERO!I39</f>
        <v>0</v>
      </c>
      <c r="H39" s="208">
        <v>0</v>
      </c>
      <c r="I39" s="205">
        <f t="shared" si="36"/>
        <v>0</v>
      </c>
      <c r="J39" s="205">
        <f>[1]ENERO!L39</f>
        <v>0</v>
      </c>
      <c r="K39" s="208">
        <v>0</v>
      </c>
      <c r="L39" s="205">
        <f t="shared" si="37"/>
        <v>0</v>
      </c>
      <c r="M39" s="205">
        <f t="shared" si="38"/>
        <v>0</v>
      </c>
      <c r="N39" s="206">
        <f t="shared" si="39"/>
        <v>0</v>
      </c>
      <c r="O39" s="369"/>
      <c r="P39" s="204">
        <v>0</v>
      </c>
      <c r="Q39" s="210">
        <v>0</v>
      </c>
      <c r="R39" s="805"/>
      <c r="S39" s="266" t="str">
        <f>+IF([1]ENERO!S39=0,"",[1]ENERO!S39)</f>
        <v>2.1.2.02.02.009.906</v>
      </c>
      <c r="T39" s="267" t="str">
        <f>[1]ENERO!T39</f>
        <v>Servicios de Agremiación (administrativo)</v>
      </c>
      <c r="U39" s="301">
        <f>SUM(ENERO!U39)</f>
        <v>9849382921</v>
      </c>
      <c r="V39" s="220">
        <f>[1]ENERO!V39+[1]FEBRERO!AL39</f>
        <v>0</v>
      </c>
      <c r="W39" s="220">
        <f>[1]ENERO!W39+[1]FEBRERO!AM39</f>
        <v>0</v>
      </c>
      <c r="X39" s="269">
        <f t="shared" si="40"/>
        <v>9849382921</v>
      </c>
      <c r="Y39" s="270">
        <f>[1]ENERO!AA39</f>
        <v>7524030401</v>
      </c>
      <c r="Z39" s="208">
        <v>0</v>
      </c>
      <c r="AA39" s="271">
        <f t="shared" si="41"/>
        <v>7524030401</v>
      </c>
      <c r="AB39" s="270">
        <f>[1]ENERO!AD39</f>
        <v>329399223</v>
      </c>
      <c r="AC39" s="204">
        <v>1760111760</v>
      </c>
      <c r="AD39" s="269">
        <f t="shared" si="42"/>
        <v>2089510983</v>
      </c>
      <c r="AE39" s="270">
        <f>[1]ENERO!AG39</f>
        <v>0</v>
      </c>
      <c r="AF39" s="208">
        <v>0</v>
      </c>
      <c r="AG39" s="269">
        <f t="shared" si="43"/>
        <v>0</v>
      </c>
      <c r="AH39" s="270">
        <f t="shared" si="44"/>
        <v>2325352520</v>
      </c>
      <c r="AI39" s="220">
        <f t="shared" si="45"/>
        <v>7759871938</v>
      </c>
      <c r="AJ39" s="269">
        <f t="shared" si="46"/>
        <v>9849382921</v>
      </c>
      <c r="AK39" s="805"/>
      <c r="AL39" s="204">
        <v>0</v>
      </c>
      <c r="AM39" s="210">
        <v>0</v>
      </c>
      <c r="AN39" s="805"/>
      <c r="AO39" s="697"/>
      <c r="AP39" s="697"/>
      <c r="AQ39" s="697"/>
      <c r="AR39" s="697"/>
      <c r="AS39" s="697"/>
      <c r="AT39" s="697"/>
      <c r="AU39" s="697"/>
      <c r="AV39" s="697"/>
      <c r="AW39" s="697"/>
      <c r="AX39" s="697"/>
      <c r="AY39" s="697"/>
      <c r="AZ39" s="697"/>
      <c r="BA39" s="697"/>
      <c r="BB39" s="697"/>
      <c r="BC39" s="697"/>
      <c r="BD39" s="697"/>
      <c r="BE39" s="697"/>
      <c r="BF39" s="697"/>
      <c r="BG39" s="697"/>
      <c r="BH39" s="697"/>
      <c r="BI39" s="697"/>
      <c r="BJ39" s="697"/>
      <c r="BK39" s="697"/>
      <c r="BL39" s="697"/>
      <c r="BM39" s="697"/>
      <c r="BN39" s="697"/>
      <c r="BO39" s="697"/>
      <c r="BP39" s="697"/>
      <c r="BQ39" s="697"/>
    </row>
    <row r="40" spans="1:69" ht="24.75" customHeight="1">
      <c r="A40" s="856" t="str">
        <f>+IF([1]ENERO!A40=0,"",[1]ENERO!A40)</f>
        <v>1130103-6</v>
      </c>
      <c r="B40" s="857" t="str">
        <f>+IF([1]ENERO!B40=0,"",[1]ENERO!B40)</f>
        <v xml:space="preserve"> Aportes Patronales  3er. Nivel</v>
      </c>
      <c r="C40" s="204">
        <f>+[1]ENERO!C40</f>
        <v>0</v>
      </c>
      <c r="D40" s="205">
        <f>[1]ENERO!D40+[1]FEBRERO!P40</f>
        <v>0</v>
      </c>
      <c r="E40" s="205">
        <f>[1]ENERO!E40+[1]FEBRERO!Q40</f>
        <v>0</v>
      </c>
      <c r="F40" s="205">
        <f t="shared" si="35"/>
        <v>0</v>
      </c>
      <c r="G40" s="205">
        <f>[1]ENERO!I40</f>
        <v>0</v>
      </c>
      <c r="H40" s="208">
        <v>0</v>
      </c>
      <c r="I40" s="205">
        <f t="shared" si="36"/>
        <v>0</v>
      </c>
      <c r="J40" s="205">
        <f>[1]ENERO!L40</f>
        <v>0</v>
      </c>
      <c r="K40" s="208">
        <v>0</v>
      </c>
      <c r="L40" s="205">
        <f t="shared" si="37"/>
        <v>0</v>
      </c>
      <c r="M40" s="205">
        <f t="shared" si="38"/>
        <v>0</v>
      </c>
      <c r="N40" s="206">
        <f t="shared" si="39"/>
        <v>0</v>
      </c>
      <c r="O40" s="369"/>
      <c r="P40" s="204">
        <v>0</v>
      </c>
      <c r="Q40" s="210">
        <v>0</v>
      </c>
      <c r="R40" s="805"/>
      <c r="S40" s="266" t="str">
        <f>+IF([1]ENERO!S40=0,"",[1]ENERO!S40)</f>
        <v/>
      </c>
      <c r="T40" s="267" t="str">
        <f>[1]ENERO!T40</f>
        <v>Certificación, Habilitación y Acreditación</v>
      </c>
      <c r="U40" s="301">
        <f>SUM(ENERO!U40)</f>
        <v>0</v>
      </c>
      <c r="V40" s="220">
        <f>[1]ENERO!V40+[1]FEBRERO!AL40</f>
        <v>0</v>
      </c>
      <c r="W40" s="220">
        <f>[1]ENERO!W40+[1]FEBRERO!AM40</f>
        <v>0</v>
      </c>
      <c r="X40" s="269">
        <f t="shared" si="40"/>
        <v>0</v>
      </c>
      <c r="Y40" s="270">
        <f>[1]ENERO!AA40</f>
        <v>0</v>
      </c>
      <c r="Z40" s="208">
        <v>0</v>
      </c>
      <c r="AA40" s="271">
        <f t="shared" si="41"/>
        <v>0</v>
      </c>
      <c r="AB40" s="270">
        <f>[1]ENERO!AD40</f>
        <v>0</v>
      </c>
      <c r="AC40" s="208">
        <v>0</v>
      </c>
      <c r="AD40" s="269">
        <f t="shared" si="42"/>
        <v>0</v>
      </c>
      <c r="AE40" s="270">
        <f>[1]ENERO!AG40</f>
        <v>0</v>
      </c>
      <c r="AF40" s="208">
        <v>0</v>
      </c>
      <c r="AG40" s="269">
        <f t="shared" si="43"/>
        <v>0</v>
      </c>
      <c r="AH40" s="270">
        <f t="shared" si="44"/>
        <v>0</v>
      </c>
      <c r="AI40" s="220">
        <f t="shared" si="45"/>
        <v>0</v>
      </c>
      <c r="AJ40" s="269">
        <f t="shared" si="46"/>
        <v>0</v>
      </c>
      <c r="AK40" s="805"/>
      <c r="AL40" s="204">
        <v>0</v>
      </c>
      <c r="AM40" s="210">
        <v>0</v>
      </c>
      <c r="AN40" s="805"/>
      <c r="AO40" s="697"/>
      <c r="AP40" s="697"/>
      <c r="AQ40" s="697"/>
      <c r="AR40" s="697"/>
      <c r="AS40" s="697"/>
      <c r="AT40" s="697"/>
      <c r="AU40" s="697"/>
      <c r="AV40" s="697"/>
      <c r="AW40" s="697"/>
      <c r="AX40" s="697"/>
      <c r="AY40" s="697"/>
      <c r="AZ40" s="697"/>
      <c r="BA40" s="697"/>
      <c r="BB40" s="841"/>
      <c r="BC40" s="841"/>
      <c r="BD40" s="841"/>
      <c r="BE40" s="841"/>
      <c r="BF40" s="697"/>
      <c r="BG40" s="697"/>
      <c r="BH40" s="697"/>
      <c r="BI40" s="697"/>
      <c r="BJ40" s="697"/>
      <c r="BK40" s="697"/>
      <c r="BL40" s="697"/>
      <c r="BM40" s="697"/>
      <c r="BN40" s="697"/>
      <c r="BO40" s="697"/>
      <c r="BP40" s="697"/>
      <c r="BQ40" s="697"/>
    </row>
    <row r="41" spans="1:69" ht="24.75" customHeight="1">
      <c r="A41" s="286">
        <f>+IF([1]ENERO!A41=0,"",[1]ENERO!A41)</f>
        <v>1130104</v>
      </c>
      <c r="B41" s="319" t="str">
        <f>+IF([1]ENERO!B41=0,"",[1]ENERO!B41)</f>
        <v>SUBSIDIO A LA OFERTA- ACTIVIDADES NO POS-S</v>
      </c>
      <c r="C41" s="204">
        <f>+[1]ENERO!C41</f>
        <v>0</v>
      </c>
      <c r="D41" s="231">
        <f>[1]ENERO!D41+[1]FEBRERO!P41</f>
        <v>0</v>
      </c>
      <c r="E41" s="231">
        <f>[1]ENERO!E41+[1]FEBRERO!Q41</f>
        <v>0</v>
      </c>
      <c r="F41" s="231">
        <f t="shared" si="35"/>
        <v>0</v>
      </c>
      <c r="G41" s="231">
        <f>[1]ENERO!I41</f>
        <v>0</v>
      </c>
      <c r="H41" s="208">
        <v>0</v>
      </c>
      <c r="I41" s="231">
        <f t="shared" si="36"/>
        <v>0</v>
      </c>
      <c r="J41" s="231">
        <f>[1]ENERO!L41</f>
        <v>0</v>
      </c>
      <c r="K41" s="208">
        <v>0</v>
      </c>
      <c r="L41" s="231">
        <f t="shared" si="37"/>
        <v>0</v>
      </c>
      <c r="M41" s="231">
        <f t="shared" si="38"/>
        <v>0</v>
      </c>
      <c r="N41" s="232">
        <f t="shared" si="39"/>
        <v>0</v>
      </c>
      <c r="O41" s="697"/>
      <c r="P41" s="208">
        <v>0</v>
      </c>
      <c r="Q41" s="210">
        <v>0</v>
      </c>
      <c r="R41" s="805"/>
      <c r="S41" s="266" t="str">
        <f>+IF([1]ENERO!S41=0,"",[1]ENERO!S41)</f>
        <v>2.1.2.02.02.009.99.02</v>
      </c>
      <c r="T41" s="267" t="str">
        <f>[1]ENERO!T41</f>
        <v>Vigencias Anteriores servicios de agremiacion</v>
      </c>
      <c r="U41" s="301">
        <f>SUM(ENERO!U41)</f>
        <v>1854990987</v>
      </c>
      <c r="V41" s="220">
        <f>[1]ENERO!V41+[1]FEBRERO!AL41</f>
        <v>0</v>
      </c>
      <c r="W41" s="220">
        <f>[1]ENERO!W41+[1]FEBRERO!AM41</f>
        <v>0</v>
      </c>
      <c r="X41" s="269">
        <f t="shared" si="40"/>
        <v>1854990987</v>
      </c>
      <c r="Y41" s="270">
        <f>[1]ENERO!AA41</f>
        <v>772642367</v>
      </c>
      <c r="Z41" s="204">
        <v>941887162</v>
      </c>
      <c r="AA41" s="271">
        <f t="shared" si="41"/>
        <v>1714529529</v>
      </c>
      <c r="AB41" s="270">
        <f>[1]ENERO!AD41</f>
        <v>772642367</v>
      </c>
      <c r="AC41" s="204">
        <v>941887162</v>
      </c>
      <c r="AD41" s="269">
        <f t="shared" si="42"/>
        <v>1714529529</v>
      </c>
      <c r="AE41" s="270">
        <f>[1]ENERO!AG41</f>
        <v>772642367</v>
      </c>
      <c r="AF41" s="204">
        <v>941887162</v>
      </c>
      <c r="AG41" s="269">
        <f t="shared" si="43"/>
        <v>1714529529</v>
      </c>
      <c r="AH41" s="270">
        <f t="shared" si="44"/>
        <v>140461458</v>
      </c>
      <c r="AI41" s="220">
        <f t="shared" si="45"/>
        <v>140461458</v>
      </c>
      <c r="AJ41" s="269">
        <f t="shared" si="46"/>
        <v>140461458</v>
      </c>
      <c r="AK41" s="805"/>
      <c r="AL41" s="204">
        <v>0</v>
      </c>
      <c r="AM41" s="210">
        <v>0</v>
      </c>
      <c r="AN41" s="805"/>
      <c r="AO41" s="697"/>
      <c r="AP41" s="697"/>
      <c r="AQ41" s="697"/>
      <c r="AR41" s="697"/>
      <c r="AS41" s="697"/>
      <c r="AT41" s="697"/>
      <c r="AU41" s="697"/>
      <c r="AV41" s="697"/>
      <c r="AW41" s="697"/>
      <c r="AX41" s="697"/>
      <c r="AY41" s="697"/>
      <c r="AZ41" s="697"/>
      <c r="BA41" s="697"/>
      <c r="BB41" s="841"/>
      <c r="BC41" s="841"/>
      <c r="BD41" s="841"/>
      <c r="BE41" s="841"/>
      <c r="BF41" s="697"/>
      <c r="BG41" s="697"/>
      <c r="BH41" s="697"/>
      <c r="BI41" s="697"/>
      <c r="BJ41" s="697"/>
      <c r="BK41" s="697"/>
      <c r="BL41" s="697"/>
      <c r="BM41" s="841"/>
      <c r="BN41" s="841"/>
      <c r="BO41" s="841"/>
      <c r="BP41" s="841"/>
      <c r="BQ41" s="841"/>
    </row>
    <row r="42" spans="1:69" ht="24.75" customHeight="1">
      <c r="A42" s="286" t="s">
        <v>778</v>
      </c>
      <c r="B42" s="319" t="str">
        <f>+IF([1]ENERO!B42=0,"",[1]ENERO!B42)</f>
        <v>SALUD PUBLICA - PLAN DE INTERVENCIONES COLECTIVAS</v>
      </c>
      <c r="C42" s="288">
        <f t="shared" ref="C42:N42" si="47">SUM(C43:C44)</f>
        <v>287170800</v>
      </c>
      <c r="D42" s="320">
        <f t="shared" si="47"/>
        <v>0</v>
      </c>
      <c r="E42" s="320">
        <f t="shared" si="47"/>
        <v>0</v>
      </c>
      <c r="F42" s="320">
        <f t="shared" si="47"/>
        <v>287170800</v>
      </c>
      <c r="G42" s="320">
        <f t="shared" si="47"/>
        <v>3942154</v>
      </c>
      <c r="H42" s="320">
        <f t="shared" si="47"/>
        <v>6736816</v>
      </c>
      <c r="I42" s="320">
        <f t="shared" si="47"/>
        <v>10678970</v>
      </c>
      <c r="J42" s="320">
        <f t="shared" si="47"/>
        <v>0</v>
      </c>
      <c r="K42" s="320">
        <f t="shared" si="47"/>
        <v>0</v>
      </c>
      <c r="L42" s="320">
        <f t="shared" si="47"/>
        <v>0</v>
      </c>
      <c r="M42" s="320">
        <f t="shared" si="47"/>
        <v>276491830</v>
      </c>
      <c r="N42" s="289">
        <f t="shared" si="47"/>
        <v>287170800</v>
      </c>
      <c r="O42" s="697"/>
      <c r="P42" s="288">
        <f>SUM(P43:P44)</f>
        <v>0</v>
      </c>
      <c r="Q42" s="289">
        <f>SUM(Q43:Q44)</f>
        <v>0</v>
      </c>
      <c r="R42" s="805"/>
      <c r="S42" s="189">
        <f>+IF([1]ENERO!S42=0,"",[1]ENERO!S42)</f>
        <v>1130106</v>
      </c>
      <c r="T42" s="190"/>
      <c r="U42" s="193"/>
      <c r="V42" s="191"/>
      <c r="W42" s="191"/>
      <c r="X42" s="192"/>
      <c r="Y42" s="193"/>
      <c r="Z42" s="191"/>
      <c r="AA42" s="191"/>
      <c r="AB42" s="193"/>
      <c r="AC42" s="191"/>
      <c r="AD42" s="192"/>
      <c r="AE42" s="193"/>
      <c r="AF42" s="191"/>
      <c r="AG42" s="192"/>
      <c r="AH42" s="193"/>
      <c r="AI42" s="191"/>
      <c r="AJ42" s="192"/>
      <c r="AK42" s="827"/>
      <c r="AL42" s="370"/>
      <c r="AM42" s="371"/>
      <c r="AN42" s="805"/>
      <c r="AO42" s="697"/>
      <c r="AP42" s="697"/>
      <c r="AQ42" s="697"/>
      <c r="AR42" s="697"/>
      <c r="AS42" s="697"/>
      <c r="AT42" s="697"/>
      <c r="AU42" s="697"/>
      <c r="AV42" s="697"/>
      <c r="AW42" s="697"/>
      <c r="AX42" s="697"/>
      <c r="AY42" s="697"/>
      <c r="AZ42" s="697"/>
      <c r="BA42" s="697"/>
      <c r="BB42" s="697"/>
      <c r="BC42" s="697"/>
      <c r="BD42" s="697"/>
      <c r="BE42" s="697"/>
      <c r="BF42" s="697"/>
      <c r="BG42" s="697"/>
      <c r="BH42" s="697"/>
      <c r="BI42" s="697"/>
      <c r="BJ42" s="697"/>
      <c r="BK42" s="697"/>
      <c r="BL42" s="697"/>
      <c r="BM42" s="697"/>
      <c r="BN42" s="697"/>
      <c r="BO42" s="697"/>
      <c r="BP42" s="697"/>
      <c r="BQ42" s="697"/>
    </row>
    <row r="43" spans="1:69" ht="24.75" customHeight="1">
      <c r="A43" s="286" t="s">
        <v>778</v>
      </c>
      <c r="B43" s="331" t="str">
        <f>+CONCATENATE("Vigencia ",[1]INSTRUCCIONES!$F$3)</f>
        <v>Vigencia 2025</v>
      </c>
      <c r="C43" s="204">
        <f>+[1]ENERO!C43</f>
        <v>0</v>
      </c>
      <c r="D43" s="205">
        <f>[1]ENERO!D43+[1]FEBRERO!P43</f>
        <v>0</v>
      </c>
      <c r="E43" s="205">
        <f>[1]ENERO!E43+[1]FEBRERO!Q43</f>
        <v>0</v>
      </c>
      <c r="F43" s="205">
        <f>SUM(C43:E43)</f>
        <v>0</v>
      </c>
      <c r="G43" s="205">
        <f>[1]ENERO!I43</f>
        <v>3942154</v>
      </c>
      <c r="H43" s="208">
        <v>6736816</v>
      </c>
      <c r="I43" s="205">
        <f>SUM(G43:H43)</f>
        <v>10678970</v>
      </c>
      <c r="J43" s="205">
        <f>[1]ENERO!L43</f>
        <v>0</v>
      </c>
      <c r="K43" s="208">
        <v>0</v>
      </c>
      <c r="L43" s="205">
        <f>SUM(J43:K43)</f>
        <v>0</v>
      </c>
      <c r="M43" s="205">
        <f>F43-I43</f>
        <v>-10678970</v>
      </c>
      <c r="N43" s="206">
        <f>F43-L43</f>
        <v>0</v>
      </c>
      <c r="O43" s="697"/>
      <c r="P43" s="204">
        <v>0</v>
      </c>
      <c r="Q43" s="210">
        <v>0</v>
      </c>
      <c r="R43" s="805"/>
      <c r="S43" s="257">
        <f>+IF([1]ENERO!S43=0,"",[1]ENERO!S43)</f>
        <v>1010300</v>
      </c>
      <c r="T43" s="258" t="s">
        <v>221</v>
      </c>
      <c r="U43" s="233">
        <f t="shared" ref="U43:AJ43" si="48">U44+U49+U55</f>
        <v>2871199937.9625015</v>
      </c>
      <c r="V43" s="231">
        <f t="shared" si="48"/>
        <v>0</v>
      </c>
      <c r="W43" s="231">
        <f t="shared" si="48"/>
        <v>0</v>
      </c>
      <c r="X43" s="232">
        <f t="shared" si="48"/>
        <v>2871199937.9625015</v>
      </c>
      <c r="Y43" s="233">
        <f t="shared" si="48"/>
        <v>170476323</v>
      </c>
      <c r="Z43" s="231">
        <f t="shared" si="48"/>
        <v>591610055</v>
      </c>
      <c r="AA43" s="234">
        <f t="shared" si="48"/>
        <v>762086378</v>
      </c>
      <c r="AB43" s="233">
        <f t="shared" si="48"/>
        <v>170476323</v>
      </c>
      <c r="AC43" s="231">
        <f t="shared" si="48"/>
        <v>591610055</v>
      </c>
      <c r="AD43" s="232">
        <f t="shared" si="48"/>
        <v>762086378</v>
      </c>
      <c r="AE43" s="233">
        <f t="shared" si="48"/>
        <v>167917967</v>
      </c>
      <c r="AF43" s="231">
        <f t="shared" si="48"/>
        <v>594168411</v>
      </c>
      <c r="AG43" s="232">
        <f t="shared" si="48"/>
        <v>762086378</v>
      </c>
      <c r="AH43" s="233">
        <f t="shared" si="48"/>
        <v>2109113559.9625013</v>
      </c>
      <c r="AI43" s="231">
        <f t="shared" si="48"/>
        <v>2109113559.9625013</v>
      </c>
      <c r="AJ43" s="232">
        <f t="shared" si="48"/>
        <v>2109113559.9625013</v>
      </c>
      <c r="AK43" s="805"/>
      <c r="AL43" s="233">
        <f>AL44+AL49+AL55</f>
        <v>0</v>
      </c>
      <c r="AM43" s="232">
        <f>AM44+AM49+AM55</f>
        <v>0</v>
      </c>
      <c r="AN43" s="805"/>
      <c r="AO43" s="697"/>
      <c r="AP43" s="858"/>
      <c r="AQ43" s="697"/>
      <c r="AR43" s="697"/>
      <c r="AS43" s="697"/>
      <c r="AT43" s="697"/>
      <c r="AU43" s="697"/>
      <c r="AV43" s="697"/>
      <c r="AW43" s="697"/>
      <c r="AX43" s="697"/>
      <c r="AY43" s="697"/>
      <c r="AZ43" s="697"/>
      <c r="BA43" s="697"/>
      <c r="BB43" s="841"/>
      <c r="BC43" s="841"/>
      <c r="BD43" s="841"/>
      <c r="BE43" s="841"/>
      <c r="BF43" s="697"/>
      <c r="BG43" s="697"/>
      <c r="BH43" s="697"/>
      <c r="BI43" s="697"/>
      <c r="BJ43" s="697"/>
      <c r="BK43" s="697"/>
      <c r="BL43" s="697"/>
      <c r="BM43" s="697"/>
      <c r="BN43" s="697"/>
      <c r="BO43" s="697"/>
      <c r="BP43" s="697"/>
      <c r="BQ43" s="697"/>
    </row>
    <row r="44" spans="1:69" ht="24.75" customHeight="1">
      <c r="A44" s="286" t="s">
        <v>779</v>
      </c>
      <c r="B44" s="331" t="str">
        <f>+IF([1]ENERO!B44=0,"",[1]ENERO!B44)</f>
        <v>Vigencia Anterior</v>
      </c>
      <c r="C44" s="204">
        <f>+[1]ENERO!C44</f>
        <v>287170800</v>
      </c>
      <c r="D44" s="205">
        <f>[1]ENERO!D44+[1]FEBRERO!P44</f>
        <v>0</v>
      </c>
      <c r="E44" s="205">
        <f>[1]ENERO!E44+[1]FEBRERO!Q44</f>
        <v>0</v>
      </c>
      <c r="F44" s="205">
        <f>SUM(C44:E44)</f>
        <v>287170800</v>
      </c>
      <c r="G44" s="205">
        <f>[1]ENERO!I44</f>
        <v>0</v>
      </c>
      <c r="H44" s="208">
        <v>0</v>
      </c>
      <c r="I44" s="205">
        <f>SUM(G44:H44)</f>
        <v>0</v>
      </c>
      <c r="J44" s="205">
        <f>[1]ENERO!L44</f>
        <v>0</v>
      </c>
      <c r="K44" s="208">
        <v>0</v>
      </c>
      <c r="L44" s="205">
        <f>SUM(J44:K44)</f>
        <v>0</v>
      </c>
      <c r="M44" s="205">
        <f>F44-I44</f>
        <v>287170800</v>
      </c>
      <c r="N44" s="206">
        <f>F44-L44</f>
        <v>287170800</v>
      </c>
      <c r="O44" s="697"/>
      <c r="P44" s="204">
        <v>0</v>
      </c>
      <c r="Q44" s="210">
        <v>0</v>
      </c>
      <c r="R44" s="805"/>
      <c r="S44" s="266">
        <f>+IF([1]ENERO!S44=0,"",[1]ENERO!S44)</f>
        <v>1010301</v>
      </c>
      <c r="T44" s="267" t="str">
        <f>[1]ENERO!T44</f>
        <v>Contribuciones - SGP - Aportes Patronales - Cuenta Maestra</v>
      </c>
      <c r="U44" s="301">
        <f>SUM(ENERO!U44)</f>
        <v>0</v>
      </c>
      <c r="V44" s="220">
        <f t="shared" ref="V44:AJ44" si="49">SUM(V45:V48)</f>
        <v>0</v>
      </c>
      <c r="W44" s="220">
        <f t="shared" si="49"/>
        <v>0</v>
      </c>
      <c r="X44" s="269">
        <f t="shared" si="49"/>
        <v>0</v>
      </c>
      <c r="Y44" s="270">
        <f t="shared" si="49"/>
        <v>0</v>
      </c>
      <c r="Z44" s="300">
        <f t="shared" si="49"/>
        <v>0</v>
      </c>
      <c r="AA44" s="271">
        <f t="shared" si="49"/>
        <v>0</v>
      </c>
      <c r="AB44" s="270">
        <f t="shared" si="49"/>
        <v>0</v>
      </c>
      <c r="AC44" s="300">
        <f t="shared" si="49"/>
        <v>0</v>
      </c>
      <c r="AD44" s="269">
        <f t="shared" si="49"/>
        <v>0</v>
      </c>
      <c r="AE44" s="270">
        <f t="shared" si="49"/>
        <v>0</v>
      </c>
      <c r="AF44" s="300">
        <f t="shared" si="49"/>
        <v>0</v>
      </c>
      <c r="AG44" s="269">
        <f t="shared" si="49"/>
        <v>0</v>
      </c>
      <c r="AH44" s="270">
        <f t="shared" si="49"/>
        <v>0</v>
      </c>
      <c r="AI44" s="220">
        <f t="shared" si="49"/>
        <v>0</v>
      </c>
      <c r="AJ44" s="269">
        <f t="shared" si="49"/>
        <v>0</v>
      </c>
      <c r="AK44" s="805"/>
      <c r="AL44" s="301">
        <f>SUM(AL45:AL48)</f>
        <v>0</v>
      </c>
      <c r="AM44" s="302">
        <f>SUM(AM45:AM48)</f>
        <v>0</v>
      </c>
      <c r="AN44" s="805"/>
      <c r="AO44" s="697"/>
      <c r="AP44" s="697"/>
      <c r="AQ44" s="697"/>
      <c r="AR44" s="697"/>
      <c r="AS44" s="697"/>
      <c r="AT44" s="697"/>
      <c r="AU44" s="697"/>
      <c r="AV44" s="697"/>
      <c r="AW44" s="697"/>
      <c r="AX44" s="697"/>
      <c r="AY44" s="697"/>
      <c r="AZ44" s="697"/>
      <c r="BA44" s="697"/>
      <c r="BB44" s="841"/>
      <c r="BC44" s="841"/>
      <c r="BD44" s="841"/>
      <c r="BE44" s="841"/>
      <c r="BF44" s="697"/>
      <c r="BG44" s="697"/>
      <c r="BH44" s="697"/>
      <c r="BI44" s="697"/>
      <c r="BJ44" s="697"/>
      <c r="BK44" s="697"/>
      <c r="BL44" s="697"/>
      <c r="BM44" s="697"/>
      <c r="BN44" s="697"/>
      <c r="BO44" s="697"/>
      <c r="BP44" s="697"/>
      <c r="BQ44" s="697"/>
    </row>
    <row r="45" spans="1:69" ht="24.75" customHeight="1">
      <c r="A45" s="286" t="str">
        <f>+IF([1]ENERO!A45=0,"",[1]ENERO!A45)</f>
        <v>1.1.02.05.001.09.02.04</v>
      </c>
      <c r="B45" s="319" t="str">
        <f>+IF([1]ENERO!B45=0,"",[1]ENERO!B45)</f>
        <v>EVENTOS CATASTROFICOS Y ACCIDENTES DE TRANSITO</v>
      </c>
      <c r="C45" s="288">
        <f t="shared" ref="C45:N45" si="50">SUM(C46:C47)</f>
        <v>1301505717</v>
      </c>
      <c r="D45" s="320">
        <f t="shared" si="50"/>
        <v>0</v>
      </c>
      <c r="E45" s="320">
        <f t="shared" si="50"/>
        <v>0</v>
      </c>
      <c r="F45" s="320">
        <f t="shared" si="50"/>
        <v>1301505717</v>
      </c>
      <c r="G45" s="320">
        <f t="shared" si="50"/>
        <v>34590951</v>
      </c>
      <c r="H45" s="320">
        <f t="shared" si="50"/>
        <v>100516761</v>
      </c>
      <c r="I45" s="320">
        <f t="shared" si="50"/>
        <v>135107712</v>
      </c>
      <c r="J45" s="320">
        <f t="shared" si="50"/>
        <v>738423</v>
      </c>
      <c r="K45" s="320">
        <f t="shared" si="50"/>
        <v>60201356</v>
      </c>
      <c r="L45" s="320">
        <f t="shared" si="50"/>
        <v>60939779</v>
      </c>
      <c r="M45" s="320">
        <f t="shared" si="50"/>
        <v>1166398005</v>
      </c>
      <c r="N45" s="289">
        <f t="shared" si="50"/>
        <v>1240565938</v>
      </c>
      <c r="O45" s="697"/>
      <c r="P45" s="288">
        <f>SUM(P46:P47)</f>
        <v>0</v>
      </c>
      <c r="Q45" s="289">
        <f>SUM(Q46:Q47)</f>
        <v>0</v>
      </c>
      <c r="R45" s="805"/>
      <c r="S45" s="311" t="str">
        <f>+IF([1]ENERO!S45=0,"",[1]ENERO!S45)</f>
        <v>1010301-1</v>
      </c>
      <c r="T45" s="267" t="str">
        <f>[1]ENERO!T45</f>
        <v>E.P.S. - Aportes cuenta maestra</v>
      </c>
      <c r="U45" s="301">
        <f>SUM(ENERO!U45)</f>
        <v>0</v>
      </c>
      <c r="V45" s="220">
        <f>[1]ENERO!V45+[1]FEBRERO!AL45</f>
        <v>0</v>
      </c>
      <c r="W45" s="220">
        <f>[1]ENERO!W45+[1]FEBRERO!AM45</f>
        <v>0</v>
      </c>
      <c r="X45" s="269">
        <f>SUM(U45:W45)</f>
        <v>0</v>
      </c>
      <c r="Y45" s="270">
        <f>[1]ENERO!AA45</f>
        <v>0</v>
      </c>
      <c r="Z45" s="208">
        <v>0</v>
      </c>
      <c r="AA45" s="271">
        <f>SUM(Y45:Z45)</f>
        <v>0</v>
      </c>
      <c r="AB45" s="270">
        <f>[1]ENERO!AD45</f>
        <v>0</v>
      </c>
      <c r="AC45" s="208">
        <v>0</v>
      </c>
      <c r="AD45" s="269">
        <f>SUM(AB45:AC45)</f>
        <v>0</v>
      </c>
      <c r="AE45" s="270">
        <f>[1]ENERO!AG45</f>
        <v>0</v>
      </c>
      <c r="AF45" s="208">
        <v>0</v>
      </c>
      <c r="AG45" s="269">
        <f>SUM(AE45:AF45)</f>
        <v>0</v>
      </c>
      <c r="AH45" s="270">
        <f>X45-AA45</f>
        <v>0</v>
      </c>
      <c r="AI45" s="220">
        <f>X45-AD45</f>
        <v>0</v>
      </c>
      <c r="AJ45" s="269">
        <f>X45-AG45</f>
        <v>0</v>
      </c>
      <c r="AK45" s="805"/>
      <c r="AL45" s="204">
        <v>0</v>
      </c>
      <c r="AM45" s="210">
        <v>0</v>
      </c>
      <c r="AN45" s="805"/>
      <c r="AO45" s="697"/>
      <c r="AP45" s="697"/>
      <c r="AQ45" s="697"/>
      <c r="AR45" s="697"/>
      <c r="AS45" s="697"/>
      <c r="AT45" s="697"/>
      <c r="AU45" s="697"/>
      <c r="AV45" s="697"/>
      <c r="AW45" s="697"/>
      <c r="AX45" s="697"/>
      <c r="AY45" s="697"/>
      <c r="AZ45" s="697"/>
      <c r="BA45" s="697"/>
      <c r="BB45" s="697"/>
      <c r="BC45" s="697"/>
      <c r="BD45" s="697"/>
      <c r="BE45" s="697"/>
      <c r="BF45" s="697"/>
      <c r="BG45" s="697"/>
      <c r="BH45" s="697"/>
      <c r="BI45" s="697"/>
      <c r="BJ45" s="697"/>
      <c r="BK45" s="697"/>
      <c r="BL45" s="697"/>
      <c r="BM45" s="697"/>
      <c r="BN45" s="697"/>
      <c r="BO45" s="697"/>
      <c r="BP45" s="697"/>
      <c r="BQ45" s="697"/>
    </row>
    <row r="46" spans="1:69" ht="24.75" customHeight="1">
      <c r="A46" s="202" t="str">
        <f>+IF([1]ENERO!A46=0,"",[1]ENERO!A46)</f>
        <v>1.1.02.05.001.09.02.04</v>
      </c>
      <c r="B46" s="331" t="str">
        <f>+CONCATENATE("Vigencia ",[1]INSTRUCCIONES!$F$3)</f>
        <v>Vigencia 2025</v>
      </c>
      <c r="C46" s="204">
        <f>+[1]ENERO!C46</f>
        <v>795758987</v>
      </c>
      <c r="D46" s="205">
        <f>[1]ENERO!D46+[1]FEBRERO!P46</f>
        <v>0</v>
      </c>
      <c r="E46" s="205">
        <f>[1]ENERO!E46+[1]FEBRERO!Q46</f>
        <v>0</v>
      </c>
      <c r="F46" s="205">
        <f>SUM(C46:E46)</f>
        <v>795758987</v>
      </c>
      <c r="G46" s="205">
        <f>[1]ENERO!I46</f>
        <v>33852528</v>
      </c>
      <c r="H46" s="208">
        <v>44530792</v>
      </c>
      <c r="I46" s="205">
        <f>SUM(G46:H46)</f>
        <v>78383320</v>
      </c>
      <c r="J46" s="205">
        <f>[1]ENERO!L46</f>
        <v>0</v>
      </c>
      <c r="K46" s="208">
        <v>4215387</v>
      </c>
      <c r="L46" s="205">
        <f>SUM(J46:K46)</f>
        <v>4215387</v>
      </c>
      <c r="M46" s="205">
        <f>F46-I46</f>
        <v>717375667</v>
      </c>
      <c r="N46" s="206">
        <f>F46-L46</f>
        <v>791543600</v>
      </c>
      <c r="O46" s="697"/>
      <c r="P46" s="204">
        <v>0</v>
      </c>
      <c r="Q46" s="210">
        <v>0</v>
      </c>
      <c r="R46" s="805"/>
      <c r="S46" s="311" t="str">
        <f>+IF([1]ENERO!S46=0,"",[1]ENERO!S46)</f>
        <v>1010301-2</v>
      </c>
      <c r="T46" s="267" t="str">
        <f>[1]ENERO!T46</f>
        <v>Fondos pensionales - Aportes cuenta maestra</v>
      </c>
      <c r="U46" s="301">
        <f>SUM(ENERO!U46)</f>
        <v>0</v>
      </c>
      <c r="V46" s="220">
        <f>[1]ENERO!V46+[1]FEBRERO!AL46</f>
        <v>0</v>
      </c>
      <c r="W46" s="220">
        <f>[1]ENERO!W46+[1]FEBRERO!AM46</f>
        <v>0</v>
      </c>
      <c r="X46" s="269">
        <f>SUM(U46:W46)</f>
        <v>0</v>
      </c>
      <c r="Y46" s="270">
        <f>[1]ENERO!AA46</f>
        <v>0</v>
      </c>
      <c r="Z46" s="208">
        <v>0</v>
      </c>
      <c r="AA46" s="271">
        <f>SUM(Y46:Z46)</f>
        <v>0</v>
      </c>
      <c r="AB46" s="270">
        <f>[1]ENERO!AD46</f>
        <v>0</v>
      </c>
      <c r="AC46" s="208">
        <v>0</v>
      </c>
      <c r="AD46" s="269">
        <f>SUM(AB46:AC46)</f>
        <v>0</v>
      </c>
      <c r="AE46" s="270">
        <f>[1]ENERO!AG46</f>
        <v>0</v>
      </c>
      <c r="AF46" s="208">
        <v>0</v>
      </c>
      <c r="AG46" s="269">
        <f>SUM(AE46:AF46)</f>
        <v>0</v>
      </c>
      <c r="AH46" s="270">
        <f>X46-AA46</f>
        <v>0</v>
      </c>
      <c r="AI46" s="220">
        <f>X46-AD46</f>
        <v>0</v>
      </c>
      <c r="AJ46" s="269">
        <f>X46-AG46</f>
        <v>0</v>
      </c>
      <c r="AK46" s="805"/>
      <c r="AL46" s="204">
        <v>0</v>
      </c>
      <c r="AM46" s="210">
        <v>0</v>
      </c>
      <c r="AN46" s="805"/>
      <c r="AO46" s="859"/>
      <c r="AP46" s="858"/>
      <c r="AQ46" s="697"/>
      <c r="AR46" s="697"/>
      <c r="AS46" s="697"/>
      <c r="AT46" s="697"/>
      <c r="AU46" s="697"/>
      <c r="AV46" s="697"/>
      <c r="AW46" s="697"/>
      <c r="AX46" s="697"/>
      <c r="AY46" s="697"/>
      <c r="AZ46" s="697"/>
      <c r="BA46" s="697"/>
      <c r="BB46" s="841"/>
      <c r="BC46" s="841"/>
      <c r="BD46" s="841"/>
      <c r="BE46" s="841"/>
      <c r="BF46" s="697"/>
      <c r="BG46" s="697"/>
      <c r="BH46" s="697"/>
      <c r="BI46" s="697"/>
      <c r="BJ46" s="697"/>
      <c r="BK46" s="697"/>
      <c r="BL46" s="697"/>
      <c r="BM46" s="841"/>
      <c r="BN46" s="841"/>
      <c r="BO46" s="841"/>
      <c r="BP46" s="841"/>
      <c r="BQ46" s="841"/>
    </row>
    <row r="47" spans="1:69" ht="24.75" customHeight="1">
      <c r="A47" s="202" t="str">
        <f>+IF([1]ENERO!A47=0,"",[1]ENERO!A47)</f>
        <v>1.1.02.05.001.09.02.04.99</v>
      </c>
      <c r="B47" s="331" t="str">
        <f>+IF([1]ENERO!B47=0,"",[1]ENERO!B47)</f>
        <v>Vigencia Anterior</v>
      </c>
      <c r="C47" s="204">
        <f>+[1]ENERO!C47</f>
        <v>505746730</v>
      </c>
      <c r="D47" s="205">
        <f>[1]ENERO!D47+[1]FEBRERO!P47</f>
        <v>0</v>
      </c>
      <c r="E47" s="205">
        <f>[1]ENERO!E47+[1]FEBRERO!Q47</f>
        <v>0</v>
      </c>
      <c r="F47" s="205">
        <f>SUM(C47:E47)</f>
        <v>505746730</v>
      </c>
      <c r="G47" s="205">
        <f>[1]ENERO!I47</f>
        <v>738423</v>
      </c>
      <c r="H47" s="208">
        <v>55985969</v>
      </c>
      <c r="I47" s="205">
        <f>SUM(G47:H47)</f>
        <v>56724392</v>
      </c>
      <c r="J47" s="205">
        <f>[1]ENERO!L47</f>
        <v>738423</v>
      </c>
      <c r="K47" s="208">
        <v>55985969</v>
      </c>
      <c r="L47" s="205">
        <f>SUM(J47:K47)</f>
        <v>56724392</v>
      </c>
      <c r="M47" s="205">
        <f>F47-I47</f>
        <v>449022338</v>
      </c>
      <c r="N47" s="206">
        <f>F47-L47</f>
        <v>449022338</v>
      </c>
      <c r="O47" s="697"/>
      <c r="P47" s="204">
        <v>0</v>
      </c>
      <c r="Q47" s="210">
        <v>0</v>
      </c>
      <c r="R47" s="805"/>
      <c r="S47" s="311" t="str">
        <f>+IF([1]ENERO!S47=0,"",[1]ENERO!S47)</f>
        <v>1010301-3</v>
      </c>
      <c r="T47" s="267" t="str">
        <f>[1]ENERO!T47</f>
        <v>Fondos de cesantías - Aportes cuenta maestra</v>
      </c>
      <c r="U47" s="301">
        <f>SUM(ENERO!U47)</f>
        <v>0</v>
      </c>
      <c r="V47" s="220">
        <f>[1]ENERO!V47+[1]FEBRERO!AL47</f>
        <v>0</v>
      </c>
      <c r="W47" s="220">
        <f>[1]ENERO!W47+[1]FEBRERO!AM47</f>
        <v>0</v>
      </c>
      <c r="X47" s="269">
        <f>SUM(U47:W47)</f>
        <v>0</v>
      </c>
      <c r="Y47" s="270">
        <f>[1]ENERO!AA47</f>
        <v>0</v>
      </c>
      <c r="Z47" s="208">
        <v>0</v>
      </c>
      <c r="AA47" s="271">
        <f>SUM(Y47:Z47)</f>
        <v>0</v>
      </c>
      <c r="AB47" s="270">
        <f>[1]ENERO!AD47</f>
        <v>0</v>
      </c>
      <c r="AC47" s="208">
        <v>0</v>
      </c>
      <c r="AD47" s="269">
        <f>SUM(AB47:AC47)</f>
        <v>0</v>
      </c>
      <c r="AE47" s="270">
        <f>[1]ENERO!AG47</f>
        <v>0</v>
      </c>
      <c r="AF47" s="208">
        <v>0</v>
      </c>
      <c r="AG47" s="269">
        <f>SUM(AE47:AF47)</f>
        <v>0</v>
      </c>
      <c r="AH47" s="270">
        <f>X47-AA47</f>
        <v>0</v>
      </c>
      <c r="AI47" s="220">
        <f>X47-AD47</f>
        <v>0</v>
      </c>
      <c r="AJ47" s="269">
        <f>X47-AG47</f>
        <v>0</v>
      </c>
      <c r="AK47" s="805"/>
      <c r="AL47" s="204">
        <v>0</v>
      </c>
      <c r="AM47" s="210">
        <v>0</v>
      </c>
      <c r="AN47" s="805"/>
      <c r="AO47" s="697"/>
      <c r="AP47" s="697"/>
      <c r="AQ47" s="697"/>
      <c r="AR47" s="697"/>
      <c r="AS47" s="697"/>
      <c r="AT47" s="697"/>
      <c r="AU47" s="697"/>
      <c r="AV47" s="697"/>
      <c r="AW47" s="697"/>
      <c r="AX47" s="697"/>
      <c r="AY47" s="697"/>
      <c r="AZ47" s="697"/>
      <c r="BA47" s="697"/>
      <c r="BB47" s="841"/>
      <c r="BC47" s="841"/>
      <c r="BD47" s="841"/>
      <c r="BE47" s="841"/>
      <c r="BF47" s="697"/>
      <c r="BG47" s="697"/>
      <c r="BH47" s="697"/>
      <c r="BI47" s="697"/>
      <c r="BJ47" s="697"/>
      <c r="BK47" s="697"/>
      <c r="BL47" s="697"/>
      <c r="BM47" s="697"/>
      <c r="BN47" s="697"/>
      <c r="BO47" s="697"/>
      <c r="BP47" s="697"/>
      <c r="BQ47" s="697"/>
    </row>
    <row r="48" spans="1:69" ht="24.75" customHeight="1">
      <c r="A48" s="286" t="str">
        <f>+IF([1]ENERO!A48=0,"",[1]ENERO!A48)</f>
        <v>1.1.02.05.001.09.02.11</v>
      </c>
      <c r="B48" s="319" t="str">
        <f>+IF([1]ENERO!B48=0,"",[1]ENERO!B48)</f>
        <v>Poblacion Especial</v>
      </c>
      <c r="C48" s="288">
        <f t="shared" ref="C48:N48" si="51">SUM(C49:C50)</f>
        <v>225672391</v>
      </c>
      <c r="D48" s="320">
        <f t="shared" si="51"/>
        <v>0</v>
      </c>
      <c r="E48" s="320">
        <f t="shared" si="51"/>
        <v>0</v>
      </c>
      <c r="F48" s="320">
        <f t="shared" si="51"/>
        <v>225672391</v>
      </c>
      <c r="G48" s="320">
        <f t="shared" si="51"/>
        <v>26156810</v>
      </c>
      <c r="H48" s="320">
        <f t="shared" si="51"/>
        <v>9834810</v>
      </c>
      <c r="I48" s="320">
        <f t="shared" si="51"/>
        <v>35991620</v>
      </c>
      <c r="J48" s="320">
        <f t="shared" si="51"/>
        <v>15638226</v>
      </c>
      <c r="K48" s="320">
        <f t="shared" si="51"/>
        <v>0</v>
      </c>
      <c r="L48" s="320">
        <f t="shared" si="51"/>
        <v>15638226</v>
      </c>
      <c r="M48" s="320">
        <f t="shared" si="51"/>
        <v>189680771</v>
      </c>
      <c r="N48" s="289">
        <f t="shared" si="51"/>
        <v>210034165</v>
      </c>
      <c r="O48" s="697"/>
      <c r="P48" s="288">
        <f>SUM(P49:P50)</f>
        <v>0</v>
      </c>
      <c r="Q48" s="289">
        <f>SUM(Q49:Q50)</f>
        <v>0</v>
      </c>
      <c r="R48" s="805"/>
      <c r="S48" s="311" t="str">
        <f>+IF([1]ENERO!S48=0,"",[1]ENERO!S48)</f>
        <v>1010301-4</v>
      </c>
      <c r="T48" s="267" t="str">
        <f>[1]ENERO!T48</f>
        <v>Riesgos laborales - Aportes cuenta maestra</v>
      </c>
      <c r="U48" s="301">
        <f>SUM(ENERO!U48)</f>
        <v>0</v>
      </c>
      <c r="V48" s="220">
        <f>[1]ENERO!V48+[1]FEBRERO!AL48</f>
        <v>0</v>
      </c>
      <c r="W48" s="220">
        <f>[1]ENERO!W48+[1]FEBRERO!AM48</f>
        <v>0</v>
      </c>
      <c r="X48" s="269">
        <f>SUM(U48:W48)</f>
        <v>0</v>
      </c>
      <c r="Y48" s="270">
        <f>[1]ENERO!AA48</f>
        <v>0</v>
      </c>
      <c r="Z48" s="208">
        <v>0</v>
      </c>
      <c r="AA48" s="271">
        <f>SUM(Y48:Z48)</f>
        <v>0</v>
      </c>
      <c r="AB48" s="270">
        <f>[1]ENERO!AD48</f>
        <v>0</v>
      </c>
      <c r="AC48" s="208">
        <v>0</v>
      </c>
      <c r="AD48" s="269">
        <f>SUM(AB48:AC48)</f>
        <v>0</v>
      </c>
      <c r="AE48" s="270">
        <f>[1]ENERO!AG48</f>
        <v>0</v>
      </c>
      <c r="AF48" s="208">
        <v>0</v>
      </c>
      <c r="AG48" s="269">
        <f>SUM(AE48:AF48)</f>
        <v>0</v>
      </c>
      <c r="AH48" s="270">
        <f>X48-AA48</f>
        <v>0</v>
      </c>
      <c r="AI48" s="220">
        <f>X48-AD48</f>
        <v>0</v>
      </c>
      <c r="AJ48" s="269">
        <f>X48-AG48</f>
        <v>0</v>
      </c>
      <c r="AK48" s="805"/>
      <c r="AL48" s="204">
        <v>0</v>
      </c>
      <c r="AM48" s="210">
        <v>0</v>
      </c>
      <c r="AN48" s="805"/>
      <c r="AO48" s="697"/>
      <c r="AP48" s="697"/>
      <c r="AQ48" s="697"/>
      <c r="AR48" s="697"/>
      <c r="AS48" s="697"/>
      <c r="AT48" s="697"/>
      <c r="AU48" s="697"/>
      <c r="AV48" s="697"/>
      <c r="AW48" s="697"/>
      <c r="AX48" s="697"/>
      <c r="AY48" s="697"/>
      <c r="AZ48" s="697"/>
      <c r="BA48" s="697"/>
      <c r="BB48" s="697"/>
      <c r="BC48" s="697"/>
      <c r="BD48" s="697"/>
      <c r="BE48" s="697"/>
      <c r="BF48" s="697"/>
      <c r="BG48" s="697"/>
      <c r="BH48" s="697"/>
      <c r="BI48" s="697"/>
      <c r="BJ48" s="697"/>
      <c r="BK48" s="697"/>
      <c r="BL48" s="697"/>
      <c r="BM48" s="697"/>
      <c r="BN48" s="697"/>
      <c r="BO48" s="697"/>
      <c r="BP48" s="697"/>
      <c r="BQ48" s="697"/>
    </row>
    <row r="49" spans="1:39" ht="24.75" customHeight="1">
      <c r="A49" s="202" t="str">
        <f>+IF([1]ENERO!A49=0,"",[1]ENERO!A49)</f>
        <v>1.1.02.05.001.09.02.11</v>
      </c>
      <c r="B49" s="331" t="str">
        <f>+CONCATENATE("Vigencia ",[1]INSTRUCCIONES!$F$3)</f>
        <v>Vigencia 2025</v>
      </c>
      <c r="C49" s="204">
        <f>+[1]ENERO!C49</f>
        <v>180672391</v>
      </c>
      <c r="D49" s="205">
        <f>[1]ENERO!D49+[1]FEBRERO!P49</f>
        <v>0</v>
      </c>
      <c r="E49" s="205">
        <f>[1]ENERO!E49+[1]FEBRERO!Q49</f>
        <v>0</v>
      </c>
      <c r="F49" s="205">
        <f>SUM(C49:E49)</f>
        <v>180672391</v>
      </c>
      <c r="G49" s="205">
        <f>[1]ENERO!I49</f>
        <v>10518584</v>
      </c>
      <c r="H49" s="208">
        <v>9834810</v>
      </c>
      <c r="I49" s="205">
        <f>SUM(G49:H49)</f>
        <v>20353394</v>
      </c>
      <c r="J49" s="205">
        <f>[1]ENERO!L49</f>
        <v>0</v>
      </c>
      <c r="K49" s="208">
        <v>0</v>
      </c>
      <c r="L49" s="205">
        <f>SUM(J49:K49)</f>
        <v>0</v>
      </c>
      <c r="M49" s="205">
        <f>F49-I49</f>
        <v>160318997</v>
      </c>
      <c r="N49" s="206">
        <f>F49-L49</f>
        <v>180672391</v>
      </c>
      <c r="O49" s="697"/>
      <c r="P49" s="204">
        <v>0</v>
      </c>
      <c r="Q49" s="210">
        <v>0</v>
      </c>
      <c r="R49" s="805"/>
      <c r="S49" s="266">
        <f>+IF([1]ENERO!S49=0,"",[1]ENERO!S49)</f>
        <v>1010302</v>
      </c>
      <c r="T49" s="267" t="str">
        <f>[1]ENERO!T49</f>
        <v>Contribuciones - Otros</v>
      </c>
      <c r="U49" s="301">
        <f>SUM(ENERO!U49)</f>
        <v>2369058848.2960005</v>
      </c>
      <c r="V49" s="220">
        <f t="shared" ref="V49:AJ49" si="52">SUM(V50:V54)</f>
        <v>-30000000</v>
      </c>
      <c r="W49" s="220">
        <f t="shared" si="52"/>
        <v>0</v>
      </c>
      <c r="X49" s="269">
        <f t="shared" si="52"/>
        <v>2339058848.2960005</v>
      </c>
      <c r="Y49" s="270">
        <f t="shared" si="52"/>
        <v>118346456</v>
      </c>
      <c r="Z49" s="300">
        <f t="shared" si="52"/>
        <v>121671944</v>
      </c>
      <c r="AA49" s="271">
        <f t="shared" si="52"/>
        <v>240018400</v>
      </c>
      <c r="AB49" s="270">
        <f t="shared" si="52"/>
        <v>118346456</v>
      </c>
      <c r="AC49" s="300">
        <f t="shared" si="52"/>
        <v>121671944</v>
      </c>
      <c r="AD49" s="269">
        <f t="shared" si="52"/>
        <v>240018400</v>
      </c>
      <c r="AE49" s="270">
        <f t="shared" si="52"/>
        <v>115788100</v>
      </c>
      <c r="AF49" s="300">
        <f t="shared" si="52"/>
        <v>124230300</v>
      </c>
      <c r="AG49" s="269">
        <f t="shared" si="52"/>
        <v>240018400</v>
      </c>
      <c r="AH49" s="270">
        <f t="shared" si="52"/>
        <v>2099040448.2960002</v>
      </c>
      <c r="AI49" s="220">
        <f t="shared" si="52"/>
        <v>2099040448.2960002</v>
      </c>
      <c r="AJ49" s="269">
        <f t="shared" si="52"/>
        <v>2099040448.2960002</v>
      </c>
      <c r="AK49" s="805"/>
      <c r="AL49" s="301">
        <f>SUM(AL50:AL54)</f>
        <v>-30000000</v>
      </c>
      <c r="AM49" s="302">
        <f>SUM(AM50:AM54)</f>
        <v>0</v>
      </c>
    </row>
    <row r="50" spans="1:39" ht="24.75" customHeight="1">
      <c r="A50" s="202" t="str">
        <f>+IF([1]ENERO!A50=0,"",[1]ENERO!A50)</f>
        <v>1.1.02.05.001.09.02.11.99</v>
      </c>
      <c r="B50" s="331" t="str">
        <f>+IF([1]ENERO!B50=0,"",[1]ENERO!B50)</f>
        <v>Vigencia Anterior</v>
      </c>
      <c r="C50" s="204">
        <f>+[1]ENERO!C50</f>
        <v>45000000</v>
      </c>
      <c r="D50" s="205">
        <f>[1]ENERO!D50+[1]FEBRERO!P50</f>
        <v>0</v>
      </c>
      <c r="E50" s="205">
        <f>[1]ENERO!E50+[1]FEBRERO!Q50</f>
        <v>0</v>
      </c>
      <c r="F50" s="205">
        <f>SUM(C50:E50)</f>
        <v>45000000</v>
      </c>
      <c r="G50" s="205">
        <f>[1]ENERO!I50</f>
        <v>15638226</v>
      </c>
      <c r="H50" s="208">
        <v>0</v>
      </c>
      <c r="I50" s="205">
        <f>SUM(G50:H50)</f>
        <v>15638226</v>
      </c>
      <c r="J50" s="205">
        <f>[1]ENERO!L50</f>
        <v>15638226</v>
      </c>
      <c r="K50" s="208">
        <v>0</v>
      </c>
      <c r="L50" s="205">
        <f>SUM(J50:K50)</f>
        <v>15638226</v>
      </c>
      <c r="M50" s="205">
        <f>F50-I50</f>
        <v>29361774</v>
      </c>
      <c r="N50" s="206">
        <f>F50-L50</f>
        <v>29361774</v>
      </c>
      <c r="O50" s="697"/>
      <c r="P50" s="204">
        <v>0</v>
      </c>
      <c r="Q50" s="210">
        <v>0</v>
      </c>
      <c r="R50" s="805"/>
      <c r="S50" s="311" t="str">
        <f>+IF([1]ENERO!S50=0,"",[1]ENERO!S50)</f>
        <v>2.1.1.01.02.002</v>
      </c>
      <c r="T50" s="267" t="str">
        <f>[1]ENERO!T50</f>
        <v>Aportes a E.P.S. - recursos propios</v>
      </c>
      <c r="U50" s="301">
        <f>SUM(ENERO!U50)</f>
        <v>555207343.50000024</v>
      </c>
      <c r="V50" s="220">
        <f>[1]ENERO!V50+[1]FEBRERO!AL50</f>
        <v>0</v>
      </c>
      <c r="W50" s="220">
        <f>[1]ENERO!W50+[1]FEBRERO!AM50</f>
        <v>0</v>
      </c>
      <c r="X50" s="269">
        <f t="shared" ref="X50:X55" si="53">SUM(U50:W50)</f>
        <v>555207343.50000024</v>
      </c>
      <c r="Y50" s="270">
        <f>[1]ENERO!AA50</f>
        <v>37587400</v>
      </c>
      <c r="Z50" s="204">
        <v>39841500</v>
      </c>
      <c r="AA50" s="271">
        <f t="shared" ref="AA50:AA55" si="54">SUM(Y50:Z50)</f>
        <v>77428900</v>
      </c>
      <c r="AB50" s="270">
        <f>[1]ENERO!AD50</f>
        <v>37587400</v>
      </c>
      <c r="AC50" s="204">
        <v>39841500</v>
      </c>
      <c r="AD50" s="269">
        <f t="shared" ref="AD50:AD55" si="55">SUM(AB50:AC50)</f>
        <v>77428900</v>
      </c>
      <c r="AE50" s="270">
        <f>[1]ENERO!AG50</f>
        <v>37587400</v>
      </c>
      <c r="AF50" s="204">
        <v>39841500</v>
      </c>
      <c r="AG50" s="269">
        <f t="shared" ref="AG50:AG55" si="56">SUM(AE50:AF50)</f>
        <v>77428900</v>
      </c>
      <c r="AH50" s="270">
        <f t="shared" ref="AH50:AH55" si="57">X50-AA50</f>
        <v>477778443.50000024</v>
      </c>
      <c r="AI50" s="220">
        <f t="shared" ref="AI50:AI55" si="58">X50-AD50</f>
        <v>477778443.50000024</v>
      </c>
      <c r="AJ50" s="269">
        <f t="shared" ref="AJ50:AJ55" si="59">X50-AG50</f>
        <v>477778443.50000024</v>
      </c>
      <c r="AK50" s="805"/>
      <c r="AL50" s="204">
        <v>0</v>
      </c>
      <c r="AM50" s="210">
        <v>0</v>
      </c>
    </row>
    <row r="51" spans="1:39" ht="24.75" customHeight="1">
      <c r="A51" s="286" t="str">
        <f>+IF([1]ENERO!A51=0,"",[1]ENERO!A51)</f>
        <v>1.1.02.05.001.09.02.16</v>
      </c>
      <c r="B51" s="319" t="str">
        <f>+IF([1]ENERO!B51=0,"",[1]ENERO!B51)</f>
        <v>Fondo Nacional de la Salud personas privadas de la Libertad</v>
      </c>
      <c r="C51" s="288">
        <f t="shared" ref="C51:N51" si="60">SUM(C52:C53)</f>
        <v>168856</v>
      </c>
      <c r="D51" s="320">
        <f t="shared" si="60"/>
        <v>0</v>
      </c>
      <c r="E51" s="320">
        <f t="shared" si="60"/>
        <v>0</v>
      </c>
      <c r="F51" s="320">
        <f t="shared" si="60"/>
        <v>168856</v>
      </c>
      <c r="G51" s="320">
        <f t="shared" si="60"/>
        <v>7915391</v>
      </c>
      <c r="H51" s="320">
        <f t="shared" si="60"/>
        <v>1685739</v>
      </c>
      <c r="I51" s="320">
        <f t="shared" si="60"/>
        <v>9601130</v>
      </c>
      <c r="J51" s="320">
        <f t="shared" si="60"/>
        <v>0</v>
      </c>
      <c r="K51" s="320">
        <f t="shared" si="60"/>
        <v>0</v>
      </c>
      <c r="L51" s="320">
        <f t="shared" si="60"/>
        <v>0</v>
      </c>
      <c r="M51" s="320">
        <f t="shared" si="60"/>
        <v>-9432274</v>
      </c>
      <c r="N51" s="289">
        <f t="shared" si="60"/>
        <v>168856</v>
      </c>
      <c r="O51" s="697"/>
      <c r="P51" s="288">
        <f>SUM(P52:P53)</f>
        <v>0</v>
      </c>
      <c r="Q51" s="289">
        <f>SUM(Q52:Q53)</f>
        <v>0</v>
      </c>
      <c r="R51" s="805"/>
      <c r="S51" s="311" t="str">
        <f>+IF([1]ENERO!S51=0,"",[1]ENERO!S51)</f>
        <v>2.1.1.01.02.001</v>
      </c>
      <c r="T51" s="267" t="str">
        <f>[1]ENERO!T51</f>
        <v>Aportes Fondos Pensionales - recursos propios</v>
      </c>
      <c r="U51" s="301">
        <f>SUM(ENERO!U51)</f>
        <v>783822132</v>
      </c>
      <c r="V51" s="220">
        <f>[1]ENERO!V51+[1]FEBRERO!AL51</f>
        <v>0</v>
      </c>
      <c r="W51" s="220">
        <f>[1]ENERO!W51+[1]FEBRERO!AM51</f>
        <v>0</v>
      </c>
      <c r="X51" s="269">
        <f t="shared" si="53"/>
        <v>783822132</v>
      </c>
      <c r="Y51" s="270">
        <f>[1]ENERO!AA51</f>
        <v>53472200</v>
      </c>
      <c r="Z51" s="204">
        <v>56580600</v>
      </c>
      <c r="AA51" s="271">
        <f t="shared" si="54"/>
        <v>110052800</v>
      </c>
      <c r="AB51" s="270">
        <f>[1]ENERO!AD51</f>
        <v>53472200</v>
      </c>
      <c r="AC51" s="204">
        <v>56580600</v>
      </c>
      <c r="AD51" s="269">
        <f t="shared" si="55"/>
        <v>110052800</v>
      </c>
      <c r="AE51" s="270">
        <f>[1]ENERO!AG51</f>
        <v>53472200</v>
      </c>
      <c r="AF51" s="204">
        <v>56580600</v>
      </c>
      <c r="AG51" s="269">
        <f t="shared" si="56"/>
        <v>110052800</v>
      </c>
      <c r="AH51" s="270">
        <f t="shared" si="57"/>
        <v>673769332</v>
      </c>
      <c r="AI51" s="220">
        <f t="shared" si="58"/>
        <v>673769332</v>
      </c>
      <c r="AJ51" s="269">
        <f t="shared" si="59"/>
        <v>673769332</v>
      </c>
      <c r="AK51" s="805"/>
      <c r="AL51" s="204">
        <v>0</v>
      </c>
      <c r="AM51" s="210">
        <v>0</v>
      </c>
    </row>
    <row r="52" spans="1:39" ht="24.75" customHeight="1">
      <c r="A52" s="202" t="str">
        <f>+IF([1]ENERO!A52=0,"",[1]ENERO!A52)</f>
        <v>1.1.02.05.001.09.02.16</v>
      </c>
      <c r="B52" s="331" t="str">
        <f>+CONCATENATE("Vigencia ",[1]INSTRUCCIONES!$F$3)</f>
        <v>Vigencia 2025</v>
      </c>
      <c r="C52" s="204">
        <f>+[1]ENERO!C52</f>
        <v>168856</v>
      </c>
      <c r="D52" s="205">
        <f>[1]ENERO!D52+[1]FEBRERO!P52</f>
        <v>0</v>
      </c>
      <c r="E52" s="205">
        <f>[1]ENERO!E52+[1]FEBRERO!Q52</f>
        <v>0</v>
      </c>
      <c r="F52" s="205">
        <f>SUM(C52:E52)</f>
        <v>168856</v>
      </c>
      <c r="G52" s="205">
        <f>[1]ENERO!I52</f>
        <v>7915391</v>
      </c>
      <c r="H52" s="208">
        <v>1685739</v>
      </c>
      <c r="I52" s="205">
        <f>SUM(G52:H52)</f>
        <v>9601130</v>
      </c>
      <c r="J52" s="205">
        <f>[1]ENERO!L52</f>
        <v>0</v>
      </c>
      <c r="K52" s="208">
        <v>0</v>
      </c>
      <c r="L52" s="205">
        <f>SUM(J52:K52)</f>
        <v>0</v>
      </c>
      <c r="M52" s="205">
        <f>F52-I52</f>
        <v>-9432274</v>
      </c>
      <c r="N52" s="206">
        <f>F52-L52</f>
        <v>168856</v>
      </c>
      <c r="O52" s="697"/>
      <c r="P52" s="204">
        <v>0</v>
      </c>
      <c r="Q52" s="210">
        <v>0</v>
      </c>
      <c r="R52" s="805"/>
      <c r="S52" s="311" t="str">
        <f>+IF([1]ENERO!S52=0,"",[1]ENERO!S52)</f>
        <v>2.1.1.01.02.003</v>
      </c>
      <c r="T52" s="267" t="str">
        <f>[1]ENERO!T52</f>
        <v>Aportes a Fondos de Cesantia - recursos propios</v>
      </c>
      <c r="U52" s="301">
        <f>SUM(ENERO!U52)</f>
        <v>609639436</v>
      </c>
      <c r="V52" s="220">
        <f>[1]ENERO!V52+[1]FEBRERO!AL52</f>
        <v>-30000000</v>
      </c>
      <c r="W52" s="220">
        <f>[1]ENERO!W52+[1]FEBRERO!AM52</f>
        <v>0</v>
      </c>
      <c r="X52" s="269">
        <f t="shared" si="53"/>
        <v>579639436</v>
      </c>
      <c r="Y52" s="270">
        <f>[1]ENERO!AA52</f>
        <v>2558356</v>
      </c>
      <c r="Z52" s="204">
        <v>-2239656</v>
      </c>
      <c r="AA52" s="271">
        <f t="shared" si="54"/>
        <v>318700</v>
      </c>
      <c r="AB52" s="270">
        <f>[1]ENERO!AD52</f>
        <v>2558356</v>
      </c>
      <c r="AC52" s="204">
        <v>-2239656</v>
      </c>
      <c r="AD52" s="269">
        <f t="shared" si="55"/>
        <v>318700</v>
      </c>
      <c r="AE52" s="270">
        <f>[1]ENERO!AG52</f>
        <v>0</v>
      </c>
      <c r="AF52" s="204">
        <v>318700</v>
      </c>
      <c r="AG52" s="269">
        <f t="shared" si="56"/>
        <v>318700</v>
      </c>
      <c r="AH52" s="270">
        <f t="shared" si="57"/>
        <v>579320736</v>
      </c>
      <c r="AI52" s="220">
        <f t="shared" si="58"/>
        <v>579320736</v>
      </c>
      <c r="AJ52" s="269">
        <f t="shared" si="59"/>
        <v>579320736</v>
      </c>
      <c r="AK52" s="805"/>
      <c r="AL52" s="204">
        <v>-30000000</v>
      </c>
      <c r="AM52" s="210">
        <v>0</v>
      </c>
    </row>
    <row r="53" spans="1:39" ht="24.75" customHeight="1">
      <c r="A53" s="202" t="str">
        <f>+IF([1]ENERO!A53=0,"",[1]ENERO!A53)</f>
        <v>1.1.02.05.001.09.02.16.99</v>
      </c>
      <c r="B53" s="331" t="str">
        <f>+IF([1]ENERO!B53=0,"",[1]ENERO!B53)</f>
        <v>Vigencia Anterior</v>
      </c>
      <c r="C53" s="204">
        <f>+[1]ENERO!C53</f>
        <v>0</v>
      </c>
      <c r="D53" s="205">
        <f>[1]ENERO!D53+[1]FEBRERO!P53</f>
        <v>0</v>
      </c>
      <c r="E53" s="205">
        <f>[1]ENERO!E53+[1]FEBRERO!Q53</f>
        <v>0</v>
      </c>
      <c r="F53" s="205">
        <f>SUM(C53:E53)</f>
        <v>0</v>
      </c>
      <c r="G53" s="205">
        <f>[1]ENERO!I53</f>
        <v>0</v>
      </c>
      <c r="H53" s="208">
        <v>0</v>
      </c>
      <c r="I53" s="205">
        <f>SUM(G53:H53)</f>
        <v>0</v>
      </c>
      <c r="J53" s="205">
        <f>[1]ENERO!L53</f>
        <v>0</v>
      </c>
      <c r="K53" s="208">
        <v>0</v>
      </c>
      <c r="L53" s="205">
        <f>SUM(J53:K53)</f>
        <v>0</v>
      </c>
      <c r="M53" s="205">
        <f>F53-I53</f>
        <v>0</v>
      </c>
      <c r="N53" s="206">
        <f>F53-L53</f>
        <v>0</v>
      </c>
      <c r="O53" s="697"/>
      <c r="P53" s="204">
        <v>0</v>
      </c>
      <c r="Q53" s="210">
        <v>0</v>
      </c>
      <c r="R53" s="805"/>
      <c r="S53" s="311" t="str">
        <f>+IF([1]ENERO!S53=0,"",[1]ENERO!S53)</f>
        <v>2.1.1.01.02.005</v>
      </c>
      <c r="T53" s="267" t="str">
        <f>[1]ENERO!T53</f>
        <v>Aporte a ARL. - recursos propios</v>
      </c>
      <c r="U53" s="301">
        <f>SUM(ENERO!U53)</f>
        <v>159115892.79599997</v>
      </c>
      <c r="V53" s="220">
        <f>[1]ENERO!V53+[1]FEBRERO!AL53</f>
        <v>0</v>
      </c>
      <c r="W53" s="220">
        <f>[1]ENERO!W53+[1]FEBRERO!AM53</f>
        <v>0</v>
      </c>
      <c r="X53" s="269">
        <f t="shared" si="53"/>
        <v>159115892.79599997</v>
      </c>
      <c r="Y53" s="270">
        <f>[1]ENERO!AA53</f>
        <v>7304000</v>
      </c>
      <c r="Z53" s="204">
        <v>7908900</v>
      </c>
      <c r="AA53" s="271">
        <f t="shared" si="54"/>
        <v>15212900</v>
      </c>
      <c r="AB53" s="270">
        <f>[1]ENERO!AD53</f>
        <v>7304000</v>
      </c>
      <c r="AC53" s="204">
        <v>7908900</v>
      </c>
      <c r="AD53" s="269">
        <f t="shared" si="55"/>
        <v>15212900</v>
      </c>
      <c r="AE53" s="270">
        <f>[1]ENERO!AG53</f>
        <v>7304000</v>
      </c>
      <c r="AF53" s="204">
        <v>7908900</v>
      </c>
      <c r="AG53" s="269">
        <f t="shared" si="56"/>
        <v>15212900</v>
      </c>
      <c r="AH53" s="270">
        <f t="shared" si="57"/>
        <v>143902992.79599997</v>
      </c>
      <c r="AI53" s="220">
        <f t="shared" si="58"/>
        <v>143902992.79599997</v>
      </c>
      <c r="AJ53" s="269">
        <f t="shared" si="59"/>
        <v>143902992.79599997</v>
      </c>
      <c r="AK53" s="805"/>
      <c r="AL53" s="204">
        <v>0</v>
      </c>
      <c r="AM53" s="210">
        <v>0</v>
      </c>
    </row>
    <row r="54" spans="1:39" ht="24.75" customHeight="1">
      <c r="A54" s="286" t="str">
        <f>+IF([1]ENERO!A54=0,"",[1]ENERO!A54)</f>
        <v>1.1.02.05.001.09.02.17</v>
      </c>
      <c r="B54" s="319" t="str">
        <f>+IF([1]ENERO!B54=0,"",[1]ENERO!B54)</f>
        <v>EMPRESAS MEDICINA PREPAGADA</v>
      </c>
      <c r="C54" s="288">
        <f t="shared" ref="C54:N54" si="61">SUM(C55:C56)</f>
        <v>968592.84788797423</v>
      </c>
      <c r="D54" s="320">
        <f t="shared" si="61"/>
        <v>0</v>
      </c>
      <c r="E54" s="320">
        <f t="shared" si="61"/>
        <v>0</v>
      </c>
      <c r="F54" s="320">
        <f t="shared" si="61"/>
        <v>968592.84788797423</v>
      </c>
      <c r="G54" s="320">
        <f t="shared" si="61"/>
        <v>10340909</v>
      </c>
      <c r="H54" s="320">
        <f t="shared" si="61"/>
        <v>2645546</v>
      </c>
      <c r="I54" s="320">
        <f t="shared" si="61"/>
        <v>12986455</v>
      </c>
      <c r="J54" s="320">
        <f t="shared" si="61"/>
        <v>10340909</v>
      </c>
      <c r="K54" s="320">
        <f t="shared" si="61"/>
        <v>801864</v>
      </c>
      <c r="L54" s="320">
        <f t="shared" si="61"/>
        <v>11142773</v>
      </c>
      <c r="M54" s="320">
        <f t="shared" si="61"/>
        <v>-12017862.152112026</v>
      </c>
      <c r="N54" s="289">
        <f t="shared" si="61"/>
        <v>-10174180.152112026</v>
      </c>
      <c r="O54" s="697"/>
      <c r="P54" s="288">
        <f>SUM(P55:P56)</f>
        <v>0</v>
      </c>
      <c r="Q54" s="289">
        <f>SUM(Q55:Q56)</f>
        <v>0</v>
      </c>
      <c r="R54" s="805"/>
      <c r="S54" s="311" t="str">
        <f>+IF([1]ENERO!S54=0,"",[1]ENERO!S54)</f>
        <v>2.1.1.01.02.004</v>
      </c>
      <c r="T54" s="267" t="str">
        <f>[1]ENERO!T54</f>
        <v>Aporte a Caja Compensación Familiar</v>
      </c>
      <c r="U54" s="301">
        <f>SUM(ENERO!U54)</f>
        <v>261274044</v>
      </c>
      <c r="V54" s="220">
        <f>[1]ENERO!V54+[1]FEBRERO!AL54</f>
        <v>0</v>
      </c>
      <c r="W54" s="220">
        <f>[1]ENERO!W54+[1]FEBRERO!AM54</f>
        <v>0</v>
      </c>
      <c r="X54" s="269">
        <f t="shared" si="53"/>
        <v>261274044</v>
      </c>
      <c r="Y54" s="270">
        <f>[1]ENERO!AA54</f>
        <v>17424500</v>
      </c>
      <c r="Z54" s="204">
        <v>19580600</v>
      </c>
      <c r="AA54" s="271">
        <f t="shared" si="54"/>
        <v>37005100</v>
      </c>
      <c r="AB54" s="270">
        <f>[1]ENERO!AD54</f>
        <v>17424500</v>
      </c>
      <c r="AC54" s="204">
        <v>19580600</v>
      </c>
      <c r="AD54" s="269">
        <f t="shared" si="55"/>
        <v>37005100</v>
      </c>
      <c r="AE54" s="270">
        <f>[1]ENERO!AG54</f>
        <v>17424500</v>
      </c>
      <c r="AF54" s="204">
        <v>19580600</v>
      </c>
      <c r="AG54" s="269">
        <f t="shared" si="56"/>
        <v>37005100</v>
      </c>
      <c r="AH54" s="270">
        <f t="shared" si="57"/>
        <v>224268944</v>
      </c>
      <c r="AI54" s="220">
        <f t="shared" si="58"/>
        <v>224268944</v>
      </c>
      <c r="AJ54" s="269">
        <f t="shared" si="59"/>
        <v>224268944</v>
      </c>
      <c r="AK54" s="805"/>
      <c r="AL54" s="204">
        <v>0</v>
      </c>
      <c r="AM54" s="210">
        <v>0</v>
      </c>
    </row>
    <row r="55" spans="1:39" ht="24.75" customHeight="1">
      <c r="A55" s="202" t="str">
        <f>+IF([1]ENERO!A55=0,"",[1]ENERO!A55)</f>
        <v>1.1.02.05.001.09.02.17</v>
      </c>
      <c r="B55" s="331" t="str">
        <f>+CONCATENATE("Vigencia ",[1]INSTRUCCIONES!$F$3)</f>
        <v>Vigencia 2025</v>
      </c>
      <c r="C55" s="204">
        <f>+[1]ENERO!C55</f>
        <v>968592.84788797423</v>
      </c>
      <c r="D55" s="205">
        <f>[1]ENERO!D55+[1]FEBRERO!P55</f>
        <v>0</v>
      </c>
      <c r="E55" s="205">
        <f>[1]ENERO!E55+[1]FEBRERO!Q55</f>
        <v>0</v>
      </c>
      <c r="F55" s="205">
        <f>SUM(C55:E55)</f>
        <v>968592.84788797423</v>
      </c>
      <c r="G55" s="205">
        <f>[1]ENERO!I55</f>
        <v>0</v>
      </c>
      <c r="H55" s="208">
        <v>2645546</v>
      </c>
      <c r="I55" s="205">
        <f>SUM(G55:H55)</f>
        <v>2645546</v>
      </c>
      <c r="J55" s="205">
        <f>[1]ENERO!L55</f>
        <v>0</v>
      </c>
      <c r="K55" s="208">
        <v>801864</v>
      </c>
      <c r="L55" s="205">
        <f>SUM(J55:K55)</f>
        <v>801864</v>
      </c>
      <c r="M55" s="205">
        <f>F55-I55</f>
        <v>-1676953.1521120258</v>
      </c>
      <c r="N55" s="206">
        <f>F55-L55</f>
        <v>166728.84788797423</v>
      </c>
      <c r="O55" s="697"/>
      <c r="P55" s="204">
        <v>0</v>
      </c>
      <c r="Q55" s="210">
        <v>0</v>
      </c>
      <c r="R55" s="805"/>
      <c r="S55" s="266" t="str">
        <f>+IF([1]ENERO!S55=0,"",[1]ENERO!S55)</f>
        <v>2.1.1.01.02.003.99</v>
      </c>
      <c r="T55" s="267" t="str">
        <f>[1]ENERO!T55</f>
        <v>Vigencias Anteriores Aportes a cesantías</v>
      </c>
      <c r="U55" s="301">
        <f>SUM(ENERO!U55)</f>
        <v>502141089.6665011</v>
      </c>
      <c r="V55" s="220">
        <f>[1]ENERO!V55+[1]FEBRERO!AL55</f>
        <v>30000000</v>
      </c>
      <c r="W55" s="220">
        <f>[1]ENERO!W55+[1]FEBRERO!AM55</f>
        <v>0</v>
      </c>
      <c r="X55" s="269">
        <f t="shared" si="53"/>
        <v>532141089.6665011</v>
      </c>
      <c r="Y55" s="270">
        <f>[1]ENERO!AA55</f>
        <v>52129867</v>
      </c>
      <c r="Z55" s="204">
        <v>469938111</v>
      </c>
      <c r="AA55" s="271">
        <f t="shared" si="54"/>
        <v>522067978</v>
      </c>
      <c r="AB55" s="270">
        <f>[1]ENERO!AD55</f>
        <v>52129867</v>
      </c>
      <c r="AC55" s="204">
        <v>469938111</v>
      </c>
      <c r="AD55" s="269">
        <f t="shared" si="55"/>
        <v>522067978</v>
      </c>
      <c r="AE55" s="270">
        <f>[1]ENERO!AG55</f>
        <v>52129867</v>
      </c>
      <c r="AF55" s="204">
        <v>469938111</v>
      </c>
      <c r="AG55" s="269">
        <f t="shared" si="56"/>
        <v>522067978</v>
      </c>
      <c r="AH55" s="270">
        <f t="shared" si="57"/>
        <v>10073111.666501105</v>
      </c>
      <c r="AI55" s="220">
        <f t="shared" si="58"/>
        <v>10073111.666501105</v>
      </c>
      <c r="AJ55" s="269">
        <f t="shared" si="59"/>
        <v>10073111.666501105</v>
      </c>
      <c r="AK55" s="805"/>
      <c r="AL55" s="204">
        <v>30000000</v>
      </c>
      <c r="AM55" s="210">
        <v>0</v>
      </c>
    </row>
    <row r="56" spans="1:39" ht="24.75" customHeight="1">
      <c r="A56" s="202" t="str">
        <f>+IF([1]ENERO!A56=0,"",[1]ENERO!A56)</f>
        <v>1.1.02.05.001.09.02.17.99</v>
      </c>
      <c r="B56" s="331" t="str">
        <f>+IF([1]ENERO!B56=0,"",[1]ENERO!B56)</f>
        <v>Vigencia Anterior</v>
      </c>
      <c r="C56" s="204">
        <f>+[1]ENERO!C56</f>
        <v>0</v>
      </c>
      <c r="D56" s="205">
        <f>[1]ENERO!D56+[1]FEBRERO!P56</f>
        <v>0</v>
      </c>
      <c r="E56" s="205">
        <f>[1]ENERO!E56+[1]FEBRERO!Q56</f>
        <v>0</v>
      </c>
      <c r="F56" s="205">
        <f>SUM(C56:E56)</f>
        <v>0</v>
      </c>
      <c r="G56" s="205">
        <f>[1]ENERO!I56</f>
        <v>10340909</v>
      </c>
      <c r="H56" s="208"/>
      <c r="I56" s="205">
        <f>SUM(G56:H56)</f>
        <v>10340909</v>
      </c>
      <c r="J56" s="205">
        <f>[1]ENERO!L56</f>
        <v>10340909</v>
      </c>
      <c r="K56" s="208">
        <v>0</v>
      </c>
      <c r="L56" s="205">
        <f>SUM(J56:K56)</f>
        <v>10340909</v>
      </c>
      <c r="M56" s="205">
        <f>F56-I56</f>
        <v>-10340909</v>
      </c>
      <c r="N56" s="671">
        <f>F56-L56</f>
        <v>-10340909</v>
      </c>
      <c r="O56" s="697"/>
      <c r="P56" s="204">
        <v>0</v>
      </c>
      <c r="Q56" s="210">
        <v>0</v>
      </c>
      <c r="R56" s="805"/>
      <c r="S56" s="189">
        <f>+IF([1]ENERO!S56=0,"",[1]ENERO!S56)</f>
        <v>10340904</v>
      </c>
      <c r="T56" s="190"/>
      <c r="U56" s="193"/>
      <c r="V56" s="191"/>
      <c r="W56" s="191"/>
      <c r="X56" s="192"/>
      <c r="Y56" s="193"/>
      <c r="Z56" s="191"/>
      <c r="AA56" s="191"/>
      <c r="AB56" s="193"/>
      <c r="AC56" s="191"/>
      <c r="AD56" s="192"/>
      <c r="AE56" s="193"/>
      <c r="AF56" s="191"/>
      <c r="AG56" s="192"/>
      <c r="AH56" s="193"/>
      <c r="AI56" s="191"/>
      <c r="AJ56" s="192"/>
      <c r="AK56" s="827"/>
      <c r="AL56" s="370"/>
      <c r="AM56" s="371"/>
    </row>
    <row r="57" spans="1:39" ht="24.75" customHeight="1">
      <c r="A57" s="286" t="str">
        <f>+IF([1]ENERO!A57=0,"",[1]ENERO!A57)</f>
        <v>1.1.02.05.001.09.02.09</v>
      </c>
      <c r="B57" s="319" t="str">
        <f>+IF([1]ENERO!B57=0,"",[1]ENERO!B57)</f>
        <v>IPS PRIVADAS</v>
      </c>
      <c r="C57" s="288">
        <f t="shared" ref="C57:N57" si="62">SUM(C58:C59)</f>
        <v>8042608</v>
      </c>
      <c r="D57" s="320">
        <f t="shared" si="62"/>
        <v>0</v>
      </c>
      <c r="E57" s="320">
        <f t="shared" si="62"/>
        <v>0</v>
      </c>
      <c r="F57" s="320">
        <f t="shared" si="62"/>
        <v>8042608</v>
      </c>
      <c r="G57" s="320">
        <f t="shared" si="62"/>
        <v>0</v>
      </c>
      <c r="H57" s="320">
        <f t="shared" si="62"/>
        <v>0</v>
      </c>
      <c r="I57" s="320">
        <f t="shared" si="62"/>
        <v>0</v>
      </c>
      <c r="J57" s="320">
        <f t="shared" si="62"/>
        <v>0</v>
      </c>
      <c r="K57" s="320">
        <f t="shared" si="62"/>
        <v>0</v>
      </c>
      <c r="L57" s="320">
        <f t="shared" si="62"/>
        <v>0</v>
      </c>
      <c r="M57" s="320">
        <f t="shared" si="62"/>
        <v>8042608</v>
      </c>
      <c r="N57" s="289">
        <f t="shared" si="62"/>
        <v>8042608</v>
      </c>
      <c r="O57" s="697"/>
      <c r="P57" s="288">
        <f>SUM(P58:P59)</f>
        <v>0</v>
      </c>
      <c r="Q57" s="289">
        <f>SUM(Q58:Q59)</f>
        <v>0</v>
      </c>
      <c r="R57" s="805"/>
      <c r="S57" s="257">
        <f>+IF([1]ENERO!S57=0,"",[1]ENERO!S57)</f>
        <v>1010400</v>
      </c>
      <c r="T57" s="258" t="s">
        <v>239</v>
      </c>
      <c r="U57" s="233">
        <f t="shared" ref="U57:AJ57" si="63">U58+U61</f>
        <v>326592555</v>
      </c>
      <c r="V57" s="231">
        <f t="shared" si="63"/>
        <v>0</v>
      </c>
      <c r="W57" s="231">
        <f t="shared" si="63"/>
        <v>0</v>
      </c>
      <c r="X57" s="232">
        <f t="shared" si="63"/>
        <v>326592555</v>
      </c>
      <c r="Y57" s="233">
        <f t="shared" si="63"/>
        <v>21785100</v>
      </c>
      <c r="Z57" s="231">
        <f t="shared" si="63"/>
        <v>24479400</v>
      </c>
      <c r="AA57" s="234">
        <f t="shared" si="63"/>
        <v>46264500</v>
      </c>
      <c r="AB57" s="233">
        <f t="shared" si="63"/>
        <v>21785100</v>
      </c>
      <c r="AC57" s="231">
        <f t="shared" si="63"/>
        <v>24479400</v>
      </c>
      <c r="AD57" s="232">
        <f t="shared" si="63"/>
        <v>46264500</v>
      </c>
      <c r="AE57" s="233">
        <f t="shared" si="63"/>
        <v>21785100</v>
      </c>
      <c r="AF57" s="231">
        <f t="shared" si="63"/>
        <v>24479400</v>
      </c>
      <c r="AG57" s="232">
        <f t="shared" si="63"/>
        <v>46264500</v>
      </c>
      <c r="AH57" s="233">
        <f t="shared" si="63"/>
        <v>280328055</v>
      </c>
      <c r="AI57" s="231">
        <f t="shared" si="63"/>
        <v>280328055</v>
      </c>
      <c r="AJ57" s="232">
        <f t="shared" si="63"/>
        <v>280328055</v>
      </c>
      <c r="AK57" s="805"/>
      <c r="AL57" s="233">
        <f>AL58+AL61</f>
        <v>0</v>
      </c>
      <c r="AM57" s="232">
        <f>AM58+AM61</f>
        <v>0</v>
      </c>
    </row>
    <row r="58" spans="1:39" ht="24.75" customHeight="1">
      <c r="A58" s="202" t="str">
        <f>+IF([1]ENERO!A58=0,"",[1]ENERO!A58)</f>
        <v>1.1.02.05.001.09.02.09</v>
      </c>
      <c r="B58" s="331" t="str">
        <f>+CONCATENATE("Vigencia ",[1]INSTRUCCIONES!$F$3)</f>
        <v>Vigencia 2025</v>
      </c>
      <c r="C58" s="204">
        <f>+[1]ENERO!C58</f>
        <v>8042608</v>
      </c>
      <c r="D58" s="205">
        <f>[1]ENERO!D58+[1]FEBRERO!P58</f>
        <v>0</v>
      </c>
      <c r="E58" s="205">
        <f>[1]ENERO!E58+[1]FEBRERO!Q58</f>
        <v>0</v>
      </c>
      <c r="F58" s="205">
        <f>SUM(C58:E58)</f>
        <v>8042608</v>
      </c>
      <c r="G58" s="205">
        <f>[1]ENERO!I58</f>
        <v>0</v>
      </c>
      <c r="H58" s="208">
        <v>0</v>
      </c>
      <c r="I58" s="205">
        <f>SUM(G58:H58)</f>
        <v>0</v>
      </c>
      <c r="J58" s="205">
        <f>[1]ENERO!L58</f>
        <v>0</v>
      </c>
      <c r="K58" s="208">
        <v>0</v>
      </c>
      <c r="L58" s="205">
        <f>SUM(J58:K58)</f>
        <v>0</v>
      </c>
      <c r="M58" s="205">
        <f>F58-I58</f>
        <v>8042608</v>
      </c>
      <c r="N58" s="206">
        <f>F58-L58</f>
        <v>8042608</v>
      </c>
      <c r="O58" s="697"/>
      <c r="P58" s="204">
        <v>0</v>
      </c>
      <c r="Q58" s="210">
        <v>0</v>
      </c>
      <c r="R58" s="805"/>
      <c r="S58" s="266">
        <f>+IF([1]ENERO!S58=0,"",[1]ENERO!S58)</f>
        <v>1010402</v>
      </c>
      <c r="T58" s="267" t="str">
        <f>[1]ENERO!T58</f>
        <v>Contribuciones - Otros</v>
      </c>
      <c r="U58" s="301">
        <f>SUM(ENERO!U58)</f>
        <v>326592555</v>
      </c>
      <c r="V58" s="220">
        <f t="shared" ref="V58:AJ58" si="64">SUM(V59:V60)</f>
        <v>0</v>
      </c>
      <c r="W58" s="220">
        <f t="shared" si="64"/>
        <v>0</v>
      </c>
      <c r="X58" s="269">
        <f t="shared" si="64"/>
        <v>326592555</v>
      </c>
      <c r="Y58" s="270">
        <f t="shared" si="64"/>
        <v>21785100</v>
      </c>
      <c r="Z58" s="300">
        <f t="shared" si="64"/>
        <v>24479400</v>
      </c>
      <c r="AA58" s="271">
        <f t="shared" si="64"/>
        <v>46264500</v>
      </c>
      <c r="AB58" s="270">
        <f t="shared" si="64"/>
        <v>21785100</v>
      </c>
      <c r="AC58" s="300">
        <f t="shared" si="64"/>
        <v>24479400</v>
      </c>
      <c r="AD58" s="269">
        <f t="shared" si="64"/>
        <v>46264500</v>
      </c>
      <c r="AE58" s="270">
        <f t="shared" si="64"/>
        <v>21785100</v>
      </c>
      <c r="AF58" s="300">
        <f t="shared" si="64"/>
        <v>24479400</v>
      </c>
      <c r="AG58" s="269">
        <f t="shared" si="64"/>
        <v>46264500</v>
      </c>
      <c r="AH58" s="270">
        <f t="shared" si="64"/>
        <v>280328055</v>
      </c>
      <c r="AI58" s="220">
        <f t="shared" si="64"/>
        <v>280328055</v>
      </c>
      <c r="AJ58" s="269">
        <f t="shared" si="64"/>
        <v>280328055</v>
      </c>
      <c r="AK58" s="805"/>
      <c r="AL58" s="301">
        <f>SUM(AL59:AL60)</f>
        <v>0</v>
      </c>
      <c r="AM58" s="302">
        <f>SUM(AM59:AM60)</f>
        <v>0</v>
      </c>
    </row>
    <row r="59" spans="1:39" ht="24.75" customHeight="1">
      <c r="A59" s="202" t="str">
        <f>+IF([1]ENERO!A59=0,"",[1]ENERO!A59)</f>
        <v>1.1.02.05.001.09.02.09.99</v>
      </c>
      <c r="B59" s="331" t="str">
        <f>+IF([1]ENERO!B59=0,"",[1]ENERO!B59)</f>
        <v>Vigencia Anterior</v>
      </c>
      <c r="C59" s="204">
        <f>+[1]ENERO!C59</f>
        <v>0</v>
      </c>
      <c r="D59" s="205">
        <f>[1]ENERO!D59+[1]FEBRERO!P59</f>
        <v>0</v>
      </c>
      <c r="E59" s="205">
        <f>[1]ENERO!E59+[1]FEBRERO!Q59</f>
        <v>0</v>
      </c>
      <c r="F59" s="205">
        <f>SUM(C59:E59)</f>
        <v>0</v>
      </c>
      <c r="G59" s="205">
        <f>[1]ENERO!I59</f>
        <v>0</v>
      </c>
      <c r="H59" s="208">
        <v>0</v>
      </c>
      <c r="I59" s="205">
        <f>SUM(G59:H59)</f>
        <v>0</v>
      </c>
      <c r="J59" s="205">
        <f>[1]ENERO!L59</f>
        <v>0</v>
      </c>
      <c r="K59" s="208">
        <v>0</v>
      </c>
      <c r="L59" s="205">
        <f>SUM(J59:K59)</f>
        <v>0</v>
      </c>
      <c r="M59" s="205">
        <f>F59-I59</f>
        <v>0</v>
      </c>
      <c r="N59" s="206">
        <f>F59-L59</f>
        <v>0</v>
      </c>
      <c r="O59" s="697"/>
      <c r="P59" s="204">
        <v>0</v>
      </c>
      <c r="Q59" s="210">
        <v>0</v>
      </c>
      <c r="R59" s="805"/>
      <c r="S59" s="311" t="str">
        <f>+IF([1]ENERO!S59=0,"",[1]ENERO!S59)</f>
        <v>2.1.1.01.02.006</v>
      </c>
      <c r="T59" s="267" t="str">
        <f>[1]ENERO!T59</f>
        <v>I.C.B.F.</v>
      </c>
      <c r="U59" s="301">
        <f>SUM(ENERO!U59)</f>
        <v>195955533</v>
      </c>
      <c r="V59" s="220">
        <f>[1]ENERO!V59+[1]FEBRERO!AL59</f>
        <v>0</v>
      </c>
      <c r="W59" s="220">
        <f>[1]ENERO!W59+[1]FEBRERO!AM59</f>
        <v>0</v>
      </c>
      <c r="X59" s="269">
        <f>SUM(U59:W59)</f>
        <v>195955533</v>
      </c>
      <c r="Y59" s="270">
        <f>[1]ENERO!AA59</f>
        <v>13069500</v>
      </c>
      <c r="Z59" s="204">
        <v>14686500</v>
      </c>
      <c r="AA59" s="271">
        <f>SUM(Y59:Z59)</f>
        <v>27756000</v>
      </c>
      <c r="AB59" s="270">
        <f>[1]ENERO!AD59</f>
        <v>13069500</v>
      </c>
      <c r="AC59" s="204">
        <v>14686500</v>
      </c>
      <c r="AD59" s="269">
        <f>SUM(AB59:AC59)</f>
        <v>27756000</v>
      </c>
      <c r="AE59" s="270">
        <f>[1]ENERO!AG59</f>
        <v>13069500</v>
      </c>
      <c r="AF59" s="204">
        <v>14686500</v>
      </c>
      <c r="AG59" s="269">
        <f>SUM(AE59:AF59)</f>
        <v>27756000</v>
      </c>
      <c r="AH59" s="270">
        <f>X59-AA59</f>
        <v>168199533</v>
      </c>
      <c r="AI59" s="220">
        <f>X59-AD59</f>
        <v>168199533</v>
      </c>
      <c r="AJ59" s="269">
        <f>X59-AG59</f>
        <v>168199533</v>
      </c>
      <c r="AK59" s="805"/>
      <c r="AL59" s="204">
        <v>0</v>
      </c>
      <c r="AM59" s="210">
        <v>0</v>
      </c>
    </row>
    <row r="60" spans="1:39" ht="24.75" customHeight="1">
      <c r="A60" s="286" t="str">
        <f>+IF([1]ENERO!A60=0,"",[1]ENERO!A60)</f>
        <v>1.1.02.05.001.09.02.10</v>
      </c>
      <c r="B60" s="319" t="str">
        <f>+IF([1]ENERO!B60=0,"",[1]ENERO!B60)</f>
        <v>IPS PUBLICAS</v>
      </c>
      <c r="C60" s="288">
        <f t="shared" ref="C60:N60" si="65">SUM(C61:C62)</f>
        <v>46623238</v>
      </c>
      <c r="D60" s="320">
        <f t="shared" si="65"/>
        <v>0</v>
      </c>
      <c r="E60" s="320">
        <f t="shared" si="65"/>
        <v>0</v>
      </c>
      <c r="F60" s="320">
        <f t="shared" si="65"/>
        <v>46623238</v>
      </c>
      <c r="G60" s="320">
        <f t="shared" si="65"/>
        <v>1286141</v>
      </c>
      <c r="H60" s="320">
        <f t="shared" si="65"/>
        <v>8167369</v>
      </c>
      <c r="I60" s="320">
        <f t="shared" si="65"/>
        <v>9453510</v>
      </c>
      <c r="J60" s="320">
        <f t="shared" si="65"/>
        <v>1174808</v>
      </c>
      <c r="K60" s="320">
        <f t="shared" si="65"/>
        <v>4973521</v>
      </c>
      <c r="L60" s="320">
        <f t="shared" si="65"/>
        <v>6148329</v>
      </c>
      <c r="M60" s="320">
        <f t="shared" si="65"/>
        <v>37169728</v>
      </c>
      <c r="N60" s="289">
        <f t="shared" si="65"/>
        <v>40474909</v>
      </c>
      <c r="O60" s="697"/>
      <c r="P60" s="288">
        <f>SUM(P61:P62)</f>
        <v>0</v>
      </c>
      <c r="Q60" s="289">
        <f>SUM(Q61:Q62)</f>
        <v>0</v>
      </c>
      <c r="R60" s="805"/>
      <c r="S60" s="311" t="str">
        <f>+IF([1]ENERO!S60=0,"",[1]ENERO!S60)</f>
        <v>2.1.1.01.02.007</v>
      </c>
      <c r="T60" s="267" t="str">
        <f>[1]ENERO!T60</f>
        <v>SENA</v>
      </c>
      <c r="U60" s="301">
        <f>SUM(ENERO!U60)</f>
        <v>130637022</v>
      </c>
      <c r="V60" s="220">
        <f>[1]ENERO!V60+[1]FEBRERO!AL60</f>
        <v>0</v>
      </c>
      <c r="W60" s="220">
        <f>[1]ENERO!W60+[1]FEBRERO!AM60</f>
        <v>0</v>
      </c>
      <c r="X60" s="269">
        <f>SUM(U60:W60)</f>
        <v>130637022</v>
      </c>
      <c r="Y60" s="270">
        <f>[1]ENERO!AA60</f>
        <v>8715600</v>
      </c>
      <c r="Z60" s="204">
        <v>9792900</v>
      </c>
      <c r="AA60" s="271">
        <f>SUM(Y60:Z60)</f>
        <v>18508500</v>
      </c>
      <c r="AB60" s="270">
        <f>[1]ENERO!AD60</f>
        <v>8715600</v>
      </c>
      <c r="AC60" s="204">
        <v>9792900</v>
      </c>
      <c r="AD60" s="269">
        <f>SUM(AB60:AC60)</f>
        <v>18508500</v>
      </c>
      <c r="AE60" s="270">
        <f>[1]ENERO!AG60</f>
        <v>8715600</v>
      </c>
      <c r="AF60" s="204">
        <v>9792900</v>
      </c>
      <c r="AG60" s="269">
        <f>SUM(AE60:AF60)</f>
        <v>18508500</v>
      </c>
      <c r="AH60" s="270">
        <f>X60-AA60</f>
        <v>112128522</v>
      </c>
      <c r="AI60" s="220">
        <f>X60-AD60</f>
        <v>112128522</v>
      </c>
      <c r="AJ60" s="269">
        <f>X60-AG60</f>
        <v>112128522</v>
      </c>
      <c r="AK60" s="805"/>
      <c r="AL60" s="204">
        <v>0</v>
      </c>
      <c r="AM60" s="210">
        <v>0</v>
      </c>
    </row>
    <row r="61" spans="1:39" ht="24.75" customHeight="1">
      <c r="A61" s="202" t="str">
        <f>+IF([1]ENERO!A61=0,"",[1]ENERO!A61)</f>
        <v>1.1.02.05.001.09.02.10</v>
      </c>
      <c r="B61" s="331" t="str">
        <f>+CONCATENATE("Vigencia ",[1]INSTRUCCIONES!$F$3)</f>
        <v>Vigencia 2025</v>
      </c>
      <c r="C61" s="204">
        <f>+[1]ENERO!C61</f>
        <v>46623238</v>
      </c>
      <c r="D61" s="205">
        <f>[1]ENERO!D61+[1]FEBRERO!P61</f>
        <v>0</v>
      </c>
      <c r="E61" s="205">
        <f>[1]ENERO!E61+[1]FEBRERO!Q61</f>
        <v>0</v>
      </c>
      <c r="F61" s="205">
        <f>SUM(C61:E61)</f>
        <v>46623238</v>
      </c>
      <c r="G61" s="205">
        <f>[1]ENERO!I61</f>
        <v>111333</v>
      </c>
      <c r="H61" s="208">
        <v>3193848</v>
      </c>
      <c r="I61" s="205">
        <f>SUM(G61:H61)</f>
        <v>3305181</v>
      </c>
      <c r="J61" s="205">
        <f>[1]ENERO!L61</f>
        <v>0</v>
      </c>
      <c r="K61" s="208"/>
      <c r="L61" s="205">
        <f>SUM(J61:K61)</f>
        <v>0</v>
      </c>
      <c r="M61" s="205">
        <f>F61-I61</f>
        <v>43318057</v>
      </c>
      <c r="N61" s="206">
        <f>F61-L61</f>
        <v>46623238</v>
      </c>
      <c r="O61" s="697"/>
      <c r="P61" s="204">
        <v>0</v>
      </c>
      <c r="Q61" s="210">
        <v>0</v>
      </c>
      <c r="R61" s="805"/>
      <c r="S61" s="266">
        <f>+IF([1]ENERO!S61=0,"",[1]ENERO!S61)</f>
        <v>1010499</v>
      </c>
      <c r="T61" s="267" t="str">
        <f>[1]ENERO!T61</f>
        <v>Vigencias Anteriores</v>
      </c>
      <c r="U61" s="301">
        <f>SUM(ENERO!U61)</f>
        <v>0</v>
      </c>
      <c r="V61" s="220">
        <f>[1]ENERO!V61+[1]FEBRERO!AL61</f>
        <v>0</v>
      </c>
      <c r="W61" s="220">
        <f>[1]ENERO!W61+[1]FEBRERO!AM61</f>
        <v>0</v>
      </c>
      <c r="X61" s="269">
        <f>SUM(U61:W61)</f>
        <v>0</v>
      </c>
      <c r="Y61" s="270">
        <f>[1]ENERO!AA61</f>
        <v>0</v>
      </c>
      <c r="Z61" s="208">
        <v>0</v>
      </c>
      <c r="AA61" s="271">
        <f>SUM(Y61:Z61)</f>
        <v>0</v>
      </c>
      <c r="AB61" s="270">
        <f>[1]ENERO!AD61</f>
        <v>0</v>
      </c>
      <c r="AC61" s="208">
        <v>0</v>
      </c>
      <c r="AD61" s="269">
        <f>SUM(AB61:AC61)</f>
        <v>0</v>
      </c>
      <c r="AE61" s="270">
        <f>[1]ENERO!AG61</f>
        <v>0</v>
      </c>
      <c r="AF61" s="208">
        <v>0</v>
      </c>
      <c r="AG61" s="269">
        <f>SUM(AE61:AF61)</f>
        <v>0</v>
      </c>
      <c r="AH61" s="270">
        <f>X61-AA61</f>
        <v>0</v>
      </c>
      <c r="AI61" s="220">
        <f>X61-AD61</f>
        <v>0</v>
      </c>
      <c r="AJ61" s="269">
        <f>X61-AG61</f>
        <v>0</v>
      </c>
      <c r="AK61" s="805"/>
      <c r="AL61" s="204">
        <v>0</v>
      </c>
      <c r="AM61" s="210">
        <v>0</v>
      </c>
    </row>
    <row r="62" spans="1:39" ht="24.75" customHeight="1">
      <c r="A62" s="202" t="str">
        <f>+IF([1]ENERO!A62=0,"",[1]ENERO!A62)</f>
        <v>1.1.02.05.001.09.02.10.99</v>
      </c>
      <c r="B62" s="331" t="str">
        <f>+IF([1]ENERO!B62=0,"",[1]ENERO!B62)</f>
        <v>Vigencia Anterior</v>
      </c>
      <c r="C62" s="204">
        <f>+[1]ENERO!C62</f>
        <v>0</v>
      </c>
      <c r="D62" s="205">
        <f>[1]ENERO!D62+[1]FEBRERO!P62</f>
        <v>0</v>
      </c>
      <c r="E62" s="205">
        <f>[1]ENERO!E62+[1]FEBRERO!Q62</f>
        <v>0</v>
      </c>
      <c r="F62" s="205">
        <f>SUM(C62:E62)</f>
        <v>0</v>
      </c>
      <c r="G62" s="205">
        <f>[1]ENERO!I62</f>
        <v>1174808</v>
      </c>
      <c r="H62" s="208">
        <f>1973521+3000000</f>
        <v>4973521</v>
      </c>
      <c r="I62" s="205">
        <f>SUM(G62:H62)</f>
        <v>6148329</v>
      </c>
      <c r="J62" s="205">
        <f>[1]ENERO!L62</f>
        <v>1174808</v>
      </c>
      <c r="K62" s="208">
        <f>1973521+3000000</f>
        <v>4973521</v>
      </c>
      <c r="L62" s="205">
        <f>SUM(J62:K62)</f>
        <v>6148329</v>
      </c>
      <c r="M62" s="205">
        <f>F62-I62</f>
        <v>-6148329</v>
      </c>
      <c r="N62" s="671">
        <f>F62-L62</f>
        <v>-6148329</v>
      </c>
      <c r="O62" s="697"/>
      <c r="P62" s="204">
        <v>0</v>
      </c>
      <c r="Q62" s="210">
        <v>0</v>
      </c>
      <c r="R62" s="805"/>
      <c r="S62" s="189">
        <f>+IF([1]ENERO!S62=0,"",[1]ENERO!S62)</f>
        <v>1174808</v>
      </c>
      <c r="T62" s="190"/>
      <c r="U62" s="193"/>
      <c r="V62" s="191"/>
      <c r="W62" s="191"/>
      <c r="X62" s="192"/>
      <c r="Y62" s="193"/>
      <c r="Z62" s="191"/>
      <c r="AA62" s="191"/>
      <c r="AB62" s="193"/>
      <c r="AC62" s="191"/>
      <c r="AD62" s="192"/>
      <c r="AE62" s="193"/>
      <c r="AF62" s="191"/>
      <c r="AG62" s="192"/>
      <c r="AH62" s="193"/>
      <c r="AI62" s="191"/>
      <c r="AJ62" s="192"/>
      <c r="AK62" s="827"/>
      <c r="AL62" s="370"/>
      <c r="AM62" s="371"/>
    </row>
    <row r="63" spans="1:39" ht="24.75" customHeight="1">
      <c r="A63" s="286" t="str">
        <f>+IF([1]ENERO!A63=0,"",[1]ENERO!A63)</f>
        <v>1.1.02.05.001.09.02.90.01</v>
      </c>
      <c r="B63" s="319" t="str">
        <f>+IF([1]ENERO!B63=0,"",[1]ENERO!B63)</f>
        <v>COMPAÑIAS DE SEGUROS  - ACCIDENTES DE TRANSITO (SOAT)</v>
      </c>
      <c r="C63" s="288">
        <f t="shared" ref="C63:N63" si="66">SUM(C64:C65)</f>
        <v>2461795617.04175</v>
      </c>
      <c r="D63" s="320">
        <f t="shared" si="66"/>
        <v>0</v>
      </c>
      <c r="E63" s="320">
        <f t="shared" si="66"/>
        <v>0</v>
      </c>
      <c r="F63" s="320">
        <f t="shared" si="66"/>
        <v>2461795617.04175</v>
      </c>
      <c r="G63" s="320">
        <f t="shared" si="66"/>
        <v>393327713</v>
      </c>
      <c r="H63" s="320">
        <f t="shared" si="66"/>
        <v>269604222</v>
      </c>
      <c r="I63" s="320">
        <f t="shared" si="66"/>
        <v>662931935</v>
      </c>
      <c r="J63" s="320">
        <f t="shared" si="66"/>
        <v>203467978</v>
      </c>
      <c r="K63" s="320">
        <f t="shared" si="66"/>
        <v>177689278</v>
      </c>
      <c r="L63" s="320">
        <f t="shared" si="66"/>
        <v>381157256</v>
      </c>
      <c r="M63" s="320">
        <f t="shared" si="66"/>
        <v>1798863682.04175</v>
      </c>
      <c r="N63" s="289">
        <f t="shared" si="66"/>
        <v>2080638361.04175</v>
      </c>
      <c r="O63" s="697"/>
      <c r="P63" s="288">
        <f>SUM(P64:P65)</f>
        <v>0</v>
      </c>
      <c r="Q63" s="289">
        <f>SUM(Q64:Q65)</f>
        <v>0</v>
      </c>
      <c r="R63" s="805"/>
      <c r="S63" s="228">
        <f>+IF([1]ENERO!S63=0,"",[1]ENERO!S63)</f>
        <v>1020010</v>
      </c>
      <c r="T63" s="229" t="s">
        <v>244</v>
      </c>
      <c r="U63" s="233">
        <f t="shared" ref="U63:AJ63" si="67">U65+U83+U90+U104</f>
        <v>64518803470</v>
      </c>
      <c r="V63" s="231">
        <f t="shared" si="67"/>
        <v>300000000</v>
      </c>
      <c r="W63" s="231">
        <f t="shared" si="67"/>
        <v>0</v>
      </c>
      <c r="X63" s="232">
        <f t="shared" si="67"/>
        <v>64818803470</v>
      </c>
      <c r="Y63" s="233">
        <f t="shared" si="67"/>
        <v>35340822865</v>
      </c>
      <c r="Z63" s="231">
        <f t="shared" si="67"/>
        <v>4106252452</v>
      </c>
      <c r="AA63" s="234">
        <f t="shared" si="67"/>
        <v>39447075317</v>
      </c>
      <c r="AB63" s="233">
        <f t="shared" si="67"/>
        <v>9644744534</v>
      </c>
      <c r="AC63" s="231">
        <f t="shared" si="67"/>
        <v>8245534042</v>
      </c>
      <c r="AD63" s="232">
        <f t="shared" si="67"/>
        <v>17890278576</v>
      </c>
      <c r="AE63" s="233">
        <f t="shared" si="67"/>
        <v>5027142785</v>
      </c>
      <c r="AF63" s="231">
        <f t="shared" si="67"/>
        <v>4106252452</v>
      </c>
      <c r="AG63" s="232">
        <f t="shared" si="67"/>
        <v>9133395237</v>
      </c>
      <c r="AH63" s="233">
        <f t="shared" si="67"/>
        <v>25371728153</v>
      </c>
      <c r="AI63" s="231">
        <f t="shared" si="67"/>
        <v>46928524894</v>
      </c>
      <c r="AJ63" s="232">
        <f t="shared" si="67"/>
        <v>55685408233</v>
      </c>
      <c r="AK63" s="805"/>
      <c r="AL63" s="233">
        <f>AL65+AL83+AL90+AL104</f>
        <v>300000000</v>
      </c>
      <c r="AM63" s="232">
        <f>AM65+AM83+AM90+AM104</f>
        <v>0</v>
      </c>
    </row>
    <row r="64" spans="1:39" ht="24.75" customHeight="1">
      <c r="A64" s="202" t="str">
        <f>+IF([1]ENERO!A64=0,"",[1]ENERO!A64)</f>
        <v>1.1.02.05.001.09.02.90.01</v>
      </c>
      <c r="B64" s="331" t="str">
        <f>+CONCATENATE("Vigencia ",[1]INSTRUCCIONES!$F$3)</f>
        <v>Vigencia 2025</v>
      </c>
      <c r="C64" s="204">
        <f>+[1]ENERO!C64</f>
        <v>2137731076.9417498</v>
      </c>
      <c r="D64" s="205">
        <f>[1]ENERO!D64+[1]FEBRERO!P64</f>
        <v>0</v>
      </c>
      <c r="E64" s="205">
        <f>[1]ENERO!E64+[1]FEBRERO!Q64</f>
        <v>0</v>
      </c>
      <c r="F64" s="205">
        <f>SUM(C64:E64)</f>
        <v>2137731076.9417498</v>
      </c>
      <c r="G64" s="205">
        <f>[1]ENERO!I64</f>
        <v>192150562</v>
      </c>
      <c r="H64" s="208">
        <v>163379454</v>
      </c>
      <c r="I64" s="205">
        <f>SUM(G64:H64)</f>
        <v>355530016</v>
      </c>
      <c r="J64" s="205">
        <f>[1]ENERO!L64</f>
        <v>2290827</v>
      </c>
      <c r="K64" s="208">
        <v>71464510</v>
      </c>
      <c r="L64" s="205">
        <f>SUM(J64:K64)</f>
        <v>73755337</v>
      </c>
      <c r="M64" s="205">
        <f>F64-I64</f>
        <v>1782201060.9417498</v>
      </c>
      <c r="N64" s="206">
        <f>F64-L64</f>
        <v>2063975739.9417498</v>
      </c>
      <c r="O64" s="697"/>
      <c r="P64" s="204">
        <v>0</v>
      </c>
      <c r="Q64" s="210">
        <v>0</v>
      </c>
      <c r="R64" s="805"/>
      <c r="S64" s="189">
        <f>+IF([1]ENERO!S64=0,"",[1]ENERO!S64)</f>
        <v>2290826</v>
      </c>
      <c r="T64" s="190"/>
      <c r="U64" s="193"/>
      <c r="V64" s="191"/>
      <c r="W64" s="191"/>
      <c r="X64" s="192"/>
      <c r="Y64" s="193"/>
      <c r="Z64" s="191"/>
      <c r="AA64" s="191"/>
      <c r="AB64" s="193"/>
      <c r="AC64" s="191"/>
      <c r="AD64" s="192"/>
      <c r="AE64" s="193"/>
      <c r="AF64" s="191"/>
      <c r="AG64" s="192"/>
      <c r="AH64" s="193"/>
      <c r="AI64" s="191"/>
      <c r="AJ64" s="192"/>
      <c r="AK64" s="805"/>
      <c r="AL64" s="249"/>
      <c r="AM64" s="250"/>
    </row>
    <row r="65" spans="1:39" ht="24.75" customHeight="1">
      <c r="A65" s="202" t="str">
        <f>+IF([1]ENERO!A65=0,"",[1]ENERO!A65)</f>
        <v>1.1.02.05.001.09.02.90.01.99</v>
      </c>
      <c r="B65" s="331" t="str">
        <f>+IF([1]ENERO!B65=0,"",[1]ENERO!B65)</f>
        <v>Vigencia Anterior</v>
      </c>
      <c r="C65" s="204">
        <f>+[1]ENERO!C65</f>
        <v>324064540.10000002</v>
      </c>
      <c r="D65" s="205">
        <f>[1]ENERO!D65+[1]FEBRERO!P65</f>
        <v>0</v>
      </c>
      <c r="E65" s="205">
        <f>[1]ENERO!E65+[1]FEBRERO!Q65</f>
        <v>0</v>
      </c>
      <c r="F65" s="205">
        <f>SUM(C65:E65)</f>
        <v>324064540.10000002</v>
      </c>
      <c r="G65" s="205">
        <f>[1]ENERO!I65</f>
        <v>201177151</v>
      </c>
      <c r="H65" s="208">
        <f>104850111+1374657</f>
        <v>106224768</v>
      </c>
      <c r="I65" s="205">
        <f>SUM(G65:H65)</f>
        <v>307401919</v>
      </c>
      <c r="J65" s="205">
        <f>[1]ENERO!L65</f>
        <v>201177151</v>
      </c>
      <c r="K65" s="208">
        <f>104850111+1374657</f>
        <v>106224768</v>
      </c>
      <c r="L65" s="205">
        <f>SUM(J65:K65)</f>
        <v>307401919</v>
      </c>
      <c r="M65" s="205">
        <f>F65-I65</f>
        <v>16662621.100000024</v>
      </c>
      <c r="N65" s="206">
        <f>F65-L65</f>
        <v>16662621.100000024</v>
      </c>
      <c r="O65" s="697"/>
      <c r="P65" s="204">
        <v>0</v>
      </c>
      <c r="Q65" s="210">
        <v>0</v>
      </c>
      <c r="R65" s="805"/>
      <c r="S65" s="257" t="str">
        <f>+IF([1]ENERO!S65=0,"",[1]ENERO!S65)</f>
        <v>2.1.1.01.01-1</v>
      </c>
      <c r="T65" s="258" t="s">
        <v>127</v>
      </c>
      <c r="U65" s="233">
        <f t="shared" ref="U65:AJ65" si="68">SUM(U66:U69)+U81</f>
        <v>0</v>
      </c>
      <c r="V65" s="231">
        <f t="shared" si="68"/>
        <v>0</v>
      </c>
      <c r="W65" s="231">
        <f t="shared" si="68"/>
        <v>0</v>
      </c>
      <c r="X65" s="232">
        <f t="shared" si="68"/>
        <v>0</v>
      </c>
      <c r="Y65" s="233">
        <f t="shared" si="68"/>
        <v>0</v>
      </c>
      <c r="Z65" s="231">
        <f t="shared" si="68"/>
        <v>0</v>
      </c>
      <c r="AA65" s="234">
        <f t="shared" si="68"/>
        <v>0</v>
      </c>
      <c r="AB65" s="233">
        <f t="shared" si="68"/>
        <v>0</v>
      </c>
      <c r="AC65" s="231">
        <f t="shared" si="68"/>
        <v>0</v>
      </c>
      <c r="AD65" s="232">
        <f t="shared" si="68"/>
        <v>0</v>
      </c>
      <c r="AE65" s="233">
        <f t="shared" si="68"/>
        <v>0</v>
      </c>
      <c r="AF65" s="231">
        <f t="shared" si="68"/>
        <v>0</v>
      </c>
      <c r="AG65" s="232">
        <f t="shared" si="68"/>
        <v>0</v>
      </c>
      <c r="AH65" s="233">
        <f t="shared" si="68"/>
        <v>0</v>
      </c>
      <c r="AI65" s="231">
        <f t="shared" si="68"/>
        <v>0</v>
      </c>
      <c r="AJ65" s="232">
        <f t="shared" si="68"/>
        <v>0</v>
      </c>
      <c r="AK65" s="805"/>
      <c r="AL65" s="233">
        <f>SUM(AL66:AL69)+AL81</f>
        <v>0</v>
      </c>
      <c r="AM65" s="232">
        <f>SUM(AM66:AM69)+AM81</f>
        <v>0</v>
      </c>
    </row>
    <row r="66" spans="1:39" ht="24.75" customHeight="1">
      <c r="A66" s="286" t="str">
        <f>+IF([1]ENERO!A66=0,"",[1]ENERO!A66)</f>
        <v>1.1.02.05.001.09.02.18.01</v>
      </c>
      <c r="B66" s="319" t="str">
        <f>+IF([1]ENERO!B66=0,"",[1]ENERO!B66)</f>
        <v xml:space="preserve">COMPAÑIAS DE SEGUROS  - PLANES DE SALUD </v>
      </c>
      <c r="C66" s="288">
        <f t="shared" ref="C66:N66" si="69">SUM(C67:C68)</f>
        <v>185631948</v>
      </c>
      <c r="D66" s="320">
        <f t="shared" si="69"/>
        <v>0</v>
      </c>
      <c r="E66" s="320">
        <f t="shared" si="69"/>
        <v>0</v>
      </c>
      <c r="F66" s="320">
        <f t="shared" si="69"/>
        <v>185631948</v>
      </c>
      <c r="G66" s="320">
        <f t="shared" si="69"/>
        <v>1054605</v>
      </c>
      <c r="H66" s="320">
        <f t="shared" si="69"/>
        <v>16687415</v>
      </c>
      <c r="I66" s="320">
        <f t="shared" si="69"/>
        <v>17742020</v>
      </c>
      <c r="J66" s="320">
        <f t="shared" si="69"/>
        <v>0</v>
      </c>
      <c r="K66" s="320">
        <f t="shared" si="69"/>
        <v>0</v>
      </c>
      <c r="L66" s="320">
        <f t="shared" si="69"/>
        <v>0</v>
      </c>
      <c r="M66" s="320">
        <f t="shared" si="69"/>
        <v>167889928</v>
      </c>
      <c r="N66" s="289">
        <f t="shared" si="69"/>
        <v>185631948</v>
      </c>
      <c r="O66" s="697"/>
      <c r="P66" s="288">
        <f>SUM(P67:P68)</f>
        <v>0</v>
      </c>
      <c r="Q66" s="289">
        <f>SUM(Q67:Q68)</f>
        <v>0</v>
      </c>
      <c r="R66" s="805"/>
      <c r="S66" s="266" t="str">
        <f>+IF([1]ENERO!S66=0,"",[1]ENERO!S66)</f>
        <v>2.1.1.01.01.001.01-1</v>
      </c>
      <c r="T66" s="267" t="str">
        <f>[1]ENERO!T66</f>
        <v>Sueldos del Personal de nómina</v>
      </c>
      <c r="U66" s="301">
        <f>SUM(ENERO!U66)</f>
        <v>0</v>
      </c>
      <c r="V66" s="220">
        <f>[1]ENERO!V66+[1]FEBRERO!AL66</f>
        <v>0</v>
      </c>
      <c r="W66" s="220">
        <f>[1]ENERO!W66+[1]FEBRERO!AM66</f>
        <v>0</v>
      </c>
      <c r="X66" s="269">
        <f>SUM(U66:W66)</f>
        <v>0</v>
      </c>
      <c r="Y66" s="270">
        <f>[1]ENERO!AA66</f>
        <v>0</v>
      </c>
      <c r="Z66" s="208">
        <v>0</v>
      </c>
      <c r="AA66" s="271">
        <f>SUM(Y66:Z66)</f>
        <v>0</v>
      </c>
      <c r="AB66" s="270">
        <f>[1]ENERO!AD66</f>
        <v>0</v>
      </c>
      <c r="AC66" s="208">
        <v>0</v>
      </c>
      <c r="AD66" s="269">
        <f>SUM(AB66:AC66)</f>
        <v>0</v>
      </c>
      <c r="AE66" s="270">
        <f>[1]ENERO!AG66</f>
        <v>0</v>
      </c>
      <c r="AF66" s="208">
        <v>0</v>
      </c>
      <c r="AG66" s="269">
        <f>SUM(AE66:AF66)</f>
        <v>0</v>
      </c>
      <c r="AH66" s="270">
        <f>X66-AA66</f>
        <v>0</v>
      </c>
      <c r="AI66" s="220">
        <f>X66-AD66</f>
        <v>0</v>
      </c>
      <c r="AJ66" s="269">
        <f>X66-AG66</f>
        <v>0</v>
      </c>
      <c r="AK66" s="805"/>
      <c r="AL66" s="204">
        <v>0</v>
      </c>
      <c r="AM66" s="210">
        <v>0</v>
      </c>
    </row>
    <row r="67" spans="1:39" ht="24.75" customHeight="1">
      <c r="A67" s="202" t="str">
        <f>+IF([1]ENERO!A67=0,"",[1]ENERO!A67)</f>
        <v>1.1.02.05.001.09.02.18.01</v>
      </c>
      <c r="B67" s="331" t="str">
        <f>+CONCATENATE("Vigencia ",[1]INSTRUCCIONES!$F$3)</f>
        <v>Vigencia 2025</v>
      </c>
      <c r="C67" s="204">
        <f>+[1]ENERO!C67</f>
        <v>111911928</v>
      </c>
      <c r="D67" s="205">
        <f>[1]ENERO!D67+[1]FEBRERO!P67</f>
        <v>0</v>
      </c>
      <c r="E67" s="205">
        <f>[1]ENERO!E67+[1]FEBRERO!Q67</f>
        <v>0</v>
      </c>
      <c r="F67" s="205">
        <f>SUM(C67:E67)</f>
        <v>111911928</v>
      </c>
      <c r="G67" s="205">
        <f>[1]ENERO!I67</f>
        <v>1054605</v>
      </c>
      <c r="H67" s="208">
        <v>16687415</v>
      </c>
      <c r="I67" s="205">
        <f>SUM(G67:H67)</f>
        <v>17742020</v>
      </c>
      <c r="J67" s="205">
        <f>[1]ENERO!L67</f>
        <v>0</v>
      </c>
      <c r="K67" s="208">
        <v>0</v>
      </c>
      <c r="L67" s="205">
        <f>SUM(J67:K67)</f>
        <v>0</v>
      </c>
      <c r="M67" s="205">
        <f>F67-I67</f>
        <v>94169908</v>
      </c>
      <c r="N67" s="206">
        <f>F67-L67</f>
        <v>111911928</v>
      </c>
      <c r="O67" s="697"/>
      <c r="P67" s="204">
        <v>0</v>
      </c>
      <c r="Q67" s="210">
        <v>0</v>
      </c>
      <c r="R67" s="805"/>
      <c r="S67" s="266" t="str">
        <f>+IF([1]ENERO!S67=0,"",[1]ENERO!S67)</f>
        <v>2.1.1.01.01.001.02-1</v>
      </c>
      <c r="T67" s="267" t="str">
        <f>[1]ENERO!T67</f>
        <v>Horas Extras,Dominic.,Festivos y Rec. Nocturnos</v>
      </c>
      <c r="U67" s="301">
        <f>SUM(ENERO!U67)</f>
        <v>0</v>
      </c>
      <c r="V67" s="220">
        <f>[1]ENERO!V67+[1]FEBRERO!AL67</f>
        <v>0</v>
      </c>
      <c r="W67" s="220">
        <f>[1]ENERO!W67+[1]FEBRERO!AM67</f>
        <v>0</v>
      </c>
      <c r="X67" s="269">
        <f>SUM(U67:W67)</f>
        <v>0</v>
      </c>
      <c r="Y67" s="270">
        <f>[1]ENERO!AA67</f>
        <v>0</v>
      </c>
      <c r="Z67" s="208">
        <v>0</v>
      </c>
      <c r="AA67" s="271">
        <f>SUM(Y67:Z67)</f>
        <v>0</v>
      </c>
      <c r="AB67" s="270">
        <f>[1]ENERO!AD67</f>
        <v>0</v>
      </c>
      <c r="AC67" s="208">
        <v>0</v>
      </c>
      <c r="AD67" s="269">
        <f>SUM(AB67:AC67)</f>
        <v>0</v>
      </c>
      <c r="AE67" s="270">
        <f>[1]ENERO!AG67</f>
        <v>0</v>
      </c>
      <c r="AF67" s="208">
        <v>0</v>
      </c>
      <c r="AG67" s="269">
        <f>SUM(AE67:AF67)</f>
        <v>0</v>
      </c>
      <c r="AH67" s="270">
        <f>X67-AA67</f>
        <v>0</v>
      </c>
      <c r="AI67" s="220">
        <f>X67-AD67</f>
        <v>0</v>
      </c>
      <c r="AJ67" s="269">
        <f>X67-AG67</f>
        <v>0</v>
      </c>
      <c r="AK67" s="805"/>
      <c r="AL67" s="204">
        <v>0</v>
      </c>
      <c r="AM67" s="210">
        <v>0</v>
      </c>
    </row>
    <row r="68" spans="1:39" ht="24.75" customHeight="1">
      <c r="A68" s="202" t="str">
        <f>+IF([1]ENERO!A68=0,"",[1]ENERO!A68)</f>
        <v>1.1.02.05.001.09.02.18.01.99</v>
      </c>
      <c r="B68" s="331" t="str">
        <f>+IF([1]ENERO!B68=0,"",[1]ENERO!B68)</f>
        <v>Vigencia Anterior</v>
      </c>
      <c r="C68" s="204">
        <f>+[1]ENERO!C68</f>
        <v>73720020</v>
      </c>
      <c r="D68" s="205">
        <f>[1]ENERO!D68+[1]FEBRERO!P68</f>
        <v>0</v>
      </c>
      <c r="E68" s="205">
        <f>[1]ENERO!E68+[1]FEBRERO!Q68</f>
        <v>0</v>
      </c>
      <c r="F68" s="205">
        <f>SUM(C68:E68)</f>
        <v>73720020</v>
      </c>
      <c r="G68" s="205">
        <f>[1]ENERO!I68</f>
        <v>0</v>
      </c>
      <c r="H68" s="208">
        <v>0</v>
      </c>
      <c r="I68" s="205">
        <f>SUM(G68:H68)</f>
        <v>0</v>
      </c>
      <c r="J68" s="205">
        <f>[1]ENERO!L68</f>
        <v>0</v>
      </c>
      <c r="K68" s="208">
        <v>0</v>
      </c>
      <c r="L68" s="205">
        <f>SUM(J68:K68)</f>
        <v>0</v>
      </c>
      <c r="M68" s="205">
        <f>F68-I68</f>
        <v>73720020</v>
      </c>
      <c r="N68" s="206">
        <f>F68-L68</f>
        <v>73720020</v>
      </c>
      <c r="O68" s="697"/>
      <c r="P68" s="204">
        <v>0</v>
      </c>
      <c r="Q68" s="210">
        <v>0</v>
      </c>
      <c r="R68" s="805"/>
      <c r="S68" s="266">
        <f>+IF([1]ENERO!S68=0,"",[1]ENERO!S68)</f>
        <v>1010103</v>
      </c>
      <c r="T68" s="267" t="str">
        <f>[1]ENERO!T68</f>
        <v>Prima Técnica</v>
      </c>
      <c r="U68" s="301">
        <f>SUM(ENERO!U68)</f>
        <v>0</v>
      </c>
      <c r="V68" s="220">
        <f>[1]ENERO!V68+[1]FEBRERO!AL68</f>
        <v>0</v>
      </c>
      <c r="W68" s="220">
        <f>[1]ENERO!W68+[1]FEBRERO!AM68</f>
        <v>0</v>
      </c>
      <c r="X68" s="269">
        <f>SUM(U68:W68)</f>
        <v>0</v>
      </c>
      <c r="Y68" s="270">
        <f>[1]ENERO!AA68</f>
        <v>0</v>
      </c>
      <c r="Z68" s="208">
        <v>0</v>
      </c>
      <c r="AA68" s="271">
        <f>SUM(Y68:Z68)</f>
        <v>0</v>
      </c>
      <c r="AB68" s="270">
        <f>[1]ENERO!AD68</f>
        <v>0</v>
      </c>
      <c r="AC68" s="208">
        <v>0</v>
      </c>
      <c r="AD68" s="269">
        <f>SUM(AB68:AC68)</f>
        <v>0</v>
      </c>
      <c r="AE68" s="270">
        <f>[1]ENERO!AG68</f>
        <v>0</v>
      </c>
      <c r="AF68" s="208">
        <v>0</v>
      </c>
      <c r="AG68" s="269">
        <f>SUM(AE68:AF68)</f>
        <v>0</v>
      </c>
      <c r="AH68" s="270">
        <f>X68-AA68</f>
        <v>0</v>
      </c>
      <c r="AI68" s="220">
        <f>X68-AD68</f>
        <v>0</v>
      </c>
      <c r="AJ68" s="269">
        <f>X68-AG68</f>
        <v>0</v>
      </c>
      <c r="AK68" s="805"/>
      <c r="AL68" s="204">
        <v>0</v>
      </c>
      <c r="AM68" s="210">
        <v>0</v>
      </c>
    </row>
    <row r="69" spans="1:39" ht="24.75" customHeight="1">
      <c r="A69" s="286" t="str">
        <f>+IF([1]ENERO!A69=0,"",[1]ENERO!A69)</f>
        <v>1.1.02.05.001.09.02.90.02</v>
      </c>
      <c r="B69" s="319" t="str">
        <f>+IF([1]ENERO!B69=0,"",[1]ENERO!B69)</f>
        <v>ENTIDADES DE REGIMEN ESPECIAL (Magisterio, Fuerza Pca.)</v>
      </c>
      <c r="C69" s="288">
        <f t="shared" ref="C69:N69" si="70">SUM(C70:C71)</f>
        <v>1378696551</v>
      </c>
      <c r="D69" s="320">
        <f t="shared" si="70"/>
        <v>0</v>
      </c>
      <c r="E69" s="320">
        <f t="shared" si="70"/>
        <v>0</v>
      </c>
      <c r="F69" s="320">
        <f t="shared" si="70"/>
        <v>1378696551</v>
      </c>
      <c r="G69" s="320">
        <f t="shared" si="70"/>
        <v>438285495</v>
      </c>
      <c r="H69" s="320">
        <f t="shared" si="70"/>
        <v>278038727</v>
      </c>
      <c r="I69" s="320">
        <f t="shared" si="70"/>
        <v>716324222</v>
      </c>
      <c r="J69" s="320">
        <f t="shared" si="70"/>
        <v>176555824</v>
      </c>
      <c r="K69" s="320">
        <f t="shared" si="70"/>
        <v>101013392</v>
      </c>
      <c r="L69" s="320">
        <f t="shared" si="70"/>
        <v>277569216</v>
      </c>
      <c r="M69" s="320">
        <f t="shared" si="70"/>
        <v>662372329</v>
      </c>
      <c r="N69" s="289">
        <f t="shared" si="70"/>
        <v>1101127335</v>
      </c>
      <c r="O69" s="697"/>
      <c r="P69" s="288">
        <f>SUM(P70:P71)</f>
        <v>0</v>
      </c>
      <c r="Q69" s="289">
        <f>SUM(Q70:Q71)</f>
        <v>0</v>
      </c>
      <c r="R69" s="805"/>
      <c r="S69" s="266">
        <f>+IF([1]ENERO!S69=0,"",[1]ENERO!S69)</f>
        <v>1010104</v>
      </c>
      <c r="T69" s="267" t="str">
        <f>[1]ENERO!T69</f>
        <v>Otros</v>
      </c>
      <c r="U69" s="301">
        <f>SUM(ENERO!U69)</f>
        <v>0</v>
      </c>
      <c r="V69" s="220">
        <f t="shared" ref="V69:AJ69" si="71">SUM(V70:V80)</f>
        <v>0</v>
      </c>
      <c r="W69" s="220">
        <f t="shared" si="71"/>
        <v>0</v>
      </c>
      <c r="X69" s="269">
        <f t="shared" si="71"/>
        <v>0</v>
      </c>
      <c r="Y69" s="270">
        <f t="shared" si="71"/>
        <v>0</v>
      </c>
      <c r="Z69" s="300">
        <f t="shared" si="71"/>
        <v>0</v>
      </c>
      <c r="AA69" s="271">
        <f t="shared" si="71"/>
        <v>0</v>
      </c>
      <c r="AB69" s="270">
        <f t="shared" si="71"/>
        <v>0</v>
      </c>
      <c r="AC69" s="300">
        <f t="shared" si="71"/>
        <v>0</v>
      </c>
      <c r="AD69" s="269">
        <f t="shared" si="71"/>
        <v>0</v>
      </c>
      <c r="AE69" s="270">
        <f t="shared" si="71"/>
        <v>0</v>
      </c>
      <c r="AF69" s="300">
        <f t="shared" si="71"/>
        <v>0</v>
      </c>
      <c r="AG69" s="269">
        <f t="shared" si="71"/>
        <v>0</v>
      </c>
      <c r="AH69" s="270">
        <f t="shared" si="71"/>
        <v>0</v>
      </c>
      <c r="AI69" s="220">
        <f t="shared" si="71"/>
        <v>0</v>
      </c>
      <c r="AJ69" s="269">
        <f t="shared" si="71"/>
        <v>0</v>
      </c>
      <c r="AK69" s="805"/>
      <c r="AL69" s="301">
        <f>SUM(AL70:AL80)</f>
        <v>0</v>
      </c>
      <c r="AM69" s="302">
        <f>SUM(AM70:AM80)</f>
        <v>0</v>
      </c>
    </row>
    <row r="70" spans="1:39" ht="24.75" customHeight="1">
      <c r="A70" s="202" t="str">
        <f>+IF([1]ENERO!A70=0,"",[1]ENERO!A70)</f>
        <v>1.1.02.05.001.09.02.90.02</v>
      </c>
      <c r="B70" s="331" t="str">
        <f>+CONCATENATE("Vigencia ",[1]INSTRUCCIONES!$F$3)</f>
        <v>Vigencia 2025</v>
      </c>
      <c r="C70" s="204">
        <f>+[1]ENERO!C70</f>
        <v>898696551</v>
      </c>
      <c r="D70" s="205">
        <f>[1]ENERO!D70+[1]FEBRERO!P70</f>
        <v>0</v>
      </c>
      <c r="E70" s="205">
        <f>[1]ENERO!E70+[1]FEBRERO!Q70</f>
        <v>0</v>
      </c>
      <c r="F70" s="205">
        <f>SUM(C70:E70)</f>
        <v>898696551</v>
      </c>
      <c r="G70" s="205">
        <f>[1]ENERO!I70</f>
        <v>261729671</v>
      </c>
      <c r="H70" s="208">
        <v>183211280</v>
      </c>
      <c r="I70" s="205">
        <f>SUM(G70:H70)</f>
        <v>444940951</v>
      </c>
      <c r="J70" s="205">
        <f>[1]ENERO!L70</f>
        <v>0</v>
      </c>
      <c r="K70" s="208">
        <v>6185945</v>
      </c>
      <c r="L70" s="205">
        <f>SUM(J70:K70)</f>
        <v>6185945</v>
      </c>
      <c r="M70" s="205">
        <f>F70-I70</f>
        <v>453755600</v>
      </c>
      <c r="N70" s="206">
        <f>F70-L70</f>
        <v>892510606</v>
      </c>
      <c r="O70" s="697"/>
      <c r="P70" s="204">
        <v>0</v>
      </c>
      <c r="Q70" s="210">
        <v>0</v>
      </c>
      <c r="R70" s="805"/>
      <c r="S70" s="311" t="str">
        <f>+IF([1]ENERO!S70=0,"",[1]ENERO!S70)</f>
        <v>2.1.1.01.01.001.08.01-1</v>
      </c>
      <c r="T70" s="267" t="str">
        <f>[1]ENERO!T70</f>
        <v xml:space="preserve">Prima de Navidad </v>
      </c>
      <c r="U70" s="301">
        <f>SUM(ENERO!U70)</f>
        <v>0</v>
      </c>
      <c r="V70" s="220">
        <f>[1]ENERO!V70+[1]FEBRERO!AL70</f>
        <v>0</v>
      </c>
      <c r="W70" s="220">
        <f>[1]ENERO!W70+[1]FEBRERO!AM70</f>
        <v>0</v>
      </c>
      <c r="X70" s="269">
        <f t="shared" ref="X70:X81" si="72">SUM(U70:W70)</f>
        <v>0</v>
      </c>
      <c r="Y70" s="270">
        <f>[1]ENERO!AA70</f>
        <v>0</v>
      </c>
      <c r="Z70" s="208">
        <v>0</v>
      </c>
      <c r="AA70" s="271">
        <f t="shared" ref="AA70:AA81" si="73">SUM(Y70:Z70)</f>
        <v>0</v>
      </c>
      <c r="AB70" s="270">
        <f>[1]ENERO!AD70</f>
        <v>0</v>
      </c>
      <c r="AC70" s="208">
        <v>0</v>
      </c>
      <c r="AD70" s="269">
        <f t="shared" ref="AD70:AD81" si="74">SUM(AB70:AC70)</f>
        <v>0</v>
      </c>
      <c r="AE70" s="270">
        <f>[1]ENERO!AG70</f>
        <v>0</v>
      </c>
      <c r="AF70" s="208">
        <v>0</v>
      </c>
      <c r="AG70" s="269">
        <f t="shared" ref="AG70:AG81" si="75">SUM(AE70:AF70)</f>
        <v>0</v>
      </c>
      <c r="AH70" s="270">
        <f t="shared" ref="AH70:AH81" si="76">X70-AA70</f>
        <v>0</v>
      </c>
      <c r="AI70" s="220">
        <f t="shared" ref="AI70:AI81" si="77">X70-AD70</f>
        <v>0</v>
      </c>
      <c r="AJ70" s="269">
        <f t="shared" ref="AJ70:AJ81" si="78">X70-AG70</f>
        <v>0</v>
      </c>
      <c r="AK70" s="805"/>
      <c r="AL70" s="204">
        <v>0</v>
      </c>
      <c r="AM70" s="210">
        <v>0</v>
      </c>
    </row>
    <row r="71" spans="1:39" ht="24.75" customHeight="1">
      <c r="A71" s="202" t="str">
        <f>+IF([1]ENERO!A71=0,"",[1]ENERO!A71)</f>
        <v>1.1.02.05.001.09.02.90.02.99</v>
      </c>
      <c r="B71" s="331" t="str">
        <f>+IF([1]ENERO!B71=0,"",[1]ENERO!B71)</f>
        <v>Vigencia Anterior</v>
      </c>
      <c r="C71" s="204">
        <f>+[1]ENERO!C71</f>
        <v>480000000</v>
      </c>
      <c r="D71" s="205">
        <f>[1]ENERO!D71+[1]FEBRERO!P71</f>
        <v>0</v>
      </c>
      <c r="E71" s="205">
        <f>[1]ENERO!E71+[1]FEBRERO!Q71</f>
        <v>0</v>
      </c>
      <c r="F71" s="205">
        <f>SUM(C71:E71)</f>
        <v>480000000</v>
      </c>
      <c r="G71" s="205">
        <f>[1]ENERO!I71</f>
        <v>176555824</v>
      </c>
      <c r="H71" s="208">
        <v>94827447</v>
      </c>
      <c r="I71" s="205">
        <f>SUM(G71:H71)</f>
        <v>271383271</v>
      </c>
      <c r="J71" s="205">
        <f>[1]ENERO!L71</f>
        <v>176555824</v>
      </c>
      <c r="K71" s="208">
        <v>94827447</v>
      </c>
      <c r="L71" s="205">
        <f>SUM(J71:K71)</f>
        <v>271383271</v>
      </c>
      <c r="M71" s="205">
        <f>F71-I71</f>
        <v>208616729</v>
      </c>
      <c r="N71" s="206">
        <f>F71-L71</f>
        <v>208616729</v>
      </c>
      <c r="O71" s="697"/>
      <c r="P71" s="204">
        <v>0</v>
      </c>
      <c r="Q71" s="210">
        <v>0</v>
      </c>
      <c r="R71" s="805"/>
      <c r="S71" s="311" t="str">
        <f>+IF([1]ENERO!S71=0,"",[1]ENERO!S71)</f>
        <v>2.1.1.01.01.001.08.02-1</v>
      </c>
      <c r="T71" s="267" t="str">
        <f>[1]ENERO!T71</f>
        <v>Prima de Vacaciones</v>
      </c>
      <c r="U71" s="301">
        <f>SUM(ENERO!U71)</f>
        <v>0</v>
      </c>
      <c r="V71" s="220">
        <f>[1]ENERO!V71+[1]FEBRERO!AL71</f>
        <v>0</v>
      </c>
      <c r="W71" s="220">
        <f>[1]ENERO!W71+[1]FEBRERO!AM71</f>
        <v>0</v>
      </c>
      <c r="X71" s="269">
        <f t="shared" si="72"/>
        <v>0</v>
      </c>
      <c r="Y71" s="270">
        <f>[1]ENERO!AA71</f>
        <v>0</v>
      </c>
      <c r="Z71" s="208">
        <v>0</v>
      </c>
      <c r="AA71" s="271">
        <f t="shared" si="73"/>
        <v>0</v>
      </c>
      <c r="AB71" s="270">
        <f>[1]ENERO!AD71</f>
        <v>0</v>
      </c>
      <c r="AC71" s="208">
        <v>0</v>
      </c>
      <c r="AD71" s="269">
        <f t="shared" si="74"/>
        <v>0</v>
      </c>
      <c r="AE71" s="270">
        <f>[1]ENERO!AG71</f>
        <v>0</v>
      </c>
      <c r="AF71" s="208">
        <v>0</v>
      </c>
      <c r="AG71" s="269">
        <f t="shared" si="75"/>
        <v>0</v>
      </c>
      <c r="AH71" s="270">
        <f t="shared" si="76"/>
        <v>0</v>
      </c>
      <c r="AI71" s="220">
        <f t="shared" si="77"/>
        <v>0</v>
      </c>
      <c r="AJ71" s="269">
        <f t="shared" si="78"/>
        <v>0</v>
      </c>
      <c r="AK71" s="805"/>
      <c r="AL71" s="204">
        <v>0</v>
      </c>
      <c r="AM71" s="210">
        <v>0</v>
      </c>
    </row>
    <row r="72" spans="1:39" ht="24.75" customHeight="1">
      <c r="A72" s="286" t="str">
        <f>+IF([1]ENERO!A72=0,"",[1]ENERO!A72)</f>
        <v>1.1.02.05.001.09.02.06</v>
      </c>
      <c r="B72" s="319" t="str">
        <f>+IF([1]ENERO!B72=0,"",[1]ENERO!B72)</f>
        <v>ADMINISTRADORAS DE RIESGOS LABORALES</v>
      </c>
      <c r="C72" s="288">
        <f t="shared" ref="C72:N72" si="79">SUM(C73:C74)</f>
        <v>374950682</v>
      </c>
      <c r="D72" s="320">
        <f t="shared" si="79"/>
        <v>0</v>
      </c>
      <c r="E72" s="320">
        <f t="shared" si="79"/>
        <v>0</v>
      </c>
      <c r="F72" s="320">
        <f t="shared" si="79"/>
        <v>374950682</v>
      </c>
      <c r="G72" s="320">
        <f t="shared" si="79"/>
        <v>63315966</v>
      </c>
      <c r="H72" s="320">
        <f t="shared" si="79"/>
        <v>33820266</v>
      </c>
      <c r="I72" s="320">
        <f t="shared" si="79"/>
        <v>97136232</v>
      </c>
      <c r="J72" s="320">
        <f t="shared" si="79"/>
        <v>50011719</v>
      </c>
      <c r="K72" s="320">
        <f t="shared" si="79"/>
        <v>28149252</v>
      </c>
      <c r="L72" s="320">
        <f t="shared" si="79"/>
        <v>78160971</v>
      </c>
      <c r="M72" s="320">
        <f t="shared" si="79"/>
        <v>277814450</v>
      </c>
      <c r="N72" s="289">
        <f t="shared" si="79"/>
        <v>296789711</v>
      </c>
      <c r="O72" s="697"/>
      <c r="P72" s="288">
        <f>SUM(P73:P74)</f>
        <v>0</v>
      </c>
      <c r="Q72" s="289">
        <f>SUM(Q73:Q74)</f>
        <v>0</v>
      </c>
      <c r="R72" s="805"/>
      <c r="S72" s="311" t="str">
        <f>+IF([1]ENERO!S72=0,"",[1]ENERO!S72)</f>
        <v>2.1.1.01.01.001.07-1</v>
      </c>
      <c r="T72" s="267" t="str">
        <f>[1]ENERO!T72</f>
        <v>Bonificación  por servicios prestados</v>
      </c>
      <c r="U72" s="301">
        <f>SUM(ENERO!U72)</f>
        <v>0</v>
      </c>
      <c r="V72" s="220">
        <f>[1]ENERO!V72+[1]FEBRERO!AL72</f>
        <v>0</v>
      </c>
      <c r="W72" s="220">
        <f>[1]ENERO!W72+[1]FEBRERO!AM72</f>
        <v>0</v>
      </c>
      <c r="X72" s="269">
        <f t="shared" si="72"/>
        <v>0</v>
      </c>
      <c r="Y72" s="270">
        <f>[1]ENERO!AA72</f>
        <v>0</v>
      </c>
      <c r="Z72" s="208">
        <v>0</v>
      </c>
      <c r="AA72" s="271">
        <f t="shared" si="73"/>
        <v>0</v>
      </c>
      <c r="AB72" s="270">
        <f>[1]ENERO!AD72</f>
        <v>0</v>
      </c>
      <c r="AC72" s="208">
        <v>0</v>
      </c>
      <c r="AD72" s="269">
        <f t="shared" si="74"/>
        <v>0</v>
      </c>
      <c r="AE72" s="270">
        <f>[1]ENERO!AG72</f>
        <v>0</v>
      </c>
      <c r="AF72" s="208">
        <v>0</v>
      </c>
      <c r="AG72" s="269">
        <f t="shared" si="75"/>
        <v>0</v>
      </c>
      <c r="AH72" s="270">
        <f t="shared" si="76"/>
        <v>0</v>
      </c>
      <c r="AI72" s="220">
        <f t="shared" si="77"/>
        <v>0</v>
      </c>
      <c r="AJ72" s="269">
        <f t="shared" si="78"/>
        <v>0</v>
      </c>
      <c r="AK72" s="805"/>
      <c r="AL72" s="204">
        <v>0</v>
      </c>
      <c r="AM72" s="210">
        <v>0</v>
      </c>
    </row>
    <row r="73" spans="1:39" ht="24.75" customHeight="1">
      <c r="A73" s="202" t="str">
        <f>+IF([1]ENERO!A73=0,"",[1]ENERO!A73)</f>
        <v>1.1.02.05.001.09.02.06</v>
      </c>
      <c r="B73" s="331" t="str">
        <f>+CONCATENATE("Vigencia ",[1]INSTRUCCIONES!$F$3)</f>
        <v>Vigencia 2025</v>
      </c>
      <c r="C73" s="204">
        <f>+[1]ENERO!C73</f>
        <v>337999834</v>
      </c>
      <c r="D73" s="205">
        <f>[1]ENERO!D73+[1]FEBRERO!P73</f>
        <v>0</v>
      </c>
      <c r="E73" s="205">
        <f>[1]ENERO!E73+[1]FEBRERO!Q73</f>
        <v>0</v>
      </c>
      <c r="F73" s="205">
        <f>SUM(C73:E73)</f>
        <v>337999834</v>
      </c>
      <c r="G73" s="205">
        <f>[1]ENERO!I73</f>
        <v>15983239</v>
      </c>
      <c r="H73" s="208">
        <v>26386656</v>
      </c>
      <c r="I73" s="205">
        <f>SUM(G73:H73)</f>
        <v>42369895</v>
      </c>
      <c r="J73" s="205">
        <f>[1]ENERO!L73</f>
        <v>2678992</v>
      </c>
      <c r="K73" s="208">
        <v>20715642</v>
      </c>
      <c r="L73" s="205">
        <f>SUM(J73:K73)</f>
        <v>23394634</v>
      </c>
      <c r="M73" s="205">
        <f>F73-I73</f>
        <v>295629939</v>
      </c>
      <c r="N73" s="206">
        <f>F73-L73</f>
        <v>314605200</v>
      </c>
      <c r="O73" s="697"/>
      <c r="P73" s="204">
        <v>0</v>
      </c>
      <c r="Q73" s="210">
        <v>0</v>
      </c>
      <c r="R73" s="805"/>
      <c r="S73" s="311" t="str">
        <f>+IF([1]ENERO!S73=0,"",[1]ENERO!S73)</f>
        <v>2.1.1.01.01.001.06-1</v>
      </c>
      <c r="T73" s="267" t="str">
        <f>[1]ENERO!T73</f>
        <v>Prima de Servicios</v>
      </c>
      <c r="U73" s="301">
        <f>SUM(ENERO!U73)</f>
        <v>0</v>
      </c>
      <c r="V73" s="220">
        <f>[1]ENERO!V73+[1]FEBRERO!AL73</f>
        <v>0</v>
      </c>
      <c r="W73" s="220">
        <f>[1]ENERO!W73+[1]FEBRERO!AM73</f>
        <v>0</v>
      </c>
      <c r="X73" s="269">
        <f t="shared" si="72"/>
        <v>0</v>
      </c>
      <c r="Y73" s="270">
        <f>[1]ENERO!AA73</f>
        <v>0</v>
      </c>
      <c r="Z73" s="208">
        <v>0</v>
      </c>
      <c r="AA73" s="271">
        <f t="shared" si="73"/>
        <v>0</v>
      </c>
      <c r="AB73" s="270">
        <f>[1]ENERO!AD73</f>
        <v>0</v>
      </c>
      <c r="AC73" s="208">
        <v>0</v>
      </c>
      <c r="AD73" s="269">
        <f t="shared" si="74"/>
        <v>0</v>
      </c>
      <c r="AE73" s="270">
        <f>[1]ENERO!AG73</f>
        <v>0</v>
      </c>
      <c r="AF73" s="208">
        <v>0</v>
      </c>
      <c r="AG73" s="269">
        <f t="shared" si="75"/>
        <v>0</v>
      </c>
      <c r="AH73" s="270">
        <f t="shared" si="76"/>
        <v>0</v>
      </c>
      <c r="AI73" s="220">
        <f t="shared" si="77"/>
        <v>0</v>
      </c>
      <c r="AJ73" s="269">
        <f t="shared" si="78"/>
        <v>0</v>
      </c>
      <c r="AK73" s="805"/>
      <c r="AL73" s="204">
        <v>0</v>
      </c>
      <c r="AM73" s="210">
        <v>0</v>
      </c>
    </row>
    <row r="74" spans="1:39" ht="24.75" customHeight="1">
      <c r="A74" s="202" t="str">
        <f>+IF([1]ENERO!A74=0,"",[1]ENERO!A74)</f>
        <v>1.1.02.05.001.09.02.06.99</v>
      </c>
      <c r="B74" s="331" t="str">
        <f>+IF([1]ENERO!B74=0,"",[1]ENERO!B74)</f>
        <v>Vigencia Anterior</v>
      </c>
      <c r="C74" s="204">
        <f>+[1]ENERO!C74</f>
        <v>36950848</v>
      </c>
      <c r="D74" s="205">
        <f>[1]ENERO!D74+[1]FEBRERO!P74</f>
        <v>0</v>
      </c>
      <c r="E74" s="205">
        <f>[1]ENERO!E74+[1]FEBRERO!Q74</f>
        <v>0</v>
      </c>
      <c r="F74" s="205">
        <f>SUM(C74:E74)</f>
        <v>36950848</v>
      </c>
      <c r="G74" s="205">
        <f>[1]ENERO!I74</f>
        <v>47332727</v>
      </c>
      <c r="H74" s="208">
        <f>7180610+253000</f>
        <v>7433610</v>
      </c>
      <c r="I74" s="205">
        <f>SUM(G74:H74)</f>
        <v>54766337</v>
      </c>
      <c r="J74" s="205">
        <f>[1]ENERO!L74</f>
        <v>47332727</v>
      </c>
      <c r="K74" s="208">
        <f>7180610+253000</f>
        <v>7433610</v>
      </c>
      <c r="L74" s="205">
        <f>SUM(J74:K74)</f>
        <v>54766337</v>
      </c>
      <c r="M74" s="205">
        <f>F74-I74</f>
        <v>-17815489</v>
      </c>
      <c r="N74" s="671">
        <f>F74-L74</f>
        <v>-17815489</v>
      </c>
      <c r="O74" s="697"/>
      <c r="P74" s="204">
        <v>0</v>
      </c>
      <c r="Q74" s="210">
        <v>0</v>
      </c>
      <c r="R74" s="805"/>
      <c r="S74" s="311" t="str">
        <f>+IF([1]ENERO!S74=0,"",[1]ENERO!S74)</f>
        <v>1010104-5</v>
      </c>
      <c r="T74" s="267" t="str">
        <f>[1]ENERO!T74</f>
        <v>Bonificación Convencional</v>
      </c>
      <c r="U74" s="301">
        <f>SUM(ENERO!U74)</f>
        <v>0</v>
      </c>
      <c r="V74" s="220">
        <f>[1]ENERO!V74+[1]FEBRERO!AL74</f>
        <v>0</v>
      </c>
      <c r="W74" s="220">
        <f>[1]ENERO!W74+[1]FEBRERO!AM74</f>
        <v>0</v>
      </c>
      <c r="X74" s="269">
        <f t="shared" si="72"/>
        <v>0</v>
      </c>
      <c r="Y74" s="270">
        <f>[1]ENERO!AA74</f>
        <v>0</v>
      </c>
      <c r="Z74" s="208">
        <v>0</v>
      </c>
      <c r="AA74" s="271">
        <f t="shared" si="73"/>
        <v>0</v>
      </c>
      <c r="AB74" s="270">
        <f>[1]ENERO!AD74</f>
        <v>0</v>
      </c>
      <c r="AC74" s="208">
        <v>0</v>
      </c>
      <c r="AD74" s="269">
        <f t="shared" si="74"/>
        <v>0</v>
      </c>
      <c r="AE74" s="270">
        <f>[1]ENERO!AG74</f>
        <v>0</v>
      </c>
      <c r="AF74" s="208">
        <v>0</v>
      </c>
      <c r="AG74" s="269">
        <f t="shared" si="75"/>
        <v>0</v>
      </c>
      <c r="AH74" s="270">
        <f t="shared" si="76"/>
        <v>0</v>
      </c>
      <c r="AI74" s="220">
        <f t="shared" si="77"/>
        <v>0</v>
      </c>
      <c r="AJ74" s="269">
        <f t="shared" si="78"/>
        <v>0</v>
      </c>
      <c r="AK74" s="805"/>
      <c r="AL74" s="204">
        <v>0</v>
      </c>
      <c r="AM74" s="210">
        <v>0</v>
      </c>
    </row>
    <row r="75" spans="1:39" ht="24.75" customHeight="1">
      <c r="A75" s="286" t="str">
        <f>+IF([1]ENERO!A75=0,"",[1]ENERO!A75)</f>
        <v>1.1.02.05.001.09.02.07</v>
      </c>
      <c r="B75" s="319" t="str">
        <f>+IF([1]ENERO!B75=0,"",[1]ENERO!B75)</f>
        <v>FUERZAS MILITARES</v>
      </c>
      <c r="C75" s="288">
        <f t="shared" ref="C75:N75" si="80">SUM(C76:C77)</f>
        <v>448721976</v>
      </c>
      <c r="D75" s="320">
        <f t="shared" si="80"/>
        <v>0</v>
      </c>
      <c r="E75" s="320">
        <f t="shared" si="80"/>
        <v>0</v>
      </c>
      <c r="F75" s="320">
        <f t="shared" si="80"/>
        <v>448721976</v>
      </c>
      <c r="G75" s="320">
        <f t="shared" si="80"/>
        <v>11182155</v>
      </c>
      <c r="H75" s="320">
        <f t="shared" si="80"/>
        <v>10708401</v>
      </c>
      <c r="I75" s="320">
        <f t="shared" si="80"/>
        <v>21890556</v>
      </c>
      <c r="J75" s="320">
        <f t="shared" si="80"/>
        <v>0</v>
      </c>
      <c r="K75" s="320">
        <f t="shared" si="80"/>
        <v>0</v>
      </c>
      <c r="L75" s="320">
        <f t="shared" si="80"/>
        <v>0</v>
      </c>
      <c r="M75" s="320">
        <f t="shared" si="80"/>
        <v>426831420</v>
      </c>
      <c r="N75" s="289">
        <f t="shared" si="80"/>
        <v>448721976</v>
      </c>
      <c r="O75" s="697"/>
      <c r="P75" s="288">
        <f>SUM(P76:P77)</f>
        <v>0</v>
      </c>
      <c r="Q75" s="289">
        <f>SUM(Q76:Q77)</f>
        <v>0</v>
      </c>
      <c r="R75" s="805"/>
      <c r="S75" s="311" t="str">
        <f>+IF([1]ENERO!S75=0,"",[1]ENERO!S75)</f>
        <v>2.1.1.01.01.001.05-1</v>
      </c>
      <c r="T75" s="267" t="str">
        <f>[1]ENERO!T75</f>
        <v>Auxilio de Transporte</v>
      </c>
      <c r="U75" s="301">
        <f>SUM(ENERO!U75)</f>
        <v>0</v>
      </c>
      <c r="V75" s="220">
        <f>[1]ENERO!V75+[1]FEBRERO!AL75</f>
        <v>0</v>
      </c>
      <c r="W75" s="220">
        <f>[1]ENERO!W75+[1]FEBRERO!AM75</f>
        <v>0</v>
      </c>
      <c r="X75" s="269">
        <f t="shared" si="72"/>
        <v>0</v>
      </c>
      <c r="Y75" s="270">
        <f>[1]ENERO!AA75</f>
        <v>0</v>
      </c>
      <c r="Z75" s="208">
        <v>0</v>
      </c>
      <c r="AA75" s="271">
        <f t="shared" si="73"/>
        <v>0</v>
      </c>
      <c r="AB75" s="270">
        <f>[1]ENERO!AD75</f>
        <v>0</v>
      </c>
      <c r="AC75" s="208">
        <v>0</v>
      </c>
      <c r="AD75" s="269">
        <f t="shared" si="74"/>
        <v>0</v>
      </c>
      <c r="AE75" s="270">
        <f>[1]ENERO!AG75</f>
        <v>0</v>
      </c>
      <c r="AF75" s="208">
        <v>0</v>
      </c>
      <c r="AG75" s="269">
        <f t="shared" si="75"/>
        <v>0</v>
      </c>
      <c r="AH75" s="270">
        <f t="shared" si="76"/>
        <v>0</v>
      </c>
      <c r="AI75" s="220">
        <f t="shared" si="77"/>
        <v>0</v>
      </c>
      <c r="AJ75" s="269">
        <f t="shared" si="78"/>
        <v>0</v>
      </c>
      <c r="AK75" s="805"/>
      <c r="AL75" s="204">
        <v>0</v>
      </c>
      <c r="AM75" s="210">
        <v>0</v>
      </c>
    </row>
    <row r="76" spans="1:39" ht="24.75" customHeight="1">
      <c r="A76" s="202" t="str">
        <f>+IF([1]ENERO!A76=0,"",[1]ENERO!A76)</f>
        <v>1.1.02.05.001.09.02.07</v>
      </c>
      <c r="B76" s="331" t="str">
        <f>+CONCATENATE("Vigencia ",[1]INSTRUCCIONES!$F$3)</f>
        <v>Vigencia 2025</v>
      </c>
      <c r="C76" s="204">
        <f>+[1]ENERO!C76</f>
        <v>341067989</v>
      </c>
      <c r="D76" s="205">
        <f>[1]ENERO!D76+[1]FEBRERO!P76</f>
        <v>0</v>
      </c>
      <c r="E76" s="205">
        <f>[1]ENERO!E76+[1]FEBRERO!Q76</f>
        <v>0</v>
      </c>
      <c r="F76" s="205">
        <f>SUM(C76:E76)</f>
        <v>341067989</v>
      </c>
      <c r="G76" s="205">
        <f>[1]ENERO!I76</f>
        <v>11182155</v>
      </c>
      <c r="H76" s="208">
        <v>10708401</v>
      </c>
      <c r="I76" s="205">
        <f>SUM(G76:H76)</f>
        <v>21890556</v>
      </c>
      <c r="J76" s="205">
        <f>[1]ENERO!L76</f>
        <v>0</v>
      </c>
      <c r="K76" s="208">
        <v>0</v>
      </c>
      <c r="L76" s="205">
        <f>SUM(J76:K76)</f>
        <v>0</v>
      </c>
      <c r="M76" s="205">
        <f>F76-I76</f>
        <v>319177433</v>
      </c>
      <c r="N76" s="206">
        <f>F76-L76</f>
        <v>341067989</v>
      </c>
      <c r="O76" s="697"/>
      <c r="P76" s="204">
        <v>0</v>
      </c>
      <c r="Q76" s="210">
        <v>0</v>
      </c>
      <c r="R76" s="805"/>
      <c r="S76" s="311" t="str">
        <f>+IF([1]ENERO!S76=0,"",[1]ENERO!S76)</f>
        <v>2.1.1.01.01.001.04-1</v>
      </c>
      <c r="T76" s="267" t="str">
        <f>[1]ENERO!T76</f>
        <v>Auxilio de Alimentación</v>
      </c>
      <c r="U76" s="301">
        <f>SUM(ENERO!U76)</f>
        <v>0</v>
      </c>
      <c r="V76" s="220">
        <f>[1]ENERO!V76+[1]FEBRERO!AL76</f>
        <v>0</v>
      </c>
      <c r="W76" s="220">
        <f>[1]ENERO!W76+[1]FEBRERO!AM76</f>
        <v>0</v>
      </c>
      <c r="X76" s="269">
        <f t="shared" si="72"/>
        <v>0</v>
      </c>
      <c r="Y76" s="270">
        <f>[1]ENERO!AA76</f>
        <v>0</v>
      </c>
      <c r="Z76" s="208">
        <v>0</v>
      </c>
      <c r="AA76" s="271">
        <f t="shared" si="73"/>
        <v>0</v>
      </c>
      <c r="AB76" s="270">
        <f>[1]ENERO!AD76</f>
        <v>0</v>
      </c>
      <c r="AC76" s="208">
        <v>0</v>
      </c>
      <c r="AD76" s="269">
        <f t="shared" si="74"/>
        <v>0</v>
      </c>
      <c r="AE76" s="270">
        <f>[1]ENERO!AG76</f>
        <v>0</v>
      </c>
      <c r="AF76" s="208">
        <v>0</v>
      </c>
      <c r="AG76" s="269">
        <f t="shared" si="75"/>
        <v>0</v>
      </c>
      <c r="AH76" s="270">
        <f t="shared" si="76"/>
        <v>0</v>
      </c>
      <c r="AI76" s="220">
        <f t="shared" si="77"/>
        <v>0</v>
      </c>
      <c r="AJ76" s="269">
        <f t="shared" si="78"/>
        <v>0</v>
      </c>
      <c r="AK76" s="805"/>
      <c r="AL76" s="204">
        <v>0</v>
      </c>
      <c r="AM76" s="210">
        <v>0</v>
      </c>
    </row>
    <row r="77" spans="1:39" ht="24.75" customHeight="1">
      <c r="A77" s="202" t="str">
        <f>+IF([1]ENERO!A77=0,"",[1]ENERO!A77)</f>
        <v>1.1.02.05.001.09.02.07.99</v>
      </c>
      <c r="B77" s="331" t="str">
        <f>+IF([1]ENERO!B77=0,"",[1]ENERO!B77)</f>
        <v>Vigencia Anterior</v>
      </c>
      <c r="C77" s="204">
        <f>+[1]ENERO!C77</f>
        <v>107653987</v>
      </c>
      <c r="D77" s="205">
        <f>[1]ENERO!D77+[1]FEBRERO!P77</f>
        <v>0</v>
      </c>
      <c r="E77" s="205">
        <f>[1]ENERO!E77+[1]FEBRERO!Q77</f>
        <v>0</v>
      </c>
      <c r="F77" s="205">
        <f>SUM(C77:E77)</f>
        <v>107653987</v>
      </c>
      <c r="G77" s="205">
        <f>[1]ENERO!I77</f>
        <v>0</v>
      </c>
      <c r="H77" s="208">
        <v>0</v>
      </c>
      <c r="I77" s="205">
        <f>SUM(G77:H77)</f>
        <v>0</v>
      </c>
      <c r="J77" s="205">
        <f>[1]ENERO!L77</f>
        <v>0</v>
      </c>
      <c r="K77" s="208">
        <v>0</v>
      </c>
      <c r="L77" s="205">
        <f>SUM(J77:K77)</f>
        <v>0</v>
      </c>
      <c r="M77" s="205">
        <f>F77-I77</f>
        <v>107653987</v>
      </c>
      <c r="N77" s="206">
        <f>F77-L77</f>
        <v>107653987</v>
      </c>
      <c r="O77" s="697"/>
      <c r="P77" s="204">
        <v>0</v>
      </c>
      <c r="Q77" s="210">
        <v>0</v>
      </c>
      <c r="R77" s="805"/>
      <c r="S77" s="311" t="str">
        <f>+IF([1]ENERO!S77=0,"",[1]ENERO!S77)</f>
        <v>1010104-8</v>
      </c>
      <c r="T77" s="267" t="str">
        <f>[1]ENERO!T77</f>
        <v>Indemnizaciones por Vacaciones o Supresión de Cargos por Reestructuración</v>
      </c>
      <c r="U77" s="301">
        <f>SUM(ENERO!U77)</f>
        <v>0</v>
      </c>
      <c r="V77" s="220">
        <f>[1]ENERO!V77+[1]FEBRERO!AL77</f>
        <v>0</v>
      </c>
      <c r="W77" s="220">
        <f>[1]ENERO!W77+[1]FEBRERO!AM77</f>
        <v>0</v>
      </c>
      <c r="X77" s="269">
        <f t="shared" si="72"/>
        <v>0</v>
      </c>
      <c r="Y77" s="270">
        <f>[1]ENERO!AA77</f>
        <v>0</v>
      </c>
      <c r="Z77" s="208">
        <v>0</v>
      </c>
      <c r="AA77" s="271">
        <f t="shared" si="73"/>
        <v>0</v>
      </c>
      <c r="AB77" s="270">
        <f>[1]ENERO!AD77</f>
        <v>0</v>
      </c>
      <c r="AC77" s="208">
        <v>0</v>
      </c>
      <c r="AD77" s="269">
        <f t="shared" si="74"/>
        <v>0</v>
      </c>
      <c r="AE77" s="270">
        <f>[1]ENERO!AG77</f>
        <v>0</v>
      </c>
      <c r="AF77" s="208">
        <v>0</v>
      </c>
      <c r="AG77" s="269">
        <f t="shared" si="75"/>
        <v>0</v>
      </c>
      <c r="AH77" s="270">
        <f t="shared" si="76"/>
        <v>0</v>
      </c>
      <c r="AI77" s="220">
        <f t="shared" si="77"/>
        <v>0</v>
      </c>
      <c r="AJ77" s="269">
        <f t="shared" si="78"/>
        <v>0</v>
      </c>
      <c r="AK77" s="805"/>
      <c r="AL77" s="204">
        <v>0</v>
      </c>
      <c r="AM77" s="210">
        <v>0</v>
      </c>
    </row>
    <row r="78" spans="1:39" ht="24.75" customHeight="1">
      <c r="A78" s="286" t="str">
        <f>+IF([1]ENERO!A78=0,"",[1]ENERO!A78)</f>
        <v>1.1.02.05.001.09.02.13-1</v>
      </c>
      <c r="B78" s="319" t="str">
        <f>+IF([1]ENERO!B78=0,"",[1]ENERO!B78)</f>
        <v>PARTICULARES   (Venta de Contado)</v>
      </c>
      <c r="C78" s="288">
        <f>SUM(C79:C80)</f>
        <v>681131551</v>
      </c>
      <c r="D78" s="320">
        <f>SUM(D79:D80)</f>
        <v>0</v>
      </c>
      <c r="E78" s="320">
        <f>SUM(E79:E80)</f>
        <v>0</v>
      </c>
      <c r="F78" s="320">
        <f>SUM(C78:E78)</f>
        <v>681131551</v>
      </c>
      <c r="G78" s="320">
        <f>SUM(G79:G80)</f>
        <v>60738400</v>
      </c>
      <c r="H78" s="320">
        <f>SUM(H79:H80)</f>
        <v>40011700</v>
      </c>
      <c r="I78" s="320">
        <f>SUM(G78:H78)</f>
        <v>100750100</v>
      </c>
      <c r="J78" s="320">
        <f>SUM(J79:J80)</f>
        <v>2581600</v>
      </c>
      <c r="K78" s="320">
        <f>SUM(K79:K80)</f>
        <v>3316700</v>
      </c>
      <c r="L78" s="320">
        <f>SUM(J78:K78)</f>
        <v>5898300</v>
      </c>
      <c r="M78" s="320">
        <f>F78-I78</f>
        <v>580381451</v>
      </c>
      <c r="N78" s="289">
        <f>F78-L78</f>
        <v>675233251</v>
      </c>
      <c r="O78" s="697"/>
      <c r="P78" s="288">
        <f>SUM(P79:P80)</f>
        <v>0</v>
      </c>
      <c r="Q78" s="289">
        <f>SUM(Q79:Q80)</f>
        <v>0</v>
      </c>
      <c r="R78" s="805"/>
      <c r="S78" s="311" t="str">
        <f>+IF([1]ENERO!S78=0,"",[1]ENERO!S78)</f>
        <v>1010104-9</v>
      </c>
      <c r="T78" s="267"/>
      <c r="U78" s="301">
        <f>SUM(ENERO!U78)</f>
        <v>0</v>
      </c>
      <c r="V78" s="220">
        <f>[1]ENERO!V78+[1]FEBRERO!AL78</f>
        <v>0</v>
      </c>
      <c r="W78" s="220">
        <f>[1]ENERO!W78+[1]FEBRERO!AM78</f>
        <v>0</v>
      </c>
      <c r="X78" s="269">
        <f t="shared" si="72"/>
        <v>0</v>
      </c>
      <c r="Y78" s="270">
        <f>[1]ENERO!AA78</f>
        <v>0</v>
      </c>
      <c r="Z78" s="208">
        <v>0</v>
      </c>
      <c r="AA78" s="271">
        <f t="shared" si="73"/>
        <v>0</v>
      </c>
      <c r="AB78" s="270">
        <f>[1]ENERO!AD78</f>
        <v>0</v>
      </c>
      <c r="AC78" s="208">
        <v>0</v>
      </c>
      <c r="AD78" s="269">
        <f t="shared" si="74"/>
        <v>0</v>
      </c>
      <c r="AE78" s="270">
        <f>[1]ENERO!AG78</f>
        <v>0</v>
      </c>
      <c r="AF78" s="208">
        <v>0</v>
      </c>
      <c r="AG78" s="269">
        <f t="shared" si="75"/>
        <v>0</v>
      </c>
      <c r="AH78" s="270">
        <f t="shared" si="76"/>
        <v>0</v>
      </c>
      <c r="AI78" s="220">
        <f t="shared" si="77"/>
        <v>0</v>
      </c>
      <c r="AJ78" s="269">
        <f t="shared" si="78"/>
        <v>0</v>
      </c>
      <c r="AK78" s="805"/>
      <c r="AL78" s="204">
        <v>0</v>
      </c>
      <c r="AM78" s="210">
        <v>0</v>
      </c>
    </row>
    <row r="79" spans="1:39" ht="24.75" customHeight="1">
      <c r="A79" s="202" t="str">
        <f>+IF([1]ENERO!A79=0,"",[1]ENERO!A79)</f>
        <v>1.1.02.05.001.09.02.13-1</v>
      </c>
      <c r="B79" s="331" t="str">
        <f>+CONCATENATE("Vigencia ",[1]INSTRUCCIONES!$F$3)</f>
        <v>Vigencia 2025</v>
      </c>
      <c r="C79" s="204">
        <f>+[1]ENERO!C79</f>
        <v>531131551</v>
      </c>
      <c r="D79" s="205">
        <f>[1]ENERO!D79+[1]FEBRERO!P79</f>
        <v>0</v>
      </c>
      <c r="E79" s="205">
        <f>[1]ENERO!E79+[1]FEBRERO!Q79</f>
        <v>0</v>
      </c>
      <c r="F79" s="205">
        <f>SUM(C79:E79)</f>
        <v>531131551</v>
      </c>
      <c r="G79" s="205">
        <f>[1]ENERO!I79</f>
        <v>58156800</v>
      </c>
      <c r="H79" s="208">
        <v>36695000</v>
      </c>
      <c r="I79" s="205">
        <f>SUM(G79:H79)</f>
        <v>94851800</v>
      </c>
      <c r="J79" s="205">
        <f>[1]ENERO!L79</f>
        <v>0</v>
      </c>
      <c r="K79" s="208">
        <v>0</v>
      </c>
      <c r="L79" s="205">
        <f>SUM(J79:K79)</f>
        <v>0</v>
      </c>
      <c r="M79" s="205">
        <f>F79-I79</f>
        <v>436279751</v>
      </c>
      <c r="N79" s="206">
        <f>F79-L79</f>
        <v>531131551</v>
      </c>
      <c r="O79" s="697"/>
      <c r="P79" s="204">
        <v>0</v>
      </c>
      <c r="Q79" s="210">
        <v>0</v>
      </c>
      <c r="R79" s="805"/>
      <c r="S79" s="311" t="str">
        <f>+IF([1]ENERO!S79=0,"",[1]ENERO!S79)</f>
        <v>2.1.1.01.03.001.03-1</v>
      </c>
      <c r="T79" s="312" t="s">
        <v>187</v>
      </c>
      <c r="U79" s="301">
        <f>SUM(ENERO!U79)</f>
        <v>0</v>
      </c>
      <c r="V79" s="220">
        <f>[1]ENERO!V79+[1]FEBRERO!AL79</f>
        <v>0</v>
      </c>
      <c r="W79" s="220">
        <f>[1]ENERO!W79+[1]FEBRERO!AM79</f>
        <v>0</v>
      </c>
      <c r="X79" s="269">
        <f t="shared" si="72"/>
        <v>0</v>
      </c>
      <c r="Y79" s="270">
        <f>[1]ENERO!AA79</f>
        <v>0</v>
      </c>
      <c r="Z79" s="208">
        <v>0</v>
      </c>
      <c r="AA79" s="271">
        <f t="shared" si="73"/>
        <v>0</v>
      </c>
      <c r="AB79" s="270">
        <f>[1]ENERO!AD79</f>
        <v>0</v>
      </c>
      <c r="AC79" s="208">
        <v>0</v>
      </c>
      <c r="AD79" s="269">
        <f t="shared" si="74"/>
        <v>0</v>
      </c>
      <c r="AE79" s="270">
        <f>[1]ENERO!AG79</f>
        <v>0</v>
      </c>
      <c r="AF79" s="208">
        <v>0</v>
      </c>
      <c r="AG79" s="269">
        <f t="shared" si="75"/>
        <v>0</v>
      </c>
      <c r="AH79" s="270">
        <f t="shared" si="76"/>
        <v>0</v>
      </c>
      <c r="AI79" s="220">
        <f t="shared" si="77"/>
        <v>0</v>
      </c>
      <c r="AJ79" s="269">
        <f t="shared" si="78"/>
        <v>0</v>
      </c>
      <c r="AK79" s="805"/>
      <c r="AL79" s="204">
        <v>0</v>
      </c>
      <c r="AM79" s="210">
        <v>0</v>
      </c>
    </row>
    <row r="80" spans="1:39" ht="24.75" customHeight="1">
      <c r="A80" s="202" t="str">
        <f>+IF([1]ENERO!A80=0,"",[1]ENERO!A80)</f>
        <v>1.1.02.05.001.09.02.13.99-1</v>
      </c>
      <c r="B80" s="331" t="str">
        <f>+IF([1]ENERO!B80=0,"",[1]ENERO!B80)</f>
        <v>Vigencia Anterior</v>
      </c>
      <c r="C80" s="204">
        <f>+[1]ENERO!C80</f>
        <v>150000000</v>
      </c>
      <c r="D80" s="205">
        <f>[1]ENERO!D80+[1]FEBRERO!P80</f>
        <v>0</v>
      </c>
      <c r="E80" s="205">
        <f>[1]ENERO!E80+[1]FEBRERO!Q80</f>
        <v>0</v>
      </c>
      <c r="F80" s="205">
        <f>SUM(C80:E80)</f>
        <v>150000000</v>
      </c>
      <c r="G80" s="205">
        <f>[1]ENERO!I80</f>
        <v>2581600</v>
      </c>
      <c r="H80" s="208">
        <v>3316700</v>
      </c>
      <c r="I80" s="205">
        <f>SUM(G80:H80)</f>
        <v>5898300</v>
      </c>
      <c r="J80" s="205">
        <f>[1]ENERO!L80</f>
        <v>2581600</v>
      </c>
      <c r="K80" s="208">
        <v>3316700</v>
      </c>
      <c r="L80" s="205">
        <f>SUM(J80:K80)</f>
        <v>5898300</v>
      </c>
      <c r="M80" s="205">
        <f>F80-I80</f>
        <v>144101700</v>
      </c>
      <c r="N80" s="206">
        <f>F80-L80</f>
        <v>144101700</v>
      </c>
      <c r="O80" s="697"/>
      <c r="P80" s="204">
        <v>0</v>
      </c>
      <c r="Q80" s="210">
        <v>0</v>
      </c>
      <c r="R80" s="805"/>
      <c r="S80" s="311" t="str">
        <f>+IF([1]ENERO!S80=0,"",[1]ENERO!S80)</f>
        <v>2.1.1.01.03.001.01-1</v>
      </c>
      <c r="T80" s="312" t="s">
        <v>545</v>
      </c>
      <c r="U80" s="301">
        <f>SUM(ENERO!U80)</f>
        <v>0</v>
      </c>
      <c r="V80" s="220">
        <f>[1]ENERO!V80+[1]FEBRERO!AL80</f>
        <v>0</v>
      </c>
      <c r="W80" s="220">
        <f>[1]ENERO!W80+[1]FEBRERO!AM80</f>
        <v>0</v>
      </c>
      <c r="X80" s="269">
        <f t="shared" si="72"/>
        <v>0</v>
      </c>
      <c r="Y80" s="270">
        <f>[1]ENERO!AA80</f>
        <v>0</v>
      </c>
      <c r="Z80" s="208">
        <v>0</v>
      </c>
      <c r="AA80" s="271">
        <f t="shared" si="73"/>
        <v>0</v>
      </c>
      <c r="AB80" s="270">
        <f>[1]ENERO!AD80</f>
        <v>0</v>
      </c>
      <c r="AC80" s="208">
        <v>0</v>
      </c>
      <c r="AD80" s="269">
        <f t="shared" si="74"/>
        <v>0</v>
      </c>
      <c r="AE80" s="270">
        <f>[1]ENERO!AG80</f>
        <v>0</v>
      </c>
      <c r="AF80" s="208">
        <v>0</v>
      </c>
      <c r="AG80" s="269">
        <f t="shared" si="75"/>
        <v>0</v>
      </c>
      <c r="AH80" s="270">
        <f t="shared" si="76"/>
        <v>0</v>
      </c>
      <c r="AI80" s="220">
        <f t="shared" si="77"/>
        <v>0</v>
      </c>
      <c r="AJ80" s="269">
        <f t="shared" si="78"/>
        <v>0</v>
      </c>
      <c r="AK80" s="805"/>
      <c r="AL80" s="204">
        <v>0</v>
      </c>
      <c r="AM80" s="210">
        <v>0</v>
      </c>
    </row>
    <row r="81" spans="1:39" ht="24.75" customHeight="1">
      <c r="A81" s="286" t="str">
        <f>+IF([1]ENERO!A81=0,"",[1]ENERO!A81)</f>
        <v>1.1.02.05.001.09.02.08</v>
      </c>
      <c r="B81" s="319" t="str">
        <f>+IF([1]ENERO!B81=0,"",[1]ENERO!B81)</f>
        <v>POLICIA NACIONAL</v>
      </c>
      <c r="C81" s="288">
        <f>[1]ENERO!C81</f>
        <v>386698320</v>
      </c>
      <c r="D81" s="320">
        <f t="shared" ref="D81:N81" si="81">SUM(D82:D83)</f>
        <v>0</v>
      </c>
      <c r="E81" s="320">
        <f t="shared" si="81"/>
        <v>0</v>
      </c>
      <c r="F81" s="320">
        <f t="shared" si="81"/>
        <v>386698320</v>
      </c>
      <c r="G81" s="320">
        <f t="shared" si="81"/>
        <v>74879411</v>
      </c>
      <c r="H81" s="320">
        <f t="shared" si="81"/>
        <v>27898567</v>
      </c>
      <c r="I81" s="320">
        <f t="shared" si="81"/>
        <v>102777978</v>
      </c>
      <c r="J81" s="320">
        <f t="shared" si="81"/>
        <v>46457386</v>
      </c>
      <c r="K81" s="320">
        <f t="shared" si="81"/>
        <v>3505315</v>
      </c>
      <c r="L81" s="320">
        <f t="shared" si="81"/>
        <v>49962701</v>
      </c>
      <c r="M81" s="320">
        <f t="shared" si="81"/>
        <v>283920342</v>
      </c>
      <c r="N81" s="289">
        <f t="shared" si="81"/>
        <v>336735619</v>
      </c>
      <c r="O81" s="697"/>
      <c r="P81" s="288">
        <f>SUM(P82:P83)</f>
        <v>0</v>
      </c>
      <c r="Q81" s="289">
        <f>SUM(Q82:Q83)</f>
        <v>0</v>
      </c>
      <c r="R81" s="805"/>
      <c r="S81" s="266" t="str">
        <f>+IF([1]ENERO!S81=0,"",[1]ENERO!S81)</f>
        <v>2.1.2.02.02.009.902.99</v>
      </c>
      <c r="T81" s="267" t="str">
        <f>[1]ENERO!T81</f>
        <v xml:space="preserve">Vigencia Anterior </v>
      </c>
      <c r="U81" s="301">
        <f>SUM(ENERO!U81)</f>
        <v>0</v>
      </c>
      <c r="V81" s="220">
        <f>[1]ENERO!V81+[1]FEBRERO!AL81</f>
        <v>0</v>
      </c>
      <c r="W81" s="220">
        <f>[1]ENERO!W81+[1]FEBRERO!AM81</f>
        <v>0</v>
      </c>
      <c r="X81" s="269">
        <f t="shared" si="72"/>
        <v>0</v>
      </c>
      <c r="Y81" s="270">
        <f>[1]ENERO!AA81</f>
        <v>0</v>
      </c>
      <c r="Z81" s="208">
        <v>0</v>
      </c>
      <c r="AA81" s="271">
        <f t="shared" si="73"/>
        <v>0</v>
      </c>
      <c r="AB81" s="270">
        <f>[1]ENERO!AD81</f>
        <v>0</v>
      </c>
      <c r="AC81" s="208">
        <v>0</v>
      </c>
      <c r="AD81" s="269">
        <f t="shared" si="74"/>
        <v>0</v>
      </c>
      <c r="AE81" s="270">
        <f>[1]ENERO!AG81</f>
        <v>0</v>
      </c>
      <c r="AF81" s="208">
        <v>0</v>
      </c>
      <c r="AG81" s="269">
        <f t="shared" si="75"/>
        <v>0</v>
      </c>
      <c r="AH81" s="270">
        <f t="shared" si="76"/>
        <v>0</v>
      </c>
      <c r="AI81" s="220">
        <f t="shared" si="77"/>
        <v>0</v>
      </c>
      <c r="AJ81" s="269">
        <f t="shared" si="78"/>
        <v>0</v>
      </c>
      <c r="AK81" s="805"/>
      <c r="AL81" s="204">
        <v>0</v>
      </c>
      <c r="AM81" s="210">
        <v>0</v>
      </c>
    </row>
    <row r="82" spans="1:39" ht="24.75" customHeight="1">
      <c r="A82" s="202" t="str">
        <f>+IF([1]ENERO!A82=0,"",[1]ENERO!A82)</f>
        <v>1.1.02.05.001.09.02.08</v>
      </c>
      <c r="B82" s="331" t="str">
        <f>+CONCATENATE("Vigencia ",[1]INSTRUCCIONES!$F$3)</f>
        <v>Vigencia 2025</v>
      </c>
      <c r="C82" s="204">
        <f>+[1]ENERO!C82</f>
        <v>376911385</v>
      </c>
      <c r="D82" s="205">
        <f>[1]ENERO!D82+[1]FEBRERO!P82</f>
        <v>0</v>
      </c>
      <c r="E82" s="205">
        <f>[1]ENERO!E82+[1]FEBRERO!Q82</f>
        <v>0</v>
      </c>
      <c r="F82" s="205">
        <f>SUM(C82:E82)</f>
        <v>376911385</v>
      </c>
      <c r="G82" s="205">
        <f>[1]ENERO!I82</f>
        <v>28422025</v>
      </c>
      <c r="H82" s="208">
        <v>24393252</v>
      </c>
      <c r="I82" s="205">
        <f>SUM(G82:H82)</f>
        <v>52815277</v>
      </c>
      <c r="J82" s="205">
        <f>[1]ENERO!L82</f>
        <v>0</v>
      </c>
      <c r="K82" s="208">
        <v>0</v>
      </c>
      <c r="L82" s="205">
        <f>SUM(J82:K82)</f>
        <v>0</v>
      </c>
      <c r="M82" s="205">
        <f>F82-I82</f>
        <v>324096108</v>
      </c>
      <c r="N82" s="671">
        <f>F82-L82</f>
        <v>376911385</v>
      </c>
      <c r="O82" s="697"/>
      <c r="P82" s="204">
        <v>0</v>
      </c>
      <c r="Q82" s="210">
        <v>0</v>
      </c>
      <c r="R82" s="805"/>
      <c r="S82" s="189" t="str">
        <f>+IF([1]ENERO!S82=0,"",[1]ENERO!S82)</f>
        <v/>
      </c>
      <c r="T82" s="190"/>
      <c r="U82" s="193"/>
      <c r="V82" s="191"/>
      <c r="W82" s="191"/>
      <c r="X82" s="192"/>
      <c r="Y82" s="193"/>
      <c r="Z82" s="191"/>
      <c r="AA82" s="191"/>
      <c r="AB82" s="193"/>
      <c r="AC82" s="191"/>
      <c r="AD82" s="192"/>
      <c r="AE82" s="193"/>
      <c r="AF82" s="191"/>
      <c r="AG82" s="192"/>
      <c r="AH82" s="193"/>
      <c r="AI82" s="191"/>
      <c r="AJ82" s="192"/>
      <c r="AK82" s="805"/>
      <c r="AL82" s="370"/>
      <c r="AM82" s="371"/>
    </row>
    <row r="83" spans="1:39" ht="24.75" customHeight="1" thickBot="1">
      <c r="A83" s="202" t="str">
        <f>+IF([1]ENERO!A83=0,"",[1]ENERO!A83)</f>
        <v>1.1.02.05.001.09.02.08,99</v>
      </c>
      <c r="B83" s="860" t="str">
        <f>+IF([1]ENERO!B83=0,"",[1]ENERO!B83)</f>
        <v>Vigencia Anterior</v>
      </c>
      <c r="C83" s="242">
        <f>+[1]ENERO!C83</f>
        <v>9786935</v>
      </c>
      <c r="D83" s="243">
        <f>[1]ENERO!D83+[1]FEBRERO!P83</f>
        <v>0</v>
      </c>
      <c r="E83" s="243">
        <f>[1]ENERO!E83+[1]FEBRERO!Q83</f>
        <v>0</v>
      </c>
      <c r="F83" s="243">
        <f>SUM(C83:E83)</f>
        <v>9786935</v>
      </c>
      <c r="G83" s="243">
        <f>[1]ENERO!I83</f>
        <v>46457386</v>
      </c>
      <c r="H83" s="246">
        <f>2244365+1260950</f>
        <v>3505315</v>
      </c>
      <c r="I83" s="243">
        <f>SUM(G83:H83)</f>
        <v>49962701</v>
      </c>
      <c r="J83" s="243">
        <f>[1]ENERO!L83</f>
        <v>46457386</v>
      </c>
      <c r="K83" s="246">
        <f>2244365+1260950</f>
        <v>3505315</v>
      </c>
      <c r="L83" s="243">
        <f>SUM(J83:K83)</f>
        <v>49962701</v>
      </c>
      <c r="M83" s="243">
        <f>F83-I83</f>
        <v>-40175766</v>
      </c>
      <c r="N83" s="673">
        <f>F83-L83</f>
        <v>-40175766</v>
      </c>
      <c r="O83" s="697"/>
      <c r="P83" s="204">
        <v>0</v>
      </c>
      <c r="Q83" s="210">
        <v>0</v>
      </c>
      <c r="R83" s="805"/>
      <c r="S83" s="257">
        <f>+IF([1]ENERO!S83=0,"",[1]ENERO!S83)</f>
        <v>1020200</v>
      </c>
      <c r="T83" s="258" t="s">
        <v>163</v>
      </c>
      <c r="U83" s="233">
        <f t="shared" ref="U83:AJ83" si="82">SUM(U84:U88)</f>
        <v>64518803470</v>
      </c>
      <c r="V83" s="231">
        <f t="shared" si="82"/>
        <v>300000000</v>
      </c>
      <c r="W83" s="231">
        <f t="shared" si="82"/>
        <v>0</v>
      </c>
      <c r="X83" s="232">
        <f t="shared" si="82"/>
        <v>64818803470</v>
      </c>
      <c r="Y83" s="233">
        <f t="shared" si="82"/>
        <v>35340822865</v>
      </c>
      <c r="Z83" s="231">
        <f t="shared" si="82"/>
        <v>4106252452</v>
      </c>
      <c r="AA83" s="234">
        <f t="shared" si="82"/>
        <v>39447075317</v>
      </c>
      <c r="AB83" s="233">
        <f t="shared" si="82"/>
        <v>9644744534</v>
      </c>
      <c r="AC83" s="231">
        <f t="shared" si="82"/>
        <v>8245534042</v>
      </c>
      <c r="AD83" s="232">
        <f t="shared" si="82"/>
        <v>17890278576</v>
      </c>
      <c r="AE83" s="233">
        <f t="shared" si="82"/>
        <v>5027142785</v>
      </c>
      <c r="AF83" s="231">
        <f t="shared" si="82"/>
        <v>4106252452</v>
      </c>
      <c r="AG83" s="232">
        <f t="shared" si="82"/>
        <v>9133395237</v>
      </c>
      <c r="AH83" s="233">
        <f t="shared" si="82"/>
        <v>25371728153</v>
      </c>
      <c r="AI83" s="231">
        <f t="shared" si="82"/>
        <v>46928524894</v>
      </c>
      <c r="AJ83" s="232">
        <f t="shared" si="82"/>
        <v>55685408233</v>
      </c>
      <c r="AK83" s="805"/>
      <c r="AL83" s="233">
        <f>SUM(AL84:AL88)</f>
        <v>300000000</v>
      </c>
      <c r="AM83" s="232">
        <f>SUM(AM84:AM88)</f>
        <v>0</v>
      </c>
    </row>
    <row r="84" spans="1:39" ht="24.75" customHeight="1" thickBot="1">
      <c r="A84" s="861"/>
      <c r="B84" s="862"/>
      <c r="C84" s="697"/>
      <c r="D84" s="697"/>
      <c r="E84" s="697"/>
      <c r="F84" s="697"/>
      <c r="G84" s="697"/>
      <c r="H84" s="697"/>
      <c r="I84" s="697"/>
      <c r="J84" s="697"/>
      <c r="K84" s="697"/>
      <c r="L84" s="697"/>
      <c r="M84" s="697"/>
      <c r="N84" s="283"/>
      <c r="O84" s="369"/>
      <c r="P84" s="863"/>
      <c r="Q84" s="834"/>
      <c r="R84" s="805"/>
      <c r="S84" s="266" t="str">
        <f>+IF([1]ENERO!S84=0,"",[1]ENERO!S84)</f>
        <v>2.1.2.02.02.009.902</v>
      </c>
      <c r="T84" s="267" t="str">
        <f>[1]ENERO!T84</f>
        <v>Servicios Personales (Personal Asistencial)</v>
      </c>
      <c r="U84" s="301">
        <f>SUM(ENERO!U84)</f>
        <v>55683487770</v>
      </c>
      <c r="V84" s="220">
        <f>[1]ENERO!V84+[1]FEBRERO!AL84</f>
        <v>0</v>
      </c>
      <c r="W84" s="220">
        <f>[1]ENERO!W84+[1]FEBRERO!AM84</f>
        <v>0</v>
      </c>
      <c r="X84" s="269">
        <f>SUM(U84:W84)</f>
        <v>55683487770</v>
      </c>
      <c r="Y84" s="270">
        <f>[1]ENERO!AA84</f>
        <v>30313680080</v>
      </c>
      <c r="Z84" s="208">
        <v>0</v>
      </c>
      <c r="AA84" s="271">
        <f>SUM(Y84:Z84)</f>
        <v>30313680080</v>
      </c>
      <c r="AB84" s="270">
        <f>[1]ENERO!AD84</f>
        <v>4617601749</v>
      </c>
      <c r="AC84" s="204">
        <v>4139281590</v>
      </c>
      <c r="AD84" s="269">
        <f>SUM(AB84:AC84)</f>
        <v>8756883339</v>
      </c>
      <c r="AE84" s="270">
        <f>[1]ENERO!AG84</f>
        <v>0</v>
      </c>
      <c r="AF84" s="208">
        <v>0</v>
      </c>
      <c r="AG84" s="269">
        <f>SUM(AE84:AF84)</f>
        <v>0</v>
      </c>
      <c r="AH84" s="270">
        <f>X84-AA84</f>
        <v>25369807690</v>
      </c>
      <c r="AI84" s="220">
        <f>X84-AD84</f>
        <v>46926604431</v>
      </c>
      <c r="AJ84" s="269">
        <f>X84-AG84</f>
        <v>55683487770</v>
      </c>
      <c r="AK84" s="805"/>
      <c r="AL84" s="204">
        <v>0</v>
      </c>
      <c r="AM84" s="210">
        <v>0</v>
      </c>
    </row>
    <row r="85" spans="1:39" ht="34.5" customHeight="1">
      <c r="A85" s="381" t="str">
        <f>+IF([1]ENERO!A85=0,"",[1]ENERO!A85)</f>
        <v>1.1.02.05.001.09.02.90</v>
      </c>
      <c r="B85" s="382" t="str">
        <f>+IF([1]ENERO!B85=0,"",[1]ENERO!B85)</f>
        <v>Otras Ventas de Servicios de Salud</v>
      </c>
      <c r="C85" s="383">
        <f t="shared" ref="C85:N85" si="83">SUM(C86:C92)</f>
        <v>0</v>
      </c>
      <c r="D85" s="384">
        <f t="shared" si="83"/>
        <v>0</v>
      </c>
      <c r="E85" s="384">
        <f t="shared" si="83"/>
        <v>13867226030</v>
      </c>
      <c r="F85" s="384">
        <f t="shared" si="83"/>
        <v>13867226030</v>
      </c>
      <c r="G85" s="384">
        <f t="shared" si="83"/>
        <v>2215160000</v>
      </c>
      <c r="H85" s="384">
        <f t="shared" si="83"/>
        <v>1027288494</v>
      </c>
      <c r="I85" s="384">
        <f t="shared" si="83"/>
        <v>3242448494</v>
      </c>
      <c r="J85" s="384">
        <f t="shared" si="83"/>
        <v>0</v>
      </c>
      <c r="K85" s="384">
        <f t="shared" si="83"/>
        <v>465757563</v>
      </c>
      <c r="L85" s="384">
        <f t="shared" si="83"/>
        <v>465757563</v>
      </c>
      <c r="M85" s="384">
        <f t="shared" si="83"/>
        <v>10624777536</v>
      </c>
      <c r="N85" s="385">
        <f t="shared" si="83"/>
        <v>13401468467</v>
      </c>
      <c r="O85" s="697"/>
      <c r="P85" s="288">
        <f>SUM(P86:P92)</f>
        <v>0</v>
      </c>
      <c r="Q85" s="289">
        <f>SUM(Q86:Q92)</f>
        <v>7465757523</v>
      </c>
      <c r="R85" s="805"/>
      <c r="S85" s="266" t="str">
        <f>+IF([1]ENERO!S85=0,"",[1]ENERO!S85)</f>
        <v>1020200-2</v>
      </c>
      <c r="T85" s="267" t="str">
        <f>[1]ENERO!T85</f>
        <v>Personal Supernumerario</v>
      </c>
      <c r="U85" s="301">
        <f>SUM(ENERO!U85)</f>
        <v>0</v>
      </c>
      <c r="V85" s="220">
        <f>[1]ENERO!V85+[1]FEBRERO!AL85</f>
        <v>0</v>
      </c>
      <c r="W85" s="220">
        <f>[1]ENERO!W85+[1]FEBRERO!AM85</f>
        <v>0</v>
      </c>
      <c r="X85" s="269">
        <f>SUM(U85:W85)</f>
        <v>0</v>
      </c>
      <c r="Y85" s="270">
        <f>[1]ENERO!AA85</f>
        <v>0</v>
      </c>
      <c r="Z85" s="208">
        <v>0</v>
      </c>
      <c r="AA85" s="271">
        <f>SUM(Y85:Z85)</f>
        <v>0</v>
      </c>
      <c r="AB85" s="270">
        <f>[1]ENERO!AD85</f>
        <v>0</v>
      </c>
      <c r="AC85" s="208">
        <v>0</v>
      </c>
      <c r="AD85" s="269">
        <f>SUM(AB85:AC85)</f>
        <v>0</v>
      </c>
      <c r="AE85" s="270">
        <f>[1]ENERO!AG85</f>
        <v>0</v>
      </c>
      <c r="AF85" s="208">
        <v>0</v>
      </c>
      <c r="AG85" s="269">
        <f>SUM(AE85:AF85)</f>
        <v>0</v>
      </c>
      <c r="AH85" s="270">
        <f>X85-AA85</f>
        <v>0</v>
      </c>
      <c r="AI85" s="220">
        <f>X85-AD85</f>
        <v>0</v>
      </c>
      <c r="AJ85" s="269">
        <f>X85-AG85</f>
        <v>0</v>
      </c>
      <c r="AK85" s="805"/>
      <c r="AL85" s="204">
        <v>0</v>
      </c>
      <c r="AM85" s="210">
        <v>0</v>
      </c>
    </row>
    <row r="86" spans="1:39" ht="24.75" customHeight="1">
      <c r="A86" s="386" t="str">
        <f>+IF([1]ENERO!A86=0,"",[1]ENERO!A86)</f>
        <v>1.1.02.05.001.08</v>
      </c>
      <c r="B86" s="1154" t="s">
        <v>250</v>
      </c>
      <c r="C86" s="864">
        <f>+[1]ENERO!C86</f>
        <v>0</v>
      </c>
      <c r="D86" s="205">
        <f>[1]ENERO!D86+[1]FEBRERO!P86</f>
        <v>0</v>
      </c>
      <c r="E86" s="205">
        <f>[1]ENERO!E86+[1]FEBRERO!Q86</f>
        <v>0</v>
      </c>
      <c r="F86" s="205">
        <f t="shared" ref="F86:F92" si="84">SUM(C86:E86)</f>
        <v>0</v>
      </c>
      <c r="G86" s="205">
        <f>SUM(ENERO!I86)</f>
        <v>0</v>
      </c>
      <c r="H86" s="208">
        <v>0</v>
      </c>
      <c r="I86" s="205">
        <f t="shared" ref="I86:I92" si="85">SUM(G86:H86)</f>
        <v>0</v>
      </c>
      <c r="J86" s="205">
        <f>[1]ENERO!L86</f>
        <v>0</v>
      </c>
      <c r="K86" s="208">
        <v>0</v>
      </c>
      <c r="L86" s="205">
        <f t="shared" ref="L86:L92" si="86">SUM(J86:K86)</f>
        <v>0</v>
      </c>
      <c r="M86" s="205">
        <f t="shared" ref="M86:M92" si="87">F86-I86</f>
        <v>0</v>
      </c>
      <c r="N86" s="206">
        <f t="shared" ref="N86:N92" si="88">F86-L86</f>
        <v>0</v>
      </c>
      <c r="O86" s="697"/>
      <c r="P86" s="204">
        <v>0</v>
      </c>
      <c r="Q86" s="210">
        <v>0</v>
      </c>
      <c r="R86" s="805"/>
      <c r="S86" s="266" t="str">
        <f>+IF([1]ENERO!S86=0,"",[1]ENERO!S86)</f>
        <v>1020200-3</v>
      </c>
      <c r="T86" s="267" t="str">
        <f>[1]ENERO!T86</f>
        <v>Otros Honorarios</v>
      </c>
      <c r="U86" s="301">
        <f>SUM(ENERO!U86)</f>
        <v>0</v>
      </c>
      <c r="V86" s="220">
        <f>[1]ENERO!V86+[1]FEBRERO!AL86</f>
        <v>0</v>
      </c>
      <c r="W86" s="220">
        <f>[1]ENERO!W86+[1]FEBRERO!AM86</f>
        <v>0</v>
      </c>
      <c r="X86" s="269">
        <f>SUM(U86:W86)</f>
        <v>0</v>
      </c>
      <c r="Y86" s="270">
        <f>[1]ENERO!AA86</f>
        <v>0</v>
      </c>
      <c r="Z86" s="208">
        <v>0</v>
      </c>
      <c r="AA86" s="271">
        <f>SUM(Y86:Z86)</f>
        <v>0</v>
      </c>
      <c r="AB86" s="270">
        <f>[1]ENERO!AD86</f>
        <v>0</v>
      </c>
      <c r="AC86" s="208">
        <v>0</v>
      </c>
      <c r="AD86" s="269">
        <f>SUM(AB86:AC86)</f>
        <v>0</v>
      </c>
      <c r="AE86" s="270">
        <f>[1]ENERO!AG86</f>
        <v>0</v>
      </c>
      <c r="AF86" s="208">
        <v>0</v>
      </c>
      <c r="AG86" s="269">
        <f>SUM(AE86:AF86)</f>
        <v>0</v>
      </c>
      <c r="AH86" s="270">
        <f>X86-AA86</f>
        <v>0</v>
      </c>
      <c r="AI86" s="220">
        <f>X86-AD86</f>
        <v>0</v>
      </c>
      <c r="AJ86" s="269">
        <f>X86-AG86</f>
        <v>0</v>
      </c>
      <c r="AK86" s="805"/>
      <c r="AL86" s="204">
        <v>0</v>
      </c>
      <c r="AM86" s="210">
        <v>0</v>
      </c>
    </row>
    <row r="87" spans="1:39" ht="24.75" customHeight="1">
      <c r="A87" s="386">
        <f>+IF([1]ENERO!A87=0,"",[1]ENERO!A87)</f>
        <v>1130202</v>
      </c>
      <c r="B87" s="387">
        <f>+IF([1]ENERO!B87=0,"",[1]ENERO!B87)</f>
        <v>1130202</v>
      </c>
      <c r="C87" s="864">
        <f>+[1]ENERO!C87</f>
        <v>0</v>
      </c>
      <c r="D87" s="205">
        <f>[1]ENERO!D87+[1]FEBRERO!P87</f>
        <v>0</v>
      </c>
      <c r="E87" s="205">
        <f>[1]ENERO!E87+[1]FEBRERO!Q87</f>
        <v>0</v>
      </c>
      <c r="F87" s="205">
        <f t="shared" si="84"/>
        <v>0</v>
      </c>
      <c r="G87" s="205">
        <f>SUM(ENERO!I87)</f>
        <v>0</v>
      </c>
      <c r="H87" s="208">
        <v>0</v>
      </c>
      <c r="I87" s="205">
        <f t="shared" si="85"/>
        <v>0</v>
      </c>
      <c r="J87" s="205">
        <f>[1]ENERO!L87</f>
        <v>0</v>
      </c>
      <c r="K87" s="208">
        <v>0</v>
      </c>
      <c r="L87" s="205">
        <f t="shared" si="86"/>
        <v>0</v>
      </c>
      <c r="M87" s="205">
        <f t="shared" si="87"/>
        <v>0</v>
      </c>
      <c r="N87" s="206">
        <f t="shared" si="88"/>
        <v>0</v>
      </c>
      <c r="O87" s="697"/>
      <c r="P87" s="204">
        <v>0</v>
      </c>
      <c r="Q87" s="210">
        <v>0</v>
      </c>
      <c r="R87" s="805"/>
      <c r="S87" s="266" t="str">
        <f>+IF([1]ENERO!S87=0,"",[1]ENERO!S87)</f>
        <v>1020200-4</v>
      </c>
      <c r="T87" s="267" t="str">
        <f>[1]ENERO!T87</f>
        <v>Otros Honorarios</v>
      </c>
      <c r="U87" s="301">
        <f>SUM(ENERO!U87)</f>
        <v>0</v>
      </c>
      <c r="V87" s="220">
        <f>[1]ENERO!V87+[1]FEBRERO!AL87</f>
        <v>0</v>
      </c>
      <c r="W87" s="220">
        <f>[1]ENERO!W87+[1]FEBRERO!AM87</f>
        <v>0</v>
      </c>
      <c r="X87" s="269">
        <f>SUM(U87:W87)</f>
        <v>0</v>
      </c>
      <c r="Y87" s="270">
        <f>[1]ENERO!AA87</f>
        <v>0</v>
      </c>
      <c r="Z87" s="208">
        <v>0</v>
      </c>
      <c r="AA87" s="271">
        <f>SUM(Y87:Z87)</f>
        <v>0</v>
      </c>
      <c r="AB87" s="270">
        <f>[1]ENERO!AD87</f>
        <v>0</v>
      </c>
      <c r="AC87" s="208">
        <v>0</v>
      </c>
      <c r="AD87" s="269">
        <f>SUM(AB87:AC87)</f>
        <v>0</v>
      </c>
      <c r="AE87" s="270">
        <f>[1]ENERO!AG87</f>
        <v>0</v>
      </c>
      <c r="AF87" s="208">
        <v>0</v>
      </c>
      <c r="AG87" s="269">
        <f>SUM(AE87:AF87)</f>
        <v>0</v>
      </c>
      <c r="AH87" s="270">
        <f>X87-AA87</f>
        <v>0</v>
      </c>
      <c r="AI87" s="220">
        <f>X87-AD87</f>
        <v>0</v>
      </c>
      <c r="AJ87" s="269">
        <f>X87-AG87</f>
        <v>0</v>
      </c>
      <c r="AK87" s="805"/>
      <c r="AL87" s="204">
        <v>0</v>
      </c>
      <c r="AM87" s="210">
        <v>0</v>
      </c>
    </row>
    <row r="88" spans="1:39" ht="24.75" customHeight="1">
      <c r="A88" s="386" t="str">
        <f>+IF([1]ENERO!A88=0,"",[1]ENERO!A88)</f>
        <v>1.1.02.05.001.08</v>
      </c>
      <c r="B88" s="388" t="str">
        <f>+IF([1]ENERO!B88=0,"",[1]ENERO!B88)</f>
        <v>Servicios Prestados a las empresas y servicios de produccion</v>
      </c>
      <c r="C88" s="864">
        <f>+[1]ENERO!C88</f>
        <v>0</v>
      </c>
      <c r="D88" s="205">
        <f>[1]ENERO!D88+[1]FEBRERO!P88</f>
        <v>0</v>
      </c>
      <c r="E88" s="205">
        <f>[1]ENERO!E88+[1]FEBRERO!Q88</f>
        <v>1684010668</v>
      </c>
      <c r="F88" s="205">
        <f t="shared" si="84"/>
        <v>1684010668</v>
      </c>
      <c r="G88" s="205">
        <f>SUM(ENERO!I88)</f>
        <v>0</v>
      </c>
      <c r="H88" s="208">
        <v>187135881</v>
      </c>
      <c r="I88" s="205">
        <f t="shared" si="85"/>
        <v>187135881</v>
      </c>
      <c r="J88" s="205">
        <f>[1]ENERO!L88</f>
        <v>0</v>
      </c>
      <c r="K88" s="208">
        <v>0</v>
      </c>
      <c r="L88" s="205">
        <f t="shared" si="86"/>
        <v>0</v>
      </c>
      <c r="M88" s="205">
        <f t="shared" si="87"/>
        <v>1496874787</v>
      </c>
      <c r="N88" s="206">
        <f t="shared" si="88"/>
        <v>1684010668</v>
      </c>
      <c r="O88" s="697"/>
      <c r="P88" s="204">
        <v>0</v>
      </c>
      <c r="Q88" s="210">
        <v>0</v>
      </c>
      <c r="R88" s="805"/>
      <c r="S88" s="266" t="str">
        <f>+IF([1]ENERO!S88=0,"",[1]ENERO!S88)</f>
        <v>2.1.2.02.02.009.99.01</v>
      </c>
      <c r="T88" s="267" t="str">
        <f>[1]ENERO!T88</f>
        <v>Vigencia Anterior Servicios Personales</v>
      </c>
      <c r="U88" s="301">
        <f>SUM(ENERO!U88)</f>
        <v>8835315700</v>
      </c>
      <c r="V88" s="220">
        <f>[1]ENERO!V88+[1]FEBRERO!AL88</f>
        <v>300000000</v>
      </c>
      <c r="W88" s="220">
        <f>[1]ENERO!W88+[1]FEBRERO!AM88</f>
        <v>0</v>
      </c>
      <c r="X88" s="269">
        <f>SUM(U88:W88)</f>
        <v>9135315700</v>
      </c>
      <c r="Y88" s="270">
        <f>[1]ENERO!AA88</f>
        <v>5027142785</v>
      </c>
      <c r="Z88" s="204">
        <v>4106252452</v>
      </c>
      <c r="AA88" s="271">
        <f>SUM(Y88:Z88)</f>
        <v>9133395237</v>
      </c>
      <c r="AB88" s="270">
        <f>[1]ENERO!AD88</f>
        <v>5027142785</v>
      </c>
      <c r="AC88" s="204">
        <v>4106252452</v>
      </c>
      <c r="AD88" s="269">
        <f>SUM(AB88:AC88)</f>
        <v>9133395237</v>
      </c>
      <c r="AE88" s="270">
        <f>[1]ENERO!AG88</f>
        <v>5027142785</v>
      </c>
      <c r="AF88" s="204">
        <v>4106252452</v>
      </c>
      <c r="AG88" s="269">
        <f>SUM(AE88:AF88)</f>
        <v>9133395237</v>
      </c>
      <c r="AH88" s="270">
        <f>X88-AA88</f>
        <v>1920463</v>
      </c>
      <c r="AI88" s="220">
        <f>X88-AD88</f>
        <v>1920463</v>
      </c>
      <c r="AJ88" s="269">
        <f>X88-AG88</f>
        <v>1920463</v>
      </c>
      <c r="AK88" s="805"/>
      <c r="AL88" s="204">
        <f>270000000+30000000</f>
        <v>300000000</v>
      </c>
      <c r="AM88" s="210">
        <v>0</v>
      </c>
    </row>
    <row r="89" spans="1:39" ht="24.75" customHeight="1">
      <c r="A89" s="386" t="str">
        <f>+IF([1]ENERO!A89=0,"",[1]ENERO!A89)</f>
        <v>1.1.02.05.001.09.02.90.04</v>
      </c>
      <c r="B89" s="388" t="str">
        <f>+IF([1]ENERO!B89=0,"",[1]ENERO!B89)</f>
        <v>CONVENIOS CON EL DEPARTAMENTO LIGADOS A LA VENTA SERVICIOS</v>
      </c>
      <c r="C89" s="864">
        <f>+[1]ENERO!C89</f>
        <v>0</v>
      </c>
      <c r="D89" s="205">
        <f>[1]ENERO!D89+[1]FEBRERO!P89</f>
        <v>0</v>
      </c>
      <c r="E89" s="205">
        <f>[1]ENERO!E89+[1]FEBRERO!Q89</f>
        <v>2520457839</v>
      </c>
      <c r="F89" s="205">
        <f t="shared" si="84"/>
        <v>2520457839</v>
      </c>
      <c r="G89" s="205">
        <f>SUM(ENERO!I89)</f>
        <v>0</v>
      </c>
      <c r="H89" s="208">
        <v>840152613</v>
      </c>
      <c r="I89" s="205">
        <f t="shared" si="85"/>
        <v>840152613</v>
      </c>
      <c r="J89" s="205">
        <f>[1]ENERO!L89</f>
        <v>0</v>
      </c>
      <c r="K89" s="208">
        <v>0</v>
      </c>
      <c r="L89" s="205">
        <f t="shared" si="86"/>
        <v>0</v>
      </c>
      <c r="M89" s="205">
        <f t="shared" si="87"/>
        <v>1680305226</v>
      </c>
      <c r="N89" s="206">
        <f t="shared" si="88"/>
        <v>2520457839</v>
      </c>
      <c r="O89" s="697"/>
      <c r="P89" s="204">
        <v>0</v>
      </c>
      <c r="Q89" s="210">
        <v>0</v>
      </c>
      <c r="R89" s="805"/>
      <c r="S89" s="189" t="str">
        <f>+IF([1]ENERO!S89=0,"",[1]ENERO!S89)</f>
        <v/>
      </c>
      <c r="T89" s="190"/>
      <c r="U89" s="193"/>
      <c r="V89" s="191"/>
      <c r="W89" s="191"/>
      <c r="X89" s="192"/>
      <c r="Y89" s="193"/>
      <c r="Z89" s="191"/>
      <c r="AA89" s="191"/>
      <c r="AB89" s="193"/>
      <c r="AC89" s="191"/>
      <c r="AD89" s="192"/>
      <c r="AE89" s="193"/>
      <c r="AF89" s="191"/>
      <c r="AG89" s="192"/>
      <c r="AH89" s="193"/>
      <c r="AI89" s="191"/>
      <c r="AJ89" s="192"/>
      <c r="AK89" s="805"/>
      <c r="AL89" s="370"/>
      <c r="AM89" s="371"/>
    </row>
    <row r="90" spans="1:39" ht="24.75" customHeight="1">
      <c r="A90" s="386" t="s">
        <v>780</v>
      </c>
      <c r="B90" s="388" t="str">
        <f>+IF([1]ENERO!B90=0,"",[1]ENERO!B90)</f>
        <v xml:space="preserve">CONVENIOS CON EL MUNICIPIO LIGADOS A LA VENTA DE SERVICIOS </v>
      </c>
      <c r="C90" s="864">
        <f>+[1]ENERO!C90</f>
        <v>0</v>
      </c>
      <c r="D90" s="205">
        <f>[1]ENERO!D90+[1]FEBRERO!P90</f>
        <v>0</v>
      </c>
      <c r="E90" s="205">
        <f>SUM(ENERO!E90+Q90)</f>
        <v>9662757523</v>
      </c>
      <c r="F90" s="205">
        <f t="shared" si="84"/>
        <v>9662757523</v>
      </c>
      <c r="G90" s="205">
        <f>SUM(ENERO!I90)</f>
        <v>2215160000</v>
      </c>
      <c r="H90" s="208">
        <v>0</v>
      </c>
      <c r="I90" s="205">
        <f t="shared" si="85"/>
        <v>2215160000</v>
      </c>
      <c r="J90" s="205">
        <f>[1]ENERO!L90</f>
        <v>0</v>
      </c>
      <c r="K90" s="208">
        <v>465757563</v>
      </c>
      <c r="L90" s="205">
        <f t="shared" si="86"/>
        <v>465757563</v>
      </c>
      <c r="M90" s="205">
        <f>F90-I90</f>
        <v>7447597523</v>
      </c>
      <c r="N90" s="206">
        <f>F90-L90</f>
        <v>9196999960</v>
      </c>
      <c r="O90" s="697"/>
      <c r="P90" s="204">
        <v>0</v>
      </c>
      <c r="Q90" s="210">
        <v>7465757523</v>
      </c>
      <c r="R90" s="389"/>
      <c r="S90" s="257">
        <f>+IF([1]ENERO!S90=0,"",[1]ENERO!S90)</f>
        <v>1020300</v>
      </c>
      <c r="T90" s="258" t="s">
        <v>221</v>
      </c>
      <c r="U90" s="233">
        <f t="shared" ref="U90:AJ90" si="89">U91+U96+U102</f>
        <v>0</v>
      </c>
      <c r="V90" s="231">
        <f t="shared" si="89"/>
        <v>0</v>
      </c>
      <c r="W90" s="231">
        <f t="shared" si="89"/>
        <v>0</v>
      </c>
      <c r="X90" s="232">
        <f t="shared" si="89"/>
        <v>0</v>
      </c>
      <c r="Y90" s="233">
        <f t="shared" si="89"/>
        <v>0</v>
      </c>
      <c r="Z90" s="231">
        <f t="shared" si="89"/>
        <v>0</v>
      </c>
      <c r="AA90" s="234">
        <f t="shared" si="89"/>
        <v>0</v>
      </c>
      <c r="AB90" s="233">
        <f t="shared" si="89"/>
        <v>0</v>
      </c>
      <c r="AC90" s="231">
        <f t="shared" si="89"/>
        <v>0</v>
      </c>
      <c r="AD90" s="232">
        <f t="shared" si="89"/>
        <v>0</v>
      </c>
      <c r="AE90" s="233">
        <f t="shared" si="89"/>
        <v>0</v>
      </c>
      <c r="AF90" s="231">
        <f t="shared" si="89"/>
        <v>0</v>
      </c>
      <c r="AG90" s="232">
        <f t="shared" si="89"/>
        <v>0</v>
      </c>
      <c r="AH90" s="233">
        <f t="shared" si="89"/>
        <v>0</v>
      </c>
      <c r="AI90" s="231">
        <f t="shared" si="89"/>
        <v>0</v>
      </c>
      <c r="AJ90" s="232">
        <f t="shared" si="89"/>
        <v>0</v>
      </c>
      <c r="AK90" s="805"/>
      <c r="AL90" s="233">
        <f>AL91+AL96+AL102</f>
        <v>0</v>
      </c>
      <c r="AM90" s="232">
        <f>AM91+AM96+AM102</f>
        <v>0</v>
      </c>
    </row>
    <row r="91" spans="1:39" ht="24.75" customHeight="1">
      <c r="A91" s="386">
        <f>+IF([1]ENERO!A91=0,"",[1]ENERO!A91)</f>
        <v>1130206</v>
      </c>
      <c r="B91" s="388" t="str">
        <f>+IF([1]ENERO!B91=0,"",[1]ENERO!B91)</f>
        <v>OTROS CONVENIOS LIGADOS A LA VENTA DE SERVICIOS</v>
      </c>
      <c r="C91" s="864">
        <f>+[1]ENERO!C91</f>
        <v>0</v>
      </c>
      <c r="D91" s="205">
        <f>[1]ENERO!D91+[1]FEBRERO!P91</f>
        <v>0</v>
      </c>
      <c r="E91" s="205">
        <f>[1]ENERO!E91+[1]FEBRERO!Q91</f>
        <v>0</v>
      </c>
      <c r="F91" s="205">
        <f t="shared" si="84"/>
        <v>0</v>
      </c>
      <c r="G91" s="205">
        <f>SUM(ENERO!I91)</f>
        <v>0</v>
      </c>
      <c r="H91" s="208">
        <v>0</v>
      </c>
      <c r="I91" s="205">
        <f t="shared" si="85"/>
        <v>0</v>
      </c>
      <c r="J91" s="205">
        <f>[1]ENERO!L91</f>
        <v>0</v>
      </c>
      <c r="K91" s="208">
        <v>0</v>
      </c>
      <c r="L91" s="205">
        <f t="shared" si="86"/>
        <v>0</v>
      </c>
      <c r="M91" s="205">
        <f t="shared" si="87"/>
        <v>0</v>
      </c>
      <c r="N91" s="206">
        <f t="shared" si="88"/>
        <v>0</v>
      </c>
      <c r="O91" s="697"/>
      <c r="P91" s="204">
        <v>0</v>
      </c>
      <c r="Q91" s="210">
        <v>0</v>
      </c>
      <c r="R91" s="389"/>
      <c r="S91" s="266">
        <f>+IF([1]ENERO!S91=0,"",[1]ENERO!S91)</f>
        <v>1020301</v>
      </c>
      <c r="T91" s="267" t="str">
        <f>[1]ENERO!T91</f>
        <v>Contribuciones - SGP - Aportes Patronales - Cuenta Maestra</v>
      </c>
      <c r="U91" s="301">
        <f>SUM(ENERO!U91)</f>
        <v>0</v>
      </c>
      <c r="V91" s="220">
        <f t="shared" ref="V91:AJ91" si="90">SUM(V92:V95)</f>
        <v>0</v>
      </c>
      <c r="W91" s="220">
        <f t="shared" si="90"/>
        <v>0</v>
      </c>
      <c r="X91" s="269">
        <f t="shared" si="90"/>
        <v>0</v>
      </c>
      <c r="Y91" s="270">
        <f t="shared" si="90"/>
        <v>0</v>
      </c>
      <c r="Z91" s="300">
        <f t="shared" si="90"/>
        <v>0</v>
      </c>
      <c r="AA91" s="271">
        <f t="shared" si="90"/>
        <v>0</v>
      </c>
      <c r="AB91" s="270">
        <f t="shared" si="90"/>
        <v>0</v>
      </c>
      <c r="AC91" s="300">
        <f t="shared" si="90"/>
        <v>0</v>
      </c>
      <c r="AD91" s="269">
        <f t="shared" si="90"/>
        <v>0</v>
      </c>
      <c r="AE91" s="270">
        <f t="shared" si="90"/>
        <v>0</v>
      </c>
      <c r="AF91" s="300">
        <f t="shared" si="90"/>
        <v>0</v>
      </c>
      <c r="AG91" s="269">
        <f t="shared" si="90"/>
        <v>0</v>
      </c>
      <c r="AH91" s="270">
        <f t="shared" si="90"/>
        <v>0</v>
      </c>
      <c r="AI91" s="220">
        <f t="shared" si="90"/>
        <v>0</v>
      </c>
      <c r="AJ91" s="269">
        <f t="shared" si="90"/>
        <v>0</v>
      </c>
      <c r="AK91" s="805"/>
      <c r="AL91" s="301">
        <f>SUM(AL92:AL95)</f>
        <v>0</v>
      </c>
      <c r="AM91" s="302">
        <f>SUM(AM92:AM95)</f>
        <v>0</v>
      </c>
    </row>
    <row r="92" spans="1:39" ht="24.75" customHeight="1" thickBot="1">
      <c r="A92" s="386" t="str">
        <f>+IF([1]ENERO!A92=0,"",[1]ENERO!A92)</f>
        <v>1.1.02.05.001.09.02.90.05.99</v>
      </c>
      <c r="B92" s="390" t="str">
        <f>+IF([1]ENERO!B92=0,"",[1]ENERO!B92)</f>
        <v>Vigencia Anterior de Otros Convenios de Salud Nacionales (vacunacion covid-19 agendamiento y aplicación)</v>
      </c>
      <c r="C92" s="391">
        <f>+[1]ENERO!C92</f>
        <v>0</v>
      </c>
      <c r="D92" s="243">
        <f>[1]ENERO!D92+[1]FEBRERO!P92</f>
        <v>0</v>
      </c>
      <c r="E92" s="243">
        <f>[1]ENERO!E92+[1]FEBRERO!Q92</f>
        <v>0</v>
      </c>
      <c r="F92" s="243">
        <f t="shared" si="84"/>
        <v>0</v>
      </c>
      <c r="G92" s="205">
        <f>SUM(ENERO!I92)</f>
        <v>0</v>
      </c>
      <c r="H92" s="246">
        <v>0</v>
      </c>
      <c r="I92" s="243">
        <f t="shared" si="85"/>
        <v>0</v>
      </c>
      <c r="J92" s="243">
        <f>[1]ENERO!L92</f>
        <v>0</v>
      </c>
      <c r="K92" s="246">
        <v>0</v>
      </c>
      <c r="L92" s="243">
        <f t="shared" si="86"/>
        <v>0</v>
      </c>
      <c r="M92" s="243">
        <f t="shared" si="87"/>
        <v>0</v>
      </c>
      <c r="N92" s="244">
        <f t="shared" si="88"/>
        <v>0</v>
      </c>
      <c r="O92" s="697"/>
      <c r="P92" s="204">
        <v>0</v>
      </c>
      <c r="Q92" s="210">
        <v>0</v>
      </c>
      <c r="R92" s="389"/>
      <c r="S92" s="311" t="str">
        <f>+IF([1]ENERO!S92=0,"",[1]ENERO!S92)</f>
        <v>1020301-1</v>
      </c>
      <c r="T92" s="267" t="str">
        <f>[1]ENERO!T92</f>
        <v>E.P.S. - Aportes cuenta maestra</v>
      </c>
      <c r="U92" s="301">
        <f>SUM(ENERO!U92)</f>
        <v>0</v>
      </c>
      <c r="V92" s="220">
        <f>[1]ENERO!V92+[1]FEBRERO!AL92</f>
        <v>0</v>
      </c>
      <c r="W92" s="220">
        <f>[1]ENERO!W92+[1]FEBRERO!AM92</f>
        <v>0</v>
      </c>
      <c r="X92" s="269">
        <f>SUM(U92:W92)</f>
        <v>0</v>
      </c>
      <c r="Y92" s="270">
        <f>[1]ENERO!AA92</f>
        <v>0</v>
      </c>
      <c r="Z92" s="208">
        <v>0</v>
      </c>
      <c r="AA92" s="271">
        <f>SUM(Y92:Z92)</f>
        <v>0</v>
      </c>
      <c r="AB92" s="270">
        <f>[1]ENERO!AD92</f>
        <v>0</v>
      </c>
      <c r="AC92" s="208">
        <v>0</v>
      </c>
      <c r="AD92" s="269">
        <f>SUM(AB92:AC92)</f>
        <v>0</v>
      </c>
      <c r="AE92" s="270">
        <f>[1]ENERO!AG92</f>
        <v>0</v>
      </c>
      <c r="AF92" s="208">
        <v>0</v>
      </c>
      <c r="AG92" s="269">
        <f>SUM(AE92:AF92)</f>
        <v>0</v>
      </c>
      <c r="AH92" s="270">
        <f>X92-AA92</f>
        <v>0</v>
      </c>
      <c r="AI92" s="220">
        <f>X92-AD92</f>
        <v>0</v>
      </c>
      <c r="AJ92" s="269">
        <f>X92-AG92</f>
        <v>0</v>
      </c>
      <c r="AK92" s="805"/>
      <c r="AL92" s="204">
        <v>0</v>
      </c>
      <c r="AM92" s="210">
        <v>0</v>
      </c>
    </row>
    <row r="93" spans="1:39" ht="24.75" customHeight="1" thickBot="1">
      <c r="A93" s="861" t="str">
        <f>+IF([1]ENERO!A93=0,"",[1]ENERO!A93)</f>
        <v/>
      </c>
      <c r="B93" s="862" t="str">
        <f>+IF([1]ENERO!B93=0,"",[1]ENERO!B93)</f>
        <v/>
      </c>
      <c r="C93" s="697"/>
      <c r="D93" s="697"/>
      <c r="E93" s="697"/>
      <c r="F93" s="697"/>
      <c r="G93" s="697"/>
      <c r="H93" s="697"/>
      <c r="I93" s="697"/>
      <c r="J93" s="697"/>
      <c r="K93" s="697"/>
      <c r="L93" s="697"/>
      <c r="M93" s="697"/>
      <c r="N93" s="283"/>
      <c r="O93" s="369"/>
      <c r="P93" s="863"/>
      <c r="Q93" s="834"/>
      <c r="R93" s="389"/>
      <c r="S93" s="311" t="str">
        <f>+IF([1]ENERO!S93=0,"",[1]ENERO!S93)</f>
        <v>1020301-2</v>
      </c>
      <c r="T93" s="267" t="str">
        <f>[1]ENERO!T93</f>
        <v>Fondos pensionales - Aportes cuenta maestra</v>
      </c>
      <c r="U93" s="301">
        <f>SUM(ENERO!U93)</f>
        <v>0</v>
      </c>
      <c r="V93" s="220">
        <f>[1]ENERO!V93+[1]FEBRERO!AL93</f>
        <v>0</v>
      </c>
      <c r="W93" s="220">
        <f>[1]ENERO!W93+[1]FEBRERO!AM93</f>
        <v>0</v>
      </c>
      <c r="X93" s="269">
        <f>SUM(U93:W93)</f>
        <v>0</v>
      </c>
      <c r="Y93" s="270">
        <f>[1]ENERO!AA93</f>
        <v>0</v>
      </c>
      <c r="Z93" s="208">
        <v>0</v>
      </c>
      <c r="AA93" s="271">
        <f>SUM(Y93:Z93)</f>
        <v>0</v>
      </c>
      <c r="AB93" s="270">
        <f>[1]ENERO!AD93</f>
        <v>0</v>
      </c>
      <c r="AC93" s="208">
        <v>0</v>
      </c>
      <c r="AD93" s="269">
        <f>SUM(AB93:AC93)</f>
        <v>0</v>
      </c>
      <c r="AE93" s="270">
        <f>[1]ENERO!AG93</f>
        <v>0</v>
      </c>
      <c r="AF93" s="208">
        <v>0</v>
      </c>
      <c r="AG93" s="269">
        <f>SUM(AE93:AF93)</f>
        <v>0</v>
      </c>
      <c r="AH93" s="270">
        <f>X93-AA93</f>
        <v>0</v>
      </c>
      <c r="AI93" s="220">
        <f>X93-AD93</f>
        <v>0</v>
      </c>
      <c r="AJ93" s="269">
        <f>X93-AG93</f>
        <v>0</v>
      </c>
      <c r="AK93" s="805"/>
      <c r="AL93" s="204">
        <v>0</v>
      </c>
      <c r="AM93" s="210">
        <v>0</v>
      </c>
    </row>
    <row r="94" spans="1:39" ht="42" customHeight="1">
      <c r="A94" s="392" t="str">
        <f>+IF([1]ENERO!A94=0,"",[1]ENERO!A94)</f>
        <v>1.1.02.06.006.06</v>
      </c>
      <c r="B94" s="393" t="str">
        <f>+IF([1]ENERO!B94=0,"",[1]ENERO!B94)</f>
        <v>Aportes (No ligados a la venta de servicios de salud)</v>
      </c>
      <c r="C94" s="383">
        <f t="shared" ref="C94:N94" si="91">SUM(C95:C102)</f>
        <v>650000000</v>
      </c>
      <c r="D94" s="384">
        <f t="shared" si="91"/>
        <v>0</v>
      </c>
      <c r="E94" s="384">
        <f t="shared" si="91"/>
        <v>0</v>
      </c>
      <c r="F94" s="384">
        <f t="shared" si="91"/>
        <v>650000000</v>
      </c>
      <c r="G94" s="384">
        <f t="shared" si="91"/>
        <v>0</v>
      </c>
      <c r="H94" s="384">
        <f t="shared" si="91"/>
        <v>0</v>
      </c>
      <c r="I94" s="384">
        <f t="shared" si="91"/>
        <v>0</v>
      </c>
      <c r="J94" s="384">
        <f t="shared" si="91"/>
        <v>0</v>
      </c>
      <c r="K94" s="384">
        <f t="shared" si="91"/>
        <v>0</v>
      </c>
      <c r="L94" s="384">
        <f t="shared" si="91"/>
        <v>0</v>
      </c>
      <c r="M94" s="384">
        <f t="shared" si="91"/>
        <v>650000000</v>
      </c>
      <c r="N94" s="385">
        <f t="shared" si="91"/>
        <v>650000000</v>
      </c>
      <c r="O94" s="697"/>
      <c r="P94" s="288">
        <f>SUM(P95:P102)</f>
        <v>0</v>
      </c>
      <c r="Q94" s="289">
        <f>SUM(Q95:Q102)</f>
        <v>0</v>
      </c>
      <c r="R94" s="389"/>
      <c r="S94" s="311" t="str">
        <f>+IF([1]ENERO!S94=0,"",[1]ENERO!S94)</f>
        <v>1020301-3</v>
      </c>
      <c r="T94" s="267" t="str">
        <f>[1]ENERO!T94</f>
        <v>Fondos de cesantías - Aportes cuenta maestra</v>
      </c>
      <c r="U94" s="301">
        <f>SUM(ENERO!U94)</f>
        <v>0</v>
      </c>
      <c r="V94" s="220">
        <f>[1]ENERO!V94+[1]FEBRERO!AL94</f>
        <v>0</v>
      </c>
      <c r="W94" s="220">
        <f>[1]ENERO!W94+[1]FEBRERO!AM94</f>
        <v>0</v>
      </c>
      <c r="X94" s="269">
        <f>SUM(U94:W94)</f>
        <v>0</v>
      </c>
      <c r="Y94" s="270">
        <f>[1]ENERO!AA94</f>
        <v>0</v>
      </c>
      <c r="Z94" s="208">
        <v>0</v>
      </c>
      <c r="AA94" s="271">
        <f>SUM(Y94:Z94)</f>
        <v>0</v>
      </c>
      <c r="AB94" s="270">
        <f>[1]ENERO!AD94</f>
        <v>0</v>
      </c>
      <c r="AC94" s="208">
        <v>0</v>
      </c>
      <c r="AD94" s="269">
        <f>SUM(AB94:AC94)</f>
        <v>0</v>
      </c>
      <c r="AE94" s="270">
        <f>[1]ENERO!AG94</f>
        <v>0</v>
      </c>
      <c r="AF94" s="208">
        <v>0</v>
      </c>
      <c r="AG94" s="269">
        <f>SUM(AE94:AF94)</f>
        <v>0</v>
      </c>
      <c r="AH94" s="270">
        <f>X94-AA94</f>
        <v>0</v>
      </c>
      <c r="AI94" s="220">
        <f>X94-AD94</f>
        <v>0</v>
      </c>
      <c r="AJ94" s="269">
        <f>X94-AG94</f>
        <v>0</v>
      </c>
      <c r="AK94" s="805"/>
      <c r="AL94" s="204">
        <v>0</v>
      </c>
      <c r="AM94" s="210">
        <v>0</v>
      </c>
    </row>
    <row r="95" spans="1:39" ht="24.75" customHeight="1">
      <c r="A95" s="394" t="str">
        <f>+IF([1]ENERO!A95=0,"",[1]ENERO!A95)</f>
        <v>1.2.08.06.002</v>
      </c>
      <c r="B95" s="397" t="str">
        <f>+IF([1]ENERO!B95=0,"",[1]ENERO!B95)</f>
        <v>Condicionadas a la adquisicion de un activo</v>
      </c>
      <c r="C95" s="864">
        <f>+[1]ENERO!C95</f>
        <v>0</v>
      </c>
      <c r="D95" s="205">
        <f>[1]ENERO!D95+[1]FEBRERO!P95</f>
        <v>0</v>
      </c>
      <c r="E95" s="205">
        <f>[1]ENERO!E95+[1]FEBRERO!Q95</f>
        <v>0</v>
      </c>
      <c r="F95" s="205">
        <f t="shared" ref="F95:F102" si="92">SUM(C95:E95)</f>
        <v>0</v>
      </c>
      <c r="G95" s="205">
        <f>[1]ENERO!I95</f>
        <v>0</v>
      </c>
      <c r="H95" s="208">
        <v>0</v>
      </c>
      <c r="I95" s="205">
        <f t="shared" ref="I95:I102" si="93">SUM(G95:H95)</f>
        <v>0</v>
      </c>
      <c r="J95" s="205">
        <f>[1]ENERO!L95</f>
        <v>0</v>
      </c>
      <c r="K95" s="208">
        <v>0</v>
      </c>
      <c r="L95" s="205">
        <f t="shared" ref="L95:L102" si="94">SUM(J95:K95)</f>
        <v>0</v>
      </c>
      <c r="M95" s="205">
        <f t="shared" ref="M95:M102" si="95">F95-I95</f>
        <v>0</v>
      </c>
      <c r="N95" s="206">
        <f t="shared" ref="N95:N102" si="96">F95-L95</f>
        <v>0</v>
      </c>
      <c r="O95" s="697"/>
      <c r="P95" s="204">
        <v>0</v>
      </c>
      <c r="Q95" s="210">
        <v>0</v>
      </c>
      <c r="R95" s="389"/>
      <c r="S95" s="311" t="str">
        <f>+IF([1]ENERO!S95=0,"",[1]ENERO!S95)</f>
        <v>1020301-4</v>
      </c>
      <c r="T95" s="267" t="str">
        <f>[1]ENERO!T95</f>
        <v>Riesgos laborales - Aportes cuenta maestra</v>
      </c>
      <c r="U95" s="301">
        <f>SUM(ENERO!U95)</f>
        <v>0</v>
      </c>
      <c r="V95" s="220">
        <f>[1]ENERO!V95+[1]FEBRERO!AL95</f>
        <v>0</v>
      </c>
      <c r="W95" s="220">
        <f>[1]ENERO!W95+[1]FEBRERO!AM95</f>
        <v>0</v>
      </c>
      <c r="X95" s="269">
        <f>SUM(U95:W95)</f>
        <v>0</v>
      </c>
      <c r="Y95" s="270">
        <f>[1]ENERO!AA95</f>
        <v>0</v>
      </c>
      <c r="Z95" s="208">
        <v>0</v>
      </c>
      <c r="AA95" s="271">
        <f>SUM(Y95:Z95)</f>
        <v>0</v>
      </c>
      <c r="AB95" s="270">
        <f>[1]ENERO!AD95</f>
        <v>0</v>
      </c>
      <c r="AC95" s="208">
        <v>0</v>
      </c>
      <c r="AD95" s="269">
        <f>SUM(AB95:AC95)</f>
        <v>0</v>
      </c>
      <c r="AE95" s="270">
        <f>[1]ENERO!AG95</f>
        <v>0</v>
      </c>
      <c r="AF95" s="208">
        <v>0</v>
      </c>
      <c r="AG95" s="269">
        <f>SUM(AE95:AF95)</f>
        <v>0</v>
      </c>
      <c r="AH95" s="270">
        <f>X95-AA95</f>
        <v>0</v>
      </c>
      <c r="AI95" s="220">
        <f>X95-AD95</f>
        <v>0</v>
      </c>
      <c r="AJ95" s="269">
        <f>X95-AG95</f>
        <v>0</v>
      </c>
      <c r="AK95" s="805"/>
      <c r="AL95" s="204">
        <v>0</v>
      </c>
      <c r="AM95" s="210">
        <v>0</v>
      </c>
    </row>
    <row r="96" spans="1:39" ht="24.75" customHeight="1">
      <c r="A96" s="394" t="str">
        <f>+IF([1]ENERO!A96=0,"",[1]ENERO!A96)</f>
        <v>1.1.02.06.007.02.08</v>
      </c>
      <c r="B96" s="397" t="str">
        <f>+IF([1]ENERO!B96=0,"",[1]ENERO!B96)</f>
        <v>Aportes del Departamento - Subsidio a la Oferta</v>
      </c>
      <c r="C96" s="864">
        <f>+[1]ENERO!C96</f>
        <v>0</v>
      </c>
      <c r="D96" s="205">
        <f>[1]ENERO!D96+[1]FEBRERO!P96</f>
        <v>0</v>
      </c>
      <c r="E96" s="205">
        <f>[1]ENERO!E96+[1]FEBRERO!Q96</f>
        <v>0</v>
      </c>
      <c r="F96" s="205">
        <f t="shared" si="92"/>
        <v>0</v>
      </c>
      <c r="G96" s="205">
        <f>[1]ENERO!I96</f>
        <v>0</v>
      </c>
      <c r="H96" s="208">
        <v>0</v>
      </c>
      <c r="I96" s="205">
        <f t="shared" si="93"/>
        <v>0</v>
      </c>
      <c r="J96" s="205">
        <f>[1]ENERO!L96</f>
        <v>0</v>
      </c>
      <c r="K96" s="208">
        <v>0</v>
      </c>
      <c r="L96" s="205">
        <f t="shared" si="94"/>
        <v>0</v>
      </c>
      <c r="M96" s="205">
        <f t="shared" si="95"/>
        <v>0</v>
      </c>
      <c r="N96" s="206">
        <f t="shared" si="96"/>
        <v>0</v>
      </c>
      <c r="O96" s="697"/>
      <c r="P96" s="204">
        <v>0</v>
      </c>
      <c r="Q96" s="210">
        <v>0</v>
      </c>
      <c r="R96" s="389"/>
      <c r="S96" s="266">
        <f>+IF([1]ENERO!S96=0,"",[1]ENERO!S96)</f>
        <v>1020302</v>
      </c>
      <c r="T96" s="267" t="str">
        <f>[1]ENERO!T96</f>
        <v>Contribuciones - Otros</v>
      </c>
      <c r="U96" s="301">
        <f>SUM(ENERO!U96)</f>
        <v>0</v>
      </c>
      <c r="V96" s="220">
        <f t="shared" ref="V96:AJ96" si="97">SUM(V97:V101)</f>
        <v>0</v>
      </c>
      <c r="W96" s="220">
        <f t="shared" si="97"/>
        <v>0</v>
      </c>
      <c r="X96" s="269">
        <f t="shared" si="97"/>
        <v>0</v>
      </c>
      <c r="Y96" s="270">
        <f t="shared" si="97"/>
        <v>0</v>
      </c>
      <c r="Z96" s="300">
        <f t="shared" si="97"/>
        <v>0</v>
      </c>
      <c r="AA96" s="271">
        <f t="shared" si="97"/>
        <v>0</v>
      </c>
      <c r="AB96" s="270">
        <f t="shared" si="97"/>
        <v>0</v>
      </c>
      <c r="AC96" s="300">
        <f t="shared" si="97"/>
        <v>0</v>
      </c>
      <c r="AD96" s="269">
        <f t="shared" si="97"/>
        <v>0</v>
      </c>
      <c r="AE96" s="270">
        <f t="shared" si="97"/>
        <v>0</v>
      </c>
      <c r="AF96" s="300">
        <f t="shared" si="97"/>
        <v>0</v>
      </c>
      <c r="AG96" s="269">
        <f t="shared" si="97"/>
        <v>0</v>
      </c>
      <c r="AH96" s="270">
        <f t="shared" si="97"/>
        <v>0</v>
      </c>
      <c r="AI96" s="220">
        <f t="shared" si="97"/>
        <v>0</v>
      </c>
      <c r="AJ96" s="269">
        <f t="shared" si="97"/>
        <v>0</v>
      </c>
      <c r="AK96" s="389"/>
      <c r="AL96" s="395">
        <f>SUM(AL97:AL101)</f>
        <v>0</v>
      </c>
      <c r="AM96" s="396">
        <f>SUM(AM97:AM101)</f>
        <v>0</v>
      </c>
    </row>
    <row r="97" spans="1:39" ht="24.75" customHeight="1">
      <c r="A97" s="394" t="str">
        <f>+IF([1]ENERO!A97=0,"",[1]ENERO!A97)</f>
        <v>1.1.02.06.007.02.08</v>
      </c>
      <c r="B97" s="397" t="str">
        <f>+IF([1]ENERO!B97=0,"",[1]ENERO!B97)</f>
        <v>Aportes del Municipio para fortalecimiento</v>
      </c>
      <c r="C97" s="864">
        <f>+[1]ENERO!C97</f>
        <v>0</v>
      </c>
      <c r="D97" s="205">
        <f>[1]ENERO!D97+[1]FEBRERO!P97</f>
        <v>0</v>
      </c>
      <c r="E97" s="205">
        <f>[1]ENERO!E97+[1]FEBRERO!Q97</f>
        <v>0</v>
      </c>
      <c r="F97" s="205">
        <f t="shared" si="92"/>
        <v>0</v>
      </c>
      <c r="G97" s="205">
        <f>[1]ENERO!I97</f>
        <v>0</v>
      </c>
      <c r="H97" s="208">
        <v>0</v>
      </c>
      <c r="I97" s="205">
        <f t="shared" si="93"/>
        <v>0</v>
      </c>
      <c r="J97" s="205">
        <f>[1]ENERO!L97</f>
        <v>0</v>
      </c>
      <c r="K97" s="208">
        <v>0</v>
      </c>
      <c r="L97" s="205">
        <f t="shared" si="94"/>
        <v>0</v>
      </c>
      <c r="M97" s="205">
        <f t="shared" si="95"/>
        <v>0</v>
      </c>
      <c r="N97" s="206">
        <f t="shared" si="96"/>
        <v>0</v>
      </c>
      <c r="O97" s="697"/>
      <c r="P97" s="204">
        <v>0</v>
      </c>
      <c r="Q97" s="210">
        <v>0</v>
      </c>
      <c r="R97" s="389"/>
      <c r="S97" s="311" t="str">
        <f>+IF([1]ENERO!S97=0,"",[1]ENERO!S97)</f>
        <v>2.1.1.01.02.002-1</v>
      </c>
      <c r="T97" s="267" t="str">
        <f>[1]ENERO!T97</f>
        <v>Aportes a E.P.S. - recursos propios</v>
      </c>
      <c r="U97" s="301">
        <f>SUM(ENERO!U97)</f>
        <v>0</v>
      </c>
      <c r="V97" s="220">
        <f>[1]ENERO!V97+[1]FEBRERO!AL97</f>
        <v>0</v>
      </c>
      <c r="W97" s="220">
        <f>[1]ENERO!W97+[1]FEBRERO!AM97</f>
        <v>0</v>
      </c>
      <c r="X97" s="269">
        <f t="shared" ref="X97:X102" si="98">SUM(U97:W97)</f>
        <v>0</v>
      </c>
      <c r="Y97" s="270">
        <f>[1]ENERO!AA97</f>
        <v>0</v>
      </c>
      <c r="Z97" s="208">
        <v>0</v>
      </c>
      <c r="AA97" s="271">
        <f t="shared" ref="AA97:AA102" si="99">SUM(Y97:Z97)</f>
        <v>0</v>
      </c>
      <c r="AB97" s="270">
        <f>[1]ENERO!AD97</f>
        <v>0</v>
      </c>
      <c r="AC97" s="208">
        <v>0</v>
      </c>
      <c r="AD97" s="269">
        <f t="shared" ref="AD97:AD102" si="100">SUM(AB97:AC97)</f>
        <v>0</v>
      </c>
      <c r="AE97" s="270">
        <f>[1]ENERO!AG97</f>
        <v>0</v>
      </c>
      <c r="AF97" s="208">
        <v>0</v>
      </c>
      <c r="AG97" s="269">
        <f t="shared" ref="AG97:AG102" si="101">SUM(AE97:AF97)</f>
        <v>0</v>
      </c>
      <c r="AH97" s="270">
        <f t="shared" ref="AH97:AH102" si="102">X97-AA97</f>
        <v>0</v>
      </c>
      <c r="AI97" s="220">
        <f t="shared" ref="AI97:AI102" si="103">X97-AD97</f>
        <v>0</v>
      </c>
      <c r="AJ97" s="269">
        <f t="shared" ref="AJ97:AJ102" si="104">X97-AG97</f>
        <v>0</v>
      </c>
      <c r="AK97" s="389"/>
      <c r="AL97" s="204">
        <v>0</v>
      </c>
      <c r="AM97" s="210">
        <v>0</v>
      </c>
    </row>
    <row r="98" spans="1:39" ht="24.75" customHeight="1">
      <c r="A98" s="394" t="str">
        <f>+IF([1]ENERO!A98=0,"",[1]ENERO!A98)</f>
        <v>1.1.02.06.007.02.08</v>
      </c>
      <c r="B98" s="397" t="str">
        <f>ENERO!B98</f>
        <v>Transferencias para las Empresas Sociales del Estado</v>
      </c>
      <c r="C98" s="864">
        <f>+[1]ENERO!C98</f>
        <v>0</v>
      </c>
      <c r="D98" s="205">
        <f>[1]ENERO!D98+[1]FEBRERO!P98</f>
        <v>0</v>
      </c>
      <c r="E98" s="205">
        <f>[1]ENERO!E98+[1]FEBRERO!Q98</f>
        <v>0</v>
      </c>
      <c r="F98" s="205">
        <f t="shared" si="92"/>
        <v>0</v>
      </c>
      <c r="G98" s="205">
        <f>[1]ENERO!I98</f>
        <v>0</v>
      </c>
      <c r="H98" s="208">
        <v>0</v>
      </c>
      <c r="I98" s="205">
        <f t="shared" si="93"/>
        <v>0</v>
      </c>
      <c r="J98" s="205">
        <f>[1]ENERO!L98</f>
        <v>0</v>
      </c>
      <c r="K98" s="208">
        <v>0</v>
      </c>
      <c r="L98" s="205">
        <f t="shared" si="94"/>
        <v>0</v>
      </c>
      <c r="M98" s="205">
        <f t="shared" si="95"/>
        <v>0</v>
      </c>
      <c r="N98" s="206">
        <f t="shared" si="96"/>
        <v>0</v>
      </c>
      <c r="O98" s="697"/>
      <c r="P98" s="204">
        <v>0</v>
      </c>
      <c r="Q98" s="210">
        <v>0</v>
      </c>
      <c r="R98" s="389"/>
      <c r="S98" s="311" t="str">
        <f>+IF([1]ENERO!S98=0,"",[1]ENERO!S98)</f>
        <v>2.1.1.01.02.001-1</v>
      </c>
      <c r="T98" s="267" t="str">
        <f>[1]ENERO!T98</f>
        <v>Aportes Fondos Pensionales - recursos propios</v>
      </c>
      <c r="U98" s="301">
        <f>SUM(ENERO!U98)</f>
        <v>0</v>
      </c>
      <c r="V98" s="220">
        <f>[1]ENERO!V98+[1]FEBRERO!AL98</f>
        <v>0</v>
      </c>
      <c r="W98" s="220">
        <f>[1]ENERO!W98+[1]FEBRERO!AM98</f>
        <v>0</v>
      </c>
      <c r="X98" s="269">
        <f t="shared" si="98"/>
        <v>0</v>
      </c>
      <c r="Y98" s="270">
        <f>[1]ENERO!AA98</f>
        <v>0</v>
      </c>
      <c r="Z98" s="208">
        <v>0</v>
      </c>
      <c r="AA98" s="271">
        <f t="shared" si="99"/>
        <v>0</v>
      </c>
      <c r="AB98" s="270">
        <f>[1]ENERO!AD98</f>
        <v>0</v>
      </c>
      <c r="AC98" s="208">
        <v>0</v>
      </c>
      <c r="AD98" s="269">
        <f t="shared" si="100"/>
        <v>0</v>
      </c>
      <c r="AE98" s="270">
        <f>[1]ENERO!AG98</f>
        <v>0</v>
      </c>
      <c r="AF98" s="208">
        <v>0</v>
      </c>
      <c r="AG98" s="269">
        <f t="shared" si="101"/>
        <v>0</v>
      </c>
      <c r="AH98" s="270">
        <f t="shared" si="102"/>
        <v>0</v>
      </c>
      <c r="AI98" s="220">
        <f t="shared" si="103"/>
        <v>0</v>
      </c>
      <c r="AJ98" s="269">
        <f t="shared" si="104"/>
        <v>0</v>
      </c>
      <c r="AK98" s="389"/>
      <c r="AL98" s="204">
        <v>0</v>
      </c>
      <c r="AM98" s="210">
        <v>0</v>
      </c>
    </row>
    <row r="99" spans="1:39" ht="24.75" customHeight="1">
      <c r="A99" s="394" t="str">
        <f>+IF([1]ENERO!A99=0,"",[1]ENERO!A99)</f>
        <v>11303-5</v>
      </c>
      <c r="B99" s="397" t="str">
        <f>+IF([1]ENERO!B99=0,"",[1]ENERO!B99)</f>
        <v>RECURSOS PARA PROGRAMA DE SANEAMIENTO FINANCIERO</v>
      </c>
      <c r="C99" s="864">
        <f>+[1]ENERO!C99</f>
        <v>0</v>
      </c>
      <c r="D99" s="205">
        <f>[1]ENERO!D99+[1]FEBRERO!P99</f>
        <v>0</v>
      </c>
      <c r="E99" s="205">
        <f>[1]ENERO!E99+[1]FEBRERO!Q99</f>
        <v>0</v>
      </c>
      <c r="F99" s="205">
        <f t="shared" si="92"/>
        <v>0</v>
      </c>
      <c r="G99" s="205">
        <f>[1]ENERO!I99</f>
        <v>0</v>
      </c>
      <c r="H99" s="208">
        <v>0</v>
      </c>
      <c r="I99" s="205">
        <f t="shared" si="93"/>
        <v>0</v>
      </c>
      <c r="J99" s="205">
        <f>[1]ENERO!L99</f>
        <v>0</v>
      </c>
      <c r="K99" s="208">
        <v>0</v>
      </c>
      <c r="L99" s="205">
        <f t="shared" si="94"/>
        <v>0</v>
      </c>
      <c r="M99" s="205">
        <f t="shared" si="95"/>
        <v>0</v>
      </c>
      <c r="N99" s="206">
        <f t="shared" si="96"/>
        <v>0</v>
      </c>
      <c r="O99" s="697"/>
      <c r="P99" s="204">
        <v>0</v>
      </c>
      <c r="Q99" s="210">
        <v>0</v>
      </c>
      <c r="R99" s="389"/>
      <c r="S99" s="311" t="str">
        <f>+IF([1]ENERO!S99=0,"",[1]ENERO!S99)</f>
        <v>2.1.1.01.02.003-1</v>
      </c>
      <c r="T99" s="267" t="str">
        <f>[1]ENERO!T99</f>
        <v>Aportes a Fondos de Cesantia - recursos propios</v>
      </c>
      <c r="U99" s="301">
        <f>SUM(ENERO!U99)</f>
        <v>0</v>
      </c>
      <c r="V99" s="220">
        <f>[1]ENERO!V99+[1]FEBRERO!AL99</f>
        <v>0</v>
      </c>
      <c r="W99" s="220">
        <f>[1]ENERO!W99+[1]FEBRERO!AM99</f>
        <v>0</v>
      </c>
      <c r="X99" s="269">
        <f t="shared" si="98"/>
        <v>0</v>
      </c>
      <c r="Y99" s="270">
        <f>[1]ENERO!AA99</f>
        <v>0</v>
      </c>
      <c r="Z99" s="208">
        <v>0</v>
      </c>
      <c r="AA99" s="271">
        <f t="shared" si="99"/>
        <v>0</v>
      </c>
      <c r="AB99" s="270">
        <f>[1]ENERO!AD99</f>
        <v>0</v>
      </c>
      <c r="AC99" s="208">
        <v>0</v>
      </c>
      <c r="AD99" s="269">
        <f t="shared" si="100"/>
        <v>0</v>
      </c>
      <c r="AE99" s="270">
        <f>[1]ENERO!AG99</f>
        <v>0</v>
      </c>
      <c r="AF99" s="208">
        <v>0</v>
      </c>
      <c r="AG99" s="269">
        <f t="shared" si="101"/>
        <v>0</v>
      </c>
      <c r="AH99" s="270">
        <f t="shared" si="102"/>
        <v>0</v>
      </c>
      <c r="AI99" s="220">
        <f t="shared" si="103"/>
        <v>0</v>
      </c>
      <c r="AJ99" s="269">
        <f t="shared" si="104"/>
        <v>0</v>
      </c>
      <c r="AK99" s="389"/>
      <c r="AL99" s="204">
        <v>0</v>
      </c>
      <c r="AM99" s="210">
        <v>0</v>
      </c>
    </row>
    <row r="100" spans="1:39" ht="24.75" customHeight="1">
      <c r="A100" s="394" t="str">
        <f>+IF([1]ENERO!A100=0,"",[1]ENERO!A100)</f>
        <v>1.1.02.06.006.07</v>
      </c>
      <c r="B100" s="397" t="str">
        <f>+IF([1]ENERO!B100=0,"",[1]ENERO!B100)</f>
        <v>ESTAMPILLA PROHOSPITALES</v>
      </c>
      <c r="C100" s="864">
        <f>+[1]ENERO!C100</f>
        <v>650000000</v>
      </c>
      <c r="D100" s="205">
        <f>[1]ENERO!D100+[1]FEBRERO!P100</f>
        <v>0</v>
      </c>
      <c r="E100" s="205">
        <f>[1]ENERO!E100+[1]FEBRERO!Q100</f>
        <v>0</v>
      </c>
      <c r="F100" s="205">
        <f t="shared" si="92"/>
        <v>650000000</v>
      </c>
      <c r="G100" s="205">
        <f>[1]ENERO!I100</f>
        <v>0</v>
      </c>
      <c r="H100" s="208">
        <v>0</v>
      </c>
      <c r="I100" s="205">
        <f t="shared" si="93"/>
        <v>0</v>
      </c>
      <c r="J100" s="205">
        <f>[1]ENERO!L100</f>
        <v>0</v>
      </c>
      <c r="K100" s="208">
        <v>0</v>
      </c>
      <c r="L100" s="205">
        <f t="shared" si="94"/>
        <v>0</v>
      </c>
      <c r="M100" s="205">
        <f t="shared" si="95"/>
        <v>650000000</v>
      </c>
      <c r="N100" s="206">
        <f t="shared" si="96"/>
        <v>650000000</v>
      </c>
      <c r="O100" s="697"/>
      <c r="P100" s="204">
        <v>0</v>
      </c>
      <c r="Q100" s="210">
        <v>0</v>
      </c>
      <c r="R100" s="805"/>
      <c r="S100" s="311" t="str">
        <f>+IF([1]ENERO!S100=0,"",[1]ENERO!S100)</f>
        <v>2.1.1.01.02.005-1</v>
      </c>
      <c r="T100" s="267" t="str">
        <f>[1]ENERO!T100</f>
        <v>Aporte a ARL. - recursos propios</v>
      </c>
      <c r="U100" s="301">
        <f>SUM(ENERO!U100)</f>
        <v>0</v>
      </c>
      <c r="V100" s="220">
        <f>[1]ENERO!V100+[1]FEBRERO!AL100</f>
        <v>0</v>
      </c>
      <c r="W100" s="220">
        <f>[1]ENERO!W100+[1]FEBRERO!AM100</f>
        <v>0</v>
      </c>
      <c r="X100" s="269">
        <f t="shared" si="98"/>
        <v>0</v>
      </c>
      <c r="Y100" s="270">
        <f>[1]ENERO!AA100</f>
        <v>0</v>
      </c>
      <c r="Z100" s="208">
        <v>0</v>
      </c>
      <c r="AA100" s="271">
        <f t="shared" si="99"/>
        <v>0</v>
      </c>
      <c r="AB100" s="270">
        <f>[1]ENERO!AD100</f>
        <v>0</v>
      </c>
      <c r="AC100" s="208">
        <v>0</v>
      </c>
      <c r="AD100" s="269">
        <f t="shared" si="100"/>
        <v>0</v>
      </c>
      <c r="AE100" s="270">
        <f>[1]ENERO!AG100</f>
        <v>0</v>
      </c>
      <c r="AF100" s="208">
        <v>0</v>
      </c>
      <c r="AG100" s="269">
        <f t="shared" si="101"/>
        <v>0</v>
      </c>
      <c r="AH100" s="270">
        <f t="shared" si="102"/>
        <v>0</v>
      </c>
      <c r="AI100" s="220">
        <f t="shared" si="103"/>
        <v>0</v>
      </c>
      <c r="AJ100" s="269">
        <f t="shared" si="104"/>
        <v>0</v>
      </c>
      <c r="AK100" s="389"/>
      <c r="AL100" s="204">
        <v>0</v>
      </c>
      <c r="AM100" s="210">
        <v>0</v>
      </c>
    </row>
    <row r="101" spans="1:39" ht="24.75" customHeight="1">
      <c r="A101" s="394" t="str">
        <f>+IF([1]ENERO!A101=0,"",[1]ENERO!A101)</f>
        <v>11303-7</v>
      </c>
      <c r="B101" s="397" t="str">
        <f>+IF([1]ENERO!B101=0,"",[1]ENERO!B101)</f>
        <v>SUBSIDIO A LA OFERTA (ART. 2.4.2.6 DECRETO 268 DE 2020)</v>
      </c>
      <c r="C101" s="864">
        <f>+[1]ENERO!C101</f>
        <v>0</v>
      </c>
      <c r="D101" s="205">
        <f>[1]ENERO!D101+[1]FEBRERO!P101</f>
        <v>0</v>
      </c>
      <c r="E101" s="205">
        <f>[1]ENERO!E101+[1]FEBRERO!Q101</f>
        <v>0</v>
      </c>
      <c r="F101" s="205">
        <f t="shared" si="92"/>
        <v>0</v>
      </c>
      <c r="G101" s="205">
        <f>[1]ENERO!I101</f>
        <v>0</v>
      </c>
      <c r="H101" s="208">
        <v>0</v>
      </c>
      <c r="I101" s="205">
        <f t="shared" si="93"/>
        <v>0</v>
      </c>
      <c r="J101" s="205">
        <f>[1]ENERO!L101</f>
        <v>0</v>
      </c>
      <c r="K101" s="208">
        <v>0</v>
      </c>
      <c r="L101" s="205">
        <f t="shared" si="94"/>
        <v>0</v>
      </c>
      <c r="M101" s="205">
        <f t="shared" si="95"/>
        <v>0</v>
      </c>
      <c r="N101" s="206">
        <f t="shared" si="96"/>
        <v>0</v>
      </c>
      <c r="O101" s="697"/>
      <c r="P101" s="204">
        <v>0</v>
      </c>
      <c r="Q101" s="210">
        <v>0</v>
      </c>
      <c r="R101" s="805"/>
      <c r="S101" s="311" t="str">
        <f>+IF([1]ENERO!S101=0,"",[1]ENERO!S101)</f>
        <v>2.1.1.01.02.004-1</v>
      </c>
      <c r="T101" s="267" t="str">
        <f>[1]ENERO!T101</f>
        <v>Aporte a Caja Compensación Familiar</v>
      </c>
      <c r="U101" s="301">
        <f>SUM(ENERO!U101)</f>
        <v>0</v>
      </c>
      <c r="V101" s="220">
        <f>[1]ENERO!V101+[1]FEBRERO!AL101</f>
        <v>0</v>
      </c>
      <c r="W101" s="220">
        <f>[1]ENERO!W101+[1]FEBRERO!AM101</f>
        <v>0</v>
      </c>
      <c r="X101" s="269">
        <f t="shared" si="98"/>
        <v>0</v>
      </c>
      <c r="Y101" s="270">
        <f>[1]ENERO!AA101</f>
        <v>0</v>
      </c>
      <c r="Z101" s="208">
        <v>0</v>
      </c>
      <c r="AA101" s="271">
        <f t="shared" si="99"/>
        <v>0</v>
      </c>
      <c r="AB101" s="270">
        <f>[1]ENERO!AD101</f>
        <v>0</v>
      </c>
      <c r="AC101" s="208">
        <v>0</v>
      </c>
      <c r="AD101" s="269">
        <f t="shared" si="100"/>
        <v>0</v>
      </c>
      <c r="AE101" s="270">
        <f>[1]ENERO!AG101</f>
        <v>0</v>
      </c>
      <c r="AF101" s="208">
        <v>0</v>
      </c>
      <c r="AG101" s="269">
        <f t="shared" si="101"/>
        <v>0</v>
      </c>
      <c r="AH101" s="270">
        <f t="shared" si="102"/>
        <v>0</v>
      </c>
      <c r="AI101" s="220">
        <f t="shared" si="103"/>
        <v>0</v>
      </c>
      <c r="AJ101" s="269">
        <f t="shared" si="104"/>
        <v>0</v>
      </c>
      <c r="AK101" s="389"/>
      <c r="AL101" s="204">
        <v>0</v>
      </c>
      <c r="AM101" s="210">
        <v>0</v>
      </c>
    </row>
    <row r="102" spans="1:39" ht="24.75" customHeight="1" thickBot="1">
      <c r="A102" s="394" t="str">
        <f>+IF([1]ENERO!A102=0,"",[1]ENERO!A102)</f>
        <v>1.1.02.06.006.07.99</v>
      </c>
      <c r="B102" s="390" t="str">
        <f>+IF([1]ENERO!B102=0,"",[1]ENERO!B102)</f>
        <v>Vigencia Anterior estampilla</v>
      </c>
      <c r="C102" s="391">
        <f>+[1]ENERO!C102</f>
        <v>0</v>
      </c>
      <c r="D102" s="243">
        <f>[1]ENERO!D102+[1]FEBRERO!P102</f>
        <v>0</v>
      </c>
      <c r="E102" s="243">
        <f>[1]ENERO!E102+[1]FEBRERO!Q102</f>
        <v>0</v>
      </c>
      <c r="F102" s="243">
        <f t="shared" si="92"/>
        <v>0</v>
      </c>
      <c r="G102" s="243">
        <f>[1]ENERO!I102</f>
        <v>0</v>
      </c>
      <c r="H102" s="246">
        <v>0</v>
      </c>
      <c r="I102" s="243">
        <f t="shared" si="93"/>
        <v>0</v>
      </c>
      <c r="J102" s="243">
        <f>[1]ENERO!L102</f>
        <v>0</v>
      </c>
      <c r="K102" s="246">
        <v>0</v>
      </c>
      <c r="L102" s="243">
        <f t="shared" si="94"/>
        <v>0</v>
      </c>
      <c r="M102" s="243">
        <f t="shared" si="95"/>
        <v>0</v>
      </c>
      <c r="N102" s="244">
        <f t="shared" si="96"/>
        <v>0</v>
      </c>
      <c r="O102" s="697"/>
      <c r="P102" s="204">
        <v>0</v>
      </c>
      <c r="Q102" s="210">
        <v>0</v>
      </c>
      <c r="R102" s="805"/>
      <c r="S102" s="266">
        <f>+IF([1]ENERO!S102=0,"",[1]ENERO!S102)</f>
        <v>1020399</v>
      </c>
      <c r="T102" s="267" t="str">
        <f>[1]ENERO!T102</f>
        <v>Vigencias Anteriores</v>
      </c>
      <c r="U102" s="301">
        <f>SUM(ENERO!U102)</f>
        <v>0</v>
      </c>
      <c r="V102" s="220">
        <f>[1]ENERO!V102+[1]FEBRERO!AL102</f>
        <v>0</v>
      </c>
      <c r="W102" s="220">
        <f>[1]ENERO!W102+[1]FEBRERO!AM102</f>
        <v>0</v>
      </c>
      <c r="X102" s="269">
        <f t="shared" si="98"/>
        <v>0</v>
      </c>
      <c r="Y102" s="270">
        <f>[1]ENERO!AA102</f>
        <v>0</v>
      </c>
      <c r="Z102" s="208">
        <v>0</v>
      </c>
      <c r="AA102" s="271">
        <f t="shared" si="99"/>
        <v>0</v>
      </c>
      <c r="AB102" s="270">
        <f>[1]ENERO!AD102</f>
        <v>0</v>
      </c>
      <c r="AC102" s="208">
        <v>0</v>
      </c>
      <c r="AD102" s="269">
        <f t="shared" si="100"/>
        <v>0</v>
      </c>
      <c r="AE102" s="270">
        <f>[1]ENERO!AG102</f>
        <v>0</v>
      </c>
      <c r="AF102" s="208">
        <v>0</v>
      </c>
      <c r="AG102" s="269">
        <f t="shared" si="101"/>
        <v>0</v>
      </c>
      <c r="AH102" s="270">
        <f t="shared" si="102"/>
        <v>0</v>
      </c>
      <c r="AI102" s="220">
        <f t="shared" si="103"/>
        <v>0</v>
      </c>
      <c r="AJ102" s="269">
        <f t="shared" si="104"/>
        <v>0</v>
      </c>
      <c r="AK102" s="805"/>
      <c r="AL102" s="204">
        <v>0</v>
      </c>
      <c r="AM102" s="210">
        <v>0</v>
      </c>
    </row>
    <row r="103" spans="1:39" ht="24.75" customHeight="1" thickBot="1">
      <c r="A103" s="398" t="str">
        <f>+IF([1]ENERO!A103=0,"",[1]ENERO!A103)</f>
        <v/>
      </c>
      <c r="B103" s="399" t="str">
        <f>+IF([1]ENERO!B103=0,"",[1]ENERO!B103)</f>
        <v/>
      </c>
      <c r="C103" s="865"/>
      <c r="D103" s="865"/>
      <c r="E103" s="865"/>
      <c r="F103" s="865"/>
      <c r="G103" s="865"/>
      <c r="H103" s="865"/>
      <c r="I103" s="865"/>
      <c r="J103" s="865"/>
      <c r="K103" s="865"/>
      <c r="L103" s="865"/>
      <c r="M103" s="865"/>
      <c r="N103" s="401"/>
      <c r="O103" s="697"/>
      <c r="P103" s="402"/>
      <c r="Q103" s="401"/>
      <c r="R103" s="805"/>
      <c r="S103" s="189" t="str">
        <f>+IF([1]ENERO!S103=0,"",[1]ENERO!S103)</f>
        <v/>
      </c>
      <c r="T103" s="190"/>
      <c r="U103" s="193"/>
      <c r="V103" s="191"/>
      <c r="W103" s="191"/>
      <c r="X103" s="192"/>
      <c r="Y103" s="193"/>
      <c r="Z103" s="191"/>
      <c r="AA103" s="191"/>
      <c r="AB103" s="193"/>
      <c r="AC103" s="191"/>
      <c r="AD103" s="192"/>
      <c r="AE103" s="193"/>
      <c r="AF103" s="191"/>
      <c r="AG103" s="192"/>
      <c r="AH103" s="193"/>
      <c r="AI103" s="191"/>
      <c r="AJ103" s="192"/>
      <c r="AK103" s="805"/>
      <c r="AL103" s="370"/>
      <c r="AM103" s="371"/>
    </row>
    <row r="104" spans="1:39" ht="24.75" customHeight="1">
      <c r="A104" s="392">
        <f>+IF([1]ENERO!A104=0,"",[1]ENERO!A104)</f>
        <v>11304</v>
      </c>
      <c r="B104" s="393" t="str">
        <f>+IF([1]ENERO!B104=0,"",[1]ENERO!B104)</f>
        <v>Otros ingresos corrientes</v>
      </c>
      <c r="C104" s="383">
        <f t="shared" ref="C104:N104" si="105">SUM(C105:C111)</f>
        <v>235000000</v>
      </c>
      <c r="D104" s="384">
        <f t="shared" si="105"/>
        <v>0</v>
      </c>
      <c r="E104" s="384">
        <f t="shared" si="105"/>
        <v>0</v>
      </c>
      <c r="F104" s="384">
        <f t="shared" si="105"/>
        <v>235000000</v>
      </c>
      <c r="G104" s="384">
        <f t="shared" si="105"/>
        <v>149228833</v>
      </c>
      <c r="H104" s="384">
        <f t="shared" si="105"/>
        <v>28238036</v>
      </c>
      <c r="I104" s="384">
        <f t="shared" si="105"/>
        <v>177466869</v>
      </c>
      <c r="J104" s="384">
        <f t="shared" si="105"/>
        <v>48535648</v>
      </c>
      <c r="K104" s="384">
        <f t="shared" si="105"/>
        <v>36661382</v>
      </c>
      <c r="L104" s="384">
        <f t="shared" si="105"/>
        <v>85197030</v>
      </c>
      <c r="M104" s="384">
        <f t="shared" si="105"/>
        <v>57533131</v>
      </c>
      <c r="N104" s="385">
        <f t="shared" si="105"/>
        <v>149802970</v>
      </c>
      <c r="O104" s="697"/>
      <c r="P104" s="288">
        <f>SUM(P105:P111)</f>
        <v>0</v>
      </c>
      <c r="Q104" s="289">
        <f>SUM(Q105:Q111)</f>
        <v>0</v>
      </c>
      <c r="R104" s="805"/>
      <c r="S104" s="257">
        <f>+IF([1]ENERO!S104=0,"",[1]ENERO!S104)</f>
        <v>1020400</v>
      </c>
      <c r="T104" s="258" t="s">
        <v>239</v>
      </c>
      <c r="U104" s="233">
        <f t="shared" ref="U104:AJ104" si="106">U105+U108</f>
        <v>0</v>
      </c>
      <c r="V104" s="231">
        <f t="shared" si="106"/>
        <v>0</v>
      </c>
      <c r="W104" s="231">
        <f t="shared" si="106"/>
        <v>0</v>
      </c>
      <c r="X104" s="232">
        <f t="shared" si="106"/>
        <v>0</v>
      </c>
      <c r="Y104" s="233">
        <f t="shared" si="106"/>
        <v>0</v>
      </c>
      <c r="Z104" s="231">
        <f t="shared" si="106"/>
        <v>0</v>
      </c>
      <c r="AA104" s="234">
        <f t="shared" si="106"/>
        <v>0</v>
      </c>
      <c r="AB104" s="233">
        <f t="shared" si="106"/>
        <v>0</v>
      </c>
      <c r="AC104" s="231">
        <f t="shared" si="106"/>
        <v>0</v>
      </c>
      <c r="AD104" s="232">
        <f t="shared" si="106"/>
        <v>0</v>
      </c>
      <c r="AE104" s="233">
        <f t="shared" si="106"/>
        <v>0</v>
      </c>
      <c r="AF104" s="231">
        <f t="shared" si="106"/>
        <v>0</v>
      </c>
      <c r="AG104" s="232">
        <f t="shared" si="106"/>
        <v>0</v>
      </c>
      <c r="AH104" s="233">
        <f t="shared" si="106"/>
        <v>0</v>
      </c>
      <c r="AI104" s="231">
        <f t="shared" si="106"/>
        <v>0</v>
      </c>
      <c r="AJ104" s="232">
        <f t="shared" si="106"/>
        <v>0</v>
      </c>
      <c r="AK104" s="805"/>
      <c r="AL104" s="233">
        <f>AL105+AL108</f>
        <v>0</v>
      </c>
      <c r="AM104" s="232">
        <f>AM105+AM108</f>
        <v>0</v>
      </c>
    </row>
    <row r="105" spans="1:39" ht="24.75" customHeight="1">
      <c r="A105" s="394" t="str">
        <f>+IF([1]ENERO!A105=0,"",[1]ENERO!A105)</f>
        <v>1.1.02.05.002.07</v>
      </c>
      <c r="B105" s="397" t="str">
        <f>+IF([1]ENERO!B105=0,"",[1]ENERO!B105)</f>
        <v>Servicios financieros y servicios conexos, servicios inmobiliarios y servicios de leasing (ARRENDAMIENTOS)</v>
      </c>
      <c r="C105" s="864">
        <f>+[1]ENERO!C105</f>
        <v>235000000</v>
      </c>
      <c r="D105" s="205">
        <f>[1]ENERO!D105+[1]FEBRERO!P105</f>
        <v>0</v>
      </c>
      <c r="E105" s="205">
        <f>[1]ENERO!E105+[1]FEBRERO!Q105</f>
        <v>0</v>
      </c>
      <c r="F105" s="205">
        <f t="shared" ref="F105:F111" si="107">SUM(C105:E105)</f>
        <v>235000000</v>
      </c>
      <c r="G105" s="205">
        <f>[1]ENERO!I105</f>
        <v>23914935</v>
      </c>
      <c r="H105" s="208">
        <v>28227036</v>
      </c>
      <c r="I105" s="205">
        <f t="shared" ref="I105:I111" si="108">SUM(G105:H105)</f>
        <v>52141971</v>
      </c>
      <c r="J105" s="205">
        <f>[1]ENERO!L105</f>
        <v>6555080</v>
      </c>
      <c r="K105" s="208">
        <v>36650382</v>
      </c>
      <c r="L105" s="205">
        <f t="shared" ref="L105:L111" si="109">SUM(J105:K105)</f>
        <v>43205462</v>
      </c>
      <c r="M105" s="205">
        <f t="shared" ref="M105:M111" si="110">F105-I105</f>
        <v>182858029</v>
      </c>
      <c r="N105" s="206">
        <f t="shared" ref="N105:N111" si="111">F105-L105</f>
        <v>191794538</v>
      </c>
      <c r="O105" s="697"/>
      <c r="P105" s="204">
        <v>0</v>
      </c>
      <c r="Q105" s="210">
        <v>0</v>
      </c>
      <c r="R105" s="805"/>
      <c r="S105" s="266">
        <f>+IF([1]ENERO!S105=0,"",[1]ENERO!S105)</f>
        <v>1020402</v>
      </c>
      <c r="T105" s="267" t="str">
        <f>[1]ENERO!T105</f>
        <v>Contribuciones - Otros</v>
      </c>
      <c r="U105" s="301">
        <f>SUM(ENERO!U105)</f>
        <v>0</v>
      </c>
      <c r="V105" s="220">
        <f t="shared" ref="V105:AJ105" si="112">SUM(V106:V107)</f>
        <v>0</v>
      </c>
      <c r="W105" s="220">
        <f t="shared" si="112"/>
        <v>0</v>
      </c>
      <c r="X105" s="269">
        <f t="shared" si="112"/>
        <v>0</v>
      </c>
      <c r="Y105" s="270">
        <f t="shared" si="112"/>
        <v>0</v>
      </c>
      <c r="Z105" s="300">
        <f t="shared" si="112"/>
        <v>0</v>
      </c>
      <c r="AA105" s="271">
        <f t="shared" si="112"/>
        <v>0</v>
      </c>
      <c r="AB105" s="270">
        <f t="shared" si="112"/>
        <v>0</v>
      </c>
      <c r="AC105" s="300">
        <f t="shared" si="112"/>
        <v>0</v>
      </c>
      <c r="AD105" s="269">
        <f t="shared" si="112"/>
        <v>0</v>
      </c>
      <c r="AE105" s="270">
        <f t="shared" si="112"/>
        <v>0</v>
      </c>
      <c r="AF105" s="300">
        <f t="shared" si="112"/>
        <v>0</v>
      </c>
      <c r="AG105" s="269">
        <f t="shared" si="112"/>
        <v>0</v>
      </c>
      <c r="AH105" s="270">
        <f t="shared" si="112"/>
        <v>0</v>
      </c>
      <c r="AI105" s="220">
        <f t="shared" si="112"/>
        <v>0</v>
      </c>
      <c r="AJ105" s="269">
        <f t="shared" si="112"/>
        <v>0</v>
      </c>
      <c r="AK105" s="827"/>
      <c r="AL105" s="301">
        <f>SUM(AL106:AL107)</f>
        <v>0</v>
      </c>
      <c r="AM105" s="302">
        <f>SUM(AM106:AM107)</f>
        <v>0</v>
      </c>
    </row>
    <row r="106" spans="1:39" ht="24.75" customHeight="1">
      <c r="A106" s="394">
        <f>+IF([1]ENERO!A106=0,"",[1]ENERO!A106)</f>
        <v>1020402</v>
      </c>
      <c r="B106" s="403"/>
      <c r="C106" s="864">
        <f>+[1]ENERO!C106</f>
        <v>0</v>
      </c>
      <c r="D106" s="205">
        <f>[1]ENERO!D106+[1]FEBRERO!P106</f>
        <v>0</v>
      </c>
      <c r="E106" s="205">
        <f>[1]ENERO!E106+[1]FEBRERO!Q106</f>
        <v>0</v>
      </c>
      <c r="F106" s="205">
        <f t="shared" si="107"/>
        <v>0</v>
      </c>
      <c r="G106" s="205">
        <f>[1]ENERO!I106</f>
        <v>83333330</v>
      </c>
      <c r="H106" s="208">
        <v>0</v>
      </c>
      <c r="I106" s="205">
        <f t="shared" si="108"/>
        <v>83333330</v>
      </c>
      <c r="J106" s="205">
        <f>[1]ENERO!L106</f>
        <v>0</v>
      </c>
      <c r="K106" s="208">
        <v>0</v>
      </c>
      <c r="L106" s="205">
        <f t="shared" si="109"/>
        <v>0</v>
      </c>
      <c r="M106" s="205">
        <f t="shared" si="110"/>
        <v>-83333330</v>
      </c>
      <c r="N106" s="206">
        <f t="shared" si="111"/>
        <v>0</v>
      </c>
      <c r="O106" s="697"/>
      <c r="P106" s="204">
        <v>0</v>
      </c>
      <c r="Q106" s="210">
        <v>0</v>
      </c>
      <c r="R106" s="805"/>
      <c r="S106" s="311" t="str">
        <f>+IF([1]ENERO!S106=0,"",[1]ENERO!S106)</f>
        <v>2.1.1.01.02.007-1</v>
      </c>
      <c r="T106" s="267" t="str">
        <f>[1]ENERO!T106</f>
        <v>S.E.N.A.</v>
      </c>
      <c r="U106" s="301">
        <f>SUM(ENERO!U106)</f>
        <v>0</v>
      </c>
      <c r="V106" s="220">
        <f>[1]ENERO!V106+[1]FEBRERO!AL106</f>
        <v>0</v>
      </c>
      <c r="W106" s="220">
        <f>[1]ENERO!W106+[1]FEBRERO!AM106</f>
        <v>0</v>
      </c>
      <c r="X106" s="269">
        <f>SUM(U106:W106)</f>
        <v>0</v>
      </c>
      <c r="Y106" s="270">
        <f>[1]ENERO!AA106</f>
        <v>0</v>
      </c>
      <c r="Z106" s="208">
        <v>0</v>
      </c>
      <c r="AA106" s="271">
        <f>SUM(Y106:Z106)</f>
        <v>0</v>
      </c>
      <c r="AB106" s="270">
        <f>[1]ENERO!AD106</f>
        <v>0</v>
      </c>
      <c r="AC106" s="208">
        <v>0</v>
      </c>
      <c r="AD106" s="269">
        <f>SUM(AB106:AC106)</f>
        <v>0</v>
      </c>
      <c r="AE106" s="270">
        <f>[1]ENERO!AG106</f>
        <v>0</v>
      </c>
      <c r="AF106" s="208">
        <v>0</v>
      </c>
      <c r="AG106" s="269">
        <f>SUM(AE106:AF106)</f>
        <v>0</v>
      </c>
      <c r="AH106" s="270">
        <f>X106-AA106</f>
        <v>0</v>
      </c>
      <c r="AI106" s="220">
        <f>X106-AD106</f>
        <v>0</v>
      </c>
      <c r="AJ106" s="269">
        <f>X106-AG106</f>
        <v>0</v>
      </c>
      <c r="AK106" s="805"/>
      <c r="AL106" s="204">
        <v>0</v>
      </c>
      <c r="AM106" s="210">
        <v>0</v>
      </c>
    </row>
    <row r="107" spans="1:39" ht="24.75" customHeight="1">
      <c r="A107" s="394"/>
      <c r="B107" s="397"/>
      <c r="C107" s="864">
        <f>+[1]ENERO!C107</f>
        <v>0</v>
      </c>
      <c r="D107" s="205">
        <f>[1]ENERO!D107+[1]FEBRERO!P107</f>
        <v>0</v>
      </c>
      <c r="E107" s="205">
        <v>0</v>
      </c>
      <c r="F107" s="205">
        <f t="shared" si="107"/>
        <v>0</v>
      </c>
      <c r="G107" s="205">
        <v>0</v>
      </c>
      <c r="H107" s="208">
        <v>0</v>
      </c>
      <c r="I107" s="205">
        <f t="shared" si="108"/>
        <v>0</v>
      </c>
      <c r="J107" s="205">
        <f>[1]ENERO!L107</f>
        <v>0</v>
      </c>
      <c r="K107" s="208">
        <v>0</v>
      </c>
      <c r="L107" s="205">
        <f t="shared" si="109"/>
        <v>0</v>
      </c>
      <c r="M107" s="205">
        <f t="shared" si="110"/>
        <v>0</v>
      </c>
      <c r="N107" s="206">
        <f t="shared" si="111"/>
        <v>0</v>
      </c>
      <c r="O107" s="697"/>
      <c r="P107" s="204">
        <v>0</v>
      </c>
      <c r="Q107" s="210">
        <v>0</v>
      </c>
      <c r="R107" s="805"/>
      <c r="S107" s="311" t="str">
        <f>+IF([1]ENERO!S107=0,"",[1]ENERO!S107)</f>
        <v>2.1.1.01.02.006-1</v>
      </c>
      <c r="T107" s="267" t="str">
        <f>[1]ENERO!T107</f>
        <v>I.C.B.F.</v>
      </c>
      <c r="U107" s="301">
        <f>SUM(ENERO!U107)</f>
        <v>0</v>
      </c>
      <c r="V107" s="220">
        <f>[1]ENERO!V107+[1]FEBRERO!AL107</f>
        <v>0</v>
      </c>
      <c r="W107" s="220">
        <f>[1]ENERO!W107+[1]FEBRERO!AM107</f>
        <v>0</v>
      </c>
      <c r="X107" s="269">
        <f>SUM(U107:W107)</f>
        <v>0</v>
      </c>
      <c r="Y107" s="270">
        <f>[1]ENERO!AA107</f>
        <v>0</v>
      </c>
      <c r="Z107" s="208">
        <v>0</v>
      </c>
      <c r="AA107" s="271">
        <f>SUM(Y107:Z107)</f>
        <v>0</v>
      </c>
      <c r="AB107" s="270">
        <f>[1]ENERO!AD107</f>
        <v>0</v>
      </c>
      <c r="AC107" s="208">
        <v>0</v>
      </c>
      <c r="AD107" s="269">
        <f>SUM(AB107:AC107)</f>
        <v>0</v>
      </c>
      <c r="AE107" s="270">
        <f>[1]ENERO!AG107</f>
        <v>0</v>
      </c>
      <c r="AF107" s="208">
        <v>0</v>
      </c>
      <c r="AG107" s="269">
        <f>SUM(AE107:AF107)</f>
        <v>0</v>
      </c>
      <c r="AH107" s="270">
        <f>X107-AA107</f>
        <v>0</v>
      </c>
      <c r="AI107" s="220">
        <f>X107-AD107</f>
        <v>0</v>
      </c>
      <c r="AJ107" s="269">
        <f>X107-AG107</f>
        <v>0</v>
      </c>
      <c r="AK107" s="805"/>
      <c r="AL107" s="204">
        <v>0</v>
      </c>
      <c r="AM107" s="210">
        <v>0</v>
      </c>
    </row>
    <row r="108" spans="1:39" ht="24.75" customHeight="1">
      <c r="A108" s="394"/>
      <c r="B108" s="397"/>
      <c r="C108" s="864">
        <f>+[1]ENERO!C108</f>
        <v>0</v>
      </c>
      <c r="D108" s="205">
        <f>[1]ENERO!D108+[1]FEBRERO!P108</f>
        <v>0</v>
      </c>
      <c r="E108" s="205">
        <f>[1]ENERO!E108+[1]FEBRERO!Q108</f>
        <v>0</v>
      </c>
      <c r="F108" s="205">
        <f t="shared" si="107"/>
        <v>0</v>
      </c>
      <c r="G108" s="205">
        <v>0</v>
      </c>
      <c r="H108" s="208">
        <v>0</v>
      </c>
      <c r="I108" s="205">
        <f t="shared" si="108"/>
        <v>0</v>
      </c>
      <c r="J108" s="205">
        <f>[1]ENERO!L108</f>
        <v>0</v>
      </c>
      <c r="K108" s="208">
        <v>0</v>
      </c>
      <c r="L108" s="205">
        <f t="shared" si="109"/>
        <v>0</v>
      </c>
      <c r="M108" s="205">
        <f t="shared" si="110"/>
        <v>0</v>
      </c>
      <c r="N108" s="206">
        <f t="shared" si="111"/>
        <v>0</v>
      </c>
      <c r="O108" s="697"/>
      <c r="P108" s="204">
        <v>0</v>
      </c>
      <c r="Q108" s="210">
        <v>0</v>
      </c>
      <c r="R108" s="805"/>
      <c r="S108" s="266" t="s">
        <v>783</v>
      </c>
      <c r="T108" s="267" t="s">
        <v>784</v>
      </c>
      <c r="U108" s="301">
        <f>SUM(ENERO!U108)</f>
        <v>0</v>
      </c>
      <c r="V108" s="220">
        <f>[1]ENERO!V108+[1]FEBRERO!AL108</f>
        <v>0</v>
      </c>
      <c r="W108" s="220">
        <f>[1]ENERO!W108+[1]FEBRERO!AM108</f>
        <v>0</v>
      </c>
      <c r="X108" s="269">
        <f>SUM(U108:W108)</f>
        <v>0</v>
      </c>
      <c r="Y108" s="270">
        <f>[1]ENERO!AA108</f>
        <v>0</v>
      </c>
      <c r="Z108" s="208">
        <v>0</v>
      </c>
      <c r="AA108" s="271">
        <f>SUM(Y108:Z108)</f>
        <v>0</v>
      </c>
      <c r="AB108" s="270">
        <f>[1]ENERO!AD108</f>
        <v>0</v>
      </c>
      <c r="AC108" s="208">
        <v>0</v>
      </c>
      <c r="AD108" s="269">
        <f>SUM(AB108:AC108)</f>
        <v>0</v>
      </c>
      <c r="AE108" s="270">
        <f>[1]ENERO!AG108</f>
        <v>0</v>
      </c>
      <c r="AF108" s="208">
        <v>0</v>
      </c>
      <c r="AG108" s="269">
        <f>SUM(AE108:AF108)</f>
        <v>0</v>
      </c>
      <c r="AH108" s="270">
        <f>X108-AA108</f>
        <v>0</v>
      </c>
      <c r="AI108" s="220">
        <f>X108-AD108</f>
        <v>0</v>
      </c>
      <c r="AJ108" s="269">
        <f>X108-AG108</f>
        <v>0</v>
      </c>
      <c r="AK108" s="805"/>
      <c r="AL108" s="204">
        <v>0</v>
      </c>
      <c r="AM108" s="210">
        <v>0</v>
      </c>
    </row>
    <row r="109" spans="1:39" ht="39" customHeight="1">
      <c r="A109" s="394" t="str">
        <f>+IF([1]ENERO!A109=0,"",[1]ENERO!A109)</f>
        <v>1.1.02.05.002.08</v>
      </c>
      <c r="B109" s="397" t="str">
        <f>+IF([1]ENERO!B109=0,"",[1]ENERO!B109)</f>
        <v>Servicios prestados a las empresas y servicios de producción(APROVECHAMIENTOS)</v>
      </c>
      <c r="C109" s="864">
        <f>+[1]ENERO!C109</f>
        <v>0</v>
      </c>
      <c r="D109" s="205">
        <f>[1]ENERO!D109+[1]FEBRERO!P109</f>
        <v>0</v>
      </c>
      <c r="E109" s="205">
        <f>[1]ENERO!E109+[1]FEBRERO!Q109</f>
        <v>0</v>
      </c>
      <c r="F109" s="205">
        <f t="shared" si="107"/>
        <v>0</v>
      </c>
      <c r="G109" s="205">
        <f>[1]ENERO!I109</f>
        <v>23625039</v>
      </c>
      <c r="H109" s="208">
        <v>11000</v>
      </c>
      <c r="I109" s="205">
        <f t="shared" si="108"/>
        <v>23636039</v>
      </c>
      <c r="J109" s="205">
        <f>[1]ENERO!L109</f>
        <v>23625039</v>
      </c>
      <c r="K109" s="208">
        <v>11000</v>
      </c>
      <c r="L109" s="205">
        <f t="shared" si="109"/>
        <v>23636039</v>
      </c>
      <c r="M109" s="205">
        <f t="shared" si="110"/>
        <v>-23636039</v>
      </c>
      <c r="N109" s="206">
        <f t="shared" si="111"/>
        <v>-23636039</v>
      </c>
      <c r="O109" s="697"/>
      <c r="P109" s="204">
        <v>0</v>
      </c>
      <c r="Q109" s="210">
        <v>0</v>
      </c>
      <c r="R109" s="805"/>
      <c r="S109" s="189">
        <f>+IF([1]ENERO!S109=0,"",[1]ENERO!S109)</f>
        <v>23625024</v>
      </c>
      <c r="T109" s="190"/>
      <c r="U109" s="193"/>
      <c r="V109" s="191"/>
      <c r="W109" s="191"/>
      <c r="X109" s="192"/>
      <c r="Y109" s="193"/>
      <c r="Z109" s="191"/>
      <c r="AA109" s="191"/>
      <c r="AB109" s="193"/>
      <c r="AC109" s="191"/>
      <c r="AD109" s="192"/>
      <c r="AE109" s="193"/>
      <c r="AF109" s="191"/>
      <c r="AG109" s="192"/>
      <c r="AH109" s="193"/>
      <c r="AI109" s="191"/>
      <c r="AJ109" s="192"/>
      <c r="AK109" s="827"/>
      <c r="AL109" s="370"/>
      <c r="AM109" s="371"/>
    </row>
    <row r="110" spans="1:39" ht="24.75" customHeight="1">
      <c r="A110" s="394" t="str">
        <f>+IF([1]ENERO!A110=0,"",[1]ENERO!A110)</f>
        <v>1.1.02.05.002.09</v>
      </c>
      <c r="B110" s="397" t="str">
        <f>+IF([1]ENERO!B110=0,"",[1]ENERO!B110)</f>
        <v>Convenio Docencia Servicio</v>
      </c>
      <c r="C110" s="864">
        <f>+[1]ENERO!C110</f>
        <v>0</v>
      </c>
      <c r="D110" s="205">
        <f>[1]ENERO!D110+[1]FEBRERO!P110</f>
        <v>0</v>
      </c>
      <c r="E110" s="205">
        <f>[1]ENERO!E110+[1]FEBRERO!Q110</f>
        <v>0</v>
      </c>
      <c r="F110" s="205">
        <f t="shared" si="107"/>
        <v>0</v>
      </c>
      <c r="G110" s="205">
        <f>[1]ENERO!I110</f>
        <v>0</v>
      </c>
      <c r="H110" s="208">
        <v>0</v>
      </c>
      <c r="I110" s="205">
        <f t="shared" si="108"/>
        <v>0</v>
      </c>
      <c r="J110" s="205">
        <f>[1]ENERO!L110</f>
        <v>0</v>
      </c>
      <c r="K110" s="208">
        <v>0</v>
      </c>
      <c r="L110" s="205">
        <f t="shared" si="109"/>
        <v>0</v>
      </c>
      <c r="M110" s="205">
        <f t="shared" si="110"/>
        <v>0</v>
      </c>
      <c r="N110" s="206">
        <f t="shared" si="111"/>
        <v>0</v>
      </c>
      <c r="O110" s="697"/>
      <c r="P110" s="204">
        <v>0</v>
      </c>
      <c r="Q110" s="210">
        <v>0</v>
      </c>
      <c r="R110" s="805"/>
      <c r="S110" s="228">
        <f>+IF([1]ENERO!S110=0,"",[1]ENERO!S110)</f>
        <v>2000000</v>
      </c>
      <c r="T110" s="404" t="s">
        <v>266</v>
      </c>
      <c r="U110" s="217">
        <f t="shared" ref="U110:AJ110" si="113">U112+U145</f>
        <v>21968169670.620834</v>
      </c>
      <c r="V110" s="406">
        <f t="shared" si="113"/>
        <v>-270999693</v>
      </c>
      <c r="W110" s="406">
        <f t="shared" si="113"/>
        <v>328694736</v>
      </c>
      <c r="X110" s="218">
        <f t="shared" si="113"/>
        <v>22025864813.620834</v>
      </c>
      <c r="Y110" s="217">
        <f t="shared" si="113"/>
        <v>6685190433</v>
      </c>
      <c r="Z110" s="406">
        <f t="shared" si="113"/>
        <v>1321104378</v>
      </c>
      <c r="AA110" s="407">
        <f t="shared" si="113"/>
        <v>8006294811</v>
      </c>
      <c r="AB110" s="217">
        <f t="shared" si="113"/>
        <v>2364051760</v>
      </c>
      <c r="AC110" s="406">
        <f t="shared" si="113"/>
        <v>1176025173</v>
      </c>
      <c r="AD110" s="218">
        <f t="shared" si="113"/>
        <v>3540076933</v>
      </c>
      <c r="AE110" s="217">
        <f t="shared" si="113"/>
        <v>829918915</v>
      </c>
      <c r="AF110" s="406">
        <f t="shared" si="113"/>
        <v>881696960</v>
      </c>
      <c r="AG110" s="218">
        <f t="shared" si="113"/>
        <v>1711615875</v>
      </c>
      <c r="AH110" s="217">
        <f t="shared" si="113"/>
        <v>14019570002.620832</v>
      </c>
      <c r="AI110" s="406">
        <f t="shared" si="113"/>
        <v>18485787880.620834</v>
      </c>
      <c r="AJ110" s="218">
        <f t="shared" si="113"/>
        <v>20314248938.620834</v>
      </c>
      <c r="AK110" s="827"/>
      <c r="AL110" s="233">
        <f>AL112+AL145</f>
        <v>-469873052</v>
      </c>
      <c r="AM110" s="232">
        <f>AM112+AM145</f>
        <v>328694736</v>
      </c>
    </row>
    <row r="111" spans="1:39" ht="24.75" customHeight="1" thickBot="1">
      <c r="A111" s="394" t="str">
        <f>+IF([1]ENERO!A111=0,"",[1]ENERO!A111)</f>
        <v>1.1.02.05.002.07.99</v>
      </c>
      <c r="B111" s="408" t="str">
        <f>+IF([1]ENERO!B111=0,"",[1]ENERO!B111)</f>
        <v>Vigencia anterior Servicios financieros y servicios conexos, servicios inmobiliarios y servicios de leasing (ARRENDAMIENTOS)</v>
      </c>
      <c r="C111" s="391">
        <f>+[1]ENERO!C111</f>
        <v>0</v>
      </c>
      <c r="D111" s="243">
        <f>[1]ENERO!D111+[1]FEBRERO!P111</f>
        <v>0</v>
      </c>
      <c r="E111" s="205">
        <f>[1]ENERO!E111+[1]FEBRERO!Q111</f>
        <v>0</v>
      </c>
      <c r="F111" s="243">
        <f t="shared" si="107"/>
        <v>0</v>
      </c>
      <c r="G111" s="243">
        <f>[1]ENERO!I111</f>
        <v>18355529</v>
      </c>
      <c r="H111" s="246">
        <v>0</v>
      </c>
      <c r="I111" s="243">
        <f t="shared" si="108"/>
        <v>18355529</v>
      </c>
      <c r="J111" s="243">
        <f>[1]ENERO!L111</f>
        <v>18355529</v>
      </c>
      <c r="K111" s="246">
        <v>0</v>
      </c>
      <c r="L111" s="243">
        <f t="shared" si="109"/>
        <v>18355529</v>
      </c>
      <c r="M111" s="243">
        <f t="shared" si="110"/>
        <v>-18355529</v>
      </c>
      <c r="N111" s="244">
        <f t="shared" si="111"/>
        <v>-18355529</v>
      </c>
      <c r="O111" s="697"/>
      <c r="P111" s="204">
        <v>0</v>
      </c>
      <c r="Q111" s="210">
        <v>0</v>
      </c>
      <c r="R111" s="805"/>
      <c r="S111" s="189">
        <f>+IF([1]ENERO!S111=0,"",[1]ENERO!S111)</f>
        <v>18355520</v>
      </c>
      <c r="T111" s="190"/>
      <c r="U111" s="193"/>
      <c r="V111" s="191"/>
      <c r="W111" s="191"/>
      <c r="X111" s="192"/>
      <c r="Y111" s="193"/>
      <c r="Z111" s="191"/>
      <c r="AA111" s="191"/>
      <c r="AB111" s="193"/>
      <c r="AC111" s="191"/>
      <c r="AD111" s="192"/>
      <c r="AE111" s="193"/>
      <c r="AF111" s="191"/>
      <c r="AG111" s="192"/>
      <c r="AH111" s="193"/>
      <c r="AI111" s="191"/>
      <c r="AJ111" s="192"/>
      <c r="AK111" s="805"/>
      <c r="AL111" s="194"/>
      <c r="AM111" s="195"/>
    </row>
    <row r="112" spans="1:39" ht="24.75" customHeight="1" thickBot="1">
      <c r="A112" s="398">
        <f>+IF([1]ENERO!A112=0,"",[1]ENERO!A112)</f>
        <v>18355520</v>
      </c>
      <c r="B112" s="399">
        <f>+IF([1]ENERO!B112=0,"",[1]ENERO!B112)</f>
        <v>18355520</v>
      </c>
      <c r="C112" s="865"/>
      <c r="D112" s="865"/>
      <c r="E112" s="865"/>
      <c r="F112" s="865"/>
      <c r="G112" s="865"/>
      <c r="H112" s="865"/>
      <c r="I112" s="865"/>
      <c r="J112" s="865"/>
      <c r="K112" s="865"/>
      <c r="L112" s="865"/>
      <c r="M112" s="865"/>
      <c r="N112" s="401"/>
      <c r="O112" s="697"/>
      <c r="P112" s="402"/>
      <c r="Q112" s="401"/>
      <c r="R112" s="805"/>
      <c r="S112" s="228">
        <f>+IF([1]ENERO!S112=0,"",[1]ENERO!S112)</f>
        <v>2010000</v>
      </c>
      <c r="T112" s="229" t="s">
        <v>119</v>
      </c>
      <c r="U112" s="233">
        <f t="shared" ref="U112:AJ112" si="114">U114+U123+U141</f>
        <v>10075238362.444445</v>
      </c>
      <c r="V112" s="231">
        <f t="shared" si="114"/>
        <v>-270999693</v>
      </c>
      <c r="W112" s="231">
        <f t="shared" si="114"/>
        <v>169879991</v>
      </c>
      <c r="X112" s="232">
        <f t="shared" si="114"/>
        <v>9974118760.4444447</v>
      </c>
      <c r="Y112" s="233">
        <f t="shared" si="114"/>
        <v>4409262159</v>
      </c>
      <c r="Z112" s="231">
        <f t="shared" si="114"/>
        <v>400957326</v>
      </c>
      <c r="AA112" s="234">
        <f t="shared" si="114"/>
        <v>4810219485</v>
      </c>
      <c r="AB112" s="233">
        <f t="shared" si="114"/>
        <v>1567398037</v>
      </c>
      <c r="AC112" s="231">
        <f t="shared" si="114"/>
        <v>694857925</v>
      </c>
      <c r="AD112" s="232">
        <f t="shared" si="114"/>
        <v>2262255962</v>
      </c>
      <c r="AE112" s="233">
        <f t="shared" si="114"/>
        <v>432030723</v>
      </c>
      <c r="AF112" s="231">
        <f t="shared" si="114"/>
        <v>774026118</v>
      </c>
      <c r="AG112" s="232">
        <f t="shared" si="114"/>
        <v>1206056841</v>
      </c>
      <c r="AH112" s="233">
        <f t="shared" si="114"/>
        <v>5163899275.4444447</v>
      </c>
      <c r="AI112" s="231">
        <f t="shared" si="114"/>
        <v>7711862798.4444447</v>
      </c>
      <c r="AJ112" s="232">
        <f t="shared" si="114"/>
        <v>8768061919.4444447</v>
      </c>
      <c r="AK112" s="805"/>
      <c r="AL112" s="233">
        <f>AL114+AL123+AL141</f>
        <v>-469873052</v>
      </c>
      <c r="AM112" s="232">
        <f>AM114+AM123+AM141</f>
        <v>169879991</v>
      </c>
    </row>
    <row r="113" spans="1:39" ht="24.75" customHeight="1" thickBot="1">
      <c r="A113" s="123">
        <f>+IF([1]ENERO!A113=0,"",[1]ENERO!A113)</f>
        <v>2000</v>
      </c>
      <c r="B113" s="265" t="str">
        <f>+IF([1]ENERO!B113=0,"",[1]ENERO!B113)</f>
        <v>INGRESOS DE CAPITAL</v>
      </c>
      <c r="C113" s="409">
        <f t="shared" ref="C113:N113" si="115">SUM(C115:C124)</f>
        <v>0</v>
      </c>
      <c r="D113" s="410">
        <f t="shared" si="115"/>
        <v>0</v>
      </c>
      <c r="E113" s="410">
        <f t="shared" si="115"/>
        <v>0</v>
      </c>
      <c r="F113" s="410">
        <f t="shared" si="115"/>
        <v>0</v>
      </c>
      <c r="G113" s="410">
        <f t="shared" si="115"/>
        <v>0</v>
      </c>
      <c r="H113" s="410">
        <f t="shared" si="115"/>
        <v>0</v>
      </c>
      <c r="I113" s="410">
        <f t="shared" si="115"/>
        <v>0</v>
      </c>
      <c r="J113" s="410">
        <f t="shared" si="115"/>
        <v>0</v>
      </c>
      <c r="K113" s="410">
        <f t="shared" si="115"/>
        <v>0</v>
      </c>
      <c r="L113" s="410">
        <f t="shared" si="115"/>
        <v>0</v>
      </c>
      <c r="M113" s="410">
        <f t="shared" si="115"/>
        <v>0</v>
      </c>
      <c r="N113" s="866">
        <f t="shared" si="115"/>
        <v>0</v>
      </c>
      <c r="O113" s="369"/>
      <c r="P113" s="171">
        <f>SUM(P115:P124)</f>
        <v>0</v>
      </c>
      <c r="Q113" s="173">
        <f>SUM(Q115:Q124)</f>
        <v>0</v>
      </c>
      <c r="R113" s="805"/>
      <c r="S113" s="189">
        <f>+IF([1]ENERO!S113=0,"",[1]ENERO!S113)</f>
        <v>2000</v>
      </c>
      <c r="T113" s="190"/>
      <c r="U113" s="193"/>
      <c r="V113" s="191"/>
      <c r="W113" s="191"/>
      <c r="X113" s="192"/>
      <c r="Y113" s="193"/>
      <c r="Z113" s="191"/>
      <c r="AA113" s="191"/>
      <c r="AB113" s="193"/>
      <c r="AC113" s="191"/>
      <c r="AD113" s="192"/>
      <c r="AE113" s="193"/>
      <c r="AF113" s="191"/>
      <c r="AG113" s="192"/>
      <c r="AH113" s="193"/>
      <c r="AI113" s="191"/>
      <c r="AJ113" s="192"/>
      <c r="AK113" s="805"/>
      <c r="AL113" s="194"/>
      <c r="AM113" s="195"/>
    </row>
    <row r="114" spans="1:39" ht="24.75" customHeight="1" thickBot="1">
      <c r="A114" s="398">
        <f>+IF([1]ENERO!A114=0,"",[1]ENERO!A114)</f>
        <v>2000</v>
      </c>
      <c r="B114" s="399">
        <f>+IF([1]ENERO!B114=0,"",[1]ENERO!B114)</f>
        <v>2000</v>
      </c>
      <c r="C114" s="865"/>
      <c r="D114" s="865"/>
      <c r="E114" s="865"/>
      <c r="F114" s="865"/>
      <c r="G114" s="865"/>
      <c r="H114" s="865"/>
      <c r="I114" s="865"/>
      <c r="J114" s="865"/>
      <c r="K114" s="865"/>
      <c r="L114" s="865"/>
      <c r="M114" s="865"/>
      <c r="N114" s="401"/>
      <c r="O114" s="697"/>
      <c r="P114" s="402"/>
      <c r="Q114" s="401"/>
      <c r="R114" s="805"/>
      <c r="S114" s="257">
        <f>+IF([1]ENERO!S114=0,"",[1]ENERO!S114)</f>
        <v>2010100</v>
      </c>
      <c r="T114" s="258" t="s">
        <v>268</v>
      </c>
      <c r="U114" s="233">
        <f t="shared" ref="U114:AJ114" si="116">SUM(U115:U121)</f>
        <v>1246863273.1666665</v>
      </c>
      <c r="V114" s="231">
        <f t="shared" si="116"/>
        <v>0</v>
      </c>
      <c r="W114" s="231">
        <f t="shared" si="116"/>
        <v>0</v>
      </c>
      <c r="X114" s="232">
        <f t="shared" si="116"/>
        <v>1246863273.1666665</v>
      </c>
      <c r="Y114" s="233">
        <f t="shared" si="116"/>
        <v>275187524</v>
      </c>
      <c r="Z114" s="231">
        <f t="shared" si="116"/>
        <v>18291152</v>
      </c>
      <c r="AA114" s="234">
        <f t="shared" si="116"/>
        <v>293478676</v>
      </c>
      <c r="AB114" s="233">
        <f t="shared" si="116"/>
        <v>194148570</v>
      </c>
      <c r="AC114" s="231">
        <f t="shared" si="116"/>
        <v>22863871</v>
      </c>
      <c r="AD114" s="232">
        <f t="shared" si="116"/>
        <v>217012441</v>
      </c>
      <c r="AE114" s="233">
        <f t="shared" si="116"/>
        <v>174556906</v>
      </c>
      <c r="AF114" s="231">
        <f t="shared" si="116"/>
        <v>605588</v>
      </c>
      <c r="AG114" s="232">
        <f t="shared" si="116"/>
        <v>175162494</v>
      </c>
      <c r="AH114" s="233">
        <f t="shared" si="116"/>
        <v>953384597.16666663</v>
      </c>
      <c r="AI114" s="231">
        <f t="shared" si="116"/>
        <v>1029850832.1666666</v>
      </c>
      <c r="AJ114" s="232">
        <f t="shared" si="116"/>
        <v>1071700779.1666666</v>
      </c>
      <c r="AK114" s="805"/>
      <c r="AL114" s="233">
        <f>SUM(AL115:AL121)</f>
        <v>0</v>
      </c>
      <c r="AM114" s="232">
        <f>SUM(AM115:AM121)</f>
        <v>0</v>
      </c>
    </row>
    <row r="115" spans="1:39" ht="24.75" customHeight="1">
      <c r="A115" s="867">
        <f>+IF([1]ENERO!A115=0,"",[1]ENERO!A115)</f>
        <v>2100</v>
      </c>
      <c r="B115" s="387" t="str">
        <f>+IF([1]ENERO!B115=0,"",[1]ENERO!B115)</f>
        <v>CREDITO INTERNO</v>
      </c>
      <c r="C115" s="204">
        <f>+[1]ENERO!C115</f>
        <v>0</v>
      </c>
      <c r="D115" s="413">
        <f>[1]ENERO!D115+[1]FEBRERO!P115</f>
        <v>0</v>
      </c>
      <c r="E115" s="413">
        <f>[1]ENERO!E115+[1]FEBRERO!Q115</f>
        <v>0</v>
      </c>
      <c r="F115" s="868">
        <f t="shared" ref="F115:F124" si="117">SUM(C115:E115)</f>
        <v>0</v>
      </c>
      <c r="G115" s="415">
        <f>[1]ENERO!I115</f>
        <v>0</v>
      </c>
      <c r="H115" s="208">
        <v>0</v>
      </c>
      <c r="I115" s="868">
        <f t="shared" ref="I115:I124" si="118">SUM(G115:H115)</f>
        <v>0</v>
      </c>
      <c r="J115" s="415">
        <f>[1]ENERO!L115</f>
        <v>0</v>
      </c>
      <c r="K115" s="208">
        <v>0</v>
      </c>
      <c r="L115" s="416">
        <f t="shared" ref="L115:L124" si="119">SUM(J115:K115)</f>
        <v>0</v>
      </c>
      <c r="M115" s="417">
        <f t="shared" ref="M115:M124" si="120">F115-I115</f>
        <v>0</v>
      </c>
      <c r="N115" s="416">
        <f t="shared" ref="N115:N124" si="121">F115-L115</f>
        <v>0</v>
      </c>
      <c r="O115" s="369"/>
      <c r="P115" s="204">
        <v>0</v>
      </c>
      <c r="Q115" s="210">
        <v>0</v>
      </c>
      <c r="R115" s="805"/>
      <c r="S115" s="266" t="str">
        <f>+IF([1]ENERO!S115=0,"",[1]ENERO!S115)</f>
        <v>2.1.2.02.01.003.302</v>
      </c>
      <c r="T115" s="267" t="str">
        <f>[1]ENERO!T115</f>
        <v>Papeleria</v>
      </c>
      <c r="U115" s="301">
        <f>SUM(ENERO!U115)</f>
        <v>252782338.5</v>
      </c>
      <c r="V115" s="220">
        <f>[1]ENERO!V115+[1]FEBRERO!AL115</f>
        <v>0</v>
      </c>
      <c r="W115" s="220">
        <f>[1]ENERO!W115+[1]FEBRERO!AM115</f>
        <v>0</v>
      </c>
      <c r="X115" s="269">
        <f t="shared" ref="X115:X121" si="122">SUM(U115:W115)</f>
        <v>252782338.5</v>
      </c>
      <c r="Y115" s="270">
        <f>[1]ENERO!AA115</f>
        <v>41476618</v>
      </c>
      <c r="Z115" s="204">
        <v>18291152</v>
      </c>
      <c r="AA115" s="271">
        <f t="shared" ref="AA115:AA121" si="123">SUM(Y115:Z115)</f>
        <v>59767770</v>
      </c>
      <c r="AB115" s="270">
        <f>[1]ENERO!AD115</f>
        <v>18273366</v>
      </c>
      <c r="AC115" s="204">
        <v>18099715</v>
      </c>
      <c r="AD115" s="269">
        <f t="shared" ref="AD115:AD121" si="124">SUM(AB115:AC115)</f>
        <v>36373081</v>
      </c>
      <c r="AE115" s="270">
        <f>[1]ENERO!AG115</f>
        <v>846000</v>
      </c>
      <c r="AF115" s="204">
        <v>605588</v>
      </c>
      <c r="AG115" s="269">
        <f t="shared" ref="AG115:AG121" si="125">SUM(AE115:AF115)</f>
        <v>1451588</v>
      </c>
      <c r="AH115" s="270">
        <f t="shared" ref="AH115:AH121" si="126">X115-AA115</f>
        <v>193014568.5</v>
      </c>
      <c r="AI115" s="220">
        <f t="shared" ref="AI115:AI121" si="127">X115-AD115</f>
        <v>216409257.5</v>
      </c>
      <c r="AJ115" s="269">
        <f t="shared" ref="AJ115:AJ121" si="128">X115-AG115</f>
        <v>251330750.5</v>
      </c>
      <c r="AK115" s="805"/>
      <c r="AL115" s="204">
        <v>0</v>
      </c>
      <c r="AM115" s="210">
        <v>0</v>
      </c>
    </row>
    <row r="116" spans="1:39" ht="24.75" customHeight="1">
      <c r="A116" s="867" t="str">
        <f>+IF([1]ENERO!A116=0,"",[1]ENERO!A116)</f>
        <v>2100-1</v>
      </c>
      <c r="B116" s="388" t="str">
        <f>+IF([1]ENERO!B116=0,"",[1]ENERO!B116)</f>
        <v>Vigencia Anterior</v>
      </c>
      <c r="C116" s="204">
        <f>+[1]ENERO!C116</f>
        <v>0</v>
      </c>
      <c r="D116" s="413">
        <f>[1]ENERO!D116+[1]FEBRERO!P116</f>
        <v>0</v>
      </c>
      <c r="E116" s="413">
        <f>[1]ENERO!E116+[1]FEBRERO!Q116</f>
        <v>0</v>
      </c>
      <c r="F116" s="868">
        <f t="shared" si="117"/>
        <v>0</v>
      </c>
      <c r="G116" s="415">
        <f>[1]ENERO!I116</f>
        <v>0</v>
      </c>
      <c r="H116" s="208">
        <v>0</v>
      </c>
      <c r="I116" s="868">
        <f t="shared" si="118"/>
        <v>0</v>
      </c>
      <c r="J116" s="415">
        <f>[1]ENERO!L116</f>
        <v>0</v>
      </c>
      <c r="K116" s="208">
        <v>0</v>
      </c>
      <c r="L116" s="416">
        <f t="shared" si="119"/>
        <v>0</v>
      </c>
      <c r="M116" s="417">
        <f t="shared" si="120"/>
        <v>0</v>
      </c>
      <c r="N116" s="416">
        <f t="shared" si="121"/>
        <v>0</v>
      </c>
      <c r="O116" s="369"/>
      <c r="P116" s="204">
        <v>0</v>
      </c>
      <c r="Q116" s="210">
        <v>0</v>
      </c>
      <c r="R116" s="805"/>
      <c r="S116" s="266" t="str">
        <f>+IF([1]ENERO!S116=0,"",[1]ENERO!S116)</f>
        <v>2.1.2.02.01.003.301</v>
      </c>
      <c r="T116" s="717" t="str">
        <f>[1]ENERO!T116</f>
        <v>Combustible</v>
      </c>
      <c r="U116" s="301">
        <f>SUM(ENERO!U116)</f>
        <v>77916666.666666657</v>
      </c>
      <c r="V116" s="220">
        <f>[1]ENERO!V116+[1]FEBRERO!AL116</f>
        <v>0</v>
      </c>
      <c r="W116" s="220">
        <f>[1]ENERO!W116+[1]FEBRERO!AM116</f>
        <v>0</v>
      </c>
      <c r="X116" s="269">
        <f t="shared" si="122"/>
        <v>77916666.666666657</v>
      </c>
      <c r="Y116" s="270">
        <f>[1]ENERO!AA116</f>
        <v>60000000</v>
      </c>
      <c r="Z116" s="208">
        <v>0</v>
      </c>
      <c r="AA116" s="271">
        <f t="shared" si="123"/>
        <v>60000000</v>
      </c>
      <c r="AB116" s="270">
        <f>[1]ENERO!AD116</f>
        <v>2164298</v>
      </c>
      <c r="AC116" s="204">
        <v>4764156</v>
      </c>
      <c r="AD116" s="269">
        <f t="shared" si="124"/>
        <v>6928454</v>
      </c>
      <c r="AE116" s="270">
        <f>[1]ENERO!AG116</f>
        <v>0</v>
      </c>
      <c r="AF116" s="208">
        <v>0</v>
      </c>
      <c r="AG116" s="269">
        <f t="shared" si="125"/>
        <v>0</v>
      </c>
      <c r="AH116" s="270">
        <f t="shared" si="126"/>
        <v>17916666.666666657</v>
      </c>
      <c r="AI116" s="220">
        <f t="shared" si="127"/>
        <v>70988212.666666657</v>
      </c>
      <c r="AJ116" s="269">
        <f t="shared" si="128"/>
        <v>77916666.666666657</v>
      </c>
      <c r="AK116" s="805"/>
      <c r="AL116" s="204">
        <v>0</v>
      </c>
      <c r="AM116" s="210">
        <v>0</v>
      </c>
    </row>
    <row r="117" spans="1:39" ht="24.75" customHeight="1">
      <c r="A117" s="867">
        <f>+IF([1]ENERO!A117=0,"",[1]ENERO!A117)</f>
        <v>2200</v>
      </c>
      <c r="B117" s="387" t="str">
        <f>+IF([1]ENERO!B117=0,"",[1]ENERO!B117)</f>
        <v>CREDITO EXTERNO</v>
      </c>
      <c r="C117" s="204">
        <f>+[1]ENERO!C117</f>
        <v>0</v>
      </c>
      <c r="D117" s="413">
        <f>[1]ENERO!D117+[1]FEBRERO!P117</f>
        <v>0</v>
      </c>
      <c r="E117" s="413">
        <f>[1]ENERO!E117+[1]FEBRERO!Q117</f>
        <v>0</v>
      </c>
      <c r="F117" s="868">
        <f t="shared" si="117"/>
        <v>0</v>
      </c>
      <c r="G117" s="415">
        <f>[1]ENERO!I117</f>
        <v>0</v>
      </c>
      <c r="H117" s="208">
        <v>0</v>
      </c>
      <c r="I117" s="868">
        <f t="shared" si="118"/>
        <v>0</v>
      </c>
      <c r="J117" s="415">
        <f>[1]ENERO!L117</f>
        <v>0</v>
      </c>
      <c r="K117" s="208">
        <v>0</v>
      </c>
      <c r="L117" s="416">
        <f t="shared" si="119"/>
        <v>0</v>
      </c>
      <c r="M117" s="417">
        <f t="shared" si="120"/>
        <v>0</v>
      </c>
      <c r="N117" s="416">
        <f t="shared" si="121"/>
        <v>0</v>
      </c>
      <c r="O117" s="369"/>
      <c r="P117" s="204">
        <v>0</v>
      </c>
      <c r="Q117" s="210">
        <v>0</v>
      </c>
      <c r="R117" s="805"/>
      <c r="S117" s="266" t="str">
        <f>+IF([1]ENERO!S117=0,"",[1]ENERO!S117)</f>
        <v>2.1.3.07.02.031</v>
      </c>
      <c r="T117" s="267" t="str">
        <f>[1]ENERO!T117</f>
        <v>Programa de Salud Ocupacional</v>
      </c>
      <c r="U117" s="301">
        <f>SUM(ENERO!U117)</f>
        <v>20000000</v>
      </c>
      <c r="V117" s="220">
        <f>[1]ENERO!V117+[1]FEBRERO!AL117</f>
        <v>0</v>
      </c>
      <c r="W117" s="220">
        <f>[1]ENERO!W117+[1]FEBRERO!AM117</f>
        <v>0</v>
      </c>
      <c r="X117" s="269">
        <f t="shared" si="122"/>
        <v>20000000</v>
      </c>
      <c r="Y117" s="270">
        <f>[1]ENERO!AA117</f>
        <v>0</v>
      </c>
      <c r="Z117" s="208">
        <v>0</v>
      </c>
      <c r="AA117" s="271">
        <f t="shared" si="123"/>
        <v>0</v>
      </c>
      <c r="AB117" s="270">
        <f>[1]ENERO!AD117</f>
        <v>0</v>
      </c>
      <c r="AC117" s="208">
        <v>0</v>
      </c>
      <c r="AD117" s="269">
        <f t="shared" si="124"/>
        <v>0</v>
      </c>
      <c r="AE117" s="270">
        <f>[1]ENERO!AG117</f>
        <v>0</v>
      </c>
      <c r="AF117" s="208">
        <v>0</v>
      </c>
      <c r="AG117" s="269">
        <f t="shared" si="125"/>
        <v>0</v>
      </c>
      <c r="AH117" s="270">
        <f t="shared" si="126"/>
        <v>20000000</v>
      </c>
      <c r="AI117" s="220">
        <f t="shared" si="127"/>
        <v>20000000</v>
      </c>
      <c r="AJ117" s="269">
        <f t="shared" si="128"/>
        <v>20000000</v>
      </c>
      <c r="AK117" s="805"/>
      <c r="AL117" s="204">
        <v>0</v>
      </c>
      <c r="AM117" s="210">
        <v>0</v>
      </c>
    </row>
    <row r="118" spans="1:39" ht="24.75" customHeight="1">
      <c r="A118" s="867" t="str">
        <f>+IF([1]ENERO!A118=0,"",[1]ENERO!A118)</f>
        <v>2200-1</v>
      </c>
      <c r="B118" s="388" t="str">
        <f>+IF([1]ENERO!B118=0,"",[1]ENERO!B118)</f>
        <v>Vigencia Anterior</v>
      </c>
      <c r="C118" s="204">
        <f>+[1]ENERO!C118</f>
        <v>0</v>
      </c>
      <c r="D118" s="413">
        <f>[1]ENERO!D118+[1]FEBRERO!P118</f>
        <v>0</v>
      </c>
      <c r="E118" s="413">
        <f>[1]ENERO!E118+[1]FEBRERO!Q118</f>
        <v>0</v>
      </c>
      <c r="F118" s="868">
        <f t="shared" si="117"/>
        <v>0</v>
      </c>
      <c r="G118" s="415">
        <f>[1]ENERO!I118</f>
        <v>0</v>
      </c>
      <c r="H118" s="208">
        <v>0</v>
      </c>
      <c r="I118" s="868">
        <f t="shared" si="118"/>
        <v>0</v>
      </c>
      <c r="J118" s="415">
        <f>[1]ENERO!L118</f>
        <v>0</v>
      </c>
      <c r="K118" s="208">
        <v>0</v>
      </c>
      <c r="L118" s="416">
        <f t="shared" si="119"/>
        <v>0</v>
      </c>
      <c r="M118" s="417">
        <f t="shared" si="120"/>
        <v>0</v>
      </c>
      <c r="N118" s="416">
        <f t="shared" si="121"/>
        <v>0</v>
      </c>
      <c r="O118" s="369"/>
      <c r="P118" s="204">
        <v>0</v>
      </c>
      <c r="Q118" s="210">
        <v>0</v>
      </c>
      <c r="R118" s="805"/>
      <c r="S118" s="266" t="str">
        <f>+IF([1]ENERO!S118=0,"",[1]ENERO!S118)</f>
        <v>2.1.2.02.01.003.307</v>
      </c>
      <c r="T118" s="267" t="str">
        <f>[1]ENERO!T118</f>
        <v>Mantenimiento - Bienes Ambiental y Sanitaria</v>
      </c>
      <c r="U118" s="301">
        <f>SUM(ENERO!U118)</f>
        <v>15180000</v>
      </c>
      <c r="V118" s="220">
        <f>[1]ENERO!V118+[1]FEBRERO!AL118</f>
        <v>0</v>
      </c>
      <c r="W118" s="220">
        <f>[1]ENERO!W118+[1]FEBRERO!AM118</f>
        <v>0</v>
      </c>
      <c r="X118" s="269">
        <f t="shared" si="122"/>
        <v>15180000</v>
      </c>
      <c r="Y118" s="270">
        <f>[1]ENERO!AA118</f>
        <v>0</v>
      </c>
      <c r="Z118" s="208">
        <v>0</v>
      </c>
      <c r="AA118" s="271">
        <f t="shared" si="123"/>
        <v>0</v>
      </c>
      <c r="AB118" s="270">
        <f>[1]ENERO!AD118</f>
        <v>0</v>
      </c>
      <c r="AC118" s="208">
        <v>0</v>
      </c>
      <c r="AD118" s="269">
        <f t="shared" si="124"/>
        <v>0</v>
      </c>
      <c r="AE118" s="270">
        <f>[1]ENERO!AG118</f>
        <v>0</v>
      </c>
      <c r="AF118" s="208">
        <v>0</v>
      </c>
      <c r="AG118" s="269">
        <f t="shared" si="125"/>
        <v>0</v>
      </c>
      <c r="AH118" s="270">
        <f t="shared" si="126"/>
        <v>15180000</v>
      </c>
      <c r="AI118" s="220">
        <f t="shared" si="127"/>
        <v>15180000</v>
      </c>
      <c r="AJ118" s="269">
        <f t="shared" si="128"/>
        <v>15180000</v>
      </c>
      <c r="AK118" s="805"/>
      <c r="AL118" s="204">
        <v>0</v>
      </c>
      <c r="AM118" s="210">
        <v>0</v>
      </c>
    </row>
    <row r="119" spans="1:39" ht="24.75" customHeight="1">
      <c r="A119" s="867" t="str">
        <f>+IF([1]ENERO!A119=0,"",[1]ENERO!A119)</f>
        <v>1.2.05.02</v>
      </c>
      <c r="B119" s="387" t="str">
        <f>+IF([1]ENERO!B119=0,"",[1]ENERO!B119)</f>
        <v>Depositos (RENDIMIENTOS FINANCIEROS)</v>
      </c>
      <c r="C119" s="204">
        <f>+[1]ENERO!C119</f>
        <v>0</v>
      </c>
      <c r="D119" s="413">
        <f>[1]ENERO!D119+[1]FEBRERO!P119</f>
        <v>0</v>
      </c>
      <c r="E119" s="413">
        <f>[1]ENERO!E119+[1]FEBRERO!Q119</f>
        <v>0</v>
      </c>
      <c r="F119" s="868">
        <f t="shared" si="117"/>
        <v>0</v>
      </c>
      <c r="G119" s="207">
        <f>[1]ENERO!I119</f>
        <v>0</v>
      </c>
      <c r="H119" s="208">
        <v>0</v>
      </c>
      <c r="I119" s="419">
        <f t="shared" si="118"/>
        <v>0</v>
      </c>
      <c r="J119" s="207">
        <f>[1]ENERO!L119</f>
        <v>0</v>
      </c>
      <c r="K119" s="208">
        <v>0</v>
      </c>
      <c r="L119" s="206">
        <f t="shared" si="119"/>
        <v>0</v>
      </c>
      <c r="M119" s="696">
        <f t="shared" si="120"/>
        <v>0</v>
      </c>
      <c r="N119" s="206">
        <f t="shared" si="121"/>
        <v>0</v>
      </c>
      <c r="O119" s="369"/>
      <c r="P119" s="204">
        <v>0</v>
      </c>
      <c r="Q119" s="210">
        <v>0</v>
      </c>
      <c r="R119" s="805"/>
      <c r="S119" s="266" t="str">
        <f>+IF([1]ENERO!S119=0,"",[1]ENERO!S119)</f>
        <v>2.1.2.02.01.003.305</v>
      </c>
      <c r="T119" s="267" t="str">
        <f>[1]ENERO!T119</f>
        <v>Mantenimiento -  Partes, accesorios, herramientas</v>
      </c>
      <c r="U119" s="301">
        <f>SUM(ENERO!U119)</f>
        <v>0</v>
      </c>
      <c r="V119" s="220">
        <f>[1]ENERO!V119+[1]FEBRERO!AL119</f>
        <v>0</v>
      </c>
      <c r="W119" s="220">
        <f>[1]ENERO!W119+[1]FEBRERO!AM119</f>
        <v>0</v>
      </c>
      <c r="X119" s="269">
        <f t="shared" si="122"/>
        <v>0</v>
      </c>
      <c r="Y119" s="270">
        <f>[1]ENERO!AA119</f>
        <v>0</v>
      </c>
      <c r="Z119" s="208">
        <v>0</v>
      </c>
      <c r="AA119" s="271">
        <f t="shared" si="123"/>
        <v>0</v>
      </c>
      <c r="AB119" s="270">
        <f>[1]ENERO!AD119</f>
        <v>0</v>
      </c>
      <c r="AC119" s="208">
        <v>0</v>
      </c>
      <c r="AD119" s="269">
        <f t="shared" si="124"/>
        <v>0</v>
      </c>
      <c r="AE119" s="270">
        <f>[1]ENERO!AG119</f>
        <v>0</v>
      </c>
      <c r="AF119" s="208">
        <v>0</v>
      </c>
      <c r="AG119" s="269">
        <f t="shared" si="125"/>
        <v>0</v>
      </c>
      <c r="AH119" s="270">
        <f t="shared" si="126"/>
        <v>0</v>
      </c>
      <c r="AI119" s="220">
        <f t="shared" si="127"/>
        <v>0</v>
      </c>
      <c r="AJ119" s="269">
        <f t="shared" si="128"/>
        <v>0</v>
      </c>
      <c r="AK119" s="805"/>
      <c r="AL119" s="204">
        <v>0</v>
      </c>
      <c r="AM119" s="210">
        <v>0</v>
      </c>
    </row>
    <row r="120" spans="1:39" ht="24.75" customHeight="1">
      <c r="A120" s="421">
        <f>+IF([1]ENERO!A120=0,"",[1]ENERO!A120)</f>
        <v>2400</v>
      </c>
      <c r="B120" s="388" t="str">
        <f>+IF([1]ENERO!B120=0,"",[1]ENERO!B120)</f>
        <v>VENTA DE ACTIVOS</v>
      </c>
      <c r="C120" s="204">
        <f>+[1]ENERO!C120</f>
        <v>0</v>
      </c>
      <c r="D120" s="413">
        <f>[1]ENERO!D120+[1]FEBRERO!P120</f>
        <v>0</v>
      </c>
      <c r="E120" s="413">
        <f>[1]ENERO!E120+[1]FEBRERO!Q120</f>
        <v>0</v>
      </c>
      <c r="F120" s="868">
        <f t="shared" si="117"/>
        <v>0</v>
      </c>
      <c r="G120" s="207">
        <f>[1]ENERO!I120</f>
        <v>0</v>
      </c>
      <c r="H120" s="208">
        <v>0</v>
      </c>
      <c r="I120" s="419">
        <f t="shared" si="118"/>
        <v>0</v>
      </c>
      <c r="J120" s="207">
        <f>[1]ENERO!L120</f>
        <v>0</v>
      </c>
      <c r="K120" s="208">
        <v>0</v>
      </c>
      <c r="L120" s="206">
        <f t="shared" si="119"/>
        <v>0</v>
      </c>
      <c r="M120" s="696">
        <f t="shared" si="120"/>
        <v>0</v>
      </c>
      <c r="N120" s="206">
        <f t="shared" si="121"/>
        <v>0</v>
      </c>
      <c r="O120" s="697"/>
      <c r="P120" s="204">
        <v>0</v>
      </c>
      <c r="Q120" s="210">
        <v>0</v>
      </c>
      <c r="R120" s="805"/>
      <c r="S120" s="266" t="str">
        <f>+IF([1]ENERO!S120=0,"",[1]ENERO!S120)</f>
        <v>2.1.2.02.01.003.308</v>
      </c>
      <c r="T120" s="267" t="str">
        <f>[1]ENERO!T120</f>
        <v>Mantenimiento - Bienes Adecuaciones locativas</v>
      </c>
      <c r="U120" s="301">
        <f>SUM(ENERO!U120)</f>
        <v>704984268</v>
      </c>
      <c r="V120" s="220">
        <f>[1]ENERO!V120+[1]FEBRERO!AL120</f>
        <v>0</v>
      </c>
      <c r="W120" s="220">
        <f>[1]ENERO!W120+[1]FEBRERO!AM120</f>
        <v>0</v>
      </c>
      <c r="X120" s="269">
        <f t="shared" si="122"/>
        <v>704984268</v>
      </c>
      <c r="Y120" s="270">
        <f>[1]ENERO!AA120</f>
        <v>0</v>
      </c>
      <c r="Z120" s="208">
        <v>0</v>
      </c>
      <c r="AA120" s="271">
        <f t="shared" si="123"/>
        <v>0</v>
      </c>
      <c r="AB120" s="270">
        <f>[1]ENERO!AD120</f>
        <v>0</v>
      </c>
      <c r="AC120" s="208">
        <v>0</v>
      </c>
      <c r="AD120" s="269">
        <f t="shared" si="124"/>
        <v>0</v>
      </c>
      <c r="AE120" s="270">
        <f>[1]ENERO!AG120</f>
        <v>0</v>
      </c>
      <c r="AF120" s="208">
        <v>0</v>
      </c>
      <c r="AG120" s="269">
        <f t="shared" si="125"/>
        <v>0</v>
      </c>
      <c r="AH120" s="270">
        <f t="shared" si="126"/>
        <v>704984268</v>
      </c>
      <c r="AI120" s="220">
        <f t="shared" si="127"/>
        <v>704984268</v>
      </c>
      <c r="AJ120" s="269">
        <f t="shared" si="128"/>
        <v>704984268</v>
      </c>
      <c r="AK120" s="805"/>
      <c r="AL120" s="204">
        <v>0</v>
      </c>
      <c r="AM120" s="210">
        <v>0</v>
      </c>
    </row>
    <row r="121" spans="1:39" ht="24.75" customHeight="1">
      <c r="A121" s="421">
        <f>+IF([1]ENERO!A121=0,"",[1]ENERO!A121)</f>
        <v>2500</v>
      </c>
      <c r="B121" s="388" t="str">
        <f>+IF([1]ENERO!B121=0,"",[1]ENERO!B121)</f>
        <v>DONACIONES</v>
      </c>
      <c r="C121" s="204">
        <f>+[1]ENERO!C121</f>
        <v>0</v>
      </c>
      <c r="D121" s="413">
        <f>[1]ENERO!D121+[1]FEBRERO!P121</f>
        <v>0</v>
      </c>
      <c r="E121" s="413">
        <f>[1]ENERO!E121+[1]FEBRERO!Q121</f>
        <v>0</v>
      </c>
      <c r="F121" s="868">
        <f t="shared" si="117"/>
        <v>0</v>
      </c>
      <c r="G121" s="207">
        <f>[1]ENERO!I121</f>
        <v>0</v>
      </c>
      <c r="H121" s="208">
        <v>0</v>
      </c>
      <c r="I121" s="419">
        <f t="shared" si="118"/>
        <v>0</v>
      </c>
      <c r="J121" s="207">
        <f>[1]ENERO!L121</f>
        <v>0</v>
      </c>
      <c r="K121" s="208">
        <v>0</v>
      </c>
      <c r="L121" s="206">
        <f t="shared" si="119"/>
        <v>0</v>
      </c>
      <c r="M121" s="696">
        <f t="shared" si="120"/>
        <v>0</v>
      </c>
      <c r="N121" s="206">
        <f t="shared" si="121"/>
        <v>0</v>
      </c>
      <c r="O121" s="697"/>
      <c r="P121" s="204">
        <v>0</v>
      </c>
      <c r="Q121" s="210">
        <v>0</v>
      </c>
      <c r="R121" s="805"/>
      <c r="S121" s="266" t="str">
        <f>+IF([1]ENERO!S121=0,"",[1]ENERO!S121)</f>
        <v>2.1.2.02.02.008.99.02</v>
      </c>
      <c r="T121" s="267" t="str">
        <f>[1]ENERO!T121</f>
        <v>Vigencias Anteriores Vigilancia</v>
      </c>
      <c r="U121" s="301">
        <f>SUM(ENERO!U121)</f>
        <v>176000000</v>
      </c>
      <c r="V121" s="220">
        <f>[1]ENERO!V121+[1]FEBRERO!AL121</f>
        <v>0</v>
      </c>
      <c r="W121" s="220">
        <f>[1]ENERO!W121+[1]FEBRERO!AM121</f>
        <v>0</v>
      </c>
      <c r="X121" s="269">
        <f t="shared" si="122"/>
        <v>176000000</v>
      </c>
      <c r="Y121" s="270">
        <f>[1]ENERO!AA121</f>
        <v>173710906</v>
      </c>
      <c r="Z121" s="208">
        <v>0</v>
      </c>
      <c r="AA121" s="271">
        <f t="shared" si="123"/>
        <v>173710906</v>
      </c>
      <c r="AB121" s="270">
        <f>[1]ENERO!AD121</f>
        <v>173710906</v>
      </c>
      <c r="AC121" s="208">
        <v>0</v>
      </c>
      <c r="AD121" s="269">
        <f t="shared" si="124"/>
        <v>173710906</v>
      </c>
      <c r="AE121" s="270">
        <f>[1]ENERO!AG121</f>
        <v>173710906</v>
      </c>
      <c r="AF121" s="208">
        <v>0</v>
      </c>
      <c r="AG121" s="269">
        <f t="shared" si="125"/>
        <v>173710906</v>
      </c>
      <c r="AH121" s="270">
        <f t="shared" si="126"/>
        <v>2289094</v>
      </c>
      <c r="AI121" s="220">
        <f t="shared" si="127"/>
        <v>2289094</v>
      </c>
      <c r="AJ121" s="269">
        <f t="shared" si="128"/>
        <v>2289094</v>
      </c>
      <c r="AK121" s="805"/>
      <c r="AL121" s="204">
        <v>0</v>
      </c>
      <c r="AM121" s="210">
        <v>0</v>
      </c>
    </row>
    <row r="122" spans="1:39" ht="24.75" customHeight="1">
      <c r="A122" s="421">
        <f>+IF([1]ENERO!A122=0,"",[1]ENERO!A122)</f>
        <v>2600</v>
      </c>
      <c r="B122" s="388" t="str">
        <f>+IF([1]ENERO!B122=0,"",[1]ENERO!B122)</f>
        <v>RECUPERACIÓN DE CARTERA (AÑO 2023 Y ANTERIORES)</v>
      </c>
      <c r="C122" s="204">
        <f>+[1]ENERO!C122</f>
        <v>0</v>
      </c>
      <c r="D122" s="413">
        <f>[1]ENERO!D122+[1]FEBRERO!P122</f>
        <v>0</v>
      </c>
      <c r="E122" s="413">
        <f>[1]ENERO!E122+[1]FEBRERO!Q122</f>
        <v>0</v>
      </c>
      <c r="F122" s="868">
        <f t="shared" si="117"/>
        <v>0</v>
      </c>
      <c r="G122" s="207">
        <f>[1]ENERO!I122</f>
        <v>0</v>
      </c>
      <c r="H122" s="208">
        <v>0</v>
      </c>
      <c r="I122" s="419">
        <f t="shared" si="118"/>
        <v>0</v>
      </c>
      <c r="J122" s="207">
        <f>[1]ENERO!L122</f>
        <v>0</v>
      </c>
      <c r="K122" s="208">
        <v>0</v>
      </c>
      <c r="L122" s="206">
        <f t="shared" si="119"/>
        <v>0</v>
      </c>
      <c r="M122" s="696">
        <f t="shared" si="120"/>
        <v>0</v>
      </c>
      <c r="N122" s="206">
        <f t="shared" si="121"/>
        <v>0</v>
      </c>
      <c r="O122" s="697"/>
      <c r="P122" s="204">
        <v>0</v>
      </c>
      <c r="Q122" s="210">
        <v>0</v>
      </c>
      <c r="R122" s="805"/>
      <c r="S122" s="189" t="str">
        <f>+IF([1]ENERO!S122=0,"",[1]ENERO!S122)</f>
        <v/>
      </c>
      <c r="T122" s="190"/>
      <c r="U122" s="193"/>
      <c r="V122" s="191"/>
      <c r="W122" s="191"/>
      <c r="X122" s="192"/>
      <c r="Y122" s="193"/>
      <c r="Z122" s="191"/>
      <c r="AA122" s="191"/>
      <c r="AB122" s="193"/>
      <c r="AC122" s="191"/>
      <c r="AD122" s="192"/>
      <c r="AE122" s="193"/>
      <c r="AF122" s="191"/>
      <c r="AG122" s="192"/>
      <c r="AH122" s="193"/>
      <c r="AI122" s="191"/>
      <c r="AJ122" s="192"/>
      <c r="AK122" s="805"/>
      <c r="AL122" s="370"/>
      <c r="AM122" s="371"/>
    </row>
    <row r="123" spans="1:39" ht="24.75" customHeight="1">
      <c r="A123" s="421">
        <f>+IF([1]ENERO!A123=0,"",[1]ENERO!A123)</f>
        <v>2700</v>
      </c>
      <c r="B123" s="388" t="str">
        <f>+IF([1]ENERO!B123=0,"",[1]ENERO!B123)</f>
        <v>OTROS INGRESOS DE CAPITAL</v>
      </c>
      <c r="C123" s="204">
        <f>+[1]ENERO!C123</f>
        <v>0</v>
      </c>
      <c r="D123" s="413">
        <f>[1]ENERO!D123+[1]FEBRERO!P123</f>
        <v>0</v>
      </c>
      <c r="E123" s="413">
        <f>[1]ENERO!E123+[1]FEBRERO!Q123</f>
        <v>0</v>
      </c>
      <c r="F123" s="868">
        <f t="shared" si="117"/>
        <v>0</v>
      </c>
      <c r="G123" s="207">
        <f>[1]ENERO!I123</f>
        <v>0</v>
      </c>
      <c r="H123" s="208">
        <v>0</v>
      </c>
      <c r="I123" s="419">
        <f t="shared" si="118"/>
        <v>0</v>
      </c>
      <c r="J123" s="207">
        <f>[1]ENERO!L123</f>
        <v>0</v>
      </c>
      <c r="K123" s="208">
        <v>0</v>
      </c>
      <c r="L123" s="206">
        <f t="shared" si="119"/>
        <v>0</v>
      </c>
      <c r="M123" s="696">
        <f t="shared" si="120"/>
        <v>0</v>
      </c>
      <c r="N123" s="206">
        <f t="shared" si="121"/>
        <v>0</v>
      </c>
      <c r="O123" s="697"/>
      <c r="P123" s="204">
        <v>0</v>
      </c>
      <c r="Q123" s="210">
        <v>0</v>
      </c>
      <c r="R123" s="805"/>
      <c r="S123" s="257">
        <f>+IF([1]ENERO!S123=0,"",[1]ENERO!S123)</f>
        <v>2010200</v>
      </c>
      <c r="T123" s="423" t="s">
        <v>276</v>
      </c>
      <c r="U123" s="233">
        <f t="shared" ref="U123:AJ123" si="129">SUM(U124:U139)</f>
        <v>8280375089.2777777</v>
      </c>
      <c r="V123" s="231">
        <f t="shared" si="129"/>
        <v>-270999693</v>
      </c>
      <c r="W123" s="231">
        <f t="shared" si="129"/>
        <v>169879991</v>
      </c>
      <c r="X123" s="232">
        <f t="shared" si="129"/>
        <v>8179255487.2777777</v>
      </c>
      <c r="Y123" s="233">
        <f t="shared" si="129"/>
        <v>4125194575</v>
      </c>
      <c r="Z123" s="231">
        <f t="shared" si="129"/>
        <v>382666174</v>
      </c>
      <c r="AA123" s="234">
        <f t="shared" si="129"/>
        <v>4507860749</v>
      </c>
      <c r="AB123" s="233">
        <f t="shared" si="129"/>
        <v>1364369407</v>
      </c>
      <c r="AC123" s="231">
        <f t="shared" si="129"/>
        <v>671994054</v>
      </c>
      <c r="AD123" s="232">
        <f t="shared" si="129"/>
        <v>2036363461</v>
      </c>
      <c r="AE123" s="233">
        <f t="shared" si="129"/>
        <v>248593757</v>
      </c>
      <c r="AF123" s="231">
        <f t="shared" si="129"/>
        <v>773420530</v>
      </c>
      <c r="AG123" s="232">
        <f t="shared" si="129"/>
        <v>1022014287</v>
      </c>
      <c r="AH123" s="233">
        <f t="shared" si="129"/>
        <v>3671394738.2777777</v>
      </c>
      <c r="AI123" s="231">
        <f t="shared" si="129"/>
        <v>6142892026.2777777</v>
      </c>
      <c r="AJ123" s="232">
        <f t="shared" si="129"/>
        <v>7157241200.2777777</v>
      </c>
      <c r="AK123" s="805"/>
      <c r="AL123" s="233">
        <f>SUM(AL124:AL139)</f>
        <v>-469873052</v>
      </c>
      <c r="AM123" s="232">
        <f>SUM(AM124:AM139)</f>
        <v>169879991</v>
      </c>
    </row>
    <row r="124" spans="1:39" ht="24.75" customHeight="1" thickBot="1">
      <c r="A124" s="869">
        <f>+IF([1]ENERO!A124=0,"",[1]ENERO!A124)</f>
        <v>2800</v>
      </c>
      <c r="B124" s="388">
        <f>SUM(ENERO!B124)</f>
        <v>0</v>
      </c>
      <c r="C124" s="242">
        <f>+[1]ENERO!C124</f>
        <v>0</v>
      </c>
      <c r="D124" s="429">
        <f>[1]ENERO!D124+[1]FEBRERO!P124</f>
        <v>0</v>
      </c>
      <c r="E124" s="429">
        <f>[1]ENERO!E124+[1]FEBRERO!Q124</f>
        <v>0</v>
      </c>
      <c r="F124" s="870">
        <f t="shared" si="117"/>
        <v>0</v>
      </c>
      <c r="G124" s="245">
        <f>[1]ENERO!I124</f>
        <v>0</v>
      </c>
      <c r="H124" s="246">
        <v>0</v>
      </c>
      <c r="I124" s="431">
        <f t="shared" si="118"/>
        <v>0</v>
      </c>
      <c r="J124" s="245">
        <f>[1]ENERO!L124</f>
        <v>0</v>
      </c>
      <c r="K124" s="246">
        <v>0</v>
      </c>
      <c r="L124" s="244">
        <f t="shared" si="119"/>
        <v>0</v>
      </c>
      <c r="M124" s="432">
        <f t="shared" si="120"/>
        <v>0</v>
      </c>
      <c r="N124" s="244">
        <f t="shared" si="121"/>
        <v>0</v>
      </c>
      <c r="O124" s="697"/>
      <c r="P124" s="242">
        <v>0</v>
      </c>
      <c r="Q124" s="248">
        <v>0</v>
      </c>
      <c r="R124" s="805"/>
      <c r="S124" s="266" t="str">
        <f>+IF([1]ENERO!S124=0,"",[1]ENERO!S124)</f>
        <v>2.1.2.02.02.007.702</v>
      </c>
      <c r="T124" s="267" t="str">
        <f>[1]ENERO!T124</f>
        <v>Seguros</v>
      </c>
      <c r="U124" s="301">
        <f>SUM(ENERO!U124)</f>
        <v>1040000000</v>
      </c>
      <c r="V124" s="220">
        <f>[1]ENERO!V124+[1]FEBRERO!AL124</f>
        <v>0</v>
      </c>
      <c r="W124" s="220">
        <f>[1]ENERO!W124+[1]FEBRERO!AM124</f>
        <v>0</v>
      </c>
      <c r="X124" s="269">
        <f t="shared" ref="X124:X139" si="130">SUM(U124:W124)</f>
        <v>1040000000</v>
      </c>
      <c r="Y124" s="270">
        <f>[1]ENERO!AA124</f>
        <v>849808541</v>
      </c>
      <c r="Z124" s="204">
        <v>26175780</v>
      </c>
      <c r="AA124" s="271">
        <f t="shared" ref="AA124:AA139" si="131">SUM(Y124:Z124)</f>
        <v>875984321</v>
      </c>
      <c r="AB124" s="270">
        <f>[1]ENERO!AD124</f>
        <v>849037177</v>
      </c>
      <c r="AC124" s="204">
        <v>2600000</v>
      </c>
      <c r="AD124" s="269">
        <f t="shared" ref="AD124:AD139" si="132">SUM(AB124:AC124)</f>
        <v>851637177</v>
      </c>
      <c r="AE124" s="270">
        <f>[1]ENERO!AG124</f>
        <v>0</v>
      </c>
      <c r="AF124" s="204">
        <v>273533936</v>
      </c>
      <c r="AG124" s="269">
        <f t="shared" ref="AG124:AG139" si="133">SUM(AE124:AF124)</f>
        <v>273533936</v>
      </c>
      <c r="AH124" s="270">
        <f t="shared" ref="AH124:AH139" si="134">X124-AA124</f>
        <v>164015679</v>
      </c>
      <c r="AI124" s="220">
        <f t="shared" ref="AI124:AI139" si="135">X124-AD124</f>
        <v>188362823</v>
      </c>
      <c r="AJ124" s="269">
        <f t="shared" ref="AJ124:AJ139" si="136">X124-AG124</f>
        <v>766466064</v>
      </c>
      <c r="AK124" s="805"/>
      <c r="AL124" s="204">
        <v>0</v>
      </c>
      <c r="AM124" s="210">
        <v>0</v>
      </c>
    </row>
    <row r="125" spans="1:39" ht="24.75" customHeight="1" thickBot="1">
      <c r="A125" s="398"/>
      <c r="B125" s="399"/>
      <c r="C125" s="865"/>
      <c r="D125" s="865"/>
      <c r="E125" s="865"/>
      <c r="F125" s="865"/>
      <c r="G125" s="865"/>
      <c r="H125" s="865"/>
      <c r="I125" s="865"/>
      <c r="J125" s="865"/>
      <c r="K125" s="865"/>
      <c r="L125" s="865"/>
      <c r="M125" s="865"/>
      <c r="N125" s="401"/>
      <c r="O125" s="697"/>
      <c r="P125" s="402"/>
      <c r="Q125" s="401"/>
      <c r="R125" s="805"/>
      <c r="S125" s="266" t="str">
        <f>+IF([1]ENERO!S125=0,"",[1]ENERO!S125)</f>
        <v>2.1.2.02.02.007.703</v>
      </c>
      <c r="T125" s="267" t="str">
        <f>[1]ENERO!T125</f>
        <v>Arrendamientos</v>
      </c>
      <c r="U125" s="301">
        <f>SUM(ENERO!U125)</f>
        <v>75000000</v>
      </c>
      <c r="V125" s="220">
        <f>[1]ENERO!V125+[1]FEBRERO!AL125</f>
        <v>10000000</v>
      </c>
      <c r="W125" s="220">
        <f>[1]ENERO!W125+[1]FEBRERO!AM125</f>
        <v>0</v>
      </c>
      <c r="X125" s="269">
        <f t="shared" si="130"/>
        <v>85000000</v>
      </c>
      <c r="Y125" s="270">
        <f>[1]ENERO!AA125</f>
        <v>30000000</v>
      </c>
      <c r="Z125" s="208">
        <v>0</v>
      </c>
      <c r="AA125" s="271">
        <f t="shared" si="131"/>
        <v>30000000</v>
      </c>
      <c r="AB125" s="270">
        <f>[1]ENERO!AD125</f>
        <v>10000000</v>
      </c>
      <c r="AC125" s="204">
        <v>10000000</v>
      </c>
      <c r="AD125" s="269">
        <f t="shared" si="132"/>
        <v>20000000</v>
      </c>
      <c r="AE125" s="270">
        <f>[1]ENERO!AG125</f>
        <v>0</v>
      </c>
      <c r="AF125" s="204">
        <v>10000000</v>
      </c>
      <c r="AG125" s="269">
        <f t="shared" si="133"/>
        <v>10000000</v>
      </c>
      <c r="AH125" s="270">
        <f t="shared" si="134"/>
        <v>55000000</v>
      </c>
      <c r="AI125" s="220">
        <f t="shared" si="135"/>
        <v>65000000</v>
      </c>
      <c r="AJ125" s="269">
        <f t="shared" si="136"/>
        <v>75000000</v>
      </c>
      <c r="AK125" s="805"/>
      <c r="AL125" s="204">
        <v>10000000</v>
      </c>
      <c r="AM125" s="210">
        <v>0</v>
      </c>
    </row>
    <row r="126" spans="1:39" ht="24.75" customHeight="1" thickBot="1">
      <c r="A126" s="871" t="s">
        <v>278</v>
      </c>
      <c r="B126" s="872"/>
      <c r="C126" s="435">
        <f t="shared" ref="C126:N126" si="137">C8-C128</f>
        <v>138960268668.37653</v>
      </c>
      <c r="D126" s="435">
        <f t="shared" si="137"/>
        <v>0</v>
      </c>
      <c r="E126" s="435">
        <f t="shared" si="137"/>
        <v>15046703295</v>
      </c>
      <c r="F126" s="435">
        <f t="shared" si="137"/>
        <v>154006971963.37653</v>
      </c>
      <c r="G126" s="435">
        <f t="shared" si="137"/>
        <v>15212689207</v>
      </c>
      <c r="H126" s="435">
        <f t="shared" si="137"/>
        <v>13423733177</v>
      </c>
      <c r="I126" s="435">
        <f t="shared" si="137"/>
        <v>28618066855</v>
      </c>
      <c r="J126" s="435">
        <f t="shared" si="137"/>
        <v>142948721</v>
      </c>
      <c r="K126" s="435">
        <f t="shared" si="137"/>
        <v>2048772407</v>
      </c>
      <c r="L126" s="435">
        <f t="shared" si="137"/>
        <v>2173365599</v>
      </c>
      <c r="M126" s="435">
        <f t="shared" si="137"/>
        <v>125370549579.37651</v>
      </c>
      <c r="N126" s="873">
        <f t="shared" si="137"/>
        <v>151815250835.3765</v>
      </c>
      <c r="O126" s="697"/>
      <c r="P126" s="437">
        <f>P8-P128</f>
        <v>0</v>
      </c>
      <c r="Q126" s="438">
        <f>Q8-Q128</f>
        <v>8645234788</v>
      </c>
      <c r="R126" s="805"/>
      <c r="S126" s="266" t="str">
        <f>+IF([1]ENERO!S126=0,"",[1]ENERO!S126)</f>
        <v>2.1.2.02.02.008.801</v>
      </c>
      <c r="T126" s="267" t="str">
        <f>[1]ENERO!T126</f>
        <v>Servicios Publicos (energia, Gas, Agua, Internet, Telefonia Fija y Movil)</v>
      </c>
      <c r="U126" s="301">
        <f>SUM(ENERO!U126)</f>
        <v>2804022659</v>
      </c>
      <c r="V126" s="220">
        <f>[1]ENERO!V126+[1]FEBRERO!AL126</f>
        <v>0</v>
      </c>
      <c r="W126" s="220">
        <f>[1]ENERO!W126+[1]FEBRERO!AM126</f>
        <v>0</v>
      </c>
      <c r="X126" s="269">
        <f t="shared" si="130"/>
        <v>2804022659</v>
      </c>
      <c r="Y126" s="270">
        <f>[1]ENERO!AA126</f>
        <v>68087380</v>
      </c>
      <c r="Z126" s="204">
        <v>252620341</v>
      </c>
      <c r="AA126" s="271">
        <f t="shared" si="131"/>
        <v>320707721</v>
      </c>
      <c r="AB126" s="270">
        <f>[1]ENERO!AD126</f>
        <v>67346780</v>
      </c>
      <c r="AC126" s="204">
        <v>253360941</v>
      </c>
      <c r="AD126" s="269">
        <f t="shared" si="132"/>
        <v>320707721</v>
      </c>
      <c r="AE126" s="270">
        <f>[1]ENERO!AG126</f>
        <v>15134624</v>
      </c>
      <c r="AF126" s="204">
        <v>253710533</v>
      </c>
      <c r="AG126" s="269">
        <f t="shared" si="133"/>
        <v>268845157</v>
      </c>
      <c r="AH126" s="270">
        <f t="shared" si="134"/>
        <v>2483314938</v>
      </c>
      <c r="AI126" s="220">
        <f t="shared" si="135"/>
        <v>2483314938</v>
      </c>
      <c r="AJ126" s="269">
        <f t="shared" si="136"/>
        <v>2535177502</v>
      </c>
      <c r="AK126" s="805"/>
      <c r="AL126" s="204">
        <v>0</v>
      </c>
      <c r="AM126" s="210">
        <v>0</v>
      </c>
    </row>
    <row r="127" spans="1:39" ht="24.75" customHeight="1" thickBot="1">
      <c r="A127" s="398"/>
      <c r="B127" s="399"/>
      <c r="C127" s="865"/>
      <c r="D127" s="865"/>
      <c r="E127" s="865"/>
      <c r="F127" s="865"/>
      <c r="G127" s="865"/>
      <c r="H127" s="865"/>
      <c r="I127" s="865"/>
      <c r="J127" s="865"/>
      <c r="K127" s="865"/>
      <c r="L127" s="865"/>
      <c r="M127" s="865"/>
      <c r="N127" s="401"/>
      <c r="O127" s="697"/>
      <c r="P127" s="402"/>
      <c r="Q127" s="401"/>
      <c r="R127" s="805"/>
      <c r="S127" s="266" t="str">
        <f>+IF([1]ENERO!S127=0,"",[1]ENERO!S127)</f>
        <v>2.1.2.02.02.006.603</v>
      </c>
      <c r="T127" s="267" t="str">
        <f>[1]ENERO!T127</f>
        <v>Comunicaciones y Transportes</v>
      </c>
      <c r="U127" s="301">
        <f>SUM(ENERO!U127)</f>
        <v>341244561.11111116</v>
      </c>
      <c r="V127" s="220">
        <f>[1]ENERO!V127+[1]FEBRERO!AL127</f>
        <v>0</v>
      </c>
      <c r="W127" s="220">
        <f>[1]ENERO!W127+[1]FEBRERO!AM127</f>
        <v>0</v>
      </c>
      <c r="X127" s="269">
        <f t="shared" si="130"/>
        <v>341244561.11111116</v>
      </c>
      <c r="Y127" s="270">
        <f>[1]ENERO!AA127</f>
        <v>61718200</v>
      </c>
      <c r="Z127" s="204">
        <v>14365000</v>
      </c>
      <c r="AA127" s="271">
        <f t="shared" si="131"/>
        <v>76083200</v>
      </c>
      <c r="AB127" s="270">
        <f>[1]ENERO!AD127</f>
        <v>13208878</v>
      </c>
      <c r="AC127" s="204">
        <v>9853500</v>
      </c>
      <c r="AD127" s="269">
        <f t="shared" si="132"/>
        <v>23062378</v>
      </c>
      <c r="AE127" s="270">
        <f>[1]ENERO!AG127</f>
        <v>0</v>
      </c>
      <c r="AF127" s="204">
        <v>9861100</v>
      </c>
      <c r="AG127" s="269">
        <f t="shared" si="133"/>
        <v>9861100</v>
      </c>
      <c r="AH127" s="270">
        <f t="shared" si="134"/>
        <v>265161361.11111116</v>
      </c>
      <c r="AI127" s="220">
        <f t="shared" si="135"/>
        <v>318182183.11111116</v>
      </c>
      <c r="AJ127" s="269">
        <f t="shared" si="136"/>
        <v>331383461.11111116</v>
      </c>
      <c r="AK127" s="805"/>
      <c r="AL127" s="204">
        <v>0</v>
      </c>
      <c r="AM127" s="210">
        <v>0</v>
      </c>
    </row>
    <row r="128" spans="1:39" ht="24.75" customHeight="1" thickBot="1">
      <c r="A128" s="874" t="s">
        <v>280</v>
      </c>
      <c r="B128" s="875"/>
      <c r="C128" s="876">
        <f>SUM(C124+C111+C102+C92+C83+C80+C77+C74+C71+C68+C65+C62+C59+C56+C53+C50+C47+C44+C37+C34+C31+C27+C24)</f>
        <v>19182884469.099998</v>
      </c>
      <c r="D128" s="876">
        <f>SUMIF($B8:$B$122,$B$24,D8:D122)+D122</f>
        <v>0</v>
      </c>
      <c r="E128" s="876">
        <f>SUM(E124+E111+E102+E92+E83+E80+E77+E74+E71+E68+E65+E62+E59+E56+E53+E50+E47+E44+E37+E34+E31+E27+E24)</f>
        <v>0</v>
      </c>
      <c r="F128" s="876">
        <f>SUM(F124+F111+F102+F92+F83+F80+F77+F74+F71+F68+F65+F62+F59+F56+F53+F50+F47+F44+F37+F34+F31+F27+F24)</f>
        <v>19182884469.099998</v>
      </c>
      <c r="G128" s="876">
        <f>SUMIF($B8:$B$122,$B$24,G8:G122)+G122</f>
        <v>10267517613</v>
      </c>
      <c r="H128" s="876">
        <f>SUM(H124+H111+H102+H92+H83+H80+H77+H74+H71+H68+H65+H62+H59+H56+H53+H50+H47+H44+H37+H34+H31+H27+H24)</f>
        <v>9440233268</v>
      </c>
      <c r="I128" s="876">
        <f>SUM(I124+I111+I102+I92+I83+I80+I77+I74+I71+I68+I65+I62+I59+I56+I53+I50+I47+I44+I37+I34+I31+I27+I24)</f>
        <v>19726106410</v>
      </c>
      <c r="J128" s="876">
        <f>SUMIF($B8:$B$122,$B$24,J8:J122)+J1212</f>
        <v>10267517613</v>
      </c>
      <c r="K128" s="876">
        <f>SUM(K124+K111+K102+K92+K83+K80+K77+K74+K71+K68+K65+K62+K59+K56+K53+K50+K47+K44+K37+K34+K31+K27+K24)</f>
        <v>9440233268</v>
      </c>
      <c r="L128" s="876">
        <f>SUM(L124+L111+L102+L92+L83+L80+L77+L74+L71+L68+L65+L62+L59+L56+L53+L50+L47+L44+L37+L34+L31+L27+L24)</f>
        <v>19726106410</v>
      </c>
      <c r="M128" s="876">
        <f>SUMIF($B8:$B$122,$B$24,M8:M122)+M12</f>
        <v>-524866411.89999998</v>
      </c>
      <c r="N128" s="442">
        <f>SUMIF($B8:$B$122,$B$24,N8:N122)+N122</f>
        <v>-524866411.89999998</v>
      </c>
      <c r="O128" s="369"/>
      <c r="P128" s="876">
        <f>SUMIF($B8:$B$122,$B$24,P8:P122)+P122</f>
        <v>0</v>
      </c>
      <c r="Q128" s="877">
        <f>SUMIF($B8:$B$122,$B$24,Q8:Q122)+Q122</f>
        <v>0</v>
      </c>
      <c r="R128" s="805"/>
      <c r="S128" s="266" t="str">
        <f>+IF([1]ENERO!S128=0,"",[1]ENERO!S128)</f>
        <v>2.1.2.02.02.006.604</v>
      </c>
      <c r="T128" s="267" t="str">
        <f>[1]ENERO!T128</f>
        <v>Impresos y Publicaciones</v>
      </c>
      <c r="U128" s="301">
        <f>SUM(ENERO!U128)</f>
        <v>327220927.08333331</v>
      </c>
      <c r="V128" s="220">
        <f>[1]ENERO!V128+[1]FEBRERO!AL128</f>
        <v>0</v>
      </c>
      <c r="W128" s="220">
        <f>[1]ENERO!W128+[1]FEBRERO!AM128</f>
        <v>0</v>
      </c>
      <c r="X128" s="269">
        <f t="shared" si="130"/>
        <v>327220927.08333331</v>
      </c>
      <c r="Y128" s="270">
        <f>[1]ENERO!AA128</f>
        <v>200560000</v>
      </c>
      <c r="Z128" s="204">
        <v>15696100</v>
      </c>
      <c r="AA128" s="271">
        <f t="shared" si="131"/>
        <v>216256100</v>
      </c>
      <c r="AB128" s="270">
        <f>[1]ENERO!AD128</f>
        <v>0</v>
      </c>
      <c r="AC128" s="204">
        <v>35271670</v>
      </c>
      <c r="AD128" s="269">
        <f t="shared" si="132"/>
        <v>35271670</v>
      </c>
      <c r="AE128" s="270">
        <f>[1]ENERO!AG128</f>
        <v>0</v>
      </c>
      <c r="AF128" s="204">
        <v>560000</v>
      </c>
      <c r="AG128" s="269">
        <f t="shared" si="133"/>
        <v>560000</v>
      </c>
      <c r="AH128" s="270">
        <f t="shared" si="134"/>
        <v>110964827.08333331</v>
      </c>
      <c r="AI128" s="220">
        <f t="shared" si="135"/>
        <v>291949257.08333331</v>
      </c>
      <c r="AJ128" s="269">
        <f t="shared" si="136"/>
        <v>326660927.08333331</v>
      </c>
      <c r="AK128" s="805"/>
      <c r="AL128" s="204">
        <v>0</v>
      </c>
      <c r="AM128" s="210">
        <v>0</v>
      </c>
    </row>
    <row r="129" spans="1:39" ht="24.75" customHeight="1" thickBot="1">
      <c r="A129" s="398"/>
      <c r="B129" s="399"/>
      <c r="C129" s="865"/>
      <c r="D129" s="865"/>
      <c r="E129" s="865"/>
      <c r="F129" s="865"/>
      <c r="G129" s="865"/>
      <c r="H129" s="865"/>
      <c r="I129" s="865"/>
      <c r="J129" s="865"/>
      <c r="K129" s="865"/>
      <c r="L129" s="865"/>
      <c r="M129" s="865"/>
      <c r="N129" s="401"/>
      <c r="O129" s="697"/>
      <c r="P129" s="402"/>
      <c r="Q129" s="401"/>
      <c r="R129" s="805"/>
      <c r="S129" s="266" t="str">
        <f>+IF([1]ENERO!S129=0,"",[1]ENERO!S129)</f>
        <v>2.1.2.02.02.009.905</v>
      </c>
      <c r="T129" s="267" t="str">
        <f>[1]ENERO!T129</f>
        <v>Servicios de Capacitacion</v>
      </c>
      <c r="U129" s="301">
        <f>SUM(ENERO!U129)</f>
        <v>41029431.25</v>
      </c>
      <c r="V129" s="220">
        <f>[1]ENERO!V129+[1]FEBRERO!AL129</f>
        <v>0</v>
      </c>
      <c r="W129" s="220">
        <f>[1]ENERO!W129+[1]FEBRERO!AM129</f>
        <v>0</v>
      </c>
      <c r="X129" s="269">
        <f t="shared" si="130"/>
        <v>41029431.25</v>
      </c>
      <c r="Y129" s="270">
        <f>[1]ENERO!AA129</f>
        <v>0</v>
      </c>
      <c r="Z129" s="208">
        <v>0</v>
      </c>
      <c r="AA129" s="271">
        <f t="shared" si="131"/>
        <v>0</v>
      </c>
      <c r="AB129" s="270">
        <f>[1]ENERO!AD129</f>
        <v>0</v>
      </c>
      <c r="AC129" s="208">
        <v>0</v>
      </c>
      <c r="AD129" s="269">
        <f t="shared" si="132"/>
        <v>0</v>
      </c>
      <c r="AE129" s="270">
        <f>[1]ENERO!AG129</f>
        <v>0</v>
      </c>
      <c r="AF129" s="208">
        <v>0</v>
      </c>
      <c r="AG129" s="652">
        <f t="shared" si="133"/>
        <v>0</v>
      </c>
      <c r="AH129" s="270">
        <f t="shared" si="134"/>
        <v>41029431.25</v>
      </c>
      <c r="AI129" s="220">
        <f t="shared" si="135"/>
        <v>41029431.25</v>
      </c>
      <c r="AJ129" s="269">
        <f t="shared" si="136"/>
        <v>41029431.25</v>
      </c>
      <c r="AK129" s="805"/>
      <c r="AL129" s="204">
        <v>0</v>
      </c>
      <c r="AM129" s="210">
        <v>0</v>
      </c>
    </row>
    <row r="130" spans="1:39" ht="24.75" customHeight="1" thickBot="1">
      <c r="A130" s="878" t="s">
        <v>282</v>
      </c>
      <c r="B130" s="879"/>
      <c r="C130" s="446">
        <f t="shared" ref="C130:N130" si="138">C128+C126</f>
        <v>158143153137.47653</v>
      </c>
      <c r="D130" s="447">
        <f t="shared" si="138"/>
        <v>0</v>
      </c>
      <c r="E130" s="447">
        <f t="shared" si="138"/>
        <v>15046703295</v>
      </c>
      <c r="F130" s="448">
        <f t="shared" si="138"/>
        <v>173189856432.47653</v>
      </c>
      <c r="G130" s="446">
        <f t="shared" si="138"/>
        <v>25480206820</v>
      </c>
      <c r="H130" s="447">
        <f t="shared" si="138"/>
        <v>22863966445</v>
      </c>
      <c r="I130" s="448">
        <f t="shared" si="138"/>
        <v>48344173265</v>
      </c>
      <c r="J130" s="446">
        <f t="shared" si="138"/>
        <v>10410466334</v>
      </c>
      <c r="K130" s="447">
        <f t="shared" si="138"/>
        <v>11489005675</v>
      </c>
      <c r="L130" s="448">
        <f t="shared" si="138"/>
        <v>21899472009</v>
      </c>
      <c r="M130" s="446">
        <f t="shared" si="138"/>
        <v>124845683167.47652</v>
      </c>
      <c r="N130" s="448">
        <f t="shared" si="138"/>
        <v>151290384423.4765</v>
      </c>
      <c r="O130" s="697"/>
      <c r="P130" s="437">
        <f>P128+P126</f>
        <v>0</v>
      </c>
      <c r="Q130" s="438">
        <f>Q128+Q126</f>
        <v>8645234788</v>
      </c>
      <c r="R130" s="805"/>
      <c r="S130" s="266" t="str">
        <f>+IF([1]ENERO!S130=0,"",[1]ENERO!S130)</f>
        <v>2.1.2.02.02.008.804</v>
      </c>
      <c r="T130" s="267" t="str">
        <f>[1]ENERO!T130</f>
        <v xml:space="preserve">Vigilancia </v>
      </c>
      <c r="U130" s="301">
        <f>SUM(ENERO!U130)</f>
        <v>2929064955.833333</v>
      </c>
      <c r="V130" s="220">
        <f>[1]ENERO!V130+[1]FEBRERO!AL130</f>
        <v>-310000000</v>
      </c>
      <c r="W130" s="220">
        <f>[1]ENERO!W130+[1]FEBRERO!AM130</f>
        <v>0</v>
      </c>
      <c r="X130" s="269">
        <f t="shared" si="130"/>
        <v>2619064955.833333</v>
      </c>
      <c r="Y130" s="270">
        <f>[1]ENERO!AA130</f>
        <v>2320627096</v>
      </c>
      <c r="Z130" s="208">
        <v>0</v>
      </c>
      <c r="AA130" s="271">
        <f t="shared" si="131"/>
        <v>2320627096</v>
      </c>
      <c r="AB130" s="270">
        <f>[1]ENERO!AD130</f>
        <v>191317439</v>
      </c>
      <c r="AC130" s="208">
        <v>0</v>
      </c>
      <c r="AD130" s="269">
        <f t="shared" si="132"/>
        <v>191317439</v>
      </c>
      <c r="AE130" s="270">
        <f>[1]ENERO!AG130</f>
        <v>0</v>
      </c>
      <c r="AF130" s="204">
        <v>191317439</v>
      </c>
      <c r="AG130" s="269">
        <f t="shared" si="133"/>
        <v>191317439</v>
      </c>
      <c r="AH130" s="270">
        <f t="shared" si="134"/>
        <v>298437859.83333302</v>
      </c>
      <c r="AI130" s="220">
        <f t="shared" si="135"/>
        <v>2427747516.833333</v>
      </c>
      <c r="AJ130" s="269">
        <f t="shared" si="136"/>
        <v>2427747516.833333</v>
      </c>
      <c r="AK130" s="805"/>
      <c r="AL130" s="204">
        <f>-270000000-30000000-10000000</f>
        <v>-310000000</v>
      </c>
      <c r="AM130" s="210">
        <v>0</v>
      </c>
    </row>
    <row r="131" spans="1:39" ht="24.75" customHeight="1">
      <c r="A131" s="880"/>
      <c r="B131" s="881"/>
      <c r="C131" s="697"/>
      <c r="D131" s="697"/>
      <c r="E131" s="697"/>
      <c r="F131" s="697"/>
      <c r="G131" s="697"/>
      <c r="H131" s="697"/>
      <c r="I131" s="697"/>
      <c r="J131" s="697"/>
      <c r="K131" s="697"/>
      <c r="L131" s="697"/>
      <c r="M131" s="697"/>
      <c r="N131" s="805"/>
      <c r="O131" s="697"/>
      <c r="P131" s="697"/>
      <c r="Q131" s="697"/>
      <c r="R131" s="805"/>
      <c r="S131" s="266" t="str">
        <f>+IF([1]ENERO!S131=0,"",[1]ENERO!S131)</f>
        <v>2.1.2.02.02.009.908</v>
      </c>
      <c r="T131" s="267" t="str">
        <f>[1]ENERO!T131</f>
        <v>Bienestar Social</v>
      </c>
      <c r="U131" s="301">
        <f>SUM(ENERO!U131)</f>
        <v>326592555</v>
      </c>
      <c r="V131" s="220">
        <f>[1]ENERO!V131+[1]FEBRERO!AL131</f>
        <v>29000307</v>
      </c>
      <c r="W131" s="220">
        <f>[1]ENERO!W131+[1]FEBRERO!AM131</f>
        <v>169879991</v>
      </c>
      <c r="X131" s="269">
        <v>525472953</v>
      </c>
      <c r="Y131" s="270">
        <f>[1]ENERO!AA131</f>
        <v>360934225</v>
      </c>
      <c r="Z131" s="204">
        <v>72823651</v>
      </c>
      <c r="AA131" s="271">
        <f t="shared" si="131"/>
        <v>433757876</v>
      </c>
      <c r="AB131" s="270">
        <f>[1]ENERO!AD131</f>
        <v>0</v>
      </c>
      <c r="AC131" s="204">
        <v>359922641</v>
      </c>
      <c r="AD131" s="269">
        <f t="shared" si="132"/>
        <v>359922641</v>
      </c>
      <c r="AE131" s="270">
        <f>[1]ENERO!AG131</f>
        <v>0</v>
      </c>
      <c r="AF131" s="204">
        <v>33452220</v>
      </c>
      <c r="AG131" s="269">
        <f t="shared" si="133"/>
        <v>33452220</v>
      </c>
      <c r="AH131" s="270">
        <f t="shared" si="134"/>
        <v>91715077</v>
      </c>
      <c r="AI131" s="220">
        <f t="shared" si="135"/>
        <v>165550312</v>
      </c>
      <c r="AJ131" s="269">
        <f t="shared" si="136"/>
        <v>492020733</v>
      </c>
      <c r="AK131" s="805"/>
      <c r="AL131" s="204">
        <v>-169873052</v>
      </c>
      <c r="AM131" s="210">
        <v>169879991</v>
      </c>
    </row>
    <row r="132" spans="1:39" ht="24.75" customHeight="1">
      <c r="A132" s="880"/>
      <c r="B132" s="881"/>
      <c r="C132" s="697"/>
      <c r="D132" s="697"/>
      <c r="E132" s="697"/>
      <c r="F132" s="697"/>
      <c r="G132" s="697"/>
      <c r="H132" s="697"/>
      <c r="I132" s="697"/>
      <c r="J132" s="697"/>
      <c r="K132" s="697"/>
      <c r="L132" s="697"/>
      <c r="M132" s="697"/>
      <c r="N132" s="805"/>
      <c r="O132" s="697"/>
      <c r="P132" s="697"/>
      <c r="Q132" s="697"/>
      <c r="R132" s="805"/>
      <c r="S132" s="266" t="str">
        <f>+IF([1]ENERO!S132=0,"",[1]ENERO!S132)</f>
        <v>2.1.2.02.02.010</v>
      </c>
      <c r="T132" s="267" t="str">
        <f>[1]ENERO!T132</f>
        <v>Viáticos de los funcionarios en comisión</v>
      </c>
      <c r="U132" s="301">
        <f>SUM(ENERO!U132)</f>
        <v>3000000</v>
      </c>
      <c r="V132" s="220">
        <f>[1]ENERO!V132+[1]FEBRERO!AL132</f>
        <v>0</v>
      </c>
      <c r="W132" s="220">
        <f>[1]ENERO!W132+[1]FEBRERO!AM132</f>
        <v>0</v>
      </c>
      <c r="X132" s="269">
        <f t="shared" si="130"/>
        <v>3000000</v>
      </c>
      <c r="Y132" s="270">
        <f>[1]ENERO!AA132</f>
        <v>0</v>
      </c>
      <c r="Z132" s="208">
        <v>0</v>
      </c>
      <c r="AA132" s="271">
        <f t="shared" si="131"/>
        <v>0</v>
      </c>
      <c r="AB132" s="270">
        <f>[1]ENERO!AD132</f>
        <v>0</v>
      </c>
      <c r="AC132" s="208">
        <v>0</v>
      </c>
      <c r="AD132" s="269">
        <f t="shared" si="132"/>
        <v>0</v>
      </c>
      <c r="AE132" s="270">
        <f>[1]ENERO!AG132</f>
        <v>0</v>
      </c>
      <c r="AF132" s="208">
        <v>0</v>
      </c>
      <c r="AG132" s="269">
        <f t="shared" si="133"/>
        <v>0</v>
      </c>
      <c r="AH132" s="270">
        <f t="shared" si="134"/>
        <v>3000000</v>
      </c>
      <c r="AI132" s="220">
        <f t="shared" si="135"/>
        <v>3000000</v>
      </c>
      <c r="AJ132" s="269">
        <f t="shared" si="136"/>
        <v>3000000</v>
      </c>
      <c r="AK132" s="805"/>
      <c r="AL132" s="204">
        <v>0</v>
      </c>
      <c r="AM132" s="210">
        <v>0</v>
      </c>
    </row>
    <row r="133" spans="1:39" ht="24.75" customHeight="1">
      <c r="A133" s="880"/>
      <c r="B133" s="881"/>
      <c r="C133" s="697"/>
      <c r="D133" s="697"/>
      <c r="E133" s="697"/>
      <c r="F133" s="697"/>
      <c r="G133" s="697"/>
      <c r="H133" s="697"/>
      <c r="I133" s="697"/>
      <c r="J133" s="697"/>
      <c r="K133" s="697"/>
      <c r="L133" s="697"/>
      <c r="M133" s="697"/>
      <c r="N133" s="805"/>
      <c r="O133" s="697"/>
      <c r="P133" s="697"/>
      <c r="Q133" s="697"/>
      <c r="R133" s="805"/>
      <c r="S133" s="266" t="str">
        <f>+IF([1]ENERO!S133=0,"",[1]ENERO!S133)</f>
        <v>2.1.2.02.02.009.903</v>
      </c>
      <c r="T133" s="267" t="str">
        <f>[1]ENERO!T133</f>
        <v>Servicios prestados por IPS</v>
      </c>
      <c r="U133" s="301">
        <f>SUM(ENERO!U133)</f>
        <v>5000000</v>
      </c>
      <c r="V133" s="220">
        <f>[1]ENERO!V133+[1]FEBRERO!AL133</f>
        <v>0</v>
      </c>
      <c r="W133" s="220">
        <f>[1]ENERO!W133+[1]FEBRERO!AM133</f>
        <v>0</v>
      </c>
      <c r="X133" s="269">
        <f t="shared" si="130"/>
        <v>5000000</v>
      </c>
      <c r="Y133" s="270">
        <f>[1]ENERO!AA133</f>
        <v>0</v>
      </c>
      <c r="Z133" s="208">
        <v>0</v>
      </c>
      <c r="AA133" s="271">
        <f t="shared" si="131"/>
        <v>0</v>
      </c>
      <c r="AB133" s="270">
        <f>[1]ENERO!AD133</f>
        <v>0</v>
      </c>
      <c r="AC133" s="208">
        <v>0</v>
      </c>
      <c r="AD133" s="269">
        <f t="shared" si="132"/>
        <v>0</v>
      </c>
      <c r="AE133" s="270">
        <f>[1]ENERO!AG133</f>
        <v>0</v>
      </c>
      <c r="AF133" s="208">
        <v>0</v>
      </c>
      <c r="AG133" s="269">
        <f t="shared" si="133"/>
        <v>0</v>
      </c>
      <c r="AH133" s="270">
        <f t="shared" si="134"/>
        <v>5000000</v>
      </c>
      <c r="AI133" s="220">
        <f t="shared" si="135"/>
        <v>5000000</v>
      </c>
      <c r="AJ133" s="269">
        <f t="shared" si="136"/>
        <v>5000000</v>
      </c>
      <c r="AK133" s="805"/>
      <c r="AL133" s="204">
        <v>0</v>
      </c>
      <c r="AM133" s="210">
        <v>0</v>
      </c>
    </row>
    <row r="134" spans="1:39" ht="24.75" customHeight="1">
      <c r="A134" s="880"/>
      <c r="B134" s="881"/>
      <c r="C134" s="697"/>
      <c r="D134" s="697"/>
      <c r="E134" s="697"/>
      <c r="F134" s="697"/>
      <c r="G134" s="697"/>
      <c r="H134" s="697"/>
      <c r="I134" s="697"/>
      <c r="J134" s="697"/>
      <c r="K134" s="697"/>
      <c r="L134" s="697"/>
      <c r="M134" s="697"/>
      <c r="N134" s="805"/>
      <c r="O134" s="697"/>
      <c r="P134" s="697"/>
      <c r="Q134" s="697"/>
      <c r="R134" s="805"/>
      <c r="S134" s="266" t="str">
        <f>+IF([1]ENERO!S134=0,"",[1]ENERO!S134)</f>
        <v>2010200-11</v>
      </c>
      <c r="T134" s="267" t="str">
        <f>[1]ENERO!T134</f>
        <v>Gastos Bancarios</v>
      </c>
      <c r="U134" s="301">
        <f>SUM(ENERO!U134)</f>
        <v>0</v>
      </c>
      <c r="V134" s="220">
        <f>[1]ENERO!V134+[1]FEBRERO!AL134</f>
        <v>0</v>
      </c>
      <c r="W134" s="220">
        <f>[1]ENERO!W134+[1]FEBRERO!AM134</f>
        <v>0</v>
      </c>
      <c r="X134" s="269">
        <f t="shared" si="130"/>
        <v>0</v>
      </c>
      <c r="Y134" s="270">
        <f>[1]ENERO!AA134</f>
        <v>0</v>
      </c>
      <c r="Z134" s="208">
        <v>0</v>
      </c>
      <c r="AA134" s="271">
        <f t="shared" si="131"/>
        <v>0</v>
      </c>
      <c r="AB134" s="270">
        <f>[1]ENERO!AD134</f>
        <v>0</v>
      </c>
      <c r="AC134" s="208">
        <v>0</v>
      </c>
      <c r="AD134" s="269">
        <f t="shared" si="132"/>
        <v>0</v>
      </c>
      <c r="AE134" s="270">
        <f>[1]ENERO!AG134</f>
        <v>0</v>
      </c>
      <c r="AF134" s="208">
        <v>0</v>
      </c>
      <c r="AG134" s="269">
        <f t="shared" si="133"/>
        <v>0</v>
      </c>
      <c r="AH134" s="270">
        <f t="shared" si="134"/>
        <v>0</v>
      </c>
      <c r="AI134" s="220">
        <f t="shared" si="135"/>
        <v>0</v>
      </c>
      <c r="AJ134" s="269">
        <f t="shared" si="136"/>
        <v>0</v>
      </c>
      <c r="AK134" s="805"/>
      <c r="AL134" s="204">
        <v>0</v>
      </c>
      <c r="AM134" s="210">
        <v>0</v>
      </c>
    </row>
    <row r="135" spans="1:39" ht="24.75" customHeight="1">
      <c r="A135" s="880"/>
      <c r="B135" s="881"/>
      <c r="C135" s="697"/>
      <c r="D135" s="697"/>
      <c r="E135" s="697"/>
      <c r="F135" s="697"/>
      <c r="G135" s="697"/>
      <c r="H135" s="697"/>
      <c r="I135" s="697"/>
      <c r="J135" s="697"/>
      <c r="K135" s="697"/>
      <c r="L135" s="697"/>
      <c r="M135" s="697"/>
      <c r="N135" s="805"/>
      <c r="O135" s="697"/>
      <c r="P135" s="697"/>
      <c r="Q135" s="697"/>
      <c r="R135" s="805"/>
      <c r="S135" s="266" t="str">
        <f>+IF([1]ENERO!S135=0,"",[1]ENERO!S135)</f>
        <v>2.1.2.02.02.009.909</v>
      </c>
      <c r="T135" s="267" t="str">
        <f>[1]ENERO!T135</f>
        <v>Convenio Docencia Servicios</v>
      </c>
      <c r="U135" s="301">
        <f>SUM(ENERO!U135)</f>
        <v>20000000</v>
      </c>
      <c r="V135" s="220">
        <f>[1]ENERO!V135+[1]FEBRERO!AL135</f>
        <v>0</v>
      </c>
      <c r="W135" s="220">
        <f>[1]ENERO!W135+[1]FEBRERO!AM135</f>
        <v>0</v>
      </c>
      <c r="X135" s="269">
        <f t="shared" si="130"/>
        <v>20000000</v>
      </c>
      <c r="Y135" s="270">
        <f>[1]ENERO!AA135</f>
        <v>0</v>
      </c>
      <c r="Z135" s="208">
        <v>0</v>
      </c>
      <c r="AA135" s="271">
        <f t="shared" si="131"/>
        <v>0</v>
      </c>
      <c r="AB135" s="270">
        <f>[1]ENERO!AD135</f>
        <v>0</v>
      </c>
      <c r="AC135" s="208">
        <v>0</v>
      </c>
      <c r="AD135" s="269">
        <f t="shared" si="132"/>
        <v>0</v>
      </c>
      <c r="AE135" s="270">
        <f>[1]ENERO!AG135</f>
        <v>0</v>
      </c>
      <c r="AF135" s="208">
        <v>0</v>
      </c>
      <c r="AG135" s="269">
        <f t="shared" si="133"/>
        <v>0</v>
      </c>
      <c r="AH135" s="270">
        <f t="shared" si="134"/>
        <v>20000000</v>
      </c>
      <c r="AI135" s="220">
        <f t="shared" si="135"/>
        <v>20000000</v>
      </c>
      <c r="AJ135" s="269">
        <f t="shared" si="136"/>
        <v>20000000</v>
      </c>
      <c r="AK135" s="805"/>
      <c r="AL135" s="204">
        <v>0</v>
      </c>
      <c r="AM135" s="210">
        <v>0</v>
      </c>
    </row>
    <row r="136" spans="1:39" ht="24.75" customHeight="1">
      <c r="A136" s="880"/>
      <c r="B136" s="881"/>
      <c r="C136" s="697"/>
      <c r="D136" s="697"/>
      <c r="E136" s="697"/>
      <c r="F136" s="697"/>
      <c r="G136" s="697"/>
      <c r="H136" s="697"/>
      <c r="I136" s="697"/>
      <c r="J136" s="697"/>
      <c r="K136" s="697"/>
      <c r="L136" s="697"/>
      <c r="M136" s="697"/>
      <c r="N136" s="805"/>
      <c r="O136" s="697"/>
      <c r="P136" s="697"/>
      <c r="Q136" s="697"/>
      <c r="R136" s="805"/>
      <c r="S136" s="266" t="str">
        <f>+IF([1]ENERO!S136=0,"",[1]ENERO!S136)</f>
        <v>2.1.2.02.02.008.809</v>
      </c>
      <c r="T136" s="267" t="str">
        <f>[1]ENERO!T136</f>
        <v>Publicidad</v>
      </c>
      <c r="U136" s="301">
        <f>SUM(ENERO!U136)</f>
        <v>0</v>
      </c>
      <c r="V136" s="220">
        <f>[1]ENERO!V136+[1]FEBRERO!AL136</f>
        <v>0</v>
      </c>
      <c r="W136" s="220">
        <f>[1]ENERO!W136+[1]FEBRERO!AM136</f>
        <v>0</v>
      </c>
      <c r="X136" s="269">
        <f t="shared" si="130"/>
        <v>0</v>
      </c>
      <c r="Y136" s="270">
        <f>[1]ENERO!AA136</f>
        <v>0</v>
      </c>
      <c r="Z136" s="208">
        <v>0</v>
      </c>
      <c r="AA136" s="271">
        <f t="shared" si="131"/>
        <v>0</v>
      </c>
      <c r="AB136" s="270">
        <f>[1]ENERO!AD136</f>
        <v>0</v>
      </c>
      <c r="AC136" s="208">
        <v>0</v>
      </c>
      <c r="AD136" s="269">
        <f t="shared" si="132"/>
        <v>0</v>
      </c>
      <c r="AE136" s="270">
        <f>[1]ENERO!AG136</f>
        <v>0</v>
      </c>
      <c r="AF136" s="208">
        <v>0</v>
      </c>
      <c r="AG136" s="269">
        <f t="shared" si="133"/>
        <v>0</v>
      </c>
      <c r="AH136" s="270">
        <f t="shared" si="134"/>
        <v>0</v>
      </c>
      <c r="AI136" s="220">
        <f t="shared" si="135"/>
        <v>0</v>
      </c>
      <c r="AJ136" s="269">
        <f t="shared" si="136"/>
        <v>0</v>
      </c>
      <c r="AK136" s="805"/>
      <c r="AL136" s="204">
        <v>0</v>
      </c>
      <c r="AM136" s="210">
        <v>0</v>
      </c>
    </row>
    <row r="137" spans="1:39" ht="24.75" customHeight="1">
      <c r="A137" s="880"/>
      <c r="B137" s="881"/>
      <c r="C137" s="697"/>
      <c r="D137" s="697"/>
      <c r="E137" s="697"/>
      <c r="F137" s="697"/>
      <c r="G137" s="697"/>
      <c r="H137" s="697"/>
      <c r="I137" s="697"/>
      <c r="J137" s="697"/>
      <c r="K137" s="697"/>
      <c r="L137" s="697"/>
      <c r="M137" s="697"/>
      <c r="N137" s="805"/>
      <c r="O137" s="697"/>
      <c r="P137" s="697"/>
      <c r="Q137" s="697"/>
      <c r="R137" s="805"/>
      <c r="S137" s="266" t="str">
        <f>+IF([1]ENERO!S137=0,"",[1]ENERO!S137)</f>
        <v/>
      </c>
      <c r="T137" s="267">
        <f>[1]ENERO!T137</f>
        <v>0</v>
      </c>
      <c r="U137" s="301">
        <f>SUM(ENERO!U137)</f>
        <v>0</v>
      </c>
      <c r="V137" s="220">
        <f>[1]ENERO!V137+[1]FEBRERO!AL137</f>
        <v>0</v>
      </c>
      <c r="W137" s="220">
        <f>[1]ENERO!W137+[1]FEBRERO!AM137</f>
        <v>0</v>
      </c>
      <c r="X137" s="269">
        <f t="shared" si="130"/>
        <v>0</v>
      </c>
      <c r="Y137" s="270">
        <f>[1]ENERO!AA137</f>
        <v>0</v>
      </c>
      <c r="Z137" s="208">
        <v>0</v>
      </c>
      <c r="AA137" s="271">
        <f t="shared" si="131"/>
        <v>0</v>
      </c>
      <c r="AB137" s="270">
        <f>[1]ENERO!AD137</f>
        <v>0</v>
      </c>
      <c r="AC137" s="208">
        <v>0</v>
      </c>
      <c r="AD137" s="269">
        <f t="shared" si="132"/>
        <v>0</v>
      </c>
      <c r="AE137" s="270">
        <f>[1]ENERO!AG137</f>
        <v>0</v>
      </c>
      <c r="AF137" s="208">
        <v>0</v>
      </c>
      <c r="AG137" s="269">
        <f t="shared" si="133"/>
        <v>0</v>
      </c>
      <c r="AH137" s="270">
        <f t="shared" si="134"/>
        <v>0</v>
      </c>
      <c r="AI137" s="220">
        <f t="shared" si="135"/>
        <v>0</v>
      </c>
      <c r="AJ137" s="269">
        <f t="shared" si="136"/>
        <v>0</v>
      </c>
      <c r="AK137" s="805"/>
      <c r="AL137" s="204">
        <v>0</v>
      </c>
      <c r="AM137" s="210">
        <v>0</v>
      </c>
    </row>
    <row r="138" spans="1:39" ht="24.75" customHeight="1">
      <c r="A138" s="880"/>
      <c r="B138" s="881"/>
      <c r="C138" s="697"/>
      <c r="D138" s="697"/>
      <c r="E138" s="697"/>
      <c r="F138" s="697"/>
      <c r="G138" s="697"/>
      <c r="H138" s="697"/>
      <c r="I138" s="697"/>
      <c r="J138" s="697"/>
      <c r="K138" s="697"/>
      <c r="L138" s="697"/>
      <c r="M138" s="697"/>
      <c r="N138" s="805"/>
      <c r="O138" s="697"/>
      <c r="P138" s="697"/>
      <c r="Q138" s="697"/>
      <c r="R138" s="805"/>
      <c r="S138" s="266" t="str">
        <f>+IF([1]ENERO!S138=0,"",[1]ENERO!S138)</f>
        <v/>
      </c>
      <c r="T138" s="267">
        <f>[1]ENERO!T138</f>
        <v>0</v>
      </c>
      <c r="U138" s="301">
        <f>SUM(ENERO!U138)</f>
        <v>0</v>
      </c>
      <c r="V138" s="220">
        <f>[1]ENERO!V138+[1]FEBRERO!AL138</f>
        <v>0</v>
      </c>
      <c r="W138" s="220">
        <f>[1]ENERO!W138+[1]FEBRERO!AM138</f>
        <v>0</v>
      </c>
      <c r="X138" s="269">
        <f t="shared" si="130"/>
        <v>0</v>
      </c>
      <c r="Y138" s="270">
        <f>[1]ENERO!AA138</f>
        <v>0</v>
      </c>
      <c r="Z138" s="208">
        <v>0</v>
      </c>
      <c r="AA138" s="271">
        <f t="shared" si="131"/>
        <v>0</v>
      </c>
      <c r="AB138" s="270">
        <f>[1]ENERO!AD138</f>
        <v>0</v>
      </c>
      <c r="AC138" s="208">
        <v>0</v>
      </c>
      <c r="AD138" s="269">
        <f t="shared" si="132"/>
        <v>0</v>
      </c>
      <c r="AE138" s="270">
        <f>[1]ENERO!AG138</f>
        <v>0</v>
      </c>
      <c r="AF138" s="208">
        <v>0</v>
      </c>
      <c r="AG138" s="269">
        <f t="shared" si="133"/>
        <v>0</v>
      </c>
      <c r="AH138" s="270">
        <f t="shared" si="134"/>
        <v>0</v>
      </c>
      <c r="AI138" s="220">
        <f t="shared" si="135"/>
        <v>0</v>
      </c>
      <c r="AJ138" s="269">
        <f t="shared" si="136"/>
        <v>0</v>
      </c>
      <c r="AK138" s="805"/>
      <c r="AL138" s="204">
        <v>0</v>
      </c>
      <c r="AM138" s="210">
        <v>0</v>
      </c>
    </row>
    <row r="139" spans="1:39" ht="24.75" customHeight="1">
      <c r="A139" s="880"/>
      <c r="B139" s="881"/>
      <c r="C139" s="697"/>
      <c r="D139" s="697"/>
      <c r="E139" s="697"/>
      <c r="F139" s="697"/>
      <c r="G139" s="697"/>
      <c r="H139" s="697"/>
      <c r="I139" s="697"/>
      <c r="J139" s="697"/>
      <c r="K139" s="697"/>
      <c r="L139" s="697"/>
      <c r="M139" s="697"/>
      <c r="N139" s="805"/>
      <c r="O139" s="697"/>
      <c r="P139" s="697"/>
      <c r="Q139" s="697"/>
      <c r="R139" s="805"/>
      <c r="S139" s="266" t="str">
        <f>+IF([1]ENERO!S139=0,"",[1]ENERO!S139)</f>
        <v>2.1.2.02.02.008.99.01</v>
      </c>
      <c r="T139" s="267" t="str">
        <f>[1]ENERO!T139</f>
        <v xml:space="preserve">Vigencias Anteriores Serv.Publicos </v>
      </c>
      <c r="U139" s="301">
        <f>SUM(ENERO!U139)</f>
        <v>368200000</v>
      </c>
      <c r="V139" s="220">
        <f>[1]ENERO!V139+[1]FEBRERO!AL139</f>
        <v>0</v>
      </c>
      <c r="W139" s="220">
        <f>[1]ENERO!W139+[1]FEBRERO!AM139</f>
        <v>0</v>
      </c>
      <c r="X139" s="269">
        <f t="shared" si="130"/>
        <v>368200000</v>
      </c>
      <c r="Y139" s="270">
        <f>[1]ENERO!AA139</f>
        <v>233459133</v>
      </c>
      <c r="Z139" s="204">
        <v>985302</v>
      </c>
      <c r="AA139" s="271">
        <f t="shared" si="131"/>
        <v>234444435</v>
      </c>
      <c r="AB139" s="270">
        <f>[1]ENERO!AD139</f>
        <v>233459133</v>
      </c>
      <c r="AC139" s="204">
        <v>985302</v>
      </c>
      <c r="AD139" s="269">
        <f t="shared" si="132"/>
        <v>234444435</v>
      </c>
      <c r="AE139" s="270">
        <f>[1]ENERO!AG139</f>
        <v>233459133</v>
      </c>
      <c r="AF139" s="204">
        <v>985302</v>
      </c>
      <c r="AG139" s="269">
        <f t="shared" si="133"/>
        <v>234444435</v>
      </c>
      <c r="AH139" s="270">
        <f t="shared" si="134"/>
        <v>133755565</v>
      </c>
      <c r="AI139" s="220">
        <f t="shared" si="135"/>
        <v>133755565</v>
      </c>
      <c r="AJ139" s="269">
        <f t="shared" si="136"/>
        <v>133755565</v>
      </c>
      <c r="AK139" s="805"/>
      <c r="AL139" s="204">
        <v>0</v>
      </c>
      <c r="AM139" s="210">
        <v>0</v>
      </c>
    </row>
    <row r="140" spans="1:39" ht="24.75" customHeight="1">
      <c r="A140" s="880"/>
      <c r="B140" s="881"/>
      <c r="C140" s="697"/>
      <c r="D140" s="697"/>
      <c r="E140" s="697"/>
      <c r="F140" s="697"/>
      <c r="G140" s="697"/>
      <c r="H140" s="697"/>
      <c r="I140" s="697"/>
      <c r="J140" s="697"/>
      <c r="K140" s="697"/>
      <c r="L140" s="697"/>
      <c r="M140" s="697"/>
      <c r="N140" s="805"/>
      <c r="O140" s="697"/>
      <c r="P140" s="697"/>
      <c r="Q140" s="697"/>
      <c r="R140" s="805"/>
      <c r="S140" s="189">
        <f>+IF([1]ENERO!S140=0,"",[1]ENERO!S140)</f>
        <v>233459072</v>
      </c>
      <c r="T140" s="190"/>
      <c r="U140" s="193"/>
      <c r="V140" s="191"/>
      <c r="W140" s="191"/>
      <c r="X140" s="192"/>
      <c r="Y140" s="193"/>
      <c r="Z140" s="191"/>
      <c r="AA140" s="191"/>
      <c r="AB140" s="193"/>
      <c r="AC140" s="191"/>
      <c r="AD140" s="192"/>
      <c r="AE140" s="193"/>
      <c r="AF140" s="191"/>
      <c r="AG140" s="192"/>
      <c r="AH140" s="193"/>
      <c r="AI140" s="191"/>
      <c r="AJ140" s="192"/>
      <c r="AK140" s="827"/>
      <c r="AL140" s="370"/>
      <c r="AM140" s="371"/>
    </row>
    <row r="141" spans="1:39" ht="24.75" customHeight="1">
      <c r="A141" s="880"/>
      <c r="B141" s="881"/>
      <c r="C141" s="697"/>
      <c r="D141" s="697"/>
      <c r="E141" s="697"/>
      <c r="F141" s="697"/>
      <c r="G141" s="697"/>
      <c r="H141" s="697"/>
      <c r="I141" s="697"/>
      <c r="J141" s="697"/>
      <c r="K141" s="697"/>
      <c r="L141" s="697"/>
      <c r="M141" s="697"/>
      <c r="N141" s="805"/>
      <c r="O141" s="697"/>
      <c r="P141" s="697"/>
      <c r="Q141" s="697"/>
      <c r="R141" s="805"/>
      <c r="S141" s="257" t="str">
        <f>+IF([1]ENERO!S141=0,"",[1]ENERO!S141)</f>
        <v>2.1.8.01</v>
      </c>
      <c r="T141" s="258" t="s">
        <v>285</v>
      </c>
      <c r="U141" s="233">
        <f t="shared" ref="U141:AJ141" si="139">U142+U143</f>
        <v>548000000</v>
      </c>
      <c r="V141" s="231">
        <f t="shared" si="139"/>
        <v>0</v>
      </c>
      <c r="W141" s="231">
        <f t="shared" si="139"/>
        <v>0</v>
      </c>
      <c r="X141" s="232">
        <f t="shared" si="139"/>
        <v>548000000</v>
      </c>
      <c r="Y141" s="233">
        <f t="shared" si="139"/>
        <v>8880060</v>
      </c>
      <c r="Z141" s="231">
        <f t="shared" si="139"/>
        <v>0</v>
      </c>
      <c r="AA141" s="234">
        <f t="shared" si="139"/>
        <v>8880060</v>
      </c>
      <c r="AB141" s="233">
        <f t="shared" si="139"/>
        <v>8880060</v>
      </c>
      <c r="AC141" s="231">
        <f t="shared" si="139"/>
        <v>0</v>
      </c>
      <c r="AD141" s="232">
        <f t="shared" si="139"/>
        <v>8880060</v>
      </c>
      <c r="AE141" s="233">
        <f t="shared" si="139"/>
        <v>8880060</v>
      </c>
      <c r="AF141" s="231">
        <f t="shared" si="139"/>
        <v>0</v>
      </c>
      <c r="AG141" s="232">
        <f t="shared" si="139"/>
        <v>8880060</v>
      </c>
      <c r="AH141" s="233">
        <f t="shared" si="139"/>
        <v>539119940</v>
      </c>
      <c r="AI141" s="231">
        <f t="shared" si="139"/>
        <v>539119940</v>
      </c>
      <c r="AJ141" s="232">
        <f t="shared" si="139"/>
        <v>539119940</v>
      </c>
      <c r="AK141" s="827"/>
      <c r="AL141" s="233">
        <f>AL142+AL143</f>
        <v>0</v>
      </c>
      <c r="AM141" s="232">
        <f>AM142+AM143</f>
        <v>0</v>
      </c>
    </row>
    <row r="142" spans="1:39" ht="24.75" customHeight="1">
      <c r="A142" s="880"/>
      <c r="B142" s="881"/>
      <c r="C142" s="697"/>
      <c r="D142" s="697"/>
      <c r="E142" s="697"/>
      <c r="F142" s="697"/>
      <c r="G142" s="697"/>
      <c r="H142" s="697"/>
      <c r="I142" s="697"/>
      <c r="J142" s="697"/>
      <c r="K142" s="697"/>
      <c r="L142" s="697"/>
      <c r="M142" s="697"/>
      <c r="N142" s="805"/>
      <c r="O142" s="697"/>
      <c r="P142" s="697"/>
      <c r="Q142" s="697"/>
      <c r="R142" s="805"/>
      <c r="S142" s="266" t="str">
        <f>+IF([1]ENERO!S142=0,"",[1]ENERO!S142)</f>
        <v>2.1.8.01.52</v>
      </c>
      <c r="T142" s="267" t="str">
        <f>[1]ENERO!T142</f>
        <v>Impuestos (Predial, Vehiculos, Otros)</v>
      </c>
      <c r="U142" s="301">
        <f>SUM(ENERO!U142)</f>
        <v>148000000</v>
      </c>
      <c r="V142" s="220">
        <f>[1]ENERO!V142+[1]FEBRERO!AL142</f>
        <v>0</v>
      </c>
      <c r="W142" s="220">
        <f>[1]ENERO!W142+[1]FEBRERO!AM142</f>
        <v>0</v>
      </c>
      <c r="X142" s="269">
        <f>SUM(U142:W142)</f>
        <v>148000000</v>
      </c>
      <c r="Y142" s="270">
        <f>[1]ENERO!AA142</f>
        <v>0</v>
      </c>
      <c r="Z142" s="208">
        <v>0</v>
      </c>
      <c r="AA142" s="271">
        <f>SUM(Y142:Z142)</f>
        <v>0</v>
      </c>
      <c r="AB142" s="270">
        <f>[1]ENERO!AD142</f>
        <v>0</v>
      </c>
      <c r="AC142" s="208">
        <v>0</v>
      </c>
      <c r="AD142" s="269">
        <f>SUM(AB142:AC142)</f>
        <v>0</v>
      </c>
      <c r="AE142" s="270">
        <f>[1]ENERO!AG142</f>
        <v>0</v>
      </c>
      <c r="AF142" s="208">
        <v>0</v>
      </c>
      <c r="AG142" s="269">
        <f>SUM(AE142:AF142)</f>
        <v>0</v>
      </c>
      <c r="AH142" s="270">
        <f>X142-AA142</f>
        <v>148000000</v>
      </c>
      <c r="AI142" s="220">
        <f>X142-AD142</f>
        <v>148000000</v>
      </c>
      <c r="AJ142" s="269">
        <f>X142-AG142</f>
        <v>148000000</v>
      </c>
      <c r="AK142" s="805"/>
      <c r="AL142" s="204">
        <v>0</v>
      </c>
      <c r="AM142" s="210">
        <v>0</v>
      </c>
    </row>
    <row r="143" spans="1:39" ht="24.75" customHeight="1">
      <c r="A143" s="880"/>
      <c r="B143" s="881"/>
      <c r="C143" s="697"/>
      <c r="D143" s="697"/>
      <c r="E143" s="697"/>
      <c r="F143" s="697"/>
      <c r="G143" s="697"/>
      <c r="H143" s="697"/>
      <c r="I143" s="697"/>
      <c r="J143" s="697"/>
      <c r="K143" s="697"/>
      <c r="L143" s="697"/>
      <c r="M143" s="697"/>
      <c r="N143" s="805"/>
      <c r="O143" s="697"/>
      <c r="P143" s="697"/>
      <c r="Q143" s="697"/>
      <c r="R143" s="805"/>
      <c r="S143" s="266" t="str">
        <f>+IF([1]ENERO!S143=0,"",[1]ENERO!S143)</f>
        <v>2.1.8.01.54</v>
      </c>
      <c r="T143" s="267" t="str">
        <f>[1]ENERO!T143</f>
        <v>Impuesto de Industria y comercio</v>
      </c>
      <c r="U143" s="301">
        <f>SUM(ENERO!U143)</f>
        <v>400000000</v>
      </c>
      <c r="V143" s="220">
        <f>[1]ENERO!V143+[1]FEBRERO!AL143</f>
        <v>0</v>
      </c>
      <c r="W143" s="220">
        <f>[1]ENERO!W143+[1]FEBRERO!AM143</f>
        <v>0</v>
      </c>
      <c r="X143" s="269">
        <f>SUM(U143:W143)</f>
        <v>400000000</v>
      </c>
      <c r="Y143" s="270">
        <f>[1]ENERO!AA143</f>
        <v>8880060</v>
      </c>
      <c r="Z143" s="208">
        <v>0</v>
      </c>
      <c r="AA143" s="271">
        <f>SUM(Y143:Z143)</f>
        <v>8880060</v>
      </c>
      <c r="AB143" s="270">
        <f>[1]ENERO!AD143</f>
        <v>8880060</v>
      </c>
      <c r="AC143" s="208">
        <v>0</v>
      </c>
      <c r="AD143" s="269">
        <f>SUM(AB143:AC143)</f>
        <v>8880060</v>
      </c>
      <c r="AE143" s="270">
        <f>[1]ENERO!AG143</f>
        <v>8880060</v>
      </c>
      <c r="AF143" s="208">
        <v>0</v>
      </c>
      <c r="AG143" s="269">
        <f>SUM(AE143:AF143)</f>
        <v>8880060</v>
      </c>
      <c r="AH143" s="270">
        <f>X143-AA143</f>
        <v>391119940</v>
      </c>
      <c r="AI143" s="220">
        <f>X143-AD143</f>
        <v>391119940</v>
      </c>
      <c r="AJ143" s="269">
        <f>X143-AG143</f>
        <v>391119940</v>
      </c>
      <c r="AK143" s="805"/>
      <c r="AL143" s="204">
        <v>0</v>
      </c>
      <c r="AM143" s="210">
        <v>0</v>
      </c>
    </row>
    <row r="144" spans="1:39" ht="24.75" customHeight="1">
      <c r="A144" s="880"/>
      <c r="B144" s="881"/>
      <c r="C144" s="697"/>
      <c r="D144" s="697"/>
      <c r="E144" s="697"/>
      <c r="F144" s="697"/>
      <c r="G144" s="697"/>
      <c r="H144" s="697"/>
      <c r="I144" s="697"/>
      <c r="J144" s="697"/>
      <c r="K144" s="697"/>
      <c r="L144" s="697"/>
      <c r="M144" s="697"/>
      <c r="N144" s="805"/>
      <c r="O144" s="697"/>
      <c r="P144" s="697"/>
      <c r="Q144" s="697"/>
      <c r="R144" s="805"/>
      <c r="S144" s="189">
        <f>+IF([1]ENERO!S144=0,"",[1]ENERO!S144)</f>
        <v>8880056</v>
      </c>
      <c r="T144" s="190"/>
      <c r="U144" s="193"/>
      <c r="V144" s="191"/>
      <c r="W144" s="191"/>
      <c r="X144" s="192"/>
      <c r="Y144" s="193"/>
      <c r="Z144" s="191"/>
      <c r="AA144" s="191"/>
      <c r="AB144" s="193"/>
      <c r="AC144" s="191"/>
      <c r="AD144" s="192"/>
      <c r="AE144" s="193"/>
      <c r="AF144" s="191"/>
      <c r="AG144" s="192"/>
      <c r="AH144" s="193"/>
      <c r="AI144" s="191"/>
      <c r="AJ144" s="192"/>
      <c r="AK144" s="805"/>
      <c r="AL144" s="370"/>
      <c r="AM144" s="371"/>
    </row>
    <row r="145" spans="19:39" ht="24.75" customHeight="1">
      <c r="S145" s="228">
        <f>+IF([1]ENERO!S145=0,"",[1]ENERO!S145)</f>
        <v>2020010</v>
      </c>
      <c r="T145" s="229" t="s">
        <v>244</v>
      </c>
      <c r="U145" s="233">
        <f t="shared" ref="U145:AJ145" si="140">U147+U155</f>
        <v>11892931308.176388</v>
      </c>
      <c r="V145" s="231">
        <f t="shared" si="140"/>
        <v>0</v>
      </c>
      <c r="W145" s="231">
        <f t="shared" si="140"/>
        <v>158814745</v>
      </c>
      <c r="X145" s="232">
        <f t="shared" si="140"/>
        <v>12051746053.176388</v>
      </c>
      <c r="Y145" s="233">
        <f t="shared" si="140"/>
        <v>2275928274</v>
      </c>
      <c r="Z145" s="231">
        <f t="shared" si="140"/>
        <v>920147052</v>
      </c>
      <c r="AA145" s="234">
        <f t="shared" si="140"/>
        <v>3196075326</v>
      </c>
      <c r="AB145" s="233">
        <f t="shared" si="140"/>
        <v>796653723</v>
      </c>
      <c r="AC145" s="231">
        <f t="shared" si="140"/>
        <v>481167248</v>
      </c>
      <c r="AD145" s="232">
        <f t="shared" si="140"/>
        <v>1277820971</v>
      </c>
      <c r="AE145" s="233">
        <f t="shared" si="140"/>
        <v>397888192</v>
      </c>
      <c r="AF145" s="231">
        <f t="shared" si="140"/>
        <v>107670842</v>
      </c>
      <c r="AG145" s="232">
        <f t="shared" si="140"/>
        <v>505559034</v>
      </c>
      <c r="AH145" s="233">
        <f t="shared" si="140"/>
        <v>8855670727.1763878</v>
      </c>
      <c r="AI145" s="231">
        <f t="shared" si="140"/>
        <v>10773925082.176388</v>
      </c>
      <c r="AJ145" s="232">
        <f t="shared" si="140"/>
        <v>11546187019.176388</v>
      </c>
      <c r="AK145" s="827"/>
      <c r="AL145" s="233">
        <f>AL147+AL155</f>
        <v>0</v>
      </c>
      <c r="AM145" s="232">
        <f>AM147+AM155</f>
        <v>158814745</v>
      </c>
    </row>
    <row r="146" spans="19:39" ht="24.75" customHeight="1">
      <c r="S146" s="311">
        <f>+IF([1]ENERO!S146=0,"",[1]ENERO!S146)</f>
        <v>2020010</v>
      </c>
      <c r="T146" s="312"/>
      <c r="U146" s="270"/>
      <c r="V146" s="220"/>
      <c r="W146" s="220"/>
      <c r="X146" s="269"/>
      <c r="Y146" s="270"/>
      <c r="Z146" s="220"/>
      <c r="AA146" s="271"/>
      <c r="AB146" s="270"/>
      <c r="AC146" s="220"/>
      <c r="AD146" s="269"/>
      <c r="AE146" s="270"/>
      <c r="AF146" s="220"/>
      <c r="AG146" s="269"/>
      <c r="AH146" s="270"/>
      <c r="AI146" s="220"/>
      <c r="AJ146" s="269"/>
      <c r="AK146" s="805"/>
      <c r="AL146" s="370"/>
      <c r="AM146" s="371"/>
    </row>
    <row r="147" spans="19:39" ht="24.75" customHeight="1">
      <c r="S147" s="257" t="str">
        <f>+IF([1]ENERO!S147=0,"",[1]ENERO!S147)</f>
        <v>2.1.2</v>
      </c>
      <c r="T147" s="258" t="s">
        <v>268</v>
      </c>
      <c r="U147" s="233">
        <f t="shared" ref="U147:AJ147" si="141">SUM(U148:U149)+U153</f>
        <v>3776193053.9541664</v>
      </c>
      <c r="V147" s="231">
        <f t="shared" si="141"/>
        <v>0</v>
      </c>
      <c r="W147" s="231">
        <f t="shared" si="141"/>
        <v>0</v>
      </c>
      <c r="X147" s="232">
        <f t="shared" si="141"/>
        <v>3776193053.9541664</v>
      </c>
      <c r="Y147" s="233">
        <f t="shared" si="141"/>
        <v>611807832</v>
      </c>
      <c r="Z147" s="231">
        <f t="shared" si="141"/>
        <v>459565675</v>
      </c>
      <c r="AA147" s="234">
        <f t="shared" si="141"/>
        <v>1071373507</v>
      </c>
      <c r="AB147" s="233">
        <f t="shared" si="141"/>
        <v>330837343</v>
      </c>
      <c r="AC147" s="231">
        <f t="shared" si="141"/>
        <v>251263826</v>
      </c>
      <c r="AD147" s="232">
        <f t="shared" si="141"/>
        <v>582101169</v>
      </c>
      <c r="AE147" s="233">
        <f t="shared" si="141"/>
        <v>203715344</v>
      </c>
      <c r="AF147" s="231">
        <f t="shared" si="141"/>
        <v>55003405</v>
      </c>
      <c r="AG147" s="232">
        <f t="shared" si="141"/>
        <v>258718749</v>
      </c>
      <c r="AH147" s="233">
        <f t="shared" si="141"/>
        <v>2704819546.9541664</v>
      </c>
      <c r="AI147" s="231">
        <f t="shared" si="141"/>
        <v>3194091884.9541664</v>
      </c>
      <c r="AJ147" s="232">
        <f t="shared" si="141"/>
        <v>3517474304.9541664</v>
      </c>
      <c r="AK147" s="805"/>
      <c r="AL147" s="233">
        <f>SUM(AL148:AL149)+AL153</f>
        <v>0</v>
      </c>
      <c r="AM147" s="232">
        <f>SUM(AM148:AM149)+AM153</f>
        <v>0</v>
      </c>
    </row>
    <row r="148" spans="19:39" ht="24.75" customHeight="1">
      <c r="S148" s="266" t="str">
        <f>+IF([1]ENERO!S148=0,"",[1]ENERO!S148)</f>
        <v>2.1.2.02.01.003.305</v>
      </c>
      <c r="T148" s="267" t="str">
        <f>[1]ENERO!T148</f>
        <v>Mantenimiento -  Partes, accesorios, herramientas</v>
      </c>
      <c r="U148" s="301">
        <f>SUM(ENERO!U148)</f>
        <v>2090969100</v>
      </c>
      <c r="V148" s="220">
        <f>[1]ENERO!V148+[1]FEBRERO!AL148</f>
        <v>0</v>
      </c>
      <c r="W148" s="220">
        <f>[1]ENERO!W148+[1]FEBRERO!AM148</f>
        <v>0</v>
      </c>
      <c r="X148" s="269">
        <f>SUM(U148:W148)</f>
        <v>2090969100</v>
      </c>
      <c r="Y148" s="270">
        <f>[1]ENERO!AA148</f>
        <v>215038613</v>
      </c>
      <c r="Z148" s="204">
        <v>111798808</v>
      </c>
      <c r="AA148" s="271">
        <f>SUM(Y148:Z148)</f>
        <v>326837421</v>
      </c>
      <c r="AB148" s="270">
        <f>[1]ENERO!AD148</f>
        <v>27163946</v>
      </c>
      <c r="AC148" s="204">
        <v>125420301</v>
      </c>
      <c r="AD148" s="269">
        <f>SUM(AB148:AC148)</f>
        <v>152584247</v>
      </c>
      <c r="AE148" s="270">
        <f>[1]ENERO!AG148</f>
        <v>0</v>
      </c>
      <c r="AF148" s="204">
        <v>2056973</v>
      </c>
      <c r="AG148" s="269">
        <f>SUM(AE148:AF148)</f>
        <v>2056973</v>
      </c>
      <c r="AH148" s="270">
        <f>X148-AA148</f>
        <v>1764131679</v>
      </c>
      <c r="AI148" s="220">
        <f>X148-AD148</f>
        <v>1938384853</v>
      </c>
      <c r="AJ148" s="269">
        <f>X148-AG148</f>
        <v>2088912127</v>
      </c>
      <c r="AK148" s="805"/>
      <c r="AL148" s="204">
        <v>0</v>
      </c>
      <c r="AM148" s="210">
        <v>0</v>
      </c>
    </row>
    <row r="149" spans="19:39" ht="24.75" customHeight="1">
      <c r="S149" s="266">
        <f>+IF([1]ENERO!S149=0,"",[1]ENERO!S149)</f>
        <v>2020102</v>
      </c>
      <c r="T149" s="267" t="str">
        <f>[1]ENERO!T149</f>
        <v>Otros</v>
      </c>
      <c r="U149" s="301">
        <f>SUM(ENERO!U149)</f>
        <v>1232308696.9541667</v>
      </c>
      <c r="V149" s="220">
        <f t="shared" ref="V149:AJ149" si="142">SUM(V150:V152)</f>
        <v>0</v>
      </c>
      <c r="W149" s="220">
        <f t="shared" si="142"/>
        <v>0</v>
      </c>
      <c r="X149" s="269">
        <f t="shared" si="142"/>
        <v>1232308696.9541667</v>
      </c>
      <c r="Y149" s="270">
        <f t="shared" si="142"/>
        <v>193053875</v>
      </c>
      <c r="Z149" s="300">
        <f t="shared" si="142"/>
        <v>294873435</v>
      </c>
      <c r="AA149" s="271">
        <f t="shared" si="142"/>
        <v>487927310</v>
      </c>
      <c r="AB149" s="270">
        <f t="shared" si="142"/>
        <v>99958053</v>
      </c>
      <c r="AC149" s="300">
        <f t="shared" si="142"/>
        <v>72950093</v>
      </c>
      <c r="AD149" s="269">
        <f t="shared" si="142"/>
        <v>172908146</v>
      </c>
      <c r="AE149" s="270">
        <f t="shared" si="142"/>
        <v>0</v>
      </c>
      <c r="AF149" s="300">
        <f t="shared" si="142"/>
        <v>53000</v>
      </c>
      <c r="AG149" s="269">
        <f t="shared" si="142"/>
        <v>53000</v>
      </c>
      <c r="AH149" s="270">
        <f t="shared" si="142"/>
        <v>744381386.95416665</v>
      </c>
      <c r="AI149" s="220">
        <f t="shared" si="142"/>
        <v>1059400550.9541667</v>
      </c>
      <c r="AJ149" s="269">
        <f t="shared" si="142"/>
        <v>1232255696.9541667</v>
      </c>
      <c r="AK149" s="805"/>
      <c r="AL149" s="301">
        <f>SUM(AL150:AL152)</f>
        <v>0</v>
      </c>
      <c r="AM149" s="302">
        <f>SUM(AM150:AM152)</f>
        <v>0</v>
      </c>
    </row>
    <row r="150" spans="19:39" ht="24.75" customHeight="1">
      <c r="S150" s="311" t="str">
        <f>+IF([1]ENERO!S150=0,"",[1]ENERO!S150)</f>
        <v>2.1.2.02.01.002,001</v>
      </c>
      <c r="T150" s="267" t="str">
        <f>[1]ENERO!T150</f>
        <v>Roperia</v>
      </c>
      <c r="U150" s="301">
        <f>SUM(ENERO!U150)</f>
        <v>300724825</v>
      </c>
      <c r="V150" s="220">
        <f>[1]ENERO!V150+[1]FEBRERO!AL150</f>
        <v>0</v>
      </c>
      <c r="W150" s="220">
        <f>[1]ENERO!W150+[1]FEBRERO!AM150</f>
        <v>0</v>
      </c>
      <c r="X150" s="269">
        <f>SUM(U150:W150)</f>
        <v>300724825</v>
      </c>
      <c r="Y150" s="270">
        <f>[1]ENERO!AA150</f>
        <v>0</v>
      </c>
      <c r="Z150" s="204">
        <v>177455180</v>
      </c>
      <c r="AA150" s="271">
        <f>SUM(Y150:Z150)</f>
        <v>177455180</v>
      </c>
      <c r="AB150" s="270">
        <f>[1]ENERO!AD150</f>
        <v>0</v>
      </c>
      <c r="AC150" s="208">
        <v>0</v>
      </c>
      <c r="AD150" s="269">
        <f>SUM(AB150:AC150)</f>
        <v>0</v>
      </c>
      <c r="AE150" s="270">
        <f>[1]ENERO!AG150</f>
        <v>0</v>
      </c>
      <c r="AF150" s="208">
        <v>0</v>
      </c>
      <c r="AG150" s="269">
        <f>SUM(AE150:AF150)</f>
        <v>0</v>
      </c>
      <c r="AH150" s="270">
        <f>X150-AA150</f>
        <v>123269645</v>
      </c>
      <c r="AI150" s="220">
        <f>X150-AD150</f>
        <v>300724825</v>
      </c>
      <c r="AJ150" s="269">
        <f>X150-AG150</f>
        <v>300724825</v>
      </c>
      <c r="AK150" s="805"/>
      <c r="AL150" s="204">
        <v>0</v>
      </c>
      <c r="AM150" s="210">
        <v>0</v>
      </c>
    </row>
    <row r="151" spans="19:39" ht="24.75" customHeight="1">
      <c r="S151" s="311" t="str">
        <f>+IF([1]ENERO!S151=0,"",[1]ENERO!S151)</f>
        <v>2.1.2.02.01.003.303</v>
      </c>
      <c r="T151" s="267" t="str">
        <f>[1]ENERO!T151</f>
        <v>Elementos de Aseo</v>
      </c>
      <c r="U151" s="301">
        <f>SUM(ENERO!U151)</f>
        <v>684513688.9375</v>
      </c>
      <c r="V151" s="220">
        <f>[1]ENERO!V151+[1]FEBRERO!AL151</f>
        <v>0</v>
      </c>
      <c r="W151" s="220">
        <f>[1]ENERO!W151+[1]FEBRERO!AM151</f>
        <v>0</v>
      </c>
      <c r="X151" s="269">
        <f>SUM(U151:W151)</f>
        <v>684513688.9375</v>
      </c>
      <c r="Y151" s="270">
        <f>[1]ENERO!AA151</f>
        <v>112166023</v>
      </c>
      <c r="Z151" s="204">
        <v>54874652</v>
      </c>
      <c r="AA151" s="271">
        <f>SUM(Y151:Z151)</f>
        <v>167040675</v>
      </c>
      <c r="AB151" s="270">
        <f>[1]ENERO!AD151</f>
        <v>71866050</v>
      </c>
      <c r="AC151" s="204">
        <v>43804555</v>
      </c>
      <c r="AD151" s="269">
        <f>SUM(AB151:AC151)</f>
        <v>115670605</v>
      </c>
      <c r="AE151" s="270">
        <f>[1]ENERO!AG151</f>
        <v>0</v>
      </c>
      <c r="AF151" s="208">
        <v>0</v>
      </c>
      <c r="AG151" s="269">
        <f>SUM(AE151:AF151)</f>
        <v>0</v>
      </c>
      <c r="AH151" s="270">
        <f>X151-AA151</f>
        <v>517473013.9375</v>
      </c>
      <c r="AI151" s="220">
        <f>X151-AD151</f>
        <v>568843083.9375</v>
      </c>
      <c r="AJ151" s="269">
        <f>X151-AG151</f>
        <v>684513688.9375</v>
      </c>
      <c r="AK151" s="805"/>
      <c r="AL151" s="204">
        <v>0</v>
      </c>
      <c r="AM151" s="210">
        <v>0</v>
      </c>
    </row>
    <row r="152" spans="19:39" ht="24.75" customHeight="1">
      <c r="S152" s="311" t="str">
        <f>+IF([1]ENERO!S152=0,"",[1]ENERO!S152)</f>
        <v>2.1.2.02.01.003.304</v>
      </c>
      <c r="T152" s="267" t="str">
        <f>[1]ENERO!T152</f>
        <v xml:space="preserve">Insumos hospitalarios </v>
      </c>
      <c r="U152" s="301">
        <f>SUM(ENERO!U152)</f>
        <v>247070183.01666665</v>
      </c>
      <c r="V152" s="220">
        <f>[1]ENERO!V152+[1]FEBRERO!AL152</f>
        <v>0</v>
      </c>
      <c r="W152" s="220">
        <f>[1]ENERO!W152+[1]FEBRERO!AM152</f>
        <v>0</v>
      </c>
      <c r="X152" s="269">
        <f>SUM(U152:W152)</f>
        <v>247070183.01666665</v>
      </c>
      <c r="Y152" s="270">
        <f>[1]ENERO!AA152</f>
        <v>80887852</v>
      </c>
      <c r="Z152" s="204">
        <v>62543603</v>
      </c>
      <c r="AA152" s="271">
        <f>SUM(Y152:Z152)</f>
        <v>143431455</v>
      </c>
      <c r="AB152" s="270">
        <f>[1]ENERO!AD152</f>
        <v>28092003</v>
      </c>
      <c r="AC152" s="204">
        <v>29145538</v>
      </c>
      <c r="AD152" s="269">
        <f>SUM(AB152:AC152)</f>
        <v>57237541</v>
      </c>
      <c r="AE152" s="270">
        <f>[1]ENERO!AG152</f>
        <v>0</v>
      </c>
      <c r="AF152" s="204">
        <v>53000</v>
      </c>
      <c r="AG152" s="269">
        <f>SUM(AE152:AF152)</f>
        <v>53000</v>
      </c>
      <c r="AH152" s="270">
        <f>X152-AA152</f>
        <v>103638728.01666665</v>
      </c>
      <c r="AI152" s="220">
        <f>X152-AD152</f>
        <v>189832642.01666665</v>
      </c>
      <c r="AJ152" s="269">
        <f>X152-AG152</f>
        <v>247017183.01666665</v>
      </c>
      <c r="AK152" s="805"/>
      <c r="AL152" s="204">
        <v>0</v>
      </c>
      <c r="AM152" s="210">
        <v>0</v>
      </c>
    </row>
    <row r="153" spans="19:39" ht="24.75" customHeight="1">
      <c r="S153" s="266" t="str">
        <f>+IF([1]ENERO!S153=0,"",[1]ENERO!S153)</f>
        <v>2.1.2.02.01.003.99</v>
      </c>
      <c r="T153" s="267" t="str">
        <f>[1]ENERO!T153</f>
        <v>Vigencia anterior Mantenimiento - Partes,Accesorios, Herramientas.</v>
      </c>
      <c r="U153" s="301">
        <f>SUM(ENERO!U153)</f>
        <v>452915257</v>
      </c>
      <c r="V153" s="220">
        <f>[1]ENERO!V153+[1]FEBRERO!AL153</f>
        <v>0</v>
      </c>
      <c r="W153" s="220">
        <f>[1]ENERO!W153+[1]FEBRERO!AM153</f>
        <v>0</v>
      </c>
      <c r="X153" s="269">
        <f>SUM(U153:W153)</f>
        <v>452915257</v>
      </c>
      <c r="Y153" s="270">
        <f>[1]ENERO!AA153</f>
        <v>203715344</v>
      </c>
      <c r="Z153" s="204">
        <v>52893432</v>
      </c>
      <c r="AA153" s="271">
        <f>SUM(Y153:Z153)</f>
        <v>256608776</v>
      </c>
      <c r="AB153" s="270">
        <f>[1]ENERO!AD153</f>
        <v>203715344</v>
      </c>
      <c r="AC153" s="204">
        <v>52893432</v>
      </c>
      <c r="AD153" s="269">
        <f>SUM(AB153:AC153)</f>
        <v>256608776</v>
      </c>
      <c r="AE153" s="270">
        <f>[1]ENERO!AG153</f>
        <v>203715344</v>
      </c>
      <c r="AF153" s="204">
        <v>52893432</v>
      </c>
      <c r="AG153" s="269">
        <f>SUM(AE153:AF153)</f>
        <v>256608776</v>
      </c>
      <c r="AH153" s="270">
        <f>X153-AA153</f>
        <v>196306481</v>
      </c>
      <c r="AI153" s="220">
        <f>X153-AD153</f>
        <v>196306481</v>
      </c>
      <c r="AJ153" s="269">
        <f>X153-AG153</f>
        <v>196306481</v>
      </c>
      <c r="AK153" s="805"/>
      <c r="AL153" s="204">
        <v>0</v>
      </c>
      <c r="AM153" s="210">
        <v>0</v>
      </c>
    </row>
    <row r="154" spans="19:39" ht="24.75" customHeight="1">
      <c r="S154" s="189">
        <f>+IF([1]ENERO!S154=0,"",[1]ENERO!S154)</f>
        <v>203715328</v>
      </c>
      <c r="T154" s="190"/>
      <c r="U154" s="193"/>
      <c r="V154" s="191"/>
      <c r="W154" s="191"/>
      <c r="X154" s="192"/>
      <c r="Y154" s="193"/>
      <c r="Z154" s="191"/>
      <c r="AA154" s="191"/>
      <c r="AB154" s="193"/>
      <c r="AC154" s="191"/>
      <c r="AD154" s="192"/>
      <c r="AE154" s="193"/>
      <c r="AF154" s="191"/>
      <c r="AG154" s="192"/>
      <c r="AH154" s="193"/>
      <c r="AI154" s="191"/>
      <c r="AJ154" s="192"/>
      <c r="AK154" s="805"/>
      <c r="AL154" s="370"/>
      <c r="AM154" s="371"/>
    </row>
    <row r="155" spans="19:39" ht="24.75" customHeight="1">
      <c r="S155" s="257" t="str">
        <f>+IF([1]ENERO!S155=0,"",[1]ENERO!S155)</f>
        <v>2.1.2.02.02</v>
      </c>
      <c r="T155" s="258" t="s">
        <v>276</v>
      </c>
      <c r="U155" s="233">
        <f t="shared" ref="U155:AJ155" si="143">SUM(U156:U157)+U167</f>
        <v>8116738254.2222223</v>
      </c>
      <c r="V155" s="231">
        <f t="shared" si="143"/>
        <v>0</v>
      </c>
      <c r="W155" s="231">
        <f t="shared" si="143"/>
        <v>158814745</v>
      </c>
      <c r="X155" s="232">
        <f t="shared" si="143"/>
        <v>8275552999.2222223</v>
      </c>
      <c r="Y155" s="233">
        <f t="shared" si="143"/>
        <v>1664120442</v>
      </c>
      <c r="Z155" s="231">
        <f t="shared" si="143"/>
        <v>460581377</v>
      </c>
      <c r="AA155" s="234">
        <f t="shared" si="143"/>
        <v>2124701819</v>
      </c>
      <c r="AB155" s="233">
        <f t="shared" si="143"/>
        <v>465816380</v>
      </c>
      <c r="AC155" s="231">
        <f t="shared" si="143"/>
        <v>229903422</v>
      </c>
      <c r="AD155" s="232">
        <f t="shared" si="143"/>
        <v>695719802</v>
      </c>
      <c r="AE155" s="233">
        <f t="shared" si="143"/>
        <v>194172848</v>
      </c>
      <c r="AF155" s="231">
        <f t="shared" si="143"/>
        <v>52667437</v>
      </c>
      <c r="AG155" s="232">
        <f t="shared" si="143"/>
        <v>246840285</v>
      </c>
      <c r="AH155" s="233">
        <f t="shared" si="143"/>
        <v>6150851180.2222223</v>
      </c>
      <c r="AI155" s="231">
        <f t="shared" si="143"/>
        <v>7579833197.2222223</v>
      </c>
      <c r="AJ155" s="232">
        <f t="shared" si="143"/>
        <v>8028712714.2222223</v>
      </c>
      <c r="AK155" s="805"/>
      <c r="AL155" s="233">
        <f>SUM(AL156:AL157)+AL167</f>
        <v>0</v>
      </c>
      <c r="AM155" s="232">
        <f>SUM(AM156:AM157)+AM167</f>
        <v>158814745</v>
      </c>
    </row>
    <row r="156" spans="19:39" ht="24.75" customHeight="1">
      <c r="S156" s="266" t="str">
        <f>+IF([1]ENERO!S156=0,"",[1]ENERO!S156)</f>
        <v>2.1.2.02.01.003.306</v>
      </c>
      <c r="T156" s="267" t="str">
        <f>[1]ENERO!T156</f>
        <v>Mantenimiento - Bienes sistemas</v>
      </c>
      <c r="U156" s="301">
        <f>SUM(ENERO!U156)</f>
        <v>17133955</v>
      </c>
      <c r="V156" s="220">
        <f>[1]ENERO!V156+[1]FEBRERO!AL156</f>
        <v>0</v>
      </c>
      <c r="W156" s="220">
        <f>[1]ENERO!W156+[1]FEBRERO!AM156</f>
        <v>0</v>
      </c>
      <c r="X156" s="269">
        <f>SUM(U156:W156)</f>
        <v>17133955</v>
      </c>
      <c r="Y156" s="270">
        <f>[1]ENERO!AA156</f>
        <v>0</v>
      </c>
      <c r="Z156" s="204">
        <v>15819256</v>
      </c>
      <c r="AA156" s="271">
        <f>SUM(Y156:Z156)</f>
        <v>15819256</v>
      </c>
      <c r="AB156" s="270">
        <f>[1]ENERO!AD156</f>
        <v>0</v>
      </c>
      <c r="AC156" s="204">
        <v>4516041</v>
      </c>
      <c r="AD156" s="269">
        <f>SUM(AB156:AC156)</f>
        <v>4516041</v>
      </c>
      <c r="AE156" s="270">
        <f>[1]ENERO!AG156</f>
        <v>0</v>
      </c>
      <c r="AF156" s="204">
        <v>0</v>
      </c>
      <c r="AG156" s="269">
        <f>SUM(AE156:AF156)</f>
        <v>0</v>
      </c>
      <c r="AH156" s="270">
        <f>X156-AA156</f>
        <v>1314699</v>
      </c>
      <c r="AI156" s="220">
        <f>X156-AD156</f>
        <v>12617914</v>
      </c>
      <c r="AJ156" s="269">
        <f>X156-AG156</f>
        <v>17133955</v>
      </c>
      <c r="AK156" s="805"/>
      <c r="AL156" s="204">
        <v>0</v>
      </c>
      <c r="AM156" s="210">
        <v>0</v>
      </c>
    </row>
    <row r="157" spans="19:39" ht="24.75" customHeight="1">
      <c r="S157" s="266">
        <f>+IF([1]ENERO!S157=0,"",[1]ENERO!S157)</f>
        <v>2020202</v>
      </c>
      <c r="T157" s="267" t="str">
        <f>[1]ENERO!T157</f>
        <v>Otros</v>
      </c>
      <c r="U157" s="301">
        <f>SUM(ENERO!U157)</f>
        <v>5665599712</v>
      </c>
      <c r="V157" s="220">
        <f t="shared" ref="V157:AJ157" si="144">SUM(V158:V166)</f>
        <v>0</v>
      </c>
      <c r="W157" s="220">
        <f t="shared" si="144"/>
        <v>0</v>
      </c>
      <c r="X157" s="269">
        <f t="shared" si="144"/>
        <v>5665599712</v>
      </c>
      <c r="Y157" s="270">
        <f t="shared" si="144"/>
        <v>1469947594</v>
      </c>
      <c r="Z157" s="220">
        <f t="shared" si="144"/>
        <v>396710844</v>
      </c>
      <c r="AA157" s="271">
        <f t="shared" si="144"/>
        <v>1866658438</v>
      </c>
      <c r="AB157" s="270">
        <f t="shared" si="144"/>
        <v>271643532</v>
      </c>
      <c r="AC157" s="220">
        <f t="shared" si="144"/>
        <v>177336104</v>
      </c>
      <c r="AD157" s="269">
        <f t="shared" si="144"/>
        <v>448979636</v>
      </c>
      <c r="AE157" s="270">
        <f t="shared" si="144"/>
        <v>0</v>
      </c>
      <c r="AF157" s="220">
        <f t="shared" si="144"/>
        <v>4616160</v>
      </c>
      <c r="AG157" s="269">
        <f t="shared" si="144"/>
        <v>4616160</v>
      </c>
      <c r="AH157" s="270">
        <f t="shared" si="144"/>
        <v>3798941274</v>
      </c>
      <c r="AI157" s="220">
        <f t="shared" si="144"/>
        <v>5216620076</v>
      </c>
      <c r="AJ157" s="269">
        <f t="shared" si="144"/>
        <v>5660983552</v>
      </c>
      <c r="AK157" s="827"/>
      <c r="AL157" s="301">
        <f>SUM(AL158:AL166)</f>
        <v>0</v>
      </c>
      <c r="AM157" s="302">
        <f>SUM(AM158:AM166)</f>
        <v>0</v>
      </c>
    </row>
    <row r="158" spans="19:39" ht="24.75" customHeight="1">
      <c r="S158" s="311" t="str">
        <f>+IF([1]ENERO!S159=0,"",[1]ENERO!S159)</f>
        <v>2.1.2.02.02.005.502</v>
      </c>
      <c r="T158" s="267" t="str">
        <f>[1]ENERO!T159</f>
        <v>Mantenimiento - Arrendamiento Software</v>
      </c>
      <c r="U158" s="301">
        <f>SUM(ENERO!U158)</f>
        <v>0</v>
      </c>
      <c r="V158" s="220">
        <f>[1]ENERO!V159+[1]FEBRERO!AL159</f>
        <v>0</v>
      </c>
      <c r="W158" s="220">
        <f>[1]ENERO!W159+[1]FEBRERO!AM159</f>
        <v>0</v>
      </c>
      <c r="X158" s="269">
        <f t="shared" ref="X158:X167" si="145">SUM(U158:W158)</f>
        <v>0</v>
      </c>
      <c r="Y158" s="270">
        <f>[1]ENERO!AA159</f>
        <v>0</v>
      </c>
      <c r="Z158" s="208">
        <v>0</v>
      </c>
      <c r="AA158" s="271">
        <f t="shared" ref="AA158:AA167" si="146">SUM(Y158:Z158)</f>
        <v>0</v>
      </c>
      <c r="AB158" s="270">
        <f>[1]ENERO!AD159</f>
        <v>0</v>
      </c>
      <c r="AC158" s="208">
        <v>0</v>
      </c>
      <c r="AD158" s="269">
        <f t="shared" ref="AD158:AD167" si="147">SUM(AB158:AC158)</f>
        <v>0</v>
      </c>
      <c r="AE158" s="270">
        <f>[1]ENERO!AG159</f>
        <v>0</v>
      </c>
      <c r="AF158" s="208">
        <v>0</v>
      </c>
      <c r="AG158" s="269">
        <f t="shared" ref="AG158:AG167" si="148">SUM(AE158:AF158)</f>
        <v>0</v>
      </c>
      <c r="AH158" s="270">
        <f t="shared" ref="AH158:AH167" si="149">X158-AA158</f>
        <v>0</v>
      </c>
      <c r="AI158" s="220">
        <f t="shared" ref="AI158:AI167" si="150">X158-AD158</f>
        <v>0</v>
      </c>
      <c r="AJ158" s="269">
        <f t="shared" ref="AJ158:AJ167" si="151">X158-AG158</f>
        <v>0</v>
      </c>
      <c r="AK158" s="805"/>
      <c r="AL158" s="204">
        <v>0</v>
      </c>
      <c r="AM158" s="210">
        <v>0</v>
      </c>
    </row>
    <row r="159" spans="19:39" ht="24.75" customHeight="1">
      <c r="S159" s="311" t="str">
        <f>+IF([1]ENERO!S160=0,"",[1]ENERO!S160)</f>
        <v>2.1.2.02.02.005.501</v>
      </c>
      <c r="T159" s="267" t="str">
        <f>[1]ENERO!T160</f>
        <v>Mantenimiento  - Servicios Planta Fisica</v>
      </c>
      <c r="U159" s="301">
        <f>SUM(ENERO!U159)</f>
        <v>476117296</v>
      </c>
      <c r="V159" s="220">
        <f>[1]ENERO!V160+[1]FEBRERO!AL160</f>
        <v>0</v>
      </c>
      <c r="W159" s="220">
        <f>[1]ENERO!W160+[1]FEBRERO!AM160</f>
        <v>0</v>
      </c>
      <c r="X159" s="269">
        <f t="shared" si="145"/>
        <v>476117296</v>
      </c>
      <c r="Y159" s="270">
        <f>[1]ENERO!AA160</f>
        <v>8000000</v>
      </c>
      <c r="Z159" s="208">
        <v>0</v>
      </c>
      <c r="AA159" s="271">
        <f t="shared" si="146"/>
        <v>8000000</v>
      </c>
      <c r="AB159" s="270">
        <f>[1]ENERO!AD160</f>
        <v>795000</v>
      </c>
      <c r="AC159" s="204">
        <v>1039000</v>
      </c>
      <c r="AD159" s="269">
        <f t="shared" si="147"/>
        <v>1834000</v>
      </c>
      <c r="AE159" s="270">
        <f>[1]ENERO!AG160</f>
        <v>0</v>
      </c>
      <c r="AF159" s="208">
        <v>795000</v>
      </c>
      <c r="AG159" s="269">
        <f t="shared" si="148"/>
        <v>795000</v>
      </c>
      <c r="AH159" s="270">
        <f t="shared" si="149"/>
        <v>468117296</v>
      </c>
      <c r="AI159" s="220">
        <f t="shared" si="150"/>
        <v>474283296</v>
      </c>
      <c r="AJ159" s="269">
        <f t="shared" si="151"/>
        <v>475322296</v>
      </c>
      <c r="AK159" s="805"/>
      <c r="AL159" s="204">
        <v>0</v>
      </c>
      <c r="AM159" s="210">
        <v>0</v>
      </c>
    </row>
    <row r="160" spans="19:39" ht="24.75" customHeight="1">
      <c r="S160" s="311" t="str">
        <f>+IF([1]ENERO!S161=0,"",[1]ENERO!S161)</f>
        <v>2.1.2.02.02.008.808</v>
      </c>
      <c r="T160" s="267" t="str">
        <f>[1]ENERO!T161</f>
        <v>Mantenimiento Servicios - Ambiental y sanitaria</v>
      </c>
      <c r="U160" s="301">
        <f>SUM(ENERO!U160)</f>
        <v>415609981</v>
      </c>
      <c r="V160" s="220">
        <f>[1]ENERO!V161+[1]FEBRERO!AL161</f>
        <v>0</v>
      </c>
      <c r="W160" s="220">
        <f>[1]ENERO!W161+[1]FEBRERO!AM161</f>
        <v>0</v>
      </c>
      <c r="X160" s="269">
        <f t="shared" si="145"/>
        <v>415609981</v>
      </c>
      <c r="Y160" s="270">
        <f>[1]ENERO!AA161</f>
        <v>143637400</v>
      </c>
      <c r="Z160" s="204">
        <v>24160332</v>
      </c>
      <c r="AA160" s="271">
        <f t="shared" si="146"/>
        <v>167797732</v>
      </c>
      <c r="AB160" s="270">
        <f>[1]ENERO!AD161</f>
        <v>16590810</v>
      </c>
      <c r="AC160" s="204">
        <v>20226620</v>
      </c>
      <c r="AD160" s="269">
        <f t="shared" si="147"/>
        <v>36817430</v>
      </c>
      <c r="AE160" s="270">
        <f>[1]ENERO!AG161</f>
        <v>0</v>
      </c>
      <c r="AF160" s="208">
        <v>0</v>
      </c>
      <c r="AG160" s="269">
        <f t="shared" si="148"/>
        <v>0</v>
      </c>
      <c r="AH160" s="270">
        <f t="shared" si="149"/>
        <v>247812249</v>
      </c>
      <c r="AI160" s="220">
        <f t="shared" si="150"/>
        <v>378792551</v>
      </c>
      <c r="AJ160" s="269">
        <f t="shared" si="151"/>
        <v>415609981</v>
      </c>
      <c r="AK160" s="805"/>
      <c r="AL160" s="204">
        <v>0</v>
      </c>
      <c r="AM160" s="210">
        <v>0</v>
      </c>
    </row>
    <row r="161" spans="19:39" ht="24.75" customHeight="1">
      <c r="S161" s="311" t="str">
        <f>+IF([1]ENERO!S162=0,"",[1]ENERO!S162)</f>
        <v>2.1.2.02.02.008.800</v>
      </c>
      <c r="T161" s="267" t="str">
        <f>[1]ENERO!T162</f>
        <v>Mantenimiento  - Servicios Dotación y vehiculos</v>
      </c>
      <c r="U161" s="301">
        <f>SUM(ENERO!U161)</f>
        <v>220500000</v>
      </c>
      <c r="V161" s="220">
        <f>[1]ENERO!V162+[1]FEBRERO!AL162</f>
        <v>0</v>
      </c>
      <c r="W161" s="220">
        <f>[1]ENERO!W162+[1]FEBRERO!AM162</f>
        <v>0</v>
      </c>
      <c r="X161" s="269">
        <f t="shared" si="145"/>
        <v>220500000</v>
      </c>
      <c r="Y161" s="270">
        <f>[1]ENERO!AA162</f>
        <v>31535631</v>
      </c>
      <c r="Z161" s="208">
        <v>0</v>
      </c>
      <c r="AA161" s="271">
        <f t="shared" si="146"/>
        <v>31535631</v>
      </c>
      <c r="AB161" s="270">
        <f>[1]ENERO!AD162</f>
        <v>31535631</v>
      </c>
      <c r="AC161" s="208">
        <v>0</v>
      </c>
      <c r="AD161" s="269">
        <f t="shared" si="147"/>
        <v>31535631</v>
      </c>
      <c r="AE161" s="270">
        <f>[1]ENERO!AG162</f>
        <v>0</v>
      </c>
      <c r="AF161" s="208">
        <v>0</v>
      </c>
      <c r="AG161" s="269">
        <f t="shared" si="148"/>
        <v>0</v>
      </c>
      <c r="AH161" s="270">
        <f t="shared" si="149"/>
        <v>188964369</v>
      </c>
      <c r="AI161" s="220">
        <f t="shared" si="150"/>
        <v>188964369</v>
      </c>
      <c r="AJ161" s="269">
        <f t="shared" si="151"/>
        <v>220500000</v>
      </c>
      <c r="AK161" s="805"/>
      <c r="AL161" s="204">
        <v>0</v>
      </c>
      <c r="AM161" s="210">
        <v>0</v>
      </c>
    </row>
    <row r="162" spans="19:39" ht="24.75" customHeight="1">
      <c r="S162" s="311" t="str">
        <f>+IF([1]ENERO!S163=0,"",[1]ENERO!S163)</f>
        <v>2.1.2.02.02.008.805</v>
      </c>
      <c r="T162" s="267" t="str">
        <f>[1]ENERO!T163</f>
        <v>Mantenimiento - Servicio de Metrología y Calibracion</v>
      </c>
      <c r="U162" s="301">
        <f>SUM(ENERO!U162)</f>
        <v>144394707</v>
      </c>
      <c r="V162" s="220">
        <f>[1]ENERO!V163+[1]FEBRERO!AL163</f>
        <v>0</v>
      </c>
      <c r="W162" s="220">
        <f>[1]ENERO!W163+[1]FEBRERO!AM163</f>
        <v>0</v>
      </c>
      <c r="X162" s="269">
        <f t="shared" si="145"/>
        <v>144394707</v>
      </c>
      <c r="Y162" s="270">
        <f>[1]ENERO!AA163</f>
        <v>0</v>
      </c>
      <c r="Z162" s="204">
        <v>104424880</v>
      </c>
      <c r="AA162" s="271">
        <f t="shared" si="146"/>
        <v>104424880</v>
      </c>
      <c r="AB162" s="270">
        <f>[1]ENERO!AD163</f>
        <v>0</v>
      </c>
      <c r="AC162" s="208">
        <v>0</v>
      </c>
      <c r="AD162" s="269">
        <f t="shared" si="147"/>
        <v>0</v>
      </c>
      <c r="AE162" s="270">
        <f>[1]ENERO!AG163</f>
        <v>0</v>
      </c>
      <c r="AF162" s="208">
        <v>0</v>
      </c>
      <c r="AG162" s="269">
        <f t="shared" si="148"/>
        <v>0</v>
      </c>
      <c r="AH162" s="270">
        <f t="shared" si="149"/>
        <v>39969827</v>
      </c>
      <c r="AI162" s="220">
        <f t="shared" si="150"/>
        <v>144394707</v>
      </c>
      <c r="AJ162" s="269">
        <f t="shared" si="151"/>
        <v>144394707</v>
      </c>
      <c r="AK162" s="805"/>
      <c r="AL162" s="204">
        <v>0</v>
      </c>
      <c r="AM162" s="210">
        <v>0</v>
      </c>
    </row>
    <row r="163" spans="19:39" ht="24.75" customHeight="1">
      <c r="S163" s="311" t="str">
        <f>+IF([1]ENERO!S164=0,"",[1]ENERO!S164)</f>
        <v>2.1.2.02.02.008.806</v>
      </c>
      <c r="T163" s="267" t="str">
        <f>[1]ENERO!T164</f>
        <v xml:space="preserve">Mantenimiento- Servicios </v>
      </c>
      <c r="U163" s="301">
        <f>SUM(ENERO!U163)</f>
        <v>4141233251</v>
      </c>
      <c r="V163" s="220">
        <f>[1]ENERO!V164+[1]FEBRERO!AL164</f>
        <v>0</v>
      </c>
      <c r="W163" s="220">
        <f>[1]ENERO!W164+[1]FEBRERO!AM164</f>
        <v>0</v>
      </c>
      <c r="X163" s="269">
        <f>SUM(U163:W163)</f>
        <v>4141233251</v>
      </c>
      <c r="Y163" s="270">
        <f>[1]ENERO!AA164</f>
        <v>1271024563</v>
      </c>
      <c r="Z163" s="204">
        <v>110625632</v>
      </c>
      <c r="AA163" s="271">
        <f t="shared" si="146"/>
        <v>1381650195</v>
      </c>
      <c r="AB163" s="270">
        <f>[1]ENERO!AD164</f>
        <v>206972101</v>
      </c>
      <c r="AC163" s="204">
        <v>156070484</v>
      </c>
      <c r="AD163" s="269">
        <f t="shared" si="147"/>
        <v>363042585</v>
      </c>
      <c r="AE163" s="270">
        <f>[1]ENERO!AG164</f>
        <v>0</v>
      </c>
      <c r="AF163" s="204">
        <v>3821160</v>
      </c>
      <c r="AG163" s="269">
        <f t="shared" si="148"/>
        <v>3821160</v>
      </c>
      <c r="AH163" s="270">
        <f t="shared" si="149"/>
        <v>2759583056</v>
      </c>
      <c r="AI163" s="220">
        <f t="shared" si="150"/>
        <v>3778190666</v>
      </c>
      <c r="AJ163" s="269">
        <f t="shared" si="151"/>
        <v>4137412091</v>
      </c>
      <c r="AK163" s="805"/>
      <c r="AL163" s="204">
        <v>0</v>
      </c>
      <c r="AM163" s="210">
        <v>0</v>
      </c>
    </row>
    <row r="164" spans="19:39" ht="24.75" customHeight="1">
      <c r="S164" s="311" t="str">
        <f>+IF([1]ENERO!S165=0,"",[1]ENERO!S165)</f>
        <v>2.1.2.02.02.008.807</v>
      </c>
      <c r="T164" s="267" t="str">
        <f>[1]ENERO!T165</f>
        <v>Mantenimiento Servicios-fotocopias y otros</v>
      </c>
      <c r="U164" s="301">
        <f>SUM(ENERO!U164)</f>
        <v>267744477</v>
      </c>
      <c r="V164" s="220">
        <f>[1]ENERO!V165+[1]FEBRERO!AL165</f>
        <v>0</v>
      </c>
      <c r="W164" s="220">
        <f>[1]ENERO!W165+[1]FEBRERO!AM165</f>
        <v>0</v>
      </c>
      <c r="X164" s="269">
        <f t="shared" si="145"/>
        <v>267744477</v>
      </c>
      <c r="Y164" s="270">
        <f>[1]ENERO!AA165</f>
        <v>15750000</v>
      </c>
      <c r="Z164" s="204">
        <v>157500000</v>
      </c>
      <c r="AA164" s="271">
        <f t="shared" si="146"/>
        <v>173250000</v>
      </c>
      <c r="AB164" s="270">
        <f>[1]ENERO!AD165</f>
        <v>15749990</v>
      </c>
      <c r="AC164" s="208">
        <v>0</v>
      </c>
      <c r="AD164" s="269">
        <f t="shared" si="147"/>
        <v>15749990</v>
      </c>
      <c r="AE164" s="270">
        <f>[1]ENERO!AG165</f>
        <v>0</v>
      </c>
      <c r="AF164" s="208">
        <v>0</v>
      </c>
      <c r="AG164" s="269">
        <f t="shared" si="148"/>
        <v>0</v>
      </c>
      <c r="AH164" s="270">
        <f t="shared" si="149"/>
        <v>94494477</v>
      </c>
      <c r="AI164" s="220">
        <f t="shared" si="150"/>
        <v>251994487</v>
      </c>
      <c r="AJ164" s="269">
        <f t="shared" si="151"/>
        <v>267744477</v>
      </c>
      <c r="AK164" s="805"/>
      <c r="AL164" s="204">
        <v>0</v>
      </c>
      <c r="AM164" s="210">
        <v>0</v>
      </c>
    </row>
    <row r="165" spans="19:39" ht="24.75" customHeight="1">
      <c r="S165" s="311" t="str">
        <f>+IF([1]ENERO!S166=0,"",[1]ENERO!S166)</f>
        <v>2.1.2.02.02.01.003.010</v>
      </c>
      <c r="T165" s="267" t="str">
        <f>[1]ENERO!T166</f>
        <v>Mantenimiento- Bienes- Repuestos</v>
      </c>
      <c r="U165" s="301">
        <f>SUM(ENERO!U165)</f>
        <v>0</v>
      </c>
      <c r="V165" s="220">
        <f>[1]ENERO!V166+[1]FEBRERO!AL166</f>
        <v>0</v>
      </c>
      <c r="W165" s="220">
        <f>[1]ENERO!W166+[1]FEBRERO!AM166</f>
        <v>0</v>
      </c>
      <c r="X165" s="269">
        <f t="shared" si="145"/>
        <v>0</v>
      </c>
      <c r="Y165" s="270">
        <f>[1]ENERO!AA166</f>
        <v>0</v>
      </c>
      <c r="Z165" s="208">
        <v>0</v>
      </c>
      <c r="AA165" s="271">
        <f t="shared" si="146"/>
        <v>0</v>
      </c>
      <c r="AB165" s="270">
        <f>[1]ENERO!AD166</f>
        <v>0</v>
      </c>
      <c r="AC165" s="208">
        <v>0</v>
      </c>
      <c r="AD165" s="269">
        <f t="shared" si="147"/>
        <v>0</v>
      </c>
      <c r="AE165" s="270">
        <f>[1]ENERO!AG166</f>
        <v>0</v>
      </c>
      <c r="AF165" s="208">
        <v>0</v>
      </c>
      <c r="AG165" s="269">
        <f t="shared" si="148"/>
        <v>0</v>
      </c>
      <c r="AH165" s="270">
        <f t="shared" si="149"/>
        <v>0</v>
      </c>
      <c r="AI165" s="220">
        <f t="shared" si="150"/>
        <v>0</v>
      </c>
      <c r="AJ165" s="269">
        <f t="shared" si="151"/>
        <v>0</v>
      </c>
      <c r="AK165" s="805"/>
      <c r="AL165" s="204">
        <v>0</v>
      </c>
      <c r="AM165" s="210">
        <v>0</v>
      </c>
    </row>
    <row r="166" spans="19:39" ht="24.75" customHeight="1">
      <c r="S166" s="311" t="str">
        <f>+IF([1]ENERO!S167=0,"",[1]ENERO!S167)</f>
        <v>2.1.2.02.02.008.811</v>
      </c>
      <c r="T166" s="267" t="str">
        <f>[1]ENERO!T167</f>
        <v>Mantenimiento servicios - planta física y sistemas</v>
      </c>
      <c r="U166" s="301">
        <f>SUM(ENERO!U166)</f>
        <v>0</v>
      </c>
      <c r="V166" s="220">
        <f>[1]ENERO!V167+[1]FEBRERO!AL167</f>
        <v>0</v>
      </c>
      <c r="W166" s="220">
        <f>[1]ENERO!W167+[1]FEBRERO!AM167</f>
        <v>0</v>
      </c>
      <c r="X166" s="269">
        <f t="shared" si="145"/>
        <v>0</v>
      </c>
      <c r="Y166" s="270">
        <f>[1]ENERO!AA167</f>
        <v>0</v>
      </c>
      <c r="Z166" s="208">
        <v>0</v>
      </c>
      <c r="AA166" s="271">
        <f t="shared" si="146"/>
        <v>0</v>
      </c>
      <c r="AB166" s="270">
        <f>[1]ENERO!AD167</f>
        <v>0</v>
      </c>
      <c r="AC166" s="208">
        <v>0</v>
      </c>
      <c r="AD166" s="269">
        <f t="shared" si="147"/>
        <v>0</v>
      </c>
      <c r="AE166" s="270">
        <f>[1]ENERO!AG167</f>
        <v>0</v>
      </c>
      <c r="AF166" s="208">
        <v>0</v>
      </c>
      <c r="AG166" s="269">
        <f t="shared" si="148"/>
        <v>0</v>
      </c>
      <c r="AH166" s="270">
        <f t="shared" si="149"/>
        <v>0</v>
      </c>
      <c r="AI166" s="220">
        <f t="shared" si="150"/>
        <v>0</v>
      </c>
      <c r="AJ166" s="269">
        <f t="shared" si="151"/>
        <v>0</v>
      </c>
      <c r="AK166" s="805"/>
      <c r="AL166" s="204">
        <v>0</v>
      </c>
      <c r="AM166" s="210">
        <v>0</v>
      </c>
    </row>
    <row r="167" spans="19:39" ht="24.75" customHeight="1">
      <c r="S167" s="266" t="str">
        <f>+IF([1]ENERO!S168=0,"",[1]ENERO!S168)</f>
        <v>2.1.2.02.02.008.99.03</v>
      </c>
      <c r="T167" s="267" t="str">
        <f>[1]ENERO!T168</f>
        <v xml:space="preserve">Vigencias Anteriores Mantenimiento Servicios </v>
      </c>
      <c r="U167" s="301">
        <f>SUM(ENERO!U167)</f>
        <v>2434004587.2222223</v>
      </c>
      <c r="V167" s="220">
        <f>[1]ENERO!V168+[1]FEBRERO!AL168</f>
        <v>0</v>
      </c>
      <c r="W167" s="220">
        <f>[1]ENERO!W168+[1]FEBRERO!AM168</f>
        <v>158814745</v>
      </c>
      <c r="X167" s="269">
        <f t="shared" si="145"/>
        <v>2592819332.2222223</v>
      </c>
      <c r="Y167" s="270">
        <f>[1]ENERO!AA168</f>
        <v>194172848</v>
      </c>
      <c r="Z167" s="204">
        <v>48051277</v>
      </c>
      <c r="AA167" s="271">
        <f t="shared" si="146"/>
        <v>242224125</v>
      </c>
      <c r="AB167" s="270">
        <f>[1]ENERO!AD168</f>
        <v>194172848</v>
      </c>
      <c r="AC167" s="204">
        <v>48051277</v>
      </c>
      <c r="AD167" s="269">
        <f t="shared" si="147"/>
        <v>242224125</v>
      </c>
      <c r="AE167" s="270">
        <f>[1]ENERO!AG168</f>
        <v>194172848</v>
      </c>
      <c r="AF167" s="204">
        <v>48051277</v>
      </c>
      <c r="AG167" s="269">
        <f t="shared" si="148"/>
        <v>242224125</v>
      </c>
      <c r="AH167" s="270">
        <f t="shared" si="149"/>
        <v>2350595207.2222223</v>
      </c>
      <c r="AI167" s="220">
        <f t="shared" si="150"/>
        <v>2350595207.2222223</v>
      </c>
      <c r="AJ167" s="269">
        <f t="shared" si="151"/>
        <v>2350595207.2222223</v>
      </c>
      <c r="AK167" s="805"/>
      <c r="AL167" s="204">
        <v>0</v>
      </c>
      <c r="AM167" s="210">
        <v>158814745</v>
      </c>
    </row>
    <row r="168" spans="19:39" ht="24.75" customHeight="1">
      <c r="S168" s="189">
        <f>+IF([1]ENERO!S169=0,"",[1]ENERO!S169)</f>
        <v>194172800</v>
      </c>
      <c r="T168" s="190"/>
      <c r="U168" s="193"/>
      <c r="V168" s="191"/>
      <c r="W168" s="191"/>
      <c r="X168" s="192"/>
      <c r="Y168" s="193"/>
      <c r="Z168" s="191"/>
      <c r="AA168" s="191"/>
      <c r="AB168" s="193"/>
      <c r="AC168" s="191"/>
      <c r="AD168" s="192"/>
      <c r="AE168" s="193"/>
      <c r="AF168" s="191"/>
      <c r="AG168" s="192"/>
      <c r="AH168" s="193"/>
      <c r="AI168" s="191"/>
      <c r="AJ168" s="192"/>
      <c r="AK168" s="805"/>
      <c r="AL168" s="370"/>
      <c r="AM168" s="371"/>
    </row>
    <row r="169" spans="19:39" ht="24.75" customHeight="1">
      <c r="S169" s="228">
        <f>+IF([1]ENERO!S170=0,"",[1]ENERO!S170)</f>
        <v>3000000</v>
      </c>
      <c r="T169" s="404" t="s">
        <v>287</v>
      </c>
      <c r="U169" s="217">
        <f t="shared" ref="U169:AJ169" si="152">U171+U175+U184</f>
        <v>2193060585</v>
      </c>
      <c r="V169" s="406">
        <f t="shared" si="152"/>
        <v>0</v>
      </c>
      <c r="W169" s="406">
        <f t="shared" si="152"/>
        <v>0</v>
      </c>
      <c r="X169" s="218">
        <f>X171+X175+X184</f>
        <v>2193060585</v>
      </c>
      <c r="Y169" s="217">
        <f t="shared" si="152"/>
        <v>239013351</v>
      </c>
      <c r="Z169" s="406">
        <f t="shared" si="152"/>
        <v>267794449</v>
      </c>
      <c r="AA169" s="407">
        <f t="shared" si="152"/>
        <v>506807800</v>
      </c>
      <c r="AB169" s="217">
        <f t="shared" si="152"/>
        <v>239013351</v>
      </c>
      <c r="AC169" s="406">
        <f t="shared" si="152"/>
        <v>267794449</v>
      </c>
      <c r="AD169" s="218">
        <f t="shared" si="152"/>
        <v>506807800</v>
      </c>
      <c r="AE169" s="217">
        <f t="shared" si="152"/>
        <v>110651152</v>
      </c>
      <c r="AF169" s="406">
        <f t="shared" si="152"/>
        <v>280008999</v>
      </c>
      <c r="AG169" s="218">
        <f t="shared" si="152"/>
        <v>390660151</v>
      </c>
      <c r="AH169" s="217">
        <f t="shared" si="152"/>
        <v>1686252785</v>
      </c>
      <c r="AI169" s="406">
        <f t="shared" si="152"/>
        <v>1686252785</v>
      </c>
      <c r="AJ169" s="218">
        <f t="shared" si="152"/>
        <v>1802400434</v>
      </c>
      <c r="AK169" s="805"/>
      <c r="AL169" s="233">
        <f>AL171+AL175+AL184</f>
        <v>0</v>
      </c>
      <c r="AM169" s="232">
        <f>AM171+AM175+AM184</f>
        <v>0</v>
      </c>
    </row>
    <row r="170" spans="19:39" ht="24.75" customHeight="1">
      <c r="S170" s="189">
        <f>+IF([1]ENERO!S171=0,"",[1]ENERO!S171)</f>
        <v>3000000</v>
      </c>
      <c r="T170" s="190"/>
      <c r="U170" s="193"/>
      <c r="V170" s="191"/>
      <c r="W170" s="191"/>
      <c r="X170" s="192"/>
      <c r="Y170" s="193"/>
      <c r="Z170" s="191"/>
      <c r="AA170" s="191"/>
      <c r="AB170" s="193"/>
      <c r="AC170" s="191"/>
      <c r="AD170" s="192"/>
      <c r="AE170" s="193"/>
      <c r="AF170" s="191"/>
      <c r="AG170" s="192"/>
      <c r="AH170" s="193"/>
      <c r="AI170" s="191"/>
      <c r="AJ170" s="192"/>
      <c r="AK170" s="805"/>
      <c r="AL170" s="370"/>
      <c r="AM170" s="371"/>
    </row>
    <row r="171" spans="19:39" ht="24.75" customHeight="1">
      <c r="S171" s="257">
        <f>+IF([1]ENERO!S172=0,"",[1]ENERO!S172)</f>
        <v>3100000</v>
      </c>
      <c r="T171" s="258" t="s">
        <v>288</v>
      </c>
      <c r="U171" s="233">
        <f t="shared" ref="U171:AJ171" si="153">SUM(U172:U173)</f>
        <v>570000000</v>
      </c>
      <c r="V171" s="231">
        <f t="shared" si="153"/>
        <v>0</v>
      </c>
      <c r="W171" s="231">
        <f t="shared" si="153"/>
        <v>0</v>
      </c>
      <c r="X171" s="232">
        <f>SUM(X172:X173)</f>
        <v>570000000</v>
      </c>
      <c r="Y171" s="233">
        <f t="shared" si="153"/>
        <v>145152794</v>
      </c>
      <c r="Z171" s="231">
        <f t="shared" si="153"/>
        <v>25238025</v>
      </c>
      <c r="AA171" s="234">
        <f t="shared" si="153"/>
        <v>170390819</v>
      </c>
      <c r="AB171" s="233">
        <f t="shared" si="153"/>
        <v>145152794</v>
      </c>
      <c r="AC171" s="231">
        <f t="shared" si="153"/>
        <v>25238025</v>
      </c>
      <c r="AD171" s="232">
        <f t="shared" si="153"/>
        <v>170390819</v>
      </c>
      <c r="AE171" s="233">
        <f t="shared" si="153"/>
        <v>23007298</v>
      </c>
      <c r="AF171" s="231">
        <f t="shared" si="153"/>
        <v>37452575</v>
      </c>
      <c r="AG171" s="232">
        <f t="shared" si="153"/>
        <v>60459873</v>
      </c>
      <c r="AH171" s="233">
        <f t="shared" si="153"/>
        <v>399609181</v>
      </c>
      <c r="AI171" s="231">
        <f t="shared" si="153"/>
        <v>399609181</v>
      </c>
      <c r="AJ171" s="232">
        <f t="shared" si="153"/>
        <v>509540127</v>
      </c>
      <c r="AK171" s="805"/>
      <c r="AL171" s="233">
        <f>SUM(AL172:AL173)</f>
        <v>0</v>
      </c>
      <c r="AM171" s="232">
        <f>SUM(AM172:AM173)</f>
        <v>0</v>
      </c>
    </row>
    <row r="172" spans="19:39" ht="24.75" customHeight="1">
      <c r="S172" s="266" t="str">
        <f>+IF([1]ENERO!S173=0,"",[1]ENERO!S173)</f>
        <v>2.1.8.04.01</v>
      </c>
      <c r="T172" s="267" t="str">
        <f>[1]ENERO!T173</f>
        <v>Cuotas de fiscalizacion y auditaje</v>
      </c>
      <c r="U172" s="301">
        <f>SUM(ENERO!U172)</f>
        <v>170000000</v>
      </c>
      <c r="V172" s="220">
        <f>[1]ENERO!V173+[1]FEBRERO!AL173</f>
        <v>0</v>
      </c>
      <c r="W172" s="220">
        <f>[1]ENERO!W173+[1]FEBRERO!AM173</f>
        <v>0</v>
      </c>
      <c r="X172" s="269">
        <f>SUM(U172:W172)</f>
        <v>170000000</v>
      </c>
      <c r="Y172" s="270">
        <f>[1]ENERO!AA173</f>
        <v>122145496</v>
      </c>
      <c r="Z172" s="208">
        <v>0</v>
      </c>
      <c r="AA172" s="271">
        <f>SUM(Y172:Z172)</f>
        <v>122145496</v>
      </c>
      <c r="AB172" s="270">
        <f>[1]ENERO!AD173</f>
        <v>122145496</v>
      </c>
      <c r="AC172" s="208">
        <v>0</v>
      </c>
      <c r="AD172" s="269">
        <f>SUM(AB172:AC172)</f>
        <v>122145496</v>
      </c>
      <c r="AE172" s="270">
        <f>[1]ENERO!AG173</f>
        <v>0</v>
      </c>
      <c r="AF172" s="204">
        <v>12214550</v>
      </c>
      <c r="AG172" s="269">
        <f>SUM(AE172:AF172)</f>
        <v>12214550</v>
      </c>
      <c r="AH172" s="270">
        <f>X172-AA172</f>
        <v>47854504</v>
      </c>
      <c r="AI172" s="220">
        <f>X172-AD172</f>
        <v>47854504</v>
      </c>
      <c r="AJ172" s="269">
        <f>X172-AG172</f>
        <v>157785450</v>
      </c>
      <c r="AK172" s="805"/>
      <c r="AL172" s="204">
        <v>0</v>
      </c>
      <c r="AM172" s="210">
        <v>0</v>
      </c>
    </row>
    <row r="173" spans="19:39" ht="24.75" customHeight="1">
      <c r="S173" s="266" t="str">
        <f>+IF([1]ENERO!S174=0,"",[1]ENERO!S174)</f>
        <v>2.1.8.02</v>
      </c>
      <c r="T173" s="267" t="str">
        <f>[1]ENERO!T174</f>
        <v>Acuerdo de estampillas</v>
      </c>
      <c r="U173" s="301">
        <f>SUM(ENERO!U173)</f>
        <v>400000000</v>
      </c>
      <c r="V173" s="220">
        <f>[1]ENERO!V174+[1]FEBRERO!AL174</f>
        <v>0</v>
      </c>
      <c r="W173" s="220">
        <f>[1]ENERO!W174+[1]FEBRERO!AM174</f>
        <v>0</v>
      </c>
      <c r="X173" s="269">
        <f>SUM(U173:W173)</f>
        <v>400000000</v>
      </c>
      <c r="Y173" s="270">
        <f>[1]ENERO!AA174</f>
        <v>23007298</v>
      </c>
      <c r="Z173" s="204">
        <v>25238025</v>
      </c>
      <c r="AA173" s="271">
        <f>SUM(Y173:Z173)</f>
        <v>48245323</v>
      </c>
      <c r="AB173" s="270">
        <f>[1]ENERO!AD174</f>
        <v>23007298</v>
      </c>
      <c r="AC173" s="204">
        <v>25238025</v>
      </c>
      <c r="AD173" s="269">
        <f>SUM(AB173:AC173)</f>
        <v>48245323</v>
      </c>
      <c r="AE173" s="270">
        <f>[1]ENERO!AG174</f>
        <v>23007298</v>
      </c>
      <c r="AF173" s="204">
        <v>25238025</v>
      </c>
      <c r="AG173" s="269">
        <f>SUM(AE173:AF173)</f>
        <v>48245323</v>
      </c>
      <c r="AH173" s="270">
        <f>X173-AA173</f>
        <v>351754677</v>
      </c>
      <c r="AI173" s="220">
        <f>X173-AD173</f>
        <v>351754677</v>
      </c>
      <c r="AJ173" s="269">
        <f>X173-AG173</f>
        <v>351754677</v>
      </c>
      <c r="AK173" s="805"/>
      <c r="AL173" s="204">
        <v>0</v>
      </c>
      <c r="AM173" s="210">
        <v>0</v>
      </c>
    </row>
    <row r="174" spans="19:39" ht="24.75" customHeight="1">
      <c r="S174" s="189">
        <f>+IF([1]ENERO!S175=0,"",[1]ENERO!S175)</f>
        <v>23007296</v>
      </c>
      <c r="T174" s="190"/>
      <c r="U174" s="193"/>
      <c r="V174" s="191"/>
      <c r="W174" s="191"/>
      <c r="X174" s="192"/>
      <c r="Y174" s="193"/>
      <c r="Z174" s="191"/>
      <c r="AA174" s="191"/>
      <c r="AB174" s="193"/>
      <c r="AC174" s="191"/>
      <c r="AD174" s="192"/>
      <c r="AE174" s="193"/>
      <c r="AF174" s="191"/>
      <c r="AG174" s="192"/>
      <c r="AH174" s="193"/>
      <c r="AI174" s="191"/>
      <c r="AJ174" s="192"/>
      <c r="AK174" s="827"/>
      <c r="AL174" s="370"/>
      <c r="AM174" s="371"/>
    </row>
    <row r="175" spans="19:39" ht="24.75" customHeight="1">
      <c r="S175" s="257">
        <f>+IF([1]ENERO!S176=0,"",[1]ENERO!S176)</f>
        <v>320000</v>
      </c>
      <c r="T175" s="258" t="s">
        <v>289</v>
      </c>
      <c r="U175" s="233">
        <f t="shared" ref="U175:AJ175" si="154">SUM(U176:U182)</f>
        <v>310000000</v>
      </c>
      <c r="V175" s="231">
        <f t="shared" si="154"/>
        <v>0</v>
      </c>
      <c r="W175" s="231">
        <f t="shared" si="154"/>
        <v>0</v>
      </c>
      <c r="X175" s="232">
        <f t="shared" si="154"/>
        <v>310000000</v>
      </c>
      <c r="Y175" s="233">
        <f t="shared" si="154"/>
        <v>516791</v>
      </c>
      <c r="Z175" s="231">
        <f t="shared" si="154"/>
        <v>166218643</v>
      </c>
      <c r="AA175" s="234">
        <f t="shared" si="154"/>
        <v>166735434</v>
      </c>
      <c r="AB175" s="233">
        <f t="shared" si="154"/>
        <v>516791</v>
      </c>
      <c r="AC175" s="231">
        <f t="shared" si="154"/>
        <v>166218643</v>
      </c>
      <c r="AD175" s="232">
        <f t="shared" si="154"/>
        <v>166735434</v>
      </c>
      <c r="AE175" s="233">
        <f t="shared" si="154"/>
        <v>516791</v>
      </c>
      <c r="AF175" s="231">
        <f t="shared" si="154"/>
        <v>166218643</v>
      </c>
      <c r="AG175" s="232">
        <f t="shared" si="154"/>
        <v>166735434</v>
      </c>
      <c r="AH175" s="233">
        <f t="shared" si="154"/>
        <v>143264566</v>
      </c>
      <c r="AI175" s="231">
        <f t="shared" si="154"/>
        <v>143264566</v>
      </c>
      <c r="AJ175" s="232">
        <f t="shared" si="154"/>
        <v>143264566</v>
      </c>
      <c r="AK175" s="805"/>
      <c r="AL175" s="233">
        <f>SUM(AL176:AL182)</f>
        <v>0</v>
      </c>
      <c r="AM175" s="232">
        <f>SUM(AM176:AM182)</f>
        <v>0</v>
      </c>
    </row>
    <row r="176" spans="19:39" ht="24.75" customHeight="1">
      <c r="S176" s="266">
        <f>+IF([1]ENERO!S177=0,"",[1]ENERO!S177)</f>
        <v>3200100</v>
      </c>
      <c r="T176" s="267" t="str">
        <f>[1]ENERO!T177</f>
        <v>Pensiones y Jubilaciones (Pago Directo)</v>
      </c>
      <c r="U176" s="301">
        <f>SUM(ENERO!U176)</f>
        <v>0</v>
      </c>
      <c r="V176" s="220">
        <f>[1]ENERO!V177+[1]FEBRERO!AL177</f>
        <v>0</v>
      </c>
      <c r="W176" s="220">
        <f>[1]ENERO!W177+[1]FEBRERO!AM177</f>
        <v>0</v>
      </c>
      <c r="X176" s="269">
        <f t="shared" ref="X176:X182" si="155">SUM(U176:W176)</f>
        <v>0</v>
      </c>
      <c r="Y176" s="270">
        <f>[1]ENERO!AA177</f>
        <v>0</v>
      </c>
      <c r="Z176" s="208">
        <v>0</v>
      </c>
      <c r="AA176" s="271">
        <f t="shared" ref="AA176:AA182" si="156">SUM(Y176:Z176)</f>
        <v>0</v>
      </c>
      <c r="AB176" s="270">
        <f>[1]ENERO!AD177</f>
        <v>0</v>
      </c>
      <c r="AC176" s="208">
        <v>0</v>
      </c>
      <c r="AD176" s="269">
        <f t="shared" ref="AD176:AD182" si="157">SUM(AB176:AC176)</f>
        <v>0</v>
      </c>
      <c r="AE176" s="270">
        <f>[1]ENERO!AG177</f>
        <v>0</v>
      </c>
      <c r="AF176" s="208">
        <v>0</v>
      </c>
      <c r="AG176" s="269">
        <f t="shared" ref="AG176:AG182" si="158">SUM(AE176:AF176)</f>
        <v>0</v>
      </c>
      <c r="AH176" s="270">
        <f t="shared" ref="AH176:AH182" si="159">X176-AA176</f>
        <v>0</v>
      </c>
      <c r="AI176" s="220">
        <f t="shared" ref="AI176:AI182" si="160">X176-AD176</f>
        <v>0</v>
      </c>
      <c r="AJ176" s="269">
        <f t="shared" ref="AJ176:AJ182" si="161">X176-AG176</f>
        <v>0</v>
      </c>
      <c r="AK176" s="805"/>
      <c r="AL176" s="204">
        <v>0</v>
      </c>
      <c r="AM176" s="210">
        <v>0</v>
      </c>
    </row>
    <row r="177" spans="19:39" ht="24.75" customHeight="1">
      <c r="S177" s="266">
        <f>+IF([1]ENERO!S178=0,"",[1]ENERO!S178)</f>
        <v>3200200</v>
      </c>
      <c r="T177" s="267" t="str">
        <f>[1]ENERO!T178</f>
        <v>Cesantías Pago Directo (Pago Directo)</v>
      </c>
      <c r="U177" s="301">
        <f>SUM(ENERO!U177)</f>
        <v>0</v>
      </c>
      <c r="V177" s="220">
        <f>[1]ENERO!V178+[1]FEBRERO!AL178</f>
        <v>0</v>
      </c>
      <c r="W177" s="220">
        <f>[1]ENERO!W178+[1]FEBRERO!AM178</f>
        <v>0</v>
      </c>
      <c r="X177" s="269">
        <f t="shared" si="155"/>
        <v>0</v>
      </c>
      <c r="Y177" s="270">
        <f>[1]ENERO!AA178</f>
        <v>0</v>
      </c>
      <c r="Z177" s="208">
        <v>0</v>
      </c>
      <c r="AA177" s="271">
        <f t="shared" si="156"/>
        <v>0</v>
      </c>
      <c r="AB177" s="270">
        <f>[1]ENERO!AD178</f>
        <v>0</v>
      </c>
      <c r="AC177" s="208">
        <v>0</v>
      </c>
      <c r="AD177" s="269">
        <f t="shared" si="157"/>
        <v>0</v>
      </c>
      <c r="AE177" s="270">
        <f>[1]ENERO!AG178</f>
        <v>0</v>
      </c>
      <c r="AF177" s="208">
        <v>0</v>
      </c>
      <c r="AG177" s="269">
        <f t="shared" si="158"/>
        <v>0</v>
      </c>
      <c r="AH177" s="270">
        <f t="shared" si="159"/>
        <v>0</v>
      </c>
      <c r="AI177" s="220">
        <f t="shared" si="160"/>
        <v>0</v>
      </c>
      <c r="AJ177" s="269">
        <f t="shared" si="161"/>
        <v>0</v>
      </c>
      <c r="AK177" s="805"/>
      <c r="AL177" s="204">
        <v>0</v>
      </c>
      <c r="AM177" s="210">
        <v>0</v>
      </c>
    </row>
    <row r="178" spans="19:39" ht="24.75" customHeight="1">
      <c r="S178" s="266" t="str">
        <f>+IF([1]ENERO!S179=0,"",[1]ENERO!S179)</f>
        <v>2.1.3.07.02.002.02</v>
      </c>
      <c r="T178" s="267" t="str">
        <f>[1]ENERO!T179</f>
        <v>Cuotas partes pensionales a cargo de la entidad ( de pensiones)</v>
      </c>
      <c r="U178" s="301">
        <f>SUM(ENERO!U178)</f>
        <v>10000000</v>
      </c>
      <c r="V178" s="220">
        <f>[1]ENERO!V179+[1]FEBRERO!AL179</f>
        <v>0</v>
      </c>
      <c r="W178" s="220">
        <f>[1]ENERO!W179+[1]FEBRERO!AM179</f>
        <v>0</v>
      </c>
      <c r="X178" s="269">
        <f t="shared" si="155"/>
        <v>10000000</v>
      </c>
      <c r="Y178" s="270">
        <f>[1]ENERO!AA179</f>
        <v>516791</v>
      </c>
      <c r="Z178" s="204">
        <v>1557643</v>
      </c>
      <c r="AA178" s="271">
        <f t="shared" si="156"/>
        <v>2074434</v>
      </c>
      <c r="AB178" s="270">
        <f>[1]ENERO!AD179</f>
        <v>516791</v>
      </c>
      <c r="AC178" s="204">
        <v>1557643</v>
      </c>
      <c r="AD178" s="269">
        <f t="shared" si="157"/>
        <v>2074434</v>
      </c>
      <c r="AE178" s="270">
        <f>[1]ENERO!AG179</f>
        <v>516791</v>
      </c>
      <c r="AF178" s="204">
        <v>1557643</v>
      </c>
      <c r="AG178" s="269">
        <f t="shared" si="158"/>
        <v>2074434</v>
      </c>
      <c r="AH178" s="270">
        <f t="shared" si="159"/>
        <v>7925566</v>
      </c>
      <c r="AI178" s="220">
        <f t="shared" si="160"/>
        <v>7925566</v>
      </c>
      <c r="AJ178" s="269">
        <f t="shared" si="161"/>
        <v>7925566</v>
      </c>
      <c r="AK178" s="805"/>
      <c r="AL178" s="204">
        <v>0</v>
      </c>
      <c r="AM178" s="210">
        <v>0</v>
      </c>
    </row>
    <row r="179" spans="19:39" ht="24.75" customHeight="1">
      <c r="S179" s="266" t="str">
        <f>+IF([1]ENERO!S180=0,"",[1]ENERO!S180)</f>
        <v>2.1.3.07.02.003.02</v>
      </c>
      <c r="T179" s="267" t="str">
        <f>[1]ENERO!T180</f>
        <v>Bonos pensionales a cargo de la entidad ( de pensiones)</v>
      </c>
      <c r="U179" s="301">
        <f>SUM(ENERO!U179)</f>
        <v>300000000</v>
      </c>
      <c r="V179" s="220">
        <f>[1]ENERO!V180+[1]FEBRERO!AL180</f>
        <v>0</v>
      </c>
      <c r="W179" s="220">
        <f>[1]ENERO!W180+[1]FEBRERO!AM180</f>
        <v>0</v>
      </c>
      <c r="X179" s="269">
        <f t="shared" si="155"/>
        <v>300000000</v>
      </c>
      <c r="Y179" s="270">
        <f>[1]ENERO!AA180</f>
        <v>0</v>
      </c>
      <c r="Z179" s="204">
        <v>164661000</v>
      </c>
      <c r="AA179" s="271">
        <f t="shared" si="156"/>
        <v>164661000</v>
      </c>
      <c r="AB179" s="270">
        <f>[1]ENERO!AD180</f>
        <v>0</v>
      </c>
      <c r="AC179" s="204">
        <v>164661000</v>
      </c>
      <c r="AD179" s="269">
        <f t="shared" si="157"/>
        <v>164661000</v>
      </c>
      <c r="AE179" s="270">
        <f>[1]ENERO!AG180</f>
        <v>0</v>
      </c>
      <c r="AF179" s="204">
        <v>164661000</v>
      </c>
      <c r="AG179" s="269">
        <f t="shared" si="158"/>
        <v>164661000</v>
      </c>
      <c r="AH179" s="270">
        <f t="shared" si="159"/>
        <v>135339000</v>
      </c>
      <c r="AI179" s="220">
        <f t="shared" si="160"/>
        <v>135339000</v>
      </c>
      <c r="AJ179" s="269">
        <f t="shared" si="161"/>
        <v>135339000</v>
      </c>
      <c r="AK179" s="805"/>
      <c r="AL179" s="204">
        <v>0</v>
      </c>
      <c r="AM179" s="210">
        <v>0</v>
      </c>
    </row>
    <row r="180" spans="19:39" ht="24.75" customHeight="1">
      <c r="S180" s="266">
        <f>+IF([1]ENERO!S181=0,"",[1]ENERO!S181)</f>
        <v>3200500</v>
      </c>
      <c r="T180" s="267"/>
      <c r="U180" s="301">
        <f>SUM(ENERO!U180)</f>
        <v>0</v>
      </c>
      <c r="V180" s="220">
        <f>[1]ENERO!V181+[1]FEBRERO!AL181</f>
        <v>0</v>
      </c>
      <c r="W180" s="220">
        <f>[1]ENERO!W181+[1]FEBRERO!AM181</f>
        <v>0</v>
      </c>
      <c r="X180" s="269">
        <f t="shared" si="155"/>
        <v>0</v>
      </c>
      <c r="Y180" s="270">
        <f>[1]ENERO!AA181</f>
        <v>0</v>
      </c>
      <c r="Z180" s="208">
        <v>0</v>
      </c>
      <c r="AA180" s="271">
        <f t="shared" si="156"/>
        <v>0</v>
      </c>
      <c r="AB180" s="270">
        <f>[1]ENERO!AD181</f>
        <v>0</v>
      </c>
      <c r="AC180" s="208">
        <v>0</v>
      </c>
      <c r="AD180" s="269">
        <f t="shared" si="157"/>
        <v>0</v>
      </c>
      <c r="AE180" s="270">
        <f>[1]ENERO!AG181</f>
        <v>0</v>
      </c>
      <c r="AF180" s="208">
        <v>0</v>
      </c>
      <c r="AG180" s="269">
        <f t="shared" si="158"/>
        <v>0</v>
      </c>
      <c r="AH180" s="270">
        <f t="shared" si="159"/>
        <v>0</v>
      </c>
      <c r="AI180" s="220">
        <f t="shared" si="160"/>
        <v>0</v>
      </c>
      <c r="AJ180" s="269">
        <f t="shared" si="161"/>
        <v>0</v>
      </c>
      <c r="AK180" s="805"/>
      <c r="AL180" s="204">
        <v>0</v>
      </c>
      <c r="AM180" s="210">
        <v>0</v>
      </c>
    </row>
    <row r="181" spans="19:39" ht="24.75" customHeight="1">
      <c r="S181" s="266">
        <f>+IF([1]ENERO!S182=0,"",[1]ENERO!S182)</f>
        <v>3200600</v>
      </c>
      <c r="T181" s="267"/>
      <c r="U181" s="301">
        <f>SUM(ENERO!U181)</f>
        <v>0</v>
      </c>
      <c r="V181" s="220">
        <f>[1]ENERO!V182+[1]FEBRERO!AL182</f>
        <v>0</v>
      </c>
      <c r="W181" s="220">
        <f>[1]ENERO!W182+[1]FEBRERO!AM182</f>
        <v>0</v>
      </c>
      <c r="X181" s="269">
        <f t="shared" si="155"/>
        <v>0</v>
      </c>
      <c r="Y181" s="270">
        <f>[1]ENERO!AA182</f>
        <v>0</v>
      </c>
      <c r="Z181" s="208">
        <v>0</v>
      </c>
      <c r="AA181" s="271">
        <f t="shared" si="156"/>
        <v>0</v>
      </c>
      <c r="AB181" s="270">
        <f>[1]ENERO!AD182</f>
        <v>0</v>
      </c>
      <c r="AC181" s="208">
        <v>0</v>
      </c>
      <c r="AD181" s="269">
        <f t="shared" si="157"/>
        <v>0</v>
      </c>
      <c r="AE181" s="270">
        <f>[1]ENERO!AG182</f>
        <v>0</v>
      </c>
      <c r="AF181" s="208">
        <v>0</v>
      </c>
      <c r="AG181" s="269">
        <f t="shared" si="158"/>
        <v>0</v>
      </c>
      <c r="AH181" s="270">
        <f t="shared" si="159"/>
        <v>0</v>
      </c>
      <c r="AI181" s="220">
        <f t="shared" si="160"/>
        <v>0</v>
      </c>
      <c r="AJ181" s="269">
        <f t="shared" si="161"/>
        <v>0</v>
      </c>
      <c r="AK181" s="805"/>
      <c r="AL181" s="204">
        <v>0</v>
      </c>
      <c r="AM181" s="210">
        <v>0</v>
      </c>
    </row>
    <row r="182" spans="19:39" ht="24.75" customHeight="1">
      <c r="S182" s="266" t="str">
        <f>+IF([1]ENERO!S183=0,"",[1]ENERO!S183)</f>
        <v>2.1.7.01.01</v>
      </c>
      <c r="T182" s="267" t="str">
        <f>[1]ENERO!T183</f>
        <v>Vigencias Anteriores Cesantias</v>
      </c>
      <c r="U182" s="301">
        <f>SUM(ENERO!U182)</f>
        <v>0</v>
      </c>
      <c r="V182" s="220">
        <f>[1]ENERO!V183+[1]FEBRERO!AL183</f>
        <v>0</v>
      </c>
      <c r="W182" s="220">
        <f>[1]ENERO!W183+[1]FEBRERO!AM183</f>
        <v>0</v>
      </c>
      <c r="X182" s="269">
        <f t="shared" si="155"/>
        <v>0</v>
      </c>
      <c r="Y182" s="270">
        <f>[1]ENERO!AA183</f>
        <v>0</v>
      </c>
      <c r="Z182" s="208">
        <v>0</v>
      </c>
      <c r="AA182" s="271">
        <f t="shared" si="156"/>
        <v>0</v>
      </c>
      <c r="AB182" s="270">
        <f>[1]ENERO!AD183</f>
        <v>0</v>
      </c>
      <c r="AC182" s="208">
        <v>0</v>
      </c>
      <c r="AD182" s="269">
        <f t="shared" si="157"/>
        <v>0</v>
      </c>
      <c r="AE182" s="270">
        <f>[1]ENERO!AG183</f>
        <v>0</v>
      </c>
      <c r="AF182" s="208">
        <v>0</v>
      </c>
      <c r="AG182" s="269">
        <f t="shared" si="158"/>
        <v>0</v>
      </c>
      <c r="AH182" s="270">
        <f t="shared" si="159"/>
        <v>0</v>
      </c>
      <c r="AI182" s="220">
        <f t="shared" si="160"/>
        <v>0</v>
      </c>
      <c r="AJ182" s="269">
        <f t="shared" si="161"/>
        <v>0</v>
      </c>
      <c r="AK182" s="805"/>
      <c r="AL182" s="204">
        <v>0</v>
      </c>
      <c r="AM182" s="210">
        <v>0</v>
      </c>
    </row>
    <row r="183" spans="19:39" ht="24.75" customHeight="1">
      <c r="S183" s="189" t="str">
        <f>+IF([1]ENERO!S184=0,"",[1]ENERO!S184)</f>
        <v/>
      </c>
      <c r="T183" s="190"/>
      <c r="U183" s="193"/>
      <c r="V183" s="191"/>
      <c r="W183" s="191"/>
      <c r="X183" s="192"/>
      <c r="Y183" s="193"/>
      <c r="Z183" s="191"/>
      <c r="AA183" s="191"/>
      <c r="AB183" s="193"/>
      <c r="AC183" s="191"/>
      <c r="AD183" s="192"/>
      <c r="AE183" s="193"/>
      <c r="AF183" s="191"/>
      <c r="AG183" s="192"/>
      <c r="AH183" s="193"/>
      <c r="AI183" s="191"/>
      <c r="AJ183" s="192"/>
      <c r="AK183" s="805"/>
      <c r="AL183" s="370"/>
      <c r="AM183" s="371"/>
    </row>
    <row r="184" spans="19:39" ht="24.75" customHeight="1">
      <c r="S184" s="257">
        <f>+IF([1]ENERO!S185=0,"",[1]ENERO!S185)</f>
        <v>3300000</v>
      </c>
      <c r="T184" s="258" t="s">
        <v>292</v>
      </c>
      <c r="U184" s="233">
        <f t="shared" ref="U184:AJ184" si="162">U185+U186+U191</f>
        <v>1313060585</v>
      </c>
      <c r="V184" s="231">
        <f t="shared" si="162"/>
        <v>0</v>
      </c>
      <c r="W184" s="231">
        <f t="shared" si="162"/>
        <v>0</v>
      </c>
      <c r="X184" s="232">
        <f>X185+X186+X191</f>
        <v>1313060585</v>
      </c>
      <c r="Y184" s="233">
        <f t="shared" si="162"/>
        <v>93343766</v>
      </c>
      <c r="Z184" s="231">
        <f t="shared" si="162"/>
        <v>76337781</v>
      </c>
      <c r="AA184" s="234">
        <f t="shared" si="162"/>
        <v>169681547</v>
      </c>
      <c r="AB184" s="233">
        <f t="shared" si="162"/>
        <v>93343766</v>
      </c>
      <c r="AC184" s="231">
        <f t="shared" si="162"/>
        <v>76337781</v>
      </c>
      <c r="AD184" s="232">
        <f t="shared" si="162"/>
        <v>169681547</v>
      </c>
      <c r="AE184" s="233">
        <f t="shared" si="162"/>
        <v>87127063</v>
      </c>
      <c r="AF184" s="231">
        <f t="shared" si="162"/>
        <v>76337781</v>
      </c>
      <c r="AG184" s="232">
        <f t="shared" si="162"/>
        <v>163464844</v>
      </c>
      <c r="AH184" s="233">
        <f t="shared" si="162"/>
        <v>1143379038</v>
      </c>
      <c r="AI184" s="231">
        <f t="shared" si="162"/>
        <v>1143379038</v>
      </c>
      <c r="AJ184" s="232">
        <f t="shared" si="162"/>
        <v>1149595741</v>
      </c>
      <c r="AK184" s="805"/>
      <c r="AL184" s="233">
        <f>AL185+AL186+AL191</f>
        <v>0</v>
      </c>
      <c r="AM184" s="232">
        <f>AM185+AM186+AM191</f>
        <v>0</v>
      </c>
    </row>
    <row r="185" spans="19:39" ht="24.75" customHeight="1">
      <c r="S185" s="266" t="str">
        <f>+IF([1]ENERO!S186=0,"",[1]ENERO!S186)</f>
        <v>2.1.3.13.01.001</v>
      </c>
      <c r="T185" s="267" t="str">
        <f>[1]ENERO!T186</f>
        <v>Sentencias</v>
      </c>
      <c r="U185" s="301">
        <f>SUM(ENERO!U185)</f>
        <v>800000000</v>
      </c>
      <c r="V185" s="220">
        <f>[1]ENERO!V186+[1]FEBRERO!AL186</f>
        <v>-350000000</v>
      </c>
      <c r="W185" s="220">
        <f>[1]ENERO!W186+[1]FEBRERO!AM186</f>
        <v>0</v>
      </c>
      <c r="X185" s="269">
        <f>SUM(U185:W185)</f>
        <v>450000000</v>
      </c>
      <c r="Y185" s="270">
        <f>[1]ENERO!AA186</f>
        <v>0</v>
      </c>
      <c r="Z185" s="208">
        <v>0</v>
      </c>
      <c r="AA185" s="271">
        <f>SUM(Y185:Z185)</f>
        <v>0</v>
      </c>
      <c r="AB185" s="270">
        <f>[1]ENERO!AD186</f>
        <v>0</v>
      </c>
      <c r="AC185" s="208">
        <v>0</v>
      </c>
      <c r="AD185" s="269">
        <f>SUM(AB185:AC185)</f>
        <v>0</v>
      </c>
      <c r="AE185" s="270">
        <f>[1]ENERO!AG186</f>
        <v>0</v>
      </c>
      <c r="AF185" s="208">
        <v>0</v>
      </c>
      <c r="AG185" s="269">
        <f>SUM(AE185:AF185)</f>
        <v>0</v>
      </c>
      <c r="AH185" s="270">
        <f>X185-AA185</f>
        <v>450000000</v>
      </c>
      <c r="AI185" s="220">
        <f>X185-AD185</f>
        <v>450000000</v>
      </c>
      <c r="AJ185" s="269">
        <f>X185-AG185</f>
        <v>450000000</v>
      </c>
      <c r="AK185" s="805"/>
      <c r="AL185" s="204">
        <v>0</v>
      </c>
      <c r="AM185" s="210">
        <v>0</v>
      </c>
    </row>
    <row r="186" spans="19:39" ht="24.75" customHeight="1">
      <c r="S186" s="266">
        <f>+IF([1]ENERO!S187=0,"",[1]ENERO!S187)</f>
        <v>3300200</v>
      </c>
      <c r="T186" s="267" t="str">
        <f>[1]ENERO!T187</f>
        <v>Destinatarios de otras transferencias</v>
      </c>
      <c r="U186" s="233">
        <f t="shared" ref="U186:AJ186" si="163">SUM(U187:U190)</f>
        <v>463060585</v>
      </c>
      <c r="V186" s="406">
        <f t="shared" si="163"/>
        <v>0</v>
      </c>
      <c r="W186" s="406">
        <f t="shared" si="163"/>
        <v>0</v>
      </c>
      <c r="X186" s="218">
        <f>SUM(X187:X190)</f>
        <v>463060585</v>
      </c>
      <c r="Y186" s="270">
        <f t="shared" si="163"/>
        <v>6216703</v>
      </c>
      <c r="Z186" s="300">
        <f t="shared" si="163"/>
        <v>522703</v>
      </c>
      <c r="AA186" s="271">
        <f t="shared" si="163"/>
        <v>6739406</v>
      </c>
      <c r="AB186" s="270">
        <f t="shared" si="163"/>
        <v>6216703</v>
      </c>
      <c r="AC186" s="300">
        <f t="shared" si="163"/>
        <v>522703</v>
      </c>
      <c r="AD186" s="269">
        <f t="shared" si="163"/>
        <v>6739406</v>
      </c>
      <c r="AE186" s="270">
        <f t="shared" si="163"/>
        <v>0</v>
      </c>
      <c r="AF186" s="300">
        <f t="shared" si="163"/>
        <v>522703</v>
      </c>
      <c r="AG186" s="269">
        <f t="shared" si="163"/>
        <v>522703</v>
      </c>
      <c r="AH186" s="270">
        <f t="shared" si="163"/>
        <v>456321179</v>
      </c>
      <c r="AI186" s="220">
        <f t="shared" si="163"/>
        <v>456321179</v>
      </c>
      <c r="AJ186" s="269">
        <f t="shared" si="163"/>
        <v>462537882</v>
      </c>
      <c r="AK186" s="805"/>
      <c r="AL186" s="301">
        <f>SUM(AL187:AL190)</f>
        <v>0</v>
      </c>
      <c r="AM186" s="302">
        <f>SUM(AM187:AM190)</f>
        <v>0</v>
      </c>
    </row>
    <row r="187" spans="19:39" ht="24.75" customHeight="1">
      <c r="S187" s="311" t="str">
        <f>+IF([1]ENERO!S188=0,"",[1]ENERO!S188)</f>
        <v>2.1.2.02.02.009.907</v>
      </c>
      <c r="T187" s="267" t="str">
        <f>[1]ENERO!T188</f>
        <v>Cuota de Afiliación o sostenimiento (COHAN, AESA, OTROS)</v>
      </c>
      <c r="U187" s="301">
        <f>SUM(ENERO!U187)</f>
        <v>13060585</v>
      </c>
      <c r="V187" s="220">
        <f>[1]ENERO!V188+[1]FEBRERO!AL188</f>
        <v>0</v>
      </c>
      <c r="W187" s="220">
        <f>[1]ENERO!W188+[1]FEBRERO!AM188</f>
        <v>0</v>
      </c>
      <c r="X187" s="269">
        <f>SUM(U187:W187)</f>
        <v>13060585</v>
      </c>
      <c r="Y187" s="270">
        <f>[1]ENERO!AA188</f>
        <v>6216703</v>
      </c>
      <c r="Z187" s="204">
        <v>522703</v>
      </c>
      <c r="AA187" s="271">
        <f>SUM(Y187:Z187)</f>
        <v>6739406</v>
      </c>
      <c r="AB187" s="270">
        <f>[1]ENERO!AD188</f>
        <v>6216703</v>
      </c>
      <c r="AC187" s="204">
        <v>522703</v>
      </c>
      <c r="AD187" s="269">
        <f>SUM(AB187:AC187)</f>
        <v>6739406</v>
      </c>
      <c r="AE187" s="270">
        <f>[1]ENERO!AG188</f>
        <v>0</v>
      </c>
      <c r="AF187" s="204">
        <v>522703</v>
      </c>
      <c r="AG187" s="269">
        <f>SUM(AE187:AF187)</f>
        <v>522703</v>
      </c>
      <c r="AH187" s="270">
        <f>X187-AA187</f>
        <v>6321179</v>
      </c>
      <c r="AI187" s="220">
        <f>X187-AD187</f>
        <v>6321179</v>
      </c>
      <c r="AJ187" s="269">
        <f>X187-AG187</f>
        <v>12537882</v>
      </c>
      <c r="AK187" s="805"/>
      <c r="AL187" s="204">
        <v>0</v>
      </c>
      <c r="AM187" s="210">
        <v>0</v>
      </c>
    </row>
    <row r="188" spans="19:39" ht="24.75" customHeight="1">
      <c r="S188" s="311" t="str">
        <f>+IF([1]ENERO!S189=0,"",[1]ENERO!S190)</f>
        <v>2.1.8.04.07</v>
      </c>
      <c r="T188" s="267" t="str">
        <f>[1]ENERO!T189</f>
        <v>Conciliaciones</v>
      </c>
      <c r="U188" s="301">
        <f>SUM(ENERO!U188)</f>
        <v>300000000</v>
      </c>
      <c r="V188" s="220">
        <f>[1]ENERO!V189+[1]FEBRERO!AL189</f>
        <v>0</v>
      </c>
      <c r="W188" s="220">
        <f>[1]ENERO!W189+[1]FEBRERO!AM189</f>
        <v>0</v>
      </c>
      <c r="X188" s="269">
        <f>SUM(U188:W188)</f>
        <v>300000000</v>
      </c>
      <c r="Y188" s="270">
        <f>[1]ENERO!AA189</f>
        <v>0</v>
      </c>
      <c r="Z188" s="208">
        <v>0</v>
      </c>
      <c r="AA188" s="271">
        <f>SUM(Y188:Z188)</f>
        <v>0</v>
      </c>
      <c r="AB188" s="270">
        <f>[1]ENERO!AD189</f>
        <v>0</v>
      </c>
      <c r="AC188" s="208">
        <v>0</v>
      </c>
      <c r="AD188" s="269">
        <f>SUM(AB188:AC188)</f>
        <v>0</v>
      </c>
      <c r="AE188" s="270">
        <f>[1]ENERO!AG189</f>
        <v>0</v>
      </c>
      <c r="AF188" s="208">
        <v>0</v>
      </c>
      <c r="AG188" s="269">
        <f>SUM(AE188:AF188)</f>
        <v>0</v>
      </c>
      <c r="AH188" s="270">
        <f>X188-AA188</f>
        <v>300000000</v>
      </c>
      <c r="AI188" s="220">
        <f>X188-AD188</f>
        <v>300000000</v>
      </c>
      <c r="AJ188" s="269">
        <f>X188-AG188</f>
        <v>300000000</v>
      </c>
      <c r="AK188" s="805"/>
      <c r="AL188" s="204">
        <v>0</v>
      </c>
      <c r="AM188" s="210">
        <v>0</v>
      </c>
    </row>
    <row r="189" spans="19:39" ht="24.75" customHeight="1">
      <c r="S189" s="311" t="s">
        <v>785</v>
      </c>
      <c r="T189" s="267" t="s">
        <v>787</v>
      </c>
      <c r="U189" s="301"/>
      <c r="V189" s="220"/>
      <c r="W189" s="220"/>
      <c r="X189" s="269"/>
      <c r="Y189" s="270"/>
      <c r="Z189" s="208"/>
      <c r="AA189" s="271"/>
      <c r="AB189" s="270"/>
      <c r="AC189" s="208"/>
      <c r="AD189" s="269"/>
      <c r="AE189" s="270"/>
      <c r="AF189" s="208"/>
      <c r="AG189" s="269"/>
      <c r="AH189" s="270"/>
      <c r="AI189" s="220"/>
      <c r="AJ189" s="269"/>
      <c r="AK189" s="805"/>
      <c r="AL189" s="204"/>
      <c r="AM189" s="210"/>
    </row>
    <row r="190" spans="19:39" ht="24.75" customHeight="1">
      <c r="S190" s="311" t="str">
        <f>+IF([1]ENERO!S190=0,"",[1]ENERO!S190)</f>
        <v>2.1.8.04.07</v>
      </c>
      <c r="T190" s="267" t="str">
        <f>[1]ENERO!T190</f>
        <v>Cuotas de auditaje supersalud</v>
      </c>
      <c r="U190" s="301">
        <f>SUM(ENERO!U190)</f>
        <v>150000000</v>
      </c>
      <c r="V190" s="220">
        <f>[1]ENERO!V190+[1]FEBRERO!AL190</f>
        <v>0</v>
      </c>
      <c r="W190" s="220">
        <f>[1]ENERO!W190+[1]FEBRERO!AM190</f>
        <v>0</v>
      </c>
      <c r="X190" s="269">
        <f>SUM(U190:W190)</f>
        <v>150000000</v>
      </c>
      <c r="Y190" s="270">
        <f>[1]ENERO!AA190</f>
        <v>0</v>
      </c>
      <c r="Z190" s="208">
        <v>0</v>
      </c>
      <c r="AA190" s="271">
        <f>SUM(Y190:Z190)</f>
        <v>0</v>
      </c>
      <c r="AB190" s="270">
        <f>[1]ENERO!AD190</f>
        <v>0</v>
      </c>
      <c r="AC190" s="208">
        <v>0</v>
      </c>
      <c r="AD190" s="269">
        <f>SUM(AB190:AC190)</f>
        <v>0</v>
      </c>
      <c r="AE190" s="270">
        <f>[1]ENERO!AG190</f>
        <v>0</v>
      </c>
      <c r="AF190" s="208">
        <v>0</v>
      </c>
      <c r="AG190" s="269">
        <f>SUM(AE190:AF190)</f>
        <v>0</v>
      </c>
      <c r="AH190" s="270">
        <f>X190-AA190</f>
        <v>150000000</v>
      </c>
      <c r="AI190" s="220">
        <f>X190-AD190</f>
        <v>150000000</v>
      </c>
      <c r="AJ190" s="269">
        <f>X190-AG190</f>
        <v>150000000</v>
      </c>
      <c r="AK190" s="805"/>
      <c r="AL190" s="204">
        <v>0</v>
      </c>
      <c r="AM190" s="210">
        <v>0</v>
      </c>
    </row>
    <row r="191" spans="19:39" ht="24.75" customHeight="1" thickBot="1">
      <c r="S191" s="266" t="s">
        <v>781</v>
      </c>
      <c r="T191" s="267" t="s">
        <v>782</v>
      </c>
      <c r="U191" s="301">
        <f>SUM(ENERO!U191)</f>
        <v>50000000</v>
      </c>
      <c r="V191" s="220">
        <f>[1]ENERO!V191+[1]FEBRERO!AL191</f>
        <v>350000000</v>
      </c>
      <c r="W191" s="220">
        <f>[1]ENERO!W191+[1]FEBRERO!AM191</f>
        <v>0</v>
      </c>
      <c r="X191" s="269">
        <f>SUM(U191:W191)</f>
        <v>400000000</v>
      </c>
      <c r="Y191" s="270">
        <f>[1]ENERO!AA191</f>
        <v>87127063</v>
      </c>
      <c r="Z191" s="204">
        <v>75815078</v>
      </c>
      <c r="AA191" s="271">
        <f>SUM(Y191:Z191)</f>
        <v>162942141</v>
      </c>
      <c r="AB191" s="270">
        <f>[1]ENERO!AD191</f>
        <v>87127063</v>
      </c>
      <c r="AC191" s="204">
        <v>75815078</v>
      </c>
      <c r="AD191" s="269">
        <f>SUM(AB191:AC191)</f>
        <v>162942141</v>
      </c>
      <c r="AE191" s="270">
        <f>[1]ENERO!AG191</f>
        <v>87127063</v>
      </c>
      <c r="AF191" s="204">
        <v>75815078</v>
      </c>
      <c r="AG191" s="269">
        <f>SUM(AE191:AF191)</f>
        <v>162942141</v>
      </c>
      <c r="AH191" s="270">
        <f>X191-AA191</f>
        <v>237057859</v>
      </c>
      <c r="AI191" s="220">
        <f>X191-AD191</f>
        <v>237057859</v>
      </c>
      <c r="AJ191" s="269">
        <f>X191-AG191</f>
        <v>237057859</v>
      </c>
      <c r="AK191" s="805"/>
      <c r="AL191" s="204">
        <v>0</v>
      </c>
      <c r="AM191" s="210">
        <v>0</v>
      </c>
    </row>
    <row r="193" spans="19:39" ht="34.5" customHeight="1" thickBot="1">
      <c r="S193" s="462" t="s">
        <v>294</v>
      </c>
      <c r="T193" s="463" t="s">
        <v>295</v>
      </c>
      <c r="U193" s="882">
        <f t="shared" ref="U193:AJ193" si="164">U195+U209</f>
        <v>42375190113.666664</v>
      </c>
      <c r="V193" s="406">
        <f t="shared" si="164"/>
        <v>0</v>
      </c>
      <c r="W193" s="406">
        <f t="shared" si="164"/>
        <v>400000000</v>
      </c>
      <c r="X193" s="218">
        <f t="shared" si="164"/>
        <v>42775190113.666664</v>
      </c>
      <c r="Y193" s="217">
        <f t="shared" si="164"/>
        <v>14527443470</v>
      </c>
      <c r="Z193" s="406">
        <f t="shared" si="164"/>
        <v>4546995267</v>
      </c>
      <c r="AA193" s="218">
        <f t="shared" si="164"/>
        <v>19074438737</v>
      </c>
      <c r="AB193" s="882">
        <f t="shared" si="164"/>
        <v>5851945105</v>
      </c>
      <c r="AC193" s="406">
        <f t="shared" si="164"/>
        <v>4687820489</v>
      </c>
      <c r="AD193" s="407">
        <f t="shared" si="164"/>
        <v>10539765594</v>
      </c>
      <c r="AE193" s="217">
        <f t="shared" si="164"/>
        <v>2229917688</v>
      </c>
      <c r="AF193" s="406">
        <f t="shared" si="164"/>
        <v>2246727030</v>
      </c>
      <c r="AG193" s="218">
        <f t="shared" si="164"/>
        <v>4476644718</v>
      </c>
      <c r="AH193" s="217">
        <f t="shared" si="164"/>
        <v>23700751376.666664</v>
      </c>
      <c r="AI193" s="406">
        <f t="shared" si="164"/>
        <v>32235424519.666664</v>
      </c>
      <c r="AJ193" s="218">
        <f t="shared" si="164"/>
        <v>38298545395.666664</v>
      </c>
      <c r="AK193" s="805"/>
      <c r="AL193" s="217">
        <f>AL195+AL209</f>
        <v>0</v>
      </c>
      <c r="AM193" s="218">
        <f>AM195+AM209</f>
        <v>400000000</v>
      </c>
    </row>
    <row r="194" spans="19:39" ht="24.75" customHeight="1">
      <c r="S194" s="455"/>
      <c r="T194" s="456"/>
      <c r="U194" s="457"/>
      <c r="V194" s="457"/>
      <c r="W194" s="457"/>
      <c r="X194" s="458"/>
      <c r="Y194" s="459"/>
      <c r="Z194" s="457"/>
      <c r="AA194" s="458"/>
      <c r="AB194" s="457"/>
      <c r="AC194" s="457"/>
      <c r="AD194" s="457"/>
      <c r="AE194" s="459"/>
      <c r="AF194" s="457"/>
      <c r="AG194" s="458"/>
      <c r="AH194" s="459"/>
      <c r="AI194" s="457"/>
      <c r="AJ194" s="458"/>
      <c r="AK194" s="805"/>
      <c r="AL194" s="460"/>
      <c r="AM194" s="461"/>
    </row>
    <row r="195" spans="19:39" ht="24.75" customHeight="1">
      <c r="S195" s="228" t="str">
        <f>+IF([1]ENERO!S195=0,"",[1]ENERO!S195)</f>
        <v>2.4</v>
      </c>
      <c r="T195" s="404" t="s">
        <v>612</v>
      </c>
      <c r="U195" s="217">
        <f t="shared" ref="U195:AJ195" si="165">U196</f>
        <v>40172190113.666664</v>
      </c>
      <c r="V195" s="406">
        <f t="shared" si="165"/>
        <v>-495559635</v>
      </c>
      <c r="W195" s="406">
        <f t="shared" si="165"/>
        <v>400000000</v>
      </c>
      <c r="X195" s="218">
        <f t="shared" si="165"/>
        <v>40076630478.666664</v>
      </c>
      <c r="Y195" s="217">
        <f t="shared" si="165"/>
        <v>13394346087</v>
      </c>
      <c r="Z195" s="406">
        <f t="shared" si="165"/>
        <v>3577820066</v>
      </c>
      <c r="AA195" s="407">
        <f t="shared" si="165"/>
        <v>16972166153</v>
      </c>
      <c r="AB195" s="217">
        <f t="shared" si="165"/>
        <v>4718847722</v>
      </c>
      <c r="AC195" s="406">
        <f t="shared" si="165"/>
        <v>3718645288</v>
      </c>
      <c r="AD195" s="218">
        <f t="shared" si="165"/>
        <v>8437493010</v>
      </c>
      <c r="AE195" s="217">
        <f t="shared" si="165"/>
        <v>1096820305</v>
      </c>
      <c r="AF195" s="406">
        <f t="shared" si="165"/>
        <v>1277551829</v>
      </c>
      <c r="AG195" s="218">
        <f t="shared" si="165"/>
        <v>2374372134</v>
      </c>
      <c r="AH195" s="217">
        <f t="shared" si="165"/>
        <v>23104464325.666664</v>
      </c>
      <c r="AI195" s="406">
        <f t="shared" si="165"/>
        <v>31639137468.666664</v>
      </c>
      <c r="AJ195" s="218">
        <f t="shared" si="165"/>
        <v>37702258344.666664</v>
      </c>
      <c r="AK195" s="805"/>
      <c r="AL195" s="233">
        <f>AL196</f>
        <v>0</v>
      </c>
      <c r="AM195" s="232">
        <f>AM196</f>
        <v>400000000</v>
      </c>
    </row>
    <row r="196" spans="19:39" ht="24.75" customHeight="1">
      <c r="S196" s="257" t="str">
        <f>+IF([1]ENERO!S196=0,"",[1]ENERO!S196)</f>
        <v>2.4.5</v>
      </c>
      <c r="T196" s="258" t="s">
        <v>614</v>
      </c>
      <c r="U196" s="233">
        <f t="shared" ref="U196:AJ196" si="166">U197+U205+U207</f>
        <v>40172190113.666664</v>
      </c>
      <c r="V196" s="231">
        <f t="shared" si="166"/>
        <v>-495559635</v>
      </c>
      <c r="W196" s="231">
        <f t="shared" si="166"/>
        <v>400000000</v>
      </c>
      <c r="X196" s="232">
        <f t="shared" si="166"/>
        <v>40076630478.666664</v>
      </c>
      <c r="Y196" s="233">
        <f t="shared" si="166"/>
        <v>13394346087</v>
      </c>
      <c r="Z196" s="231">
        <f t="shared" si="166"/>
        <v>3577820066</v>
      </c>
      <c r="AA196" s="234">
        <f t="shared" si="166"/>
        <v>16972166153</v>
      </c>
      <c r="AB196" s="233">
        <f t="shared" si="166"/>
        <v>4718847722</v>
      </c>
      <c r="AC196" s="231">
        <f t="shared" si="166"/>
        <v>3718645288</v>
      </c>
      <c r="AD196" s="232">
        <f t="shared" si="166"/>
        <v>8437493010</v>
      </c>
      <c r="AE196" s="233">
        <f t="shared" si="166"/>
        <v>1096820305</v>
      </c>
      <c r="AF196" s="231">
        <f t="shared" si="166"/>
        <v>1277551829</v>
      </c>
      <c r="AG196" s="232">
        <f t="shared" si="166"/>
        <v>2374372134</v>
      </c>
      <c r="AH196" s="233">
        <f t="shared" si="166"/>
        <v>23104464325.666664</v>
      </c>
      <c r="AI196" s="231">
        <f t="shared" si="166"/>
        <v>31639137468.666664</v>
      </c>
      <c r="AJ196" s="232">
        <f t="shared" si="166"/>
        <v>37702258344.666664</v>
      </c>
      <c r="AK196" s="827"/>
      <c r="AL196" s="233">
        <f>AL197+AL205+AL207</f>
        <v>0</v>
      </c>
      <c r="AM196" s="232">
        <f>AM197+AM205+AM207</f>
        <v>400000000</v>
      </c>
    </row>
    <row r="197" spans="19:39" ht="24.75" customHeight="1">
      <c r="S197" s="266" t="str">
        <f>+IF([1]ENERO!S197=0,"",[1]ENERO!S197)</f>
        <v>2.4.5.01</v>
      </c>
      <c r="T197" s="267" t="str">
        <f>[1]ENERO!T197</f>
        <v>Materiales y suministros</v>
      </c>
      <c r="U197" s="301">
        <f>SUM(ENERO!U197)</f>
        <v>28648709150.333332</v>
      </c>
      <c r="V197" s="220">
        <f t="shared" ref="V197:AJ197" si="167">SUM(V198:V204)</f>
        <v>-495559635</v>
      </c>
      <c r="W197" s="220">
        <f t="shared" si="167"/>
        <v>400000000</v>
      </c>
      <c r="X197" s="269">
        <f t="shared" si="167"/>
        <v>28553149515.333332</v>
      </c>
      <c r="Y197" s="270">
        <f t="shared" si="167"/>
        <v>8183220567</v>
      </c>
      <c r="Z197" s="300">
        <f t="shared" si="167"/>
        <v>2916794246</v>
      </c>
      <c r="AA197" s="271">
        <f t="shared" si="167"/>
        <v>11100014813</v>
      </c>
      <c r="AB197" s="270">
        <f t="shared" si="167"/>
        <v>3075877108</v>
      </c>
      <c r="AC197" s="300">
        <f t="shared" si="167"/>
        <v>3067314685</v>
      </c>
      <c r="AD197" s="269">
        <f t="shared" si="167"/>
        <v>6143191793</v>
      </c>
      <c r="AE197" s="270">
        <f t="shared" si="167"/>
        <v>46268719</v>
      </c>
      <c r="AF197" s="300">
        <f t="shared" si="167"/>
        <v>33802200</v>
      </c>
      <c r="AG197" s="269">
        <f t="shared" si="167"/>
        <v>80070919</v>
      </c>
      <c r="AH197" s="270">
        <f t="shared" si="167"/>
        <v>17453134702.333332</v>
      </c>
      <c r="AI197" s="220">
        <f t="shared" si="167"/>
        <v>22409957722.333332</v>
      </c>
      <c r="AJ197" s="269">
        <f t="shared" si="167"/>
        <v>28473078596.333332</v>
      </c>
      <c r="AK197" s="805"/>
      <c r="AL197" s="301">
        <f>SUM(AL198:AL204)</f>
        <v>0</v>
      </c>
      <c r="AM197" s="302">
        <f>SUM(AM198:AM204)</f>
        <v>400000000</v>
      </c>
    </row>
    <row r="198" spans="19:39" ht="24.75" customHeight="1">
      <c r="S198" s="311" t="str">
        <f>+IF([1]ENERO!S198=0,"",[1]ENERO!S198)</f>
        <v>2.4.5.01.03.301</v>
      </c>
      <c r="T198" s="267" t="str">
        <f>[1]ENERO!T198</f>
        <v>Medicamentos</v>
      </c>
      <c r="U198" s="301">
        <f>SUM(ENERO!U198)</f>
        <v>7396066391.666666</v>
      </c>
      <c r="V198" s="220">
        <f>[1]ENERO!V198+[1]FEBRERO!AL198</f>
        <v>0</v>
      </c>
      <c r="W198" s="220">
        <f>[1]ENERO!W198+[1]FEBRERO!AM198</f>
        <v>0</v>
      </c>
      <c r="X198" s="269">
        <f t="shared" ref="X198:X204" si="168">SUM(U198:W198)</f>
        <v>7396066391.666666</v>
      </c>
      <c r="Y198" s="270">
        <f>[1]ENERO!AA198</f>
        <v>1504731509</v>
      </c>
      <c r="Z198" s="204">
        <v>836303508</v>
      </c>
      <c r="AA198" s="271">
        <f t="shared" ref="AA198:AA204" si="169">SUM(Y198:Z198)</f>
        <v>2341035017</v>
      </c>
      <c r="AB198" s="270">
        <f>[1]ENERO!AD198</f>
        <v>677738526</v>
      </c>
      <c r="AC198" s="204">
        <v>714230979</v>
      </c>
      <c r="AD198" s="269">
        <f t="shared" ref="AD198:AD204" si="170">SUM(AB198:AC198)</f>
        <v>1391969505</v>
      </c>
      <c r="AE198" s="270">
        <f>[1]ENERO!AG198</f>
        <v>1702000</v>
      </c>
      <c r="AF198" s="204">
        <v>1667000</v>
      </c>
      <c r="AG198" s="269">
        <f t="shared" ref="AG198:AG204" si="171">SUM(AE198:AF198)</f>
        <v>3369000</v>
      </c>
      <c r="AH198" s="270">
        <f t="shared" ref="AH198:AH204" si="172">X198-AA198</f>
        <v>5055031374.666666</v>
      </c>
      <c r="AI198" s="220">
        <f t="shared" ref="AI198:AI204" si="173">X198-AD198</f>
        <v>6004096886.666666</v>
      </c>
      <c r="AJ198" s="269">
        <f t="shared" ref="AJ198:AJ204" si="174">X198-AG198</f>
        <v>7392697391.666666</v>
      </c>
      <c r="AK198" s="805"/>
      <c r="AL198" s="204">
        <v>0</v>
      </c>
      <c r="AM198" s="210">
        <v>0</v>
      </c>
    </row>
    <row r="199" spans="19:39" ht="24.75" customHeight="1">
      <c r="S199" s="311" t="str">
        <f>+IF([1]ENERO!S199=0,"",[1]ENERO!S199)</f>
        <v>2.4.5.01.03.302</v>
      </c>
      <c r="T199" s="267" t="str">
        <f>[1]ENERO!T199</f>
        <v>Material Médico Quirúrgico</v>
      </c>
      <c r="U199" s="301">
        <f>SUM(ENERO!U199)</f>
        <v>6198007399.166666</v>
      </c>
      <c r="V199" s="220">
        <f>[1]ENERO!V199+[1]FEBRERO!AL199</f>
        <v>0</v>
      </c>
      <c r="W199" s="220">
        <f>[1]ENERO!W199+[1]FEBRERO!AM199</f>
        <v>200000000</v>
      </c>
      <c r="X199" s="269">
        <f t="shared" si="168"/>
        <v>6398007399.166666</v>
      </c>
      <c r="Y199" s="270">
        <f>[1]ENERO!AA199</f>
        <v>1722113931</v>
      </c>
      <c r="Z199" s="204">
        <v>764329865</v>
      </c>
      <c r="AA199" s="271">
        <f t="shared" si="169"/>
        <v>2486443796</v>
      </c>
      <c r="AB199" s="270">
        <f>[1]ENERO!AD199</f>
        <v>1123084598</v>
      </c>
      <c r="AC199" s="204">
        <v>804389588</v>
      </c>
      <c r="AD199" s="269">
        <f t="shared" si="170"/>
        <v>1927474186</v>
      </c>
      <c r="AE199" s="270">
        <f>[1]ENERO!AG199</f>
        <v>0</v>
      </c>
      <c r="AF199" s="204">
        <v>94724</v>
      </c>
      <c r="AG199" s="269">
        <f t="shared" si="171"/>
        <v>94724</v>
      </c>
      <c r="AH199" s="270">
        <f t="shared" si="172"/>
        <v>3911563603.166666</v>
      </c>
      <c r="AI199" s="220">
        <f t="shared" si="173"/>
        <v>4470533213.166666</v>
      </c>
      <c r="AJ199" s="269">
        <f t="shared" si="174"/>
        <v>6397912675.166666</v>
      </c>
      <c r="AK199" s="805"/>
      <c r="AL199" s="204">
        <v>0</v>
      </c>
      <c r="AM199" s="210">
        <v>200000000</v>
      </c>
    </row>
    <row r="200" spans="19:39" ht="24.75" customHeight="1">
      <c r="S200" s="311" t="str">
        <f>+IF([1]ENERO!S200=0,"",[1]ENERO!S200)</f>
        <v>2.4.5.01.03.303</v>
      </c>
      <c r="T200" s="267" t="str">
        <f>[1]ENERO!T200</f>
        <v>Material de Laboratorio</v>
      </c>
      <c r="U200" s="301">
        <f>SUM(ENERO!U200)</f>
        <v>2001528195</v>
      </c>
      <c r="V200" s="220">
        <f>[1]ENERO!V200+[1]FEBRERO!AL200</f>
        <v>0</v>
      </c>
      <c r="W200" s="220">
        <f>[1]ENERO!W200+[1]FEBRERO!AM200</f>
        <v>200000000</v>
      </c>
      <c r="X200" s="269">
        <f t="shared" si="168"/>
        <v>2201528195</v>
      </c>
      <c r="Y200" s="270">
        <f>[1]ENERO!AA200</f>
        <v>684183827</v>
      </c>
      <c r="Z200" s="204">
        <v>306251223</v>
      </c>
      <c r="AA200" s="271">
        <f t="shared" si="169"/>
        <v>990435050</v>
      </c>
      <c r="AB200" s="270">
        <f>[1]ENERO!AD200</f>
        <v>159801512</v>
      </c>
      <c r="AC200" s="204">
        <v>396528633</v>
      </c>
      <c r="AD200" s="269">
        <f t="shared" si="170"/>
        <v>556330145</v>
      </c>
      <c r="AE200" s="270">
        <f>[1]ENERO!AG200</f>
        <v>44566719</v>
      </c>
      <c r="AF200" s="204">
        <v>32040476</v>
      </c>
      <c r="AG200" s="269">
        <f t="shared" si="171"/>
        <v>76607195</v>
      </c>
      <c r="AH200" s="270">
        <f t="shared" si="172"/>
        <v>1211093145</v>
      </c>
      <c r="AI200" s="220">
        <f t="shared" si="173"/>
        <v>1645198050</v>
      </c>
      <c r="AJ200" s="269">
        <f t="shared" si="174"/>
        <v>2124921000</v>
      </c>
      <c r="AK200" s="805"/>
      <c r="AL200" s="204">
        <v>0</v>
      </c>
      <c r="AM200" s="210">
        <v>200000000</v>
      </c>
    </row>
    <row r="201" spans="19:39" ht="24.75" customHeight="1">
      <c r="S201" s="311" t="str">
        <f>+IF([1]ENERO!S201=0,"",[1]ENERO!S201)</f>
        <v>2.4.5.02.09.901</v>
      </c>
      <c r="T201" s="267" t="str">
        <f>[1]ENERO!T201</f>
        <v xml:space="preserve">Servicio de Lavandería </v>
      </c>
      <c r="U201" s="301">
        <f>SUM(ENERO!U201)</f>
        <v>758333333.33333325</v>
      </c>
      <c r="V201" s="220">
        <f>[1]ENERO!V201+[1]FEBRERO!AL201</f>
        <v>0</v>
      </c>
      <c r="W201" s="220">
        <f>[1]ENERO!W201+[1]FEBRERO!AM201</f>
        <v>0</v>
      </c>
      <c r="X201" s="269">
        <f t="shared" si="168"/>
        <v>758333333.33333325</v>
      </c>
      <c r="Y201" s="270">
        <f>[1]ENERO!AA201</f>
        <v>229991300</v>
      </c>
      <c r="Z201" s="204">
        <v>329909650</v>
      </c>
      <c r="AA201" s="271">
        <f t="shared" si="169"/>
        <v>559900950</v>
      </c>
      <c r="AB201" s="270">
        <f>[1]ENERO!AD201</f>
        <v>103127691</v>
      </c>
      <c r="AC201" s="204">
        <v>92470497</v>
      </c>
      <c r="AD201" s="269">
        <f t="shared" si="170"/>
        <v>195598188</v>
      </c>
      <c r="AE201" s="270">
        <f>[1]ENERO!AG201</f>
        <v>0</v>
      </c>
      <c r="AF201" s="208">
        <v>0</v>
      </c>
      <c r="AG201" s="269">
        <f t="shared" si="171"/>
        <v>0</v>
      </c>
      <c r="AH201" s="270">
        <f t="shared" si="172"/>
        <v>198432383.33333325</v>
      </c>
      <c r="AI201" s="220">
        <f t="shared" si="173"/>
        <v>562735145.33333325</v>
      </c>
      <c r="AJ201" s="269">
        <f t="shared" si="174"/>
        <v>758333333.33333325</v>
      </c>
      <c r="AK201" s="805"/>
      <c r="AL201" s="204">
        <v>0</v>
      </c>
      <c r="AM201" s="210">
        <v>0</v>
      </c>
    </row>
    <row r="202" spans="19:39" ht="24.75" customHeight="1">
      <c r="S202" s="311" t="str">
        <f>+IF([1]ENERO!S202=0,"",[1]ENERO!S202)</f>
        <v>2.4.5.02.09.902</v>
      </c>
      <c r="T202" s="267" t="str">
        <f>[1]ENERO!T202</f>
        <v>Servicios de esterilización</v>
      </c>
      <c r="U202" s="301">
        <f>SUM(ENERO!U202)</f>
        <v>166666666.66666666</v>
      </c>
      <c r="V202" s="220">
        <f>[1]ENERO!V202+[1]FEBRERO!AL202</f>
        <v>0</v>
      </c>
      <c r="W202" s="220">
        <f>[1]ENERO!W202+[1]FEBRERO!AM202</f>
        <v>0</v>
      </c>
      <c r="X202" s="269">
        <f t="shared" si="168"/>
        <v>166666666.66666666</v>
      </c>
      <c r="Y202" s="270">
        <f>[1]ENERO!AA202</f>
        <v>109200000</v>
      </c>
      <c r="Z202" s="208">
        <v>0</v>
      </c>
      <c r="AA202" s="271">
        <f t="shared" si="169"/>
        <v>109200000</v>
      </c>
      <c r="AB202" s="270">
        <f>[1]ENERO!AD202</f>
        <v>8032995</v>
      </c>
      <c r="AC202" s="204">
        <v>6449323</v>
      </c>
      <c r="AD202" s="269">
        <f t="shared" si="170"/>
        <v>14482318</v>
      </c>
      <c r="AE202" s="270">
        <f>[1]ENERO!AG202</f>
        <v>0</v>
      </c>
      <c r="AF202" s="208">
        <v>0</v>
      </c>
      <c r="AG202" s="269">
        <f t="shared" si="171"/>
        <v>0</v>
      </c>
      <c r="AH202" s="270">
        <f t="shared" si="172"/>
        <v>57466666.666666657</v>
      </c>
      <c r="AI202" s="220">
        <f t="shared" si="173"/>
        <v>152184348.66666666</v>
      </c>
      <c r="AJ202" s="269">
        <f t="shared" si="174"/>
        <v>166666666.66666666</v>
      </c>
      <c r="AK202" s="805"/>
      <c r="AL202" s="204">
        <v>0</v>
      </c>
      <c r="AM202" s="210">
        <v>0</v>
      </c>
    </row>
    <row r="203" spans="19:39" ht="24.75" customHeight="1">
      <c r="S203" s="311" t="str">
        <f>+IF([1]ENERO!S203=0,"",[1]ENERO!S203)</f>
        <v>2.4.5.01.03.305</v>
      </c>
      <c r="T203" s="267" t="str">
        <f>[1]ENERO!T203</f>
        <v>Sangre</v>
      </c>
      <c r="U203" s="301">
        <f>SUM(ENERO!U203)</f>
        <v>1257440000</v>
      </c>
      <c r="V203" s="220">
        <f>[1]ENERO!V203+[1]FEBRERO!AL203</f>
        <v>0</v>
      </c>
      <c r="W203" s="220">
        <f>[1]ENERO!W203+[1]FEBRERO!AM203</f>
        <v>0</v>
      </c>
      <c r="X203" s="269">
        <f t="shared" si="168"/>
        <v>1257440000</v>
      </c>
      <c r="Y203" s="270">
        <f>[1]ENERO!AA203</f>
        <v>816200000</v>
      </c>
      <c r="Z203" s="208">
        <v>0</v>
      </c>
      <c r="AA203" s="271">
        <f t="shared" si="169"/>
        <v>816200000</v>
      </c>
      <c r="AB203" s="270">
        <f>[1]ENERO!AD203</f>
        <v>163958738</v>
      </c>
      <c r="AC203" s="204">
        <v>86457204</v>
      </c>
      <c r="AD203" s="269">
        <f t="shared" si="170"/>
        <v>250415942</v>
      </c>
      <c r="AE203" s="270">
        <f>[1]ENERO!AG203</f>
        <v>0</v>
      </c>
      <c r="AF203" s="208">
        <v>0</v>
      </c>
      <c r="AG203" s="269">
        <f t="shared" si="171"/>
        <v>0</v>
      </c>
      <c r="AH203" s="270">
        <f t="shared" si="172"/>
        <v>441240000</v>
      </c>
      <c r="AI203" s="220">
        <f t="shared" si="173"/>
        <v>1007024058</v>
      </c>
      <c r="AJ203" s="269">
        <f t="shared" si="174"/>
        <v>1257440000</v>
      </c>
      <c r="AK203" s="805"/>
      <c r="AL203" s="204">
        <v>0</v>
      </c>
      <c r="AM203" s="210">
        <v>0</v>
      </c>
    </row>
    <row r="204" spans="19:39" ht="24.75" customHeight="1">
      <c r="S204" s="311" t="str">
        <f>+IF([1]ENERO!S204=0,"",[1]ENERO!S204)</f>
        <v>2.4.5.02.08</v>
      </c>
      <c r="T204" s="267" t="str">
        <f>[1]ENERO!T204</f>
        <v>Servicios de ayudas diagnòsticas</v>
      </c>
      <c r="U204" s="301">
        <f>SUM(ENERO!U204)</f>
        <v>10870667164.5</v>
      </c>
      <c r="V204" s="220">
        <f>[1]ENERO!V204+[1]FEBRERO!AL204</f>
        <v>-495559635</v>
      </c>
      <c r="W204" s="220">
        <f>[1]ENERO!W204+[1]FEBRERO!AM204</f>
        <v>0</v>
      </c>
      <c r="X204" s="269">
        <f t="shared" si="168"/>
        <v>10375107529.5</v>
      </c>
      <c r="Y204" s="270">
        <f>[1]ENERO!AA204</f>
        <v>3116800000</v>
      </c>
      <c r="Z204" s="204">
        <v>680000000</v>
      </c>
      <c r="AA204" s="271">
        <f t="shared" si="169"/>
        <v>3796800000</v>
      </c>
      <c r="AB204" s="270">
        <f>[1]ENERO!AD204</f>
        <v>840133048</v>
      </c>
      <c r="AC204" s="204">
        <v>966788461</v>
      </c>
      <c r="AD204" s="269">
        <f t="shared" si="170"/>
        <v>1806921509</v>
      </c>
      <c r="AE204" s="270">
        <f>[1]ENERO!AG204</f>
        <v>0</v>
      </c>
      <c r="AF204" s="208">
        <v>0</v>
      </c>
      <c r="AG204" s="269">
        <f t="shared" si="171"/>
        <v>0</v>
      </c>
      <c r="AH204" s="270">
        <f t="shared" si="172"/>
        <v>6578307529.5</v>
      </c>
      <c r="AI204" s="220">
        <f t="shared" si="173"/>
        <v>8568186020.5</v>
      </c>
      <c r="AJ204" s="269">
        <f t="shared" si="174"/>
        <v>10375107529.5</v>
      </c>
      <c r="AK204" s="805"/>
      <c r="AL204" s="204">
        <v>0</v>
      </c>
      <c r="AM204" s="210">
        <v>0</v>
      </c>
    </row>
    <row r="205" spans="19:39" ht="24.75" customHeight="1">
      <c r="S205" s="266">
        <f>+IF([1]ENERO!S205=0,"",[1]ENERO!S205)</f>
        <v>4100200</v>
      </c>
      <c r="T205" s="267" t="str">
        <f>[1]ENERO!T205</f>
        <v>Gastos Complementarios e Intermedios</v>
      </c>
      <c r="U205" s="301">
        <f>SUM(ENERO!U205)</f>
        <v>5609700000</v>
      </c>
      <c r="V205" s="220">
        <f t="shared" ref="V205:AJ205" si="175">V206</f>
        <v>0</v>
      </c>
      <c r="W205" s="220">
        <f t="shared" si="175"/>
        <v>0</v>
      </c>
      <c r="X205" s="269">
        <f t="shared" si="175"/>
        <v>5609700000</v>
      </c>
      <c r="Y205" s="270">
        <f t="shared" si="175"/>
        <v>4142600000</v>
      </c>
      <c r="Z205" s="300">
        <f t="shared" si="175"/>
        <v>0</v>
      </c>
      <c r="AA205" s="271">
        <f t="shared" si="175"/>
        <v>4142600000</v>
      </c>
      <c r="AB205" s="270">
        <f t="shared" si="175"/>
        <v>574445094</v>
      </c>
      <c r="AC205" s="300">
        <f t="shared" si="175"/>
        <v>-3495217</v>
      </c>
      <c r="AD205" s="269">
        <f t="shared" si="175"/>
        <v>570949877</v>
      </c>
      <c r="AE205" s="270">
        <f t="shared" si="175"/>
        <v>0</v>
      </c>
      <c r="AF205" s="300">
        <f t="shared" si="175"/>
        <v>570949877</v>
      </c>
      <c r="AG205" s="269">
        <f t="shared" si="175"/>
        <v>570949877</v>
      </c>
      <c r="AH205" s="270">
        <f t="shared" si="175"/>
        <v>1467100000</v>
      </c>
      <c r="AI205" s="220">
        <f t="shared" si="175"/>
        <v>5038750123</v>
      </c>
      <c r="AJ205" s="269">
        <f t="shared" si="175"/>
        <v>5038750123</v>
      </c>
      <c r="AK205" s="805"/>
      <c r="AL205" s="301">
        <f>AL206</f>
        <v>0</v>
      </c>
      <c r="AM205" s="302">
        <f>AM206</f>
        <v>0</v>
      </c>
    </row>
    <row r="206" spans="19:39" ht="24.75" customHeight="1">
      <c r="S206" s="311" t="str">
        <f>+IF([1]ENERO!S206=0,"",[1]ENERO!S206)</f>
        <v>2.4.5.02.06.601</v>
      </c>
      <c r="T206" s="267" t="str">
        <f>[1]ENERO!T206</f>
        <v>Servicio de alimentación</v>
      </c>
      <c r="U206" s="301">
        <f>SUM(ENERO!U206)</f>
        <v>5609700000</v>
      </c>
      <c r="V206" s="220">
        <f>[1]ENERO!V206+[1]FEBRERO!AL206</f>
        <v>0</v>
      </c>
      <c r="W206" s="220">
        <f>[1]ENERO!W206+[1]FEBRERO!AM206</f>
        <v>0</v>
      </c>
      <c r="X206" s="269">
        <f>SUM(U206:W206)</f>
        <v>5609700000</v>
      </c>
      <c r="Y206" s="270">
        <f>[1]ENERO!AA206</f>
        <v>4142600000</v>
      </c>
      <c r="Z206" s="204">
        <v>0</v>
      </c>
      <c r="AA206" s="271">
        <f>SUM(Y206:Z206)</f>
        <v>4142600000</v>
      </c>
      <c r="AB206" s="270">
        <f>[1]ENERO!AD206</f>
        <v>574445094</v>
      </c>
      <c r="AC206" s="204">
        <v>-3495217</v>
      </c>
      <c r="AD206" s="269">
        <f>SUM(AB206:AC206)</f>
        <v>570949877</v>
      </c>
      <c r="AE206" s="270">
        <f>[1]ENERO!AG206</f>
        <v>0</v>
      </c>
      <c r="AF206" s="204">
        <v>570949877</v>
      </c>
      <c r="AG206" s="269">
        <f>SUM(AE206:AF206)</f>
        <v>570949877</v>
      </c>
      <c r="AH206" s="270">
        <f>X206-AA206</f>
        <v>1467100000</v>
      </c>
      <c r="AI206" s="220">
        <f>X206-AD206</f>
        <v>5038750123</v>
      </c>
      <c r="AJ206" s="269">
        <f>X206-AG206</f>
        <v>5038750123</v>
      </c>
      <c r="AK206" s="805"/>
      <c r="AL206" s="204">
        <v>0</v>
      </c>
      <c r="AM206" s="210">
        <v>0</v>
      </c>
    </row>
    <row r="207" spans="19:39" ht="24.75" customHeight="1" thickBot="1">
      <c r="S207" s="466" t="str">
        <f>+IF([1]ENERO!S207=0,"",[1]ENERO!S207)</f>
        <v>2.4.5.01.03.99.01</v>
      </c>
      <c r="T207" s="267" t="str">
        <f>[1]ENERO!T207</f>
        <v>Vigencias Anteriores Medicamentos</v>
      </c>
      <c r="U207" s="301">
        <f>SUM(ENERO!U207)</f>
        <v>5913780963.333334</v>
      </c>
      <c r="V207" s="468">
        <f>[1]ENERO!V207+[1]FEBRERO!AL207</f>
        <v>0</v>
      </c>
      <c r="W207" s="468">
        <f>[1]ENERO!W207+[1]FEBRERO!AM207</f>
        <v>0</v>
      </c>
      <c r="X207" s="469">
        <f>SUM(U207:W207)</f>
        <v>5913780963.333334</v>
      </c>
      <c r="Y207" s="470">
        <f>[1]ENERO!AA207</f>
        <v>1068525520</v>
      </c>
      <c r="Z207" s="204">
        <v>661025820</v>
      </c>
      <c r="AA207" s="471">
        <f>SUM(Y207:Z207)</f>
        <v>1729551340</v>
      </c>
      <c r="AB207" s="470">
        <f>[1]ENERO!AD207</f>
        <v>1068525520</v>
      </c>
      <c r="AC207" s="204">
        <v>654825820</v>
      </c>
      <c r="AD207" s="469">
        <f>SUM(AB207:AC207)</f>
        <v>1723351340</v>
      </c>
      <c r="AE207" s="470">
        <f>[1]ENERO!AG207</f>
        <v>1050551586</v>
      </c>
      <c r="AF207" s="204">
        <v>672799752</v>
      </c>
      <c r="AG207" s="469">
        <f>SUM(AE207:AF207)</f>
        <v>1723351338</v>
      </c>
      <c r="AH207" s="470">
        <f>X207-AA207</f>
        <v>4184229623.333334</v>
      </c>
      <c r="AI207" s="468">
        <f>X207-AD207</f>
        <v>4190429623.333334</v>
      </c>
      <c r="AJ207" s="469">
        <f>X207-AG207</f>
        <v>4190429625.333334</v>
      </c>
      <c r="AK207" s="805"/>
      <c r="AL207" s="242">
        <v>0</v>
      </c>
      <c r="AM207" s="248">
        <v>0</v>
      </c>
    </row>
    <row r="208" spans="19:39" ht="24.75" customHeight="1">
      <c r="S208" s="455">
        <f>+IF([1]ENERO!S208=0,"",[1]ENERO!S208)</f>
        <v>1050551296</v>
      </c>
      <c r="T208" s="456"/>
      <c r="U208" s="457"/>
      <c r="V208" s="457"/>
      <c r="W208" s="457"/>
      <c r="X208" s="457"/>
      <c r="Y208" s="457"/>
      <c r="Z208" s="457"/>
      <c r="AA208" s="457"/>
      <c r="AB208" s="459"/>
      <c r="AC208" s="457"/>
      <c r="AD208" s="458"/>
      <c r="AE208" s="459"/>
      <c r="AF208" s="457"/>
      <c r="AG208" s="458"/>
      <c r="AH208" s="459"/>
      <c r="AI208" s="457"/>
      <c r="AJ208" s="458"/>
      <c r="AK208" s="805"/>
      <c r="AL208" s="460"/>
      <c r="AM208" s="461"/>
    </row>
    <row r="209" spans="19:39" ht="24.75" customHeight="1">
      <c r="S209" s="228">
        <f>+IF([1]ENERO!S209=0,"",[1]ENERO!S209)</f>
        <v>5000000</v>
      </c>
      <c r="T209" s="473" t="s">
        <v>300</v>
      </c>
      <c r="U209" s="882">
        <f t="shared" ref="U209:AJ209" si="176">U210</f>
        <v>2203000000</v>
      </c>
      <c r="V209" s="406">
        <f t="shared" si="176"/>
        <v>495559635</v>
      </c>
      <c r="W209" s="406">
        <f t="shared" si="176"/>
        <v>0</v>
      </c>
      <c r="X209" s="407">
        <f t="shared" si="176"/>
        <v>2698559635</v>
      </c>
      <c r="Y209" s="217">
        <f t="shared" si="176"/>
        <v>1133097383</v>
      </c>
      <c r="Z209" s="406">
        <f t="shared" si="176"/>
        <v>969175201</v>
      </c>
      <c r="AA209" s="407">
        <f t="shared" si="176"/>
        <v>2102272584</v>
      </c>
      <c r="AB209" s="217">
        <f t="shared" si="176"/>
        <v>1133097383</v>
      </c>
      <c r="AC209" s="406">
        <f t="shared" si="176"/>
        <v>969175201</v>
      </c>
      <c r="AD209" s="218">
        <f t="shared" si="176"/>
        <v>2102272584</v>
      </c>
      <c r="AE209" s="217">
        <f t="shared" si="176"/>
        <v>1133097383</v>
      </c>
      <c r="AF209" s="406">
        <f t="shared" si="176"/>
        <v>969175201</v>
      </c>
      <c r="AG209" s="218">
        <f t="shared" si="176"/>
        <v>2102272584</v>
      </c>
      <c r="AH209" s="217">
        <f t="shared" si="176"/>
        <v>596287051</v>
      </c>
      <c r="AI209" s="406">
        <f t="shared" si="176"/>
        <v>596287051</v>
      </c>
      <c r="AJ209" s="218">
        <f t="shared" si="176"/>
        <v>596287051</v>
      </c>
      <c r="AK209" s="805"/>
      <c r="AL209" s="233">
        <f>AL210</f>
        <v>0</v>
      </c>
      <c r="AM209" s="232">
        <f>AM210</f>
        <v>0</v>
      </c>
    </row>
    <row r="210" spans="19:39" ht="24.75" customHeight="1">
      <c r="S210" s="257">
        <f>+IF([1]ENERO!S210=0,"",[1]ENERO!S210)</f>
        <v>5100000</v>
      </c>
      <c r="T210" s="475" t="s">
        <v>301</v>
      </c>
      <c r="U210" s="883">
        <f>SUM(U211:U218)</f>
        <v>2203000000</v>
      </c>
      <c r="V210" s="231">
        <f t="shared" ref="V210:AJ210" si="177">V211+V218</f>
        <v>495559635</v>
      </c>
      <c r="W210" s="231">
        <f t="shared" si="177"/>
        <v>0</v>
      </c>
      <c r="X210" s="234">
        <f t="shared" si="177"/>
        <v>2698559635</v>
      </c>
      <c r="Y210" s="233">
        <f t="shared" si="177"/>
        <v>1133097383</v>
      </c>
      <c r="Z210" s="231">
        <f t="shared" si="177"/>
        <v>969175201</v>
      </c>
      <c r="AA210" s="234">
        <f t="shared" si="177"/>
        <v>2102272584</v>
      </c>
      <c r="AB210" s="233">
        <f t="shared" si="177"/>
        <v>1133097383</v>
      </c>
      <c r="AC210" s="231">
        <f t="shared" si="177"/>
        <v>969175201</v>
      </c>
      <c r="AD210" s="232">
        <f t="shared" si="177"/>
        <v>2102272584</v>
      </c>
      <c r="AE210" s="233">
        <f t="shared" si="177"/>
        <v>1133097383</v>
      </c>
      <c r="AF210" s="231">
        <f t="shared" si="177"/>
        <v>969175201</v>
      </c>
      <c r="AG210" s="232">
        <f t="shared" si="177"/>
        <v>2102272584</v>
      </c>
      <c r="AH210" s="233">
        <f t="shared" si="177"/>
        <v>596287051</v>
      </c>
      <c r="AI210" s="231">
        <f t="shared" si="177"/>
        <v>596287051</v>
      </c>
      <c r="AJ210" s="232">
        <f t="shared" si="177"/>
        <v>596287051</v>
      </c>
      <c r="AK210" s="805"/>
      <c r="AL210" s="233">
        <f>AL211+AL218</f>
        <v>0</v>
      </c>
      <c r="AM210" s="232">
        <f>AM211+AM218</f>
        <v>0</v>
      </c>
    </row>
    <row r="211" spans="19:39" ht="24.75" customHeight="1">
      <c r="S211" s="266">
        <f>+IF([1]ENERO!S211=0,"",[1]ENERO!S211)</f>
        <v>5100100</v>
      </c>
      <c r="T211" s="267" t="str">
        <f>[1]ENERO!T211</f>
        <v>Compra de Bienes para la venta</v>
      </c>
      <c r="U211" s="884"/>
      <c r="V211" s="220">
        <f t="shared" ref="V211:AJ211" si="178">SUM(V212:V217)</f>
        <v>0</v>
      </c>
      <c r="W211" s="220">
        <f t="shared" si="178"/>
        <v>0</v>
      </c>
      <c r="X211" s="271">
        <f t="shared" si="178"/>
        <v>3000000</v>
      </c>
      <c r="Y211" s="270">
        <f t="shared" si="178"/>
        <v>0</v>
      </c>
      <c r="Z211" s="300">
        <f t="shared" si="178"/>
        <v>0</v>
      </c>
      <c r="AA211" s="271">
        <f t="shared" si="178"/>
        <v>0</v>
      </c>
      <c r="AB211" s="270">
        <f t="shared" si="178"/>
        <v>0</v>
      </c>
      <c r="AC211" s="300">
        <f t="shared" si="178"/>
        <v>0</v>
      </c>
      <c r="AD211" s="269">
        <f t="shared" si="178"/>
        <v>0</v>
      </c>
      <c r="AE211" s="270">
        <f t="shared" si="178"/>
        <v>0</v>
      </c>
      <c r="AF211" s="300">
        <f t="shared" si="178"/>
        <v>0</v>
      </c>
      <c r="AG211" s="269">
        <f t="shared" si="178"/>
        <v>0</v>
      </c>
      <c r="AH211" s="270">
        <f t="shared" si="178"/>
        <v>3000000</v>
      </c>
      <c r="AI211" s="220">
        <f t="shared" si="178"/>
        <v>3000000</v>
      </c>
      <c r="AJ211" s="269">
        <f t="shared" si="178"/>
        <v>3000000</v>
      </c>
      <c r="AK211" s="827"/>
      <c r="AL211" s="301">
        <f>SUM(AL212:AL217)</f>
        <v>0</v>
      </c>
      <c r="AM211" s="302">
        <f>SUM(AM212:AM217)</f>
        <v>0</v>
      </c>
    </row>
    <row r="212" spans="19:39" ht="24.75" customHeight="1">
      <c r="S212" s="311" t="str">
        <f>+IF([1]ENERO!S212=0,"",[1]ENERO!S212)</f>
        <v>5100100-1</v>
      </c>
      <c r="T212" s="267" t="str">
        <f>[1]ENERO!T212</f>
        <v>Productos Farmaceuticos</v>
      </c>
      <c r="U212" s="884">
        <f>+[1]ENERO!U212</f>
        <v>0</v>
      </c>
      <c r="V212" s="220">
        <f>[1]ENERO!V212+[1]FEBRERO!AL212</f>
        <v>0</v>
      </c>
      <c r="W212" s="220">
        <f>[1]ENERO!W212+[1]FEBRERO!AM212</f>
        <v>0</v>
      </c>
      <c r="X212" s="271">
        <f t="shared" ref="X212:X218" si="179">SUM(U212:W212)</f>
        <v>0</v>
      </c>
      <c r="Y212" s="270">
        <v>0</v>
      </c>
      <c r="Z212" s="208">
        <v>0</v>
      </c>
      <c r="AA212" s="271">
        <f t="shared" ref="AA212:AA218" si="180">SUM(Y212:Z212)</f>
        <v>0</v>
      </c>
      <c r="AB212" s="270">
        <f>[1]ENERO!AD212</f>
        <v>0</v>
      </c>
      <c r="AC212" s="208">
        <v>0</v>
      </c>
      <c r="AD212" s="269">
        <f t="shared" ref="AD212:AD218" si="181">SUM(AB212:AC212)</f>
        <v>0</v>
      </c>
      <c r="AE212" s="270">
        <f>[1]ENERO!AG212</f>
        <v>0</v>
      </c>
      <c r="AF212" s="208"/>
      <c r="AG212" s="269">
        <f t="shared" ref="AG212:AG218" si="182">SUM(AE212:AF212)</f>
        <v>0</v>
      </c>
      <c r="AH212" s="270">
        <f t="shared" ref="AH212:AH218" si="183">X212-AA212</f>
        <v>0</v>
      </c>
      <c r="AI212" s="220">
        <f t="shared" ref="AI212:AI218" si="184">X212-AD212</f>
        <v>0</v>
      </c>
      <c r="AJ212" s="269">
        <f t="shared" ref="AJ212:AJ218" si="185">X212-AG212</f>
        <v>0</v>
      </c>
      <c r="AK212" s="805"/>
      <c r="AL212" s="204">
        <v>0</v>
      </c>
      <c r="AM212" s="210">
        <v>0</v>
      </c>
    </row>
    <row r="213" spans="19:39" ht="24.75" customHeight="1">
      <c r="S213" s="311" t="str">
        <f>+IF([1]ENERO!S213=0,"",[1]ENERO!S213)</f>
        <v>5100100-2</v>
      </c>
      <c r="T213" s="267" t="str">
        <f>[1]ENERO!T213</f>
        <v>Material Médico Quirúrgico</v>
      </c>
      <c r="U213" s="884">
        <f>+[1]ENERO!U213</f>
        <v>0</v>
      </c>
      <c r="V213" s="220">
        <f>[1]ENERO!V213+[1]FEBRERO!AL213</f>
        <v>0</v>
      </c>
      <c r="W213" s="220">
        <f>[1]ENERO!W213+[1]FEBRERO!AM213</f>
        <v>0</v>
      </c>
      <c r="X213" s="271">
        <f t="shared" si="179"/>
        <v>0</v>
      </c>
      <c r="Y213" s="270">
        <f>[1]ENERO!AA213</f>
        <v>0</v>
      </c>
      <c r="Z213" s="208">
        <v>0</v>
      </c>
      <c r="AA213" s="271">
        <f t="shared" si="180"/>
        <v>0</v>
      </c>
      <c r="AB213" s="270">
        <f>[1]ENERO!AD213</f>
        <v>0</v>
      </c>
      <c r="AC213" s="208">
        <v>0</v>
      </c>
      <c r="AD213" s="269">
        <f t="shared" si="181"/>
        <v>0</v>
      </c>
      <c r="AE213" s="270">
        <f>[1]ENERO!AG213</f>
        <v>0</v>
      </c>
      <c r="AF213" s="208">
        <v>0</v>
      </c>
      <c r="AG213" s="269">
        <f t="shared" si="182"/>
        <v>0</v>
      </c>
      <c r="AH213" s="270">
        <f t="shared" si="183"/>
        <v>0</v>
      </c>
      <c r="AI213" s="220">
        <f t="shared" si="184"/>
        <v>0</v>
      </c>
      <c r="AJ213" s="269">
        <f t="shared" si="185"/>
        <v>0</v>
      </c>
      <c r="AK213" s="805"/>
      <c r="AL213" s="204">
        <v>0</v>
      </c>
      <c r="AM213" s="210">
        <v>0</v>
      </c>
    </row>
    <row r="214" spans="19:39" ht="24.75" customHeight="1">
      <c r="S214" s="311" t="str">
        <f>+IF([1]ENERO!S214=0,"",[1]ENERO!S214)</f>
        <v>5100100-3</v>
      </c>
      <c r="T214" s="267" t="str">
        <f>[1]ENERO!T214</f>
        <v>Material de Laboratorio</v>
      </c>
      <c r="U214" s="884">
        <f>+[1]ENERO!U214</f>
        <v>0</v>
      </c>
      <c r="V214" s="220">
        <f>[1]ENERO!V214+[1]FEBRERO!AL214</f>
        <v>0</v>
      </c>
      <c r="W214" s="220">
        <f>[1]ENERO!W214+[1]FEBRERO!AM214</f>
        <v>0</v>
      </c>
      <c r="X214" s="271">
        <f t="shared" si="179"/>
        <v>0</v>
      </c>
      <c r="Y214" s="270">
        <f>[1]ENERO!AA214</f>
        <v>0</v>
      </c>
      <c r="Z214" s="208">
        <v>0</v>
      </c>
      <c r="AA214" s="271">
        <f t="shared" si="180"/>
        <v>0</v>
      </c>
      <c r="AB214" s="270">
        <f>[1]ENERO!AD214</f>
        <v>0</v>
      </c>
      <c r="AC214" s="208">
        <v>0</v>
      </c>
      <c r="AD214" s="269">
        <f t="shared" si="181"/>
        <v>0</v>
      </c>
      <c r="AE214" s="270">
        <f>[1]ENERO!AG214</f>
        <v>0</v>
      </c>
      <c r="AF214" s="208">
        <v>0</v>
      </c>
      <c r="AG214" s="269">
        <f t="shared" si="182"/>
        <v>0</v>
      </c>
      <c r="AH214" s="270">
        <f t="shared" si="183"/>
        <v>0</v>
      </c>
      <c r="AI214" s="220">
        <f t="shared" si="184"/>
        <v>0</v>
      </c>
      <c r="AJ214" s="269">
        <f t="shared" si="185"/>
        <v>0</v>
      </c>
      <c r="AK214" s="805"/>
      <c r="AL214" s="204">
        <v>0</v>
      </c>
      <c r="AM214" s="210">
        <v>0</v>
      </c>
    </row>
    <row r="215" spans="19:39" ht="24.75" customHeight="1">
      <c r="S215" s="311" t="str">
        <f>+IF([1]ENERO!S215=0,"",[1]ENERO!S215)</f>
        <v>2.4.5.02.09.91122</v>
      </c>
      <c r="T215" s="267" t="str">
        <f>[1]ENERO!T215</f>
        <v>Servicios de Certificación, Habilitación y Acreditación</v>
      </c>
      <c r="U215" s="301">
        <f>SUM(ENERO!U215)</f>
        <v>3000000</v>
      </c>
      <c r="V215" s="220">
        <f>[1]ENERO!V215+[1]FEBRERO!AL215</f>
        <v>0</v>
      </c>
      <c r="W215" s="220">
        <f>[1]ENERO!W215+[1]FEBRERO!AM215</f>
        <v>0</v>
      </c>
      <c r="X215" s="271">
        <f t="shared" si="179"/>
        <v>3000000</v>
      </c>
      <c r="Y215" s="270">
        <f>[1]ENERO!AA215</f>
        <v>0</v>
      </c>
      <c r="Z215" s="208">
        <v>0</v>
      </c>
      <c r="AA215" s="271">
        <f t="shared" si="180"/>
        <v>0</v>
      </c>
      <c r="AB215" s="270">
        <f>[1]ENERO!AD215</f>
        <v>0</v>
      </c>
      <c r="AC215" s="208">
        <v>0</v>
      </c>
      <c r="AD215" s="269">
        <f t="shared" si="181"/>
        <v>0</v>
      </c>
      <c r="AE215" s="270">
        <f>[1]ENERO!AG215</f>
        <v>0</v>
      </c>
      <c r="AF215" s="208">
        <v>0</v>
      </c>
      <c r="AG215" s="269">
        <f t="shared" si="182"/>
        <v>0</v>
      </c>
      <c r="AH215" s="270">
        <f t="shared" si="183"/>
        <v>3000000</v>
      </c>
      <c r="AI215" s="220">
        <f t="shared" si="184"/>
        <v>3000000</v>
      </c>
      <c r="AJ215" s="269">
        <f t="shared" si="185"/>
        <v>3000000</v>
      </c>
      <c r="AK215" s="805"/>
      <c r="AL215" s="204">
        <v>0</v>
      </c>
      <c r="AM215" s="210">
        <v>0</v>
      </c>
    </row>
    <row r="216" spans="19:39" ht="24.75" customHeight="1">
      <c r="S216" s="311" t="str">
        <f>+IF([1]ENERO!S216=0,"",[1]ENERO!S216)</f>
        <v>2.4.5.02.08.801.99</v>
      </c>
      <c r="T216" s="267" t="str">
        <f>[1]ENERO!T216</f>
        <v>Vigencias Anteriores lavanderia</v>
      </c>
      <c r="U216" s="301">
        <f>SUM(ENERO!U216)</f>
        <v>0</v>
      </c>
      <c r="V216" s="220">
        <f>[1]ENERO!V216+[1]FEBRERO!AL216</f>
        <v>0</v>
      </c>
      <c r="W216" s="220">
        <f>[1]ENERO!W216+[1]FEBRERO!AM216</f>
        <v>0</v>
      </c>
      <c r="X216" s="271">
        <f t="shared" si="179"/>
        <v>0</v>
      </c>
      <c r="Y216" s="270">
        <f>[1]ENERO!AA216</f>
        <v>0</v>
      </c>
      <c r="Z216" s="208">
        <v>0</v>
      </c>
      <c r="AA216" s="271">
        <f t="shared" si="180"/>
        <v>0</v>
      </c>
      <c r="AB216" s="270">
        <f>[1]ENERO!AD216</f>
        <v>0</v>
      </c>
      <c r="AC216" s="208">
        <v>0</v>
      </c>
      <c r="AD216" s="269">
        <f t="shared" si="181"/>
        <v>0</v>
      </c>
      <c r="AE216" s="270">
        <f>[1]ENERO!AG216</f>
        <v>0</v>
      </c>
      <c r="AF216" s="208">
        <v>0</v>
      </c>
      <c r="AG216" s="269">
        <f t="shared" si="182"/>
        <v>0</v>
      </c>
      <c r="AH216" s="270">
        <f t="shared" si="183"/>
        <v>0</v>
      </c>
      <c r="AI216" s="220">
        <f t="shared" si="184"/>
        <v>0</v>
      </c>
      <c r="AJ216" s="269">
        <f t="shared" si="185"/>
        <v>0</v>
      </c>
      <c r="AK216" s="805"/>
      <c r="AL216" s="204">
        <v>0</v>
      </c>
      <c r="AM216" s="210">
        <v>0</v>
      </c>
    </row>
    <row r="217" spans="19:39" ht="24.75" customHeight="1">
      <c r="S217" s="311" t="str">
        <f>+IF([1]ENERO!S217=0,"",[1]ENERO!S217)</f>
        <v>2.4.5.02.08.802.99</v>
      </c>
      <c r="T217" s="267" t="str">
        <f>[1]ENERO!T217</f>
        <v>Vigencias Anteriores de esterilizacion</v>
      </c>
      <c r="U217" s="301">
        <f>SUM(ENERO!U217)</f>
        <v>0</v>
      </c>
      <c r="V217" s="220">
        <f>[1]ENERO!V217+[1]FEBRERO!AL217</f>
        <v>0</v>
      </c>
      <c r="W217" s="220">
        <f>[1]ENERO!W217+[1]FEBRERO!AM217</f>
        <v>0</v>
      </c>
      <c r="X217" s="271">
        <f t="shared" si="179"/>
        <v>0</v>
      </c>
      <c r="Y217" s="270">
        <f>[1]ENERO!AA217</f>
        <v>0</v>
      </c>
      <c r="Z217" s="208">
        <v>0</v>
      </c>
      <c r="AA217" s="271">
        <f t="shared" si="180"/>
        <v>0</v>
      </c>
      <c r="AB217" s="270">
        <f>[1]ENERO!AD217</f>
        <v>0</v>
      </c>
      <c r="AC217" s="208">
        <v>0</v>
      </c>
      <c r="AD217" s="269">
        <f t="shared" si="181"/>
        <v>0</v>
      </c>
      <c r="AE217" s="270">
        <f>[1]ENERO!AG217</f>
        <v>0</v>
      </c>
      <c r="AF217" s="208">
        <v>0</v>
      </c>
      <c r="AG217" s="269">
        <f t="shared" si="182"/>
        <v>0</v>
      </c>
      <c r="AH217" s="270">
        <f t="shared" si="183"/>
        <v>0</v>
      </c>
      <c r="AI217" s="220">
        <f t="shared" si="184"/>
        <v>0</v>
      </c>
      <c r="AJ217" s="269">
        <f t="shared" si="185"/>
        <v>0</v>
      </c>
      <c r="AK217" s="805"/>
      <c r="AL217" s="204">
        <v>0</v>
      </c>
      <c r="AM217" s="210">
        <v>0</v>
      </c>
    </row>
    <row r="218" spans="19:39" ht="24.75" customHeight="1" thickBot="1">
      <c r="S218" s="499" t="str">
        <f>+IF([1]ENERO!S218=0,"",[1]ENERO!S218)</f>
        <v>2.4.5.02.08.99</v>
      </c>
      <c r="T218" s="267" t="str">
        <f>[1]ENERO!T218</f>
        <v>Vigencias Anteriores ayudas diagnosticas, lavanderia, esterilizacion,alimentacion</v>
      </c>
      <c r="U218" s="301">
        <f>SUM(ENERO!U218)</f>
        <v>2200000000</v>
      </c>
      <c r="V218" s="468">
        <f>[1]ENERO!V218+[1]FEBRERO!AL218</f>
        <v>495559635</v>
      </c>
      <c r="W218" s="468">
        <f>[1]ENERO!W218+[1]FEBRERO!AM218</f>
        <v>0</v>
      </c>
      <c r="X218" s="471">
        <f t="shared" si="179"/>
        <v>2695559635</v>
      </c>
      <c r="Y218" s="470">
        <f>[1]ENERO!AA218</f>
        <v>1133097383</v>
      </c>
      <c r="Z218" s="246">
        <v>969175201</v>
      </c>
      <c r="AA218" s="471">
        <f t="shared" si="180"/>
        <v>2102272584</v>
      </c>
      <c r="AB218" s="470">
        <f>[1]ENERO!AD218</f>
        <v>1133097383</v>
      </c>
      <c r="AC218" s="246">
        <v>969175201</v>
      </c>
      <c r="AD218" s="469">
        <f t="shared" si="181"/>
        <v>2102272584</v>
      </c>
      <c r="AE218" s="470">
        <f>[1]ENERO!AG218</f>
        <v>1133097383</v>
      </c>
      <c r="AF218" s="246">
        <v>969175201</v>
      </c>
      <c r="AG218" s="469">
        <f t="shared" si="182"/>
        <v>2102272584</v>
      </c>
      <c r="AH218" s="470">
        <f t="shared" si="183"/>
        <v>593287051</v>
      </c>
      <c r="AI218" s="468">
        <f t="shared" si="184"/>
        <v>593287051</v>
      </c>
      <c r="AJ218" s="469">
        <f t="shared" si="185"/>
        <v>593287051</v>
      </c>
      <c r="AK218" s="805"/>
      <c r="AL218" s="489">
        <v>0</v>
      </c>
      <c r="AM218" s="490">
        <v>0</v>
      </c>
    </row>
    <row r="219" spans="19:39" ht="24.75" customHeight="1" thickBot="1">
      <c r="S219" s="885">
        <f>+IF([1]ENERO!S219=0,"",[1]ENERO!S219)</f>
        <v>1133096960</v>
      </c>
      <c r="T219" s="886"/>
      <c r="U219" s="887"/>
      <c r="V219" s="887"/>
      <c r="W219" s="887"/>
      <c r="X219" s="887"/>
      <c r="Y219" s="887"/>
      <c r="Z219" s="887"/>
      <c r="AA219" s="887"/>
      <c r="AB219" s="887"/>
      <c r="AC219" s="887"/>
      <c r="AD219" s="887"/>
      <c r="AE219" s="887"/>
      <c r="AF219" s="887"/>
      <c r="AG219" s="887"/>
      <c r="AH219" s="887"/>
      <c r="AI219" s="887"/>
      <c r="AJ219" s="484"/>
      <c r="AK219" s="827"/>
      <c r="AL219" s="485"/>
      <c r="AM219" s="486"/>
    </row>
    <row r="220" spans="19:39" ht="24.75" customHeight="1">
      <c r="S220" s="176" t="str">
        <f>+IF([1]ENERO!S220=0,"",[1]ENERO!S220)</f>
        <v>C</v>
      </c>
      <c r="T220" s="177" t="s">
        <v>307</v>
      </c>
      <c r="U220" s="178">
        <f t="shared" ref="U220:AJ220" si="186">U222+U227</f>
        <v>3239175000</v>
      </c>
      <c r="V220" s="179">
        <f t="shared" si="186"/>
        <v>0</v>
      </c>
      <c r="W220" s="179">
        <f t="shared" si="186"/>
        <v>0</v>
      </c>
      <c r="X220" s="182">
        <f t="shared" si="186"/>
        <v>3239175000</v>
      </c>
      <c r="Y220" s="181">
        <f t="shared" si="186"/>
        <v>108733333</v>
      </c>
      <c r="Z220" s="179">
        <f t="shared" si="186"/>
        <v>112691919</v>
      </c>
      <c r="AA220" s="182">
        <f t="shared" si="186"/>
        <v>221425252</v>
      </c>
      <c r="AB220" s="181">
        <f t="shared" si="186"/>
        <v>108733333</v>
      </c>
      <c r="AC220" s="179">
        <f t="shared" si="186"/>
        <v>112691919</v>
      </c>
      <c r="AD220" s="182">
        <f t="shared" si="186"/>
        <v>221425252</v>
      </c>
      <c r="AE220" s="181">
        <f t="shared" si="186"/>
        <v>108733333</v>
      </c>
      <c r="AF220" s="179">
        <f t="shared" si="186"/>
        <v>112691919</v>
      </c>
      <c r="AG220" s="182">
        <f t="shared" si="186"/>
        <v>221425252</v>
      </c>
      <c r="AH220" s="181">
        <f t="shared" si="186"/>
        <v>3017749748</v>
      </c>
      <c r="AI220" s="179">
        <f t="shared" si="186"/>
        <v>3017749748</v>
      </c>
      <c r="AJ220" s="180">
        <f t="shared" si="186"/>
        <v>3017749748</v>
      </c>
      <c r="AK220" s="888"/>
      <c r="AL220" s="181">
        <f>AL222+AL227</f>
        <v>0</v>
      </c>
      <c r="AM220" s="180">
        <f>AM222+AM227</f>
        <v>0</v>
      </c>
    </row>
    <row r="221" spans="19:39" ht="24.75" customHeight="1">
      <c r="S221" s="189">
        <f>+IF([1]ENERO!S221=0,"",[1]ENERO!S221)</f>
        <v>1133096960</v>
      </c>
      <c r="T221" s="488"/>
      <c r="U221" s="191"/>
      <c r="V221" s="191"/>
      <c r="W221" s="191"/>
      <c r="X221" s="191"/>
      <c r="Y221" s="191"/>
      <c r="Z221" s="191"/>
      <c r="AA221" s="191"/>
      <c r="AB221" s="191"/>
      <c r="AC221" s="191"/>
      <c r="AD221" s="191"/>
      <c r="AE221" s="191"/>
      <c r="AF221" s="191"/>
      <c r="AG221" s="191"/>
      <c r="AH221" s="191"/>
      <c r="AI221" s="191"/>
      <c r="AJ221" s="192"/>
      <c r="AK221" s="805"/>
      <c r="AL221" s="370"/>
      <c r="AM221" s="371"/>
    </row>
    <row r="222" spans="19:39" ht="24.75" customHeight="1">
      <c r="S222" s="257">
        <f>+IF([1]ENERO!S222=0,"",[1]ENERO!S222)</f>
        <v>7001000</v>
      </c>
      <c r="T222" s="258" t="s">
        <v>308</v>
      </c>
      <c r="U222" s="883">
        <f t="shared" ref="U222:AJ222" si="187">SUM(U223:U225)</f>
        <v>3239175000</v>
      </c>
      <c r="V222" s="231">
        <f t="shared" si="187"/>
        <v>0</v>
      </c>
      <c r="W222" s="231">
        <f t="shared" si="187"/>
        <v>0</v>
      </c>
      <c r="X222" s="234">
        <f t="shared" si="187"/>
        <v>3239175000</v>
      </c>
      <c r="Y222" s="233">
        <f t="shared" si="187"/>
        <v>108733333</v>
      </c>
      <c r="Z222" s="231">
        <f t="shared" si="187"/>
        <v>112691919</v>
      </c>
      <c r="AA222" s="234">
        <f t="shared" si="187"/>
        <v>221425252</v>
      </c>
      <c r="AB222" s="233">
        <f t="shared" si="187"/>
        <v>108733333</v>
      </c>
      <c r="AC222" s="231">
        <f t="shared" si="187"/>
        <v>112691919</v>
      </c>
      <c r="AD222" s="234">
        <f t="shared" si="187"/>
        <v>221425252</v>
      </c>
      <c r="AE222" s="233">
        <f t="shared" si="187"/>
        <v>108733333</v>
      </c>
      <c r="AF222" s="231">
        <f t="shared" si="187"/>
        <v>112691919</v>
      </c>
      <c r="AG222" s="234">
        <f t="shared" si="187"/>
        <v>221425252</v>
      </c>
      <c r="AH222" s="233">
        <f t="shared" si="187"/>
        <v>3017749748</v>
      </c>
      <c r="AI222" s="231">
        <f t="shared" si="187"/>
        <v>3017749748</v>
      </c>
      <c r="AJ222" s="232">
        <f t="shared" si="187"/>
        <v>3017749748</v>
      </c>
      <c r="AK222" s="805"/>
      <c r="AL222" s="233">
        <f>SUM(AL223:AL225)</f>
        <v>0</v>
      </c>
      <c r="AM222" s="232">
        <f>SUM(AM223:AM225)</f>
        <v>0</v>
      </c>
    </row>
    <row r="223" spans="19:39" ht="24.75" customHeight="1">
      <c r="S223" s="266" t="str">
        <f>+IF([1]ENERO!S223=0,"",[1]ENERO!S223)</f>
        <v>2.2.2.2.01.02.002.02</v>
      </c>
      <c r="T223" s="267" t="str">
        <f>[1]ENERO!T223</f>
        <v>Banca Comercial</v>
      </c>
      <c r="U223" s="301">
        <f>SUM(ENERO!U223)</f>
        <v>2000000000</v>
      </c>
      <c r="V223" s="220">
        <f>[1]ENERO!V223+[1]FEBRERO!AL223</f>
        <v>0</v>
      </c>
      <c r="W223" s="220">
        <f>[1]ENERO!W223+[1]FEBRERO!AM223</f>
        <v>0</v>
      </c>
      <c r="X223" s="271">
        <f>SUM(U223:W223)</f>
        <v>2000000000</v>
      </c>
      <c r="Y223" s="270">
        <f>[1]ENERO!AA223</f>
        <v>0</v>
      </c>
      <c r="Z223" s="208">
        <v>0</v>
      </c>
      <c r="AA223" s="271">
        <f>SUM(Y223:Z223)</f>
        <v>0</v>
      </c>
      <c r="AB223" s="270">
        <f>[1]ENERO!AD223</f>
        <v>0</v>
      </c>
      <c r="AC223" s="208">
        <v>0</v>
      </c>
      <c r="AD223" s="271">
        <f>SUM(AB223:AC223)</f>
        <v>0</v>
      </c>
      <c r="AE223" s="270">
        <f>[1]ENERO!AG223</f>
        <v>0</v>
      </c>
      <c r="AF223" s="208">
        <v>0</v>
      </c>
      <c r="AG223" s="271">
        <f>SUM(AE223:AF223)</f>
        <v>0</v>
      </c>
      <c r="AH223" s="270">
        <f>X223-AA223</f>
        <v>2000000000</v>
      </c>
      <c r="AI223" s="220">
        <f>X223-AD223</f>
        <v>2000000000</v>
      </c>
      <c r="AJ223" s="269">
        <f>X223-AG223</f>
        <v>2000000000</v>
      </c>
      <c r="AK223" s="805"/>
      <c r="AL223" s="204">
        <v>0</v>
      </c>
      <c r="AM223" s="210">
        <v>0</v>
      </c>
    </row>
    <row r="224" spans="19:39" ht="24.75" customHeight="1">
      <c r="S224" s="266" t="str">
        <f>+IF([1]ENERO!S224=0,"",[1]ENERO!S224)</f>
        <v>2.2.2.02</v>
      </c>
      <c r="T224" s="267" t="str">
        <f>[1]ENERO!T224</f>
        <v>Intereses Comisiones y gastos de la Deuda Pública</v>
      </c>
      <c r="U224" s="301">
        <f>SUM(ENERO!U224)</f>
        <v>1239175000</v>
      </c>
      <c r="V224" s="220">
        <f>[1]ENERO!V224+[1]FEBRERO!AL224</f>
        <v>0</v>
      </c>
      <c r="W224" s="220">
        <f>[1]ENERO!W224+[1]FEBRERO!AM224</f>
        <v>0</v>
      </c>
      <c r="X224" s="271">
        <f>SUM(U224:W224)</f>
        <v>1239175000</v>
      </c>
      <c r="Y224" s="270">
        <f>[1]ENERO!AA224</f>
        <v>108733333</v>
      </c>
      <c r="Z224" s="204">
        <v>112691919</v>
      </c>
      <c r="AA224" s="271">
        <f>SUM(Y224:Z224)</f>
        <v>221425252</v>
      </c>
      <c r="AB224" s="270">
        <f>[1]ENERO!AD224</f>
        <v>108733333</v>
      </c>
      <c r="AC224" s="204">
        <v>112691919</v>
      </c>
      <c r="AD224" s="271">
        <f>SUM(AB224:AC224)</f>
        <v>221425252</v>
      </c>
      <c r="AE224" s="270">
        <f>[1]ENERO!AG224</f>
        <v>108733333</v>
      </c>
      <c r="AF224" s="204">
        <v>112691919</v>
      </c>
      <c r="AG224" s="271">
        <f>SUM(AE224:AF224)</f>
        <v>221425252</v>
      </c>
      <c r="AH224" s="270">
        <f>X224-AA224</f>
        <v>1017749748</v>
      </c>
      <c r="AI224" s="220">
        <f>X224-AD224</f>
        <v>1017749748</v>
      </c>
      <c r="AJ224" s="269">
        <f>X224-AG224</f>
        <v>1017749748</v>
      </c>
      <c r="AK224" s="805"/>
      <c r="AL224" s="204">
        <v>0</v>
      </c>
      <c r="AM224" s="210">
        <v>0</v>
      </c>
    </row>
    <row r="225" spans="19:39" ht="24.75" customHeight="1">
      <c r="S225" s="266" t="str">
        <f>+IF([1]ENERO!S225=0,"",[1]ENERO!S225)</f>
        <v>2.2.2.02</v>
      </c>
      <c r="T225" s="267" t="str">
        <f>[1]ENERO!T225</f>
        <v>Vigencias Anteriores Deuda Pública</v>
      </c>
      <c r="U225" s="301">
        <f>SUM(ENERO!U225)</f>
        <v>0</v>
      </c>
      <c r="V225" s="220">
        <f>[1]ENERO!V225+[1]FEBRERO!AL225</f>
        <v>0</v>
      </c>
      <c r="W225" s="220">
        <f>[1]ENERO!W225+[1]FEBRERO!AM225</f>
        <v>0</v>
      </c>
      <c r="X225" s="271">
        <f>SUM(U225:W225)</f>
        <v>0</v>
      </c>
      <c r="Y225" s="270">
        <f>[1]ENERO!AA225</f>
        <v>0</v>
      </c>
      <c r="Z225" s="208">
        <v>0</v>
      </c>
      <c r="AA225" s="271">
        <f>SUM(Y225:Z225)</f>
        <v>0</v>
      </c>
      <c r="AB225" s="270">
        <f>[1]ENERO!AD225</f>
        <v>0</v>
      </c>
      <c r="AC225" s="208">
        <v>0</v>
      </c>
      <c r="AD225" s="271">
        <f>SUM(AB225:AC225)</f>
        <v>0</v>
      </c>
      <c r="AE225" s="270">
        <f>[1]ENERO!AG225</f>
        <v>0</v>
      </c>
      <c r="AF225" s="208">
        <v>0</v>
      </c>
      <c r="AG225" s="271">
        <f>SUM(AE225:AF225)</f>
        <v>0</v>
      </c>
      <c r="AH225" s="270">
        <f>X225-AA225</f>
        <v>0</v>
      </c>
      <c r="AI225" s="220">
        <f>X225-AD225</f>
        <v>0</v>
      </c>
      <c r="AJ225" s="269">
        <f>X225-AG225</f>
        <v>0</v>
      </c>
      <c r="AK225" s="805"/>
      <c r="AL225" s="204">
        <v>0</v>
      </c>
      <c r="AM225" s="210">
        <v>0</v>
      </c>
    </row>
    <row r="226" spans="19:39" ht="24.75" customHeight="1">
      <c r="S226" s="189" t="str">
        <f>+IF([1]ENERO!S226=0,"",[1]ENERO!S226)</f>
        <v/>
      </c>
      <c r="T226" s="488"/>
      <c r="U226" s="191"/>
      <c r="V226" s="191"/>
      <c r="W226" s="191"/>
      <c r="X226" s="191"/>
      <c r="Y226" s="191"/>
      <c r="Z226" s="191"/>
      <c r="AA226" s="191"/>
      <c r="AB226" s="191"/>
      <c r="AC226" s="191"/>
      <c r="AD226" s="191"/>
      <c r="AE226" s="191"/>
      <c r="AF226" s="191"/>
      <c r="AG226" s="191"/>
      <c r="AH226" s="191"/>
      <c r="AI226" s="191"/>
      <c r="AJ226" s="192"/>
      <c r="AK226" s="827"/>
      <c r="AL226" s="370"/>
      <c r="AM226" s="371"/>
    </row>
    <row r="227" spans="19:39" ht="24.75" customHeight="1">
      <c r="S227" s="257">
        <f>+IF([1]ENERO!S227=0,"",[1]ENERO!S227)</f>
        <v>7002001</v>
      </c>
      <c r="T227" s="258" t="s">
        <v>310</v>
      </c>
      <c r="U227" s="883">
        <f t="shared" ref="U227:AJ227" si="188">SUM(U228:U230)</f>
        <v>0</v>
      </c>
      <c r="V227" s="231">
        <f t="shared" si="188"/>
        <v>0</v>
      </c>
      <c r="W227" s="231">
        <f t="shared" si="188"/>
        <v>0</v>
      </c>
      <c r="X227" s="234">
        <f t="shared" si="188"/>
        <v>0</v>
      </c>
      <c r="Y227" s="233">
        <f t="shared" si="188"/>
        <v>0</v>
      </c>
      <c r="Z227" s="231">
        <f t="shared" si="188"/>
        <v>0</v>
      </c>
      <c r="AA227" s="234">
        <f t="shared" si="188"/>
        <v>0</v>
      </c>
      <c r="AB227" s="233">
        <f t="shared" si="188"/>
        <v>0</v>
      </c>
      <c r="AC227" s="231">
        <f t="shared" si="188"/>
        <v>0</v>
      </c>
      <c r="AD227" s="234">
        <f t="shared" si="188"/>
        <v>0</v>
      </c>
      <c r="AE227" s="233">
        <f t="shared" si="188"/>
        <v>0</v>
      </c>
      <c r="AF227" s="231">
        <f t="shared" si="188"/>
        <v>0</v>
      </c>
      <c r="AG227" s="234">
        <f t="shared" si="188"/>
        <v>0</v>
      </c>
      <c r="AH227" s="233">
        <f t="shared" si="188"/>
        <v>0</v>
      </c>
      <c r="AI227" s="231">
        <f t="shared" si="188"/>
        <v>0</v>
      </c>
      <c r="AJ227" s="232">
        <f t="shared" si="188"/>
        <v>0</v>
      </c>
      <c r="AK227" s="827"/>
      <c r="AL227" s="233">
        <f>SUM(AL228:AL230)</f>
        <v>0</v>
      </c>
      <c r="AM227" s="232">
        <f>SUM(AM228:AM230)</f>
        <v>0</v>
      </c>
    </row>
    <row r="228" spans="19:39" ht="24.75" customHeight="1">
      <c r="S228" s="266">
        <f>+IF([1]ENERO!S228=0,"",[1]ENERO!S228)</f>
        <v>7002100</v>
      </c>
      <c r="T228" s="267" t="str">
        <f>[1]ENERO!T228</f>
        <v>Amortización deuda Pública Externa</v>
      </c>
      <c r="U228" s="884">
        <f>+[1]ENERO!U228</f>
        <v>0</v>
      </c>
      <c r="V228" s="220">
        <f>[1]ENERO!V228+[1]FEBRERO!AL228</f>
        <v>0</v>
      </c>
      <c r="W228" s="220">
        <f>[1]ENERO!W228+[1]FEBRERO!AM228</f>
        <v>0</v>
      </c>
      <c r="X228" s="271">
        <f>SUM(U228:W228)</f>
        <v>0</v>
      </c>
      <c r="Y228" s="270">
        <f>[1]ENERO!AA228</f>
        <v>0</v>
      </c>
      <c r="Z228" s="208">
        <v>0</v>
      </c>
      <c r="AA228" s="271">
        <f>SUM(Y228:Z228)</f>
        <v>0</v>
      </c>
      <c r="AB228" s="270">
        <f>[1]ENERO!AD228</f>
        <v>0</v>
      </c>
      <c r="AC228" s="208">
        <v>0</v>
      </c>
      <c r="AD228" s="271">
        <f>SUM(AB228:AC228)</f>
        <v>0</v>
      </c>
      <c r="AE228" s="270">
        <f>[1]ENERO!AG228</f>
        <v>0</v>
      </c>
      <c r="AF228" s="208">
        <v>0</v>
      </c>
      <c r="AG228" s="271">
        <f>SUM(AE228:AF228)</f>
        <v>0</v>
      </c>
      <c r="AH228" s="270">
        <f>X228-AA228</f>
        <v>0</v>
      </c>
      <c r="AI228" s="220">
        <f>X228-AD228</f>
        <v>0</v>
      </c>
      <c r="AJ228" s="269">
        <f>X228-AG228</f>
        <v>0</v>
      </c>
      <c r="AK228" s="805"/>
      <c r="AL228" s="204">
        <v>0</v>
      </c>
      <c r="AM228" s="210">
        <v>0</v>
      </c>
    </row>
    <row r="229" spans="19:39" ht="24.75" customHeight="1">
      <c r="S229" s="266">
        <f>+IF([1]ENERO!S229=0,"",[1]ENERO!S229)</f>
        <v>7002200</v>
      </c>
      <c r="T229" s="267" t="str">
        <f>[1]ENERO!T229</f>
        <v>Intereses Comisiones y gastos de la Deuda Pública</v>
      </c>
      <c r="U229" s="884">
        <f>+[1]ENERO!U229</f>
        <v>0</v>
      </c>
      <c r="V229" s="220">
        <f>[1]ENERO!V229+[1]FEBRERO!AL229</f>
        <v>0</v>
      </c>
      <c r="W229" s="220">
        <f>[1]ENERO!W229+[1]FEBRERO!AM229</f>
        <v>0</v>
      </c>
      <c r="X229" s="271">
        <f>SUM(U229:W229)</f>
        <v>0</v>
      </c>
      <c r="Y229" s="270">
        <f>[1]ENERO!AA229</f>
        <v>0</v>
      </c>
      <c r="Z229" s="208">
        <v>0</v>
      </c>
      <c r="AA229" s="271">
        <f>SUM(Y229:Z229)</f>
        <v>0</v>
      </c>
      <c r="AB229" s="270">
        <f>[1]ENERO!AD229</f>
        <v>0</v>
      </c>
      <c r="AC229" s="208">
        <v>0</v>
      </c>
      <c r="AD229" s="271">
        <f>SUM(AB229:AC229)</f>
        <v>0</v>
      </c>
      <c r="AE229" s="270">
        <f>[1]ENERO!AG229</f>
        <v>0</v>
      </c>
      <c r="AF229" s="208">
        <v>0</v>
      </c>
      <c r="AG229" s="271">
        <f>SUM(AE229:AF229)</f>
        <v>0</v>
      </c>
      <c r="AH229" s="270">
        <f>X229-AA229</f>
        <v>0</v>
      </c>
      <c r="AI229" s="220">
        <f>X229-AD229</f>
        <v>0</v>
      </c>
      <c r="AJ229" s="269">
        <f>X229-AG229</f>
        <v>0</v>
      </c>
      <c r="AK229" s="805"/>
      <c r="AL229" s="204">
        <v>0</v>
      </c>
      <c r="AM229" s="210">
        <v>0</v>
      </c>
    </row>
    <row r="230" spans="19:39" ht="24.75" customHeight="1" thickBot="1">
      <c r="S230" s="466">
        <f>+IF([1]ENERO!S230=0,"",[1]ENERO!S230)</f>
        <v>7002999</v>
      </c>
      <c r="T230" s="267" t="str">
        <f>[1]ENERO!T230</f>
        <v>Vigencias Anteriores</v>
      </c>
      <c r="U230" s="547">
        <f>+[1]ENERO!U230</f>
        <v>0</v>
      </c>
      <c r="V230" s="468">
        <f>[1]ENERO!V230+[1]FEBRERO!AL230</f>
        <v>0</v>
      </c>
      <c r="W230" s="468">
        <f>[1]ENERO!W230+[1]FEBRERO!AM230</f>
        <v>0</v>
      </c>
      <c r="X230" s="471">
        <f>SUM(U230:W230)</f>
        <v>0</v>
      </c>
      <c r="Y230" s="470">
        <f>[1]ENERO!AA230</f>
        <v>0</v>
      </c>
      <c r="Z230" s="246">
        <v>0</v>
      </c>
      <c r="AA230" s="471">
        <f>SUM(Y230:Z230)</f>
        <v>0</v>
      </c>
      <c r="AB230" s="470">
        <f>[1]ENERO!AD230</f>
        <v>0</v>
      </c>
      <c r="AC230" s="246">
        <v>0</v>
      </c>
      <c r="AD230" s="471">
        <f>SUM(AB230:AC230)</f>
        <v>0</v>
      </c>
      <c r="AE230" s="470">
        <f>[1]ENERO!AG230</f>
        <v>0</v>
      </c>
      <c r="AF230" s="246">
        <v>0</v>
      </c>
      <c r="AG230" s="471">
        <f>SUM(AE230:AF230)</f>
        <v>0</v>
      </c>
      <c r="AH230" s="470">
        <f>X230-AA230</f>
        <v>0</v>
      </c>
      <c r="AI230" s="468">
        <f>X230-AD230</f>
        <v>0</v>
      </c>
      <c r="AJ230" s="469">
        <f>X230-AG230</f>
        <v>0</v>
      </c>
      <c r="AK230" s="805"/>
      <c r="AL230" s="489">
        <v>0</v>
      </c>
      <c r="AM230" s="490">
        <v>0</v>
      </c>
    </row>
    <row r="231" spans="19:39" ht="24.75" customHeight="1">
      <c r="S231" s="455" t="str">
        <f>+IF([1]ENERO!S231=0,"",[1]ENERO!S231)</f>
        <v/>
      </c>
      <c r="T231" s="456"/>
      <c r="U231" s="457"/>
      <c r="V231" s="457"/>
      <c r="W231" s="457"/>
      <c r="X231" s="457"/>
      <c r="Y231" s="457"/>
      <c r="Z231" s="457"/>
      <c r="AA231" s="457"/>
      <c r="AB231" s="457"/>
      <c r="AC231" s="457"/>
      <c r="AD231" s="457"/>
      <c r="AE231" s="457"/>
      <c r="AF231" s="457"/>
      <c r="AG231" s="457"/>
      <c r="AH231" s="457"/>
      <c r="AI231" s="457"/>
      <c r="AJ231" s="458"/>
      <c r="AK231" s="805"/>
      <c r="AL231" s="491"/>
      <c r="AM231" s="492"/>
    </row>
    <row r="232" spans="19:39" ht="24.75" customHeight="1">
      <c r="S232" s="493" t="str">
        <f>+IF([1]ENERO!S232=0,"",[1]ENERO!S232)</f>
        <v>D</v>
      </c>
      <c r="T232" s="494" t="s">
        <v>117</v>
      </c>
      <c r="U232" s="882">
        <f t="shared" ref="U232:AJ232" si="189">U234+U243</f>
        <v>0</v>
      </c>
      <c r="V232" s="406">
        <f t="shared" si="189"/>
        <v>0</v>
      </c>
      <c r="W232" s="406">
        <f t="shared" si="189"/>
        <v>14318008459</v>
      </c>
      <c r="X232" s="407">
        <f t="shared" si="189"/>
        <v>14318008459</v>
      </c>
      <c r="Y232" s="217">
        <f t="shared" si="189"/>
        <v>5164181771</v>
      </c>
      <c r="Z232" s="406">
        <f t="shared" si="189"/>
        <v>4101770884</v>
      </c>
      <c r="AA232" s="407">
        <f t="shared" si="189"/>
        <v>9265952655</v>
      </c>
      <c r="AB232" s="217">
        <f t="shared" si="189"/>
        <v>661895081</v>
      </c>
      <c r="AC232" s="406">
        <f t="shared" si="189"/>
        <v>1388882852</v>
      </c>
      <c r="AD232" s="407">
        <f t="shared" si="189"/>
        <v>2050777933</v>
      </c>
      <c r="AE232" s="217">
        <f t="shared" si="189"/>
        <v>0</v>
      </c>
      <c r="AF232" s="406">
        <f t="shared" si="189"/>
        <v>174958150</v>
      </c>
      <c r="AG232" s="407">
        <f t="shared" si="189"/>
        <v>174958150</v>
      </c>
      <c r="AH232" s="217">
        <f t="shared" si="189"/>
        <v>5052055804</v>
      </c>
      <c r="AI232" s="406">
        <f t="shared" si="189"/>
        <v>12267230526</v>
      </c>
      <c r="AJ232" s="218">
        <f t="shared" si="189"/>
        <v>14143050309</v>
      </c>
      <c r="AK232" s="888"/>
      <c r="AL232" s="217">
        <f>AL234+AL243</f>
        <v>0</v>
      </c>
      <c r="AM232" s="218">
        <f>AM234+AM243</f>
        <v>7916540052</v>
      </c>
    </row>
    <row r="233" spans="19:39" ht="24.75" customHeight="1">
      <c r="S233" s="189" t="str">
        <f>+IF([1]ENERO!S233=0,"",[1]ENERO!S233)</f>
        <v/>
      </c>
      <c r="T233" s="488"/>
      <c r="U233" s="191"/>
      <c r="V233" s="191"/>
      <c r="W233" s="191"/>
      <c r="X233" s="191"/>
      <c r="Y233" s="191"/>
      <c r="Z233" s="191"/>
      <c r="AA233" s="191"/>
      <c r="AB233" s="191"/>
      <c r="AC233" s="191"/>
      <c r="AD233" s="191"/>
      <c r="AE233" s="191"/>
      <c r="AF233" s="191"/>
      <c r="AG233" s="191"/>
      <c r="AH233" s="191"/>
      <c r="AI233" s="191"/>
      <c r="AJ233" s="192"/>
      <c r="AK233" s="805"/>
      <c r="AL233" s="370"/>
      <c r="AM233" s="371"/>
    </row>
    <row r="234" spans="19:39" ht="24.75" customHeight="1">
      <c r="S234" s="257">
        <f>+IF([1]ENERO!S234=0,"",[1]ENERO!S234)</f>
        <v>8000000</v>
      </c>
      <c r="T234" s="258" t="s">
        <v>313</v>
      </c>
      <c r="U234" s="883">
        <f t="shared" ref="U234:AJ234" si="190">U235</f>
        <v>0</v>
      </c>
      <c r="V234" s="231">
        <f t="shared" si="190"/>
        <v>0</v>
      </c>
      <c r="W234" s="231">
        <f t="shared" si="190"/>
        <v>14318008459</v>
      </c>
      <c r="X234" s="234">
        <f t="shared" si="190"/>
        <v>14318008459</v>
      </c>
      <c r="Y234" s="233">
        <f t="shared" si="190"/>
        <v>5164181771</v>
      </c>
      <c r="Z234" s="231">
        <f t="shared" si="190"/>
        <v>4101770884</v>
      </c>
      <c r="AA234" s="234">
        <f t="shared" si="190"/>
        <v>9265952655</v>
      </c>
      <c r="AB234" s="233">
        <f t="shared" si="190"/>
        <v>661895081</v>
      </c>
      <c r="AC234" s="231">
        <f t="shared" si="190"/>
        <v>1388882852</v>
      </c>
      <c r="AD234" s="234">
        <f t="shared" si="190"/>
        <v>2050777933</v>
      </c>
      <c r="AE234" s="233">
        <f t="shared" si="190"/>
        <v>0</v>
      </c>
      <c r="AF234" s="231">
        <f t="shared" si="190"/>
        <v>174958150</v>
      </c>
      <c r="AG234" s="234">
        <f t="shared" si="190"/>
        <v>174958150</v>
      </c>
      <c r="AH234" s="233">
        <f t="shared" si="190"/>
        <v>5052055804</v>
      </c>
      <c r="AI234" s="231">
        <f t="shared" si="190"/>
        <v>12267230526</v>
      </c>
      <c r="AJ234" s="232">
        <f t="shared" si="190"/>
        <v>14143050309</v>
      </c>
      <c r="AK234" s="805"/>
      <c r="AL234" s="233">
        <f>AL235</f>
        <v>0</v>
      </c>
      <c r="AM234" s="232">
        <f>AM235</f>
        <v>7916540052</v>
      </c>
    </row>
    <row r="235" spans="19:39" ht="24.75" customHeight="1">
      <c r="S235" s="266">
        <f>+IF([1]ENERO!S235=0,"",[1]ENERO!S235)</f>
        <v>8001000</v>
      </c>
      <c r="T235" s="267" t="str">
        <f>[1]ENERO!T235</f>
        <v>Formación Bruta del Capital</v>
      </c>
      <c r="U235" s="884">
        <f t="shared" ref="U235:AJ235" si="191">SUM(U236:U241)</f>
        <v>0</v>
      </c>
      <c r="V235" s="220">
        <f t="shared" si="191"/>
        <v>0</v>
      </c>
      <c r="W235" s="220">
        <f t="shared" si="191"/>
        <v>14318008459</v>
      </c>
      <c r="X235" s="271">
        <f t="shared" si="191"/>
        <v>14318008459</v>
      </c>
      <c r="Y235" s="270">
        <f t="shared" si="191"/>
        <v>5164181771</v>
      </c>
      <c r="Z235" s="300">
        <f t="shared" si="191"/>
        <v>4101770884</v>
      </c>
      <c r="AA235" s="271">
        <f t="shared" si="191"/>
        <v>9265952655</v>
      </c>
      <c r="AB235" s="270">
        <f t="shared" si="191"/>
        <v>661895081</v>
      </c>
      <c r="AC235" s="300">
        <f t="shared" si="191"/>
        <v>1388882852</v>
      </c>
      <c r="AD235" s="271">
        <f t="shared" si="191"/>
        <v>2050777933</v>
      </c>
      <c r="AE235" s="270">
        <f t="shared" si="191"/>
        <v>0</v>
      </c>
      <c r="AF235" s="300">
        <f t="shared" si="191"/>
        <v>174958150</v>
      </c>
      <c r="AG235" s="271">
        <f t="shared" si="191"/>
        <v>174958150</v>
      </c>
      <c r="AH235" s="270">
        <f t="shared" si="191"/>
        <v>5052055804</v>
      </c>
      <c r="AI235" s="220">
        <f t="shared" si="191"/>
        <v>12267230526</v>
      </c>
      <c r="AJ235" s="269">
        <f t="shared" si="191"/>
        <v>14143050309</v>
      </c>
      <c r="AK235" s="805"/>
      <c r="AL235" s="301">
        <f>SUM(AL236:AL241)</f>
        <v>0</v>
      </c>
      <c r="AM235" s="302">
        <f>SUM(AM236:AM241)</f>
        <v>7916540052</v>
      </c>
    </row>
    <row r="236" spans="19:39" ht="24.75" customHeight="1">
      <c r="S236" s="311" t="str">
        <f>+IF([1]ENERO!S236=0,"",[1]ENERO!S236)</f>
        <v>2.3.2.01.01</v>
      </c>
      <c r="T236" s="267" t="str">
        <f>[1]ENERO!T236</f>
        <v>Activos fijos</v>
      </c>
      <c r="U236" s="884">
        <f>+[1]ENERO!U236</f>
        <v>0</v>
      </c>
      <c r="V236" s="220">
        <f>[1]ENERO!V236+[1]FEBRERO!AL236</f>
        <v>0</v>
      </c>
      <c r="W236" s="220">
        <f>[1]ENERO!W236+[1]FEBRERO!AM236</f>
        <v>0</v>
      </c>
      <c r="X236" s="271">
        <f t="shared" ref="X236:X241" si="192">SUM(U236:W236)</f>
        <v>0</v>
      </c>
      <c r="Y236" s="270">
        <f>[1]ENERO!AA236</f>
        <v>0</v>
      </c>
      <c r="Z236" s="208">
        <v>0</v>
      </c>
      <c r="AA236" s="271">
        <f t="shared" ref="AA236:AA241" si="193">SUM(Y236:Z236)</f>
        <v>0</v>
      </c>
      <c r="AB236" s="270">
        <f>[1]ENERO!AD236</f>
        <v>0</v>
      </c>
      <c r="AC236" s="208">
        <v>0</v>
      </c>
      <c r="AD236" s="271">
        <f t="shared" ref="AD236:AD241" si="194">SUM(AB236:AC236)</f>
        <v>0</v>
      </c>
      <c r="AE236" s="270">
        <f>[1]ENERO!AG236</f>
        <v>0</v>
      </c>
      <c r="AF236" s="208">
        <v>0</v>
      </c>
      <c r="AG236" s="271">
        <f t="shared" ref="AG236:AG241" si="195">SUM(AE236:AF236)</f>
        <v>0</v>
      </c>
      <c r="AH236" s="270">
        <f t="shared" ref="AH236:AH241" si="196">X236-AA236</f>
        <v>0</v>
      </c>
      <c r="AI236" s="220">
        <f t="shared" ref="AI236:AI241" si="197">X236-AD236</f>
        <v>0</v>
      </c>
      <c r="AJ236" s="269">
        <f t="shared" ref="AJ236:AJ241" si="198">X236-AG236</f>
        <v>0</v>
      </c>
      <c r="AK236" s="805"/>
      <c r="AL236" s="204">
        <v>0</v>
      </c>
      <c r="AM236" s="210">
        <v>0</v>
      </c>
    </row>
    <row r="237" spans="19:39" ht="24.75" customHeight="1">
      <c r="S237" s="311" t="str">
        <f>+IF([1]ENERO!S237=0,"",[1]ENERO!S237)</f>
        <v>2.3.2.02.02.005</v>
      </c>
      <c r="T237" s="267" t="str">
        <f>[1]ENERO!T237</f>
        <v>Servicios de la Construcción</v>
      </c>
      <c r="U237" s="884">
        <f>+[1]ENERO!U237</f>
        <v>0</v>
      </c>
      <c r="V237" s="220">
        <f>[1]ENERO!V237+[1]FEBRERO!AL237</f>
        <v>0</v>
      </c>
      <c r="W237" s="220">
        <f>[1]ENERO!W237+[1]FEBRERO!AM237</f>
        <v>0</v>
      </c>
      <c r="X237" s="271">
        <f t="shared" si="192"/>
        <v>0</v>
      </c>
      <c r="Y237" s="270">
        <f>[1]ENERO!AA237</f>
        <v>0</v>
      </c>
      <c r="Z237" s="208">
        <v>0</v>
      </c>
      <c r="AA237" s="271">
        <f t="shared" si="193"/>
        <v>0</v>
      </c>
      <c r="AB237" s="270">
        <f>[1]ENERO!AD237</f>
        <v>0</v>
      </c>
      <c r="AC237" s="208">
        <v>0</v>
      </c>
      <c r="AD237" s="271">
        <f t="shared" si="194"/>
        <v>0</v>
      </c>
      <c r="AE237" s="270">
        <f>[1]ENERO!AG237</f>
        <v>0</v>
      </c>
      <c r="AF237" s="208">
        <v>0</v>
      </c>
      <c r="AG237" s="271">
        <f t="shared" si="195"/>
        <v>0</v>
      </c>
      <c r="AH237" s="270">
        <f t="shared" si="196"/>
        <v>0</v>
      </c>
      <c r="AI237" s="220">
        <f t="shared" si="197"/>
        <v>0</v>
      </c>
      <c r="AJ237" s="269">
        <f t="shared" si="198"/>
        <v>0</v>
      </c>
      <c r="AK237" s="805"/>
      <c r="AL237" s="204">
        <v>0</v>
      </c>
      <c r="AM237" s="210">
        <v>0</v>
      </c>
    </row>
    <row r="238" spans="19:39" ht="24.75" customHeight="1">
      <c r="S238" s="311" t="str">
        <f>+IF([1]ENERO!S238=0,"",[1]ENERO!S238)</f>
        <v>2.3.2.02.02.009</v>
      </c>
      <c r="T238" s="267" t="str">
        <f>[1]ENERO!T238</f>
        <v>Servicios para la comunidad, sociales y personales</v>
      </c>
      <c r="U238" s="884">
        <f>+[1]ENERO!U238</f>
        <v>0</v>
      </c>
      <c r="V238" s="220">
        <f>[1]ENERO!V238+[1]FEBRERO!AL238</f>
        <v>0</v>
      </c>
      <c r="W238" s="220">
        <f>[1]ENERO!W238+[1]FEBRERO!AM238</f>
        <v>13867225930</v>
      </c>
      <c r="X238" s="271">
        <f t="shared" si="192"/>
        <v>13867225930</v>
      </c>
      <c r="Y238" s="270">
        <f>[1]ENERO!AA238</f>
        <v>5164181771</v>
      </c>
      <c r="Z238" s="204">
        <v>4101770884</v>
      </c>
      <c r="AA238" s="271">
        <f t="shared" si="193"/>
        <v>9265952655</v>
      </c>
      <c r="AB238" s="270">
        <f>[1]ENERO!AD238</f>
        <v>661895081</v>
      </c>
      <c r="AC238" s="204">
        <v>1388882852</v>
      </c>
      <c r="AD238" s="271">
        <f t="shared" si="194"/>
        <v>2050777933</v>
      </c>
      <c r="AE238" s="270">
        <f>[1]ENERO!AG238</f>
        <v>0</v>
      </c>
      <c r="AF238" s="204">
        <v>174958150</v>
      </c>
      <c r="AG238" s="271">
        <f t="shared" si="195"/>
        <v>174958150</v>
      </c>
      <c r="AH238" s="270">
        <f t="shared" si="196"/>
        <v>4601273275</v>
      </c>
      <c r="AI238" s="220">
        <f t="shared" si="197"/>
        <v>11816447997</v>
      </c>
      <c r="AJ238" s="269">
        <f t="shared" si="198"/>
        <v>13692267780</v>
      </c>
      <c r="AK238" s="805"/>
      <c r="AL238" s="204">
        <v>0</v>
      </c>
      <c r="AM238" s="210">
        <v>7465757523</v>
      </c>
    </row>
    <row r="239" spans="19:39" ht="24.75" customHeight="1">
      <c r="S239" s="311" t="str">
        <f>+IF([1]ENERO!S239=0,"",[1]ENERO!S239)</f>
        <v>8001000-4</v>
      </c>
      <c r="T239" s="267" t="str">
        <f>[1]ENERO!T239</f>
        <v>Subprogr.Construc. Remodelac. Adecuación y Apliac.4</v>
      </c>
      <c r="U239" s="884">
        <f>+[1]ENERO!U239</f>
        <v>0</v>
      </c>
      <c r="V239" s="220">
        <f>[1]ENERO!V239+[1]FEBRERO!AL239</f>
        <v>0</v>
      </c>
      <c r="W239" s="220">
        <f>[1]ENERO!W239+[1]FEBRERO!AM239</f>
        <v>0</v>
      </c>
      <c r="X239" s="271">
        <f t="shared" si="192"/>
        <v>0</v>
      </c>
      <c r="Y239" s="270">
        <f>[1]ENERO!AA239</f>
        <v>0</v>
      </c>
      <c r="Z239" s="208">
        <v>0</v>
      </c>
      <c r="AA239" s="271">
        <f t="shared" si="193"/>
        <v>0</v>
      </c>
      <c r="AB239" s="270">
        <f>[1]ENERO!AD239</f>
        <v>0</v>
      </c>
      <c r="AC239" s="208">
        <v>0</v>
      </c>
      <c r="AD239" s="271">
        <f t="shared" si="194"/>
        <v>0</v>
      </c>
      <c r="AE239" s="270">
        <f>[1]ENERO!AG239</f>
        <v>0</v>
      </c>
      <c r="AF239" s="208">
        <v>0</v>
      </c>
      <c r="AG239" s="271">
        <f t="shared" si="195"/>
        <v>0</v>
      </c>
      <c r="AH239" s="270">
        <f t="shared" si="196"/>
        <v>0</v>
      </c>
      <c r="AI239" s="220">
        <f t="shared" si="197"/>
        <v>0</v>
      </c>
      <c r="AJ239" s="269">
        <f t="shared" si="198"/>
        <v>0</v>
      </c>
      <c r="AK239" s="805"/>
      <c r="AL239" s="204">
        <v>0</v>
      </c>
      <c r="AM239" s="210">
        <v>0</v>
      </c>
    </row>
    <row r="240" spans="19:39" ht="24.75" customHeight="1">
      <c r="S240" s="311" t="str">
        <f>+IF([1]ENERO!S240=0,"",[1]ENERO!S240)</f>
        <v>8001000-5</v>
      </c>
      <c r="T240" s="267" t="str">
        <f>[1]ENERO!T240</f>
        <v>Subprogr.Construc. Remodelac. Adecuación y Apliac.5</v>
      </c>
      <c r="U240" s="884">
        <f>+[1]ENERO!U240</f>
        <v>0</v>
      </c>
      <c r="V240" s="220">
        <f>[1]ENERO!V240+[1]FEBRERO!AL240</f>
        <v>0</v>
      </c>
      <c r="W240" s="220">
        <f>[1]ENERO!W240+[1]FEBRERO!AM240</f>
        <v>0</v>
      </c>
      <c r="X240" s="271">
        <f t="shared" si="192"/>
        <v>0</v>
      </c>
      <c r="Y240" s="270">
        <f>[1]ENERO!AA240</f>
        <v>0</v>
      </c>
      <c r="Z240" s="208">
        <v>0</v>
      </c>
      <c r="AA240" s="271">
        <f t="shared" si="193"/>
        <v>0</v>
      </c>
      <c r="AB240" s="270">
        <f>[1]ENERO!AD240</f>
        <v>0</v>
      </c>
      <c r="AC240" s="208">
        <v>0</v>
      </c>
      <c r="AD240" s="271">
        <f t="shared" si="194"/>
        <v>0</v>
      </c>
      <c r="AE240" s="270">
        <f>[1]ENERO!AG240</f>
        <v>0</v>
      </c>
      <c r="AF240" s="208">
        <v>0</v>
      </c>
      <c r="AG240" s="271">
        <f t="shared" si="195"/>
        <v>0</v>
      </c>
      <c r="AH240" s="270">
        <f t="shared" si="196"/>
        <v>0</v>
      </c>
      <c r="AI240" s="220">
        <f t="shared" si="197"/>
        <v>0</v>
      </c>
      <c r="AJ240" s="269">
        <f t="shared" si="198"/>
        <v>0</v>
      </c>
      <c r="AK240" s="805"/>
      <c r="AL240" s="204">
        <v>0</v>
      </c>
      <c r="AM240" s="210">
        <v>0</v>
      </c>
    </row>
    <row r="241" spans="19:39" ht="24.75" customHeight="1">
      <c r="S241" s="311" t="str">
        <f>+IF([1]ENERO!S241=0,"",[1]ENERO!S241)</f>
        <v>2.3.2.02.02.009.99</v>
      </c>
      <c r="T241" s="267" t="str">
        <f>[1]ENERO!T241</f>
        <v>Vigencias  Servicios para la comunidad sociales y personales</v>
      </c>
      <c r="U241" s="884">
        <f>+[1]ENERO!U241</f>
        <v>0</v>
      </c>
      <c r="V241" s="220">
        <f>[1]ENERO!V241+[1]FEBRERO!AL241</f>
        <v>0</v>
      </c>
      <c r="W241" s="220">
        <f>[1]ENERO!W241+[1]FEBRERO!AM241</f>
        <v>450782529</v>
      </c>
      <c r="X241" s="271">
        <f t="shared" si="192"/>
        <v>450782529</v>
      </c>
      <c r="Y241" s="270">
        <f>[1]ENERO!AA241</f>
        <v>0</v>
      </c>
      <c r="Z241" s="208">
        <v>0</v>
      </c>
      <c r="AA241" s="271">
        <f t="shared" si="193"/>
        <v>0</v>
      </c>
      <c r="AB241" s="270">
        <f>[1]ENERO!AD241</f>
        <v>0</v>
      </c>
      <c r="AC241" s="208">
        <v>0</v>
      </c>
      <c r="AD241" s="271">
        <f t="shared" si="194"/>
        <v>0</v>
      </c>
      <c r="AE241" s="270">
        <f>[1]ENERO!AG241</f>
        <v>0</v>
      </c>
      <c r="AF241" s="208">
        <v>0</v>
      </c>
      <c r="AG241" s="271">
        <f t="shared" si="195"/>
        <v>0</v>
      </c>
      <c r="AH241" s="270">
        <f t="shared" si="196"/>
        <v>450782529</v>
      </c>
      <c r="AI241" s="220">
        <f t="shared" si="197"/>
        <v>450782529</v>
      </c>
      <c r="AJ241" s="269">
        <f t="shared" si="198"/>
        <v>450782529</v>
      </c>
      <c r="AK241" s="805"/>
      <c r="AL241" s="204">
        <v>0</v>
      </c>
      <c r="AM241" s="210">
        <v>450782529</v>
      </c>
    </row>
    <row r="242" spans="19:39" ht="24.75" customHeight="1">
      <c r="S242" s="189" t="str">
        <f>+IF([1]ENERO!S242=0,"",[1]ENERO!S242)</f>
        <v/>
      </c>
      <c r="T242" s="488"/>
      <c r="U242" s="191"/>
      <c r="V242" s="191"/>
      <c r="W242" s="191"/>
      <c r="X242" s="191"/>
      <c r="Y242" s="191"/>
      <c r="Z242" s="191"/>
      <c r="AA242" s="191"/>
      <c r="AB242" s="191"/>
      <c r="AC242" s="191"/>
      <c r="AD242" s="191"/>
      <c r="AE242" s="191"/>
      <c r="AF242" s="191"/>
      <c r="AG242" s="191"/>
      <c r="AH242" s="191"/>
      <c r="AI242" s="191"/>
      <c r="AJ242" s="192"/>
      <c r="AK242" s="805"/>
      <c r="AL242" s="370"/>
      <c r="AM242" s="371"/>
    </row>
    <row r="243" spans="19:39" ht="32.25" customHeight="1">
      <c r="S243" s="257">
        <f>+IF([1]ENERO!S243=0,"",[1]ENERO!S243)</f>
        <v>8002001</v>
      </c>
      <c r="T243" s="498" t="s">
        <v>319</v>
      </c>
      <c r="U243" s="883">
        <f t="shared" ref="U243:AJ243" si="199">SUM(U244:U256)</f>
        <v>0</v>
      </c>
      <c r="V243" s="231">
        <f t="shared" si="199"/>
        <v>0</v>
      </c>
      <c r="W243" s="231">
        <f t="shared" si="199"/>
        <v>0</v>
      </c>
      <c r="X243" s="234">
        <f t="shared" si="199"/>
        <v>0</v>
      </c>
      <c r="Y243" s="233">
        <f t="shared" si="199"/>
        <v>0</v>
      </c>
      <c r="Z243" s="231">
        <f t="shared" si="199"/>
        <v>0</v>
      </c>
      <c r="AA243" s="234">
        <f t="shared" si="199"/>
        <v>0</v>
      </c>
      <c r="AB243" s="233">
        <f t="shared" si="199"/>
        <v>0</v>
      </c>
      <c r="AC243" s="231">
        <f t="shared" si="199"/>
        <v>0</v>
      </c>
      <c r="AD243" s="234">
        <f t="shared" si="199"/>
        <v>0</v>
      </c>
      <c r="AE243" s="233">
        <f t="shared" si="199"/>
        <v>0</v>
      </c>
      <c r="AF243" s="231">
        <f t="shared" si="199"/>
        <v>0</v>
      </c>
      <c r="AG243" s="234">
        <f t="shared" si="199"/>
        <v>0</v>
      </c>
      <c r="AH243" s="233">
        <f t="shared" si="199"/>
        <v>0</v>
      </c>
      <c r="AI243" s="231">
        <f t="shared" si="199"/>
        <v>0</v>
      </c>
      <c r="AJ243" s="232">
        <f t="shared" si="199"/>
        <v>0</v>
      </c>
      <c r="AK243" s="805"/>
      <c r="AL243" s="233">
        <f>SUM(AL244:AL256)</f>
        <v>0</v>
      </c>
      <c r="AM243" s="232">
        <f>SUM(AM244:AM256)</f>
        <v>0</v>
      </c>
    </row>
    <row r="244" spans="19:39" ht="24.75" customHeight="1">
      <c r="S244" s="311" t="str">
        <f>+IF([1]ENERO!S244=0,"",[1]ENERO!S244)</f>
        <v>8002100-1</v>
      </c>
      <c r="T244" s="267" t="str">
        <f>[1]ENERO!T244</f>
        <v>Fondo de la Vivienda</v>
      </c>
      <c r="U244" s="884">
        <f>+[1]ENERO!U244</f>
        <v>0</v>
      </c>
      <c r="V244" s="220">
        <f>[1]ENERO!V244+[1]FEBRERO!AL244</f>
        <v>0</v>
      </c>
      <c r="W244" s="220">
        <f>[1]ENERO!W244+[1]FEBRERO!AM244</f>
        <v>0</v>
      </c>
      <c r="X244" s="271">
        <f t="shared" ref="X244:X256" si="200">SUM(U244:W244)</f>
        <v>0</v>
      </c>
      <c r="Y244" s="270">
        <f>[1]ENERO!AA244</f>
        <v>0</v>
      </c>
      <c r="Z244" s="208">
        <v>0</v>
      </c>
      <c r="AA244" s="271">
        <f t="shared" ref="AA244:AA256" si="201">SUM(Y244:Z244)</f>
        <v>0</v>
      </c>
      <c r="AB244" s="270">
        <f>[1]ENERO!AD244</f>
        <v>0</v>
      </c>
      <c r="AC244" s="208">
        <v>0</v>
      </c>
      <c r="AD244" s="271">
        <f t="shared" ref="AD244:AD256" si="202">SUM(AB244:AC244)</f>
        <v>0</v>
      </c>
      <c r="AE244" s="270">
        <f>[1]ENERO!AG244</f>
        <v>0</v>
      </c>
      <c r="AF244" s="208">
        <v>0</v>
      </c>
      <c r="AG244" s="271">
        <f t="shared" ref="AG244:AG256" si="203">SUM(AE244:AF244)</f>
        <v>0</v>
      </c>
      <c r="AH244" s="270">
        <f t="shared" ref="AH244:AH256" si="204">X244-AA244</f>
        <v>0</v>
      </c>
      <c r="AI244" s="220">
        <f t="shared" ref="AI244:AI256" si="205">X244-AD244</f>
        <v>0</v>
      </c>
      <c r="AJ244" s="269">
        <f t="shared" ref="AJ244:AJ256" si="206">X244-AG244</f>
        <v>0</v>
      </c>
      <c r="AK244" s="805"/>
      <c r="AL244" s="204">
        <v>0</v>
      </c>
      <c r="AM244" s="210">
        <v>0</v>
      </c>
    </row>
    <row r="245" spans="19:39" ht="24.75" customHeight="1">
      <c r="S245" s="311" t="str">
        <f>+IF([1]ENERO!S245=0,"",[1]ENERO!S245)</f>
        <v>8002100-2</v>
      </c>
      <c r="T245" s="267" t="str">
        <f>[1]ENERO!T245</f>
        <v>Plan Nacional de Vacunación</v>
      </c>
      <c r="U245" s="884">
        <f>+[1]ENERO!U245</f>
        <v>0</v>
      </c>
      <c r="V245" s="220">
        <f>[1]ENERO!V245+[1]FEBRERO!AL245</f>
        <v>0</v>
      </c>
      <c r="W245" s="220">
        <f>[1]ENERO!W245+[1]FEBRERO!AM245</f>
        <v>0</v>
      </c>
      <c r="X245" s="271">
        <f t="shared" si="200"/>
        <v>0</v>
      </c>
      <c r="Y245" s="270">
        <f>[1]ENERO!AA245</f>
        <v>0</v>
      </c>
      <c r="Z245" s="208">
        <v>0</v>
      </c>
      <c r="AA245" s="271">
        <f t="shared" si="201"/>
        <v>0</v>
      </c>
      <c r="AB245" s="270">
        <f>[1]ENERO!AD245</f>
        <v>0</v>
      </c>
      <c r="AC245" s="208">
        <v>0</v>
      </c>
      <c r="AD245" s="271">
        <f t="shared" si="202"/>
        <v>0</v>
      </c>
      <c r="AE245" s="270">
        <f>[1]ENERO!AG245</f>
        <v>0</v>
      </c>
      <c r="AF245" s="208">
        <v>0</v>
      </c>
      <c r="AG245" s="271">
        <f t="shared" si="203"/>
        <v>0</v>
      </c>
      <c r="AH245" s="270">
        <f t="shared" si="204"/>
        <v>0</v>
      </c>
      <c r="AI245" s="220">
        <f t="shared" si="205"/>
        <v>0</v>
      </c>
      <c r="AJ245" s="269">
        <f t="shared" si="206"/>
        <v>0</v>
      </c>
      <c r="AK245" s="805"/>
      <c r="AL245" s="204">
        <v>0</v>
      </c>
      <c r="AM245" s="210"/>
    </row>
    <row r="246" spans="19:39" ht="24.75" customHeight="1">
      <c r="S246" s="311" t="str">
        <f>+IF([1]ENERO!S246=0,"",[1]ENERO!S246)</f>
        <v>8002100-3</v>
      </c>
      <c r="T246" s="267" t="str">
        <f>[1]ENERO!T246</f>
        <v>Programas Especial 02</v>
      </c>
      <c r="U246" s="884">
        <f>+[1]ENERO!U246</f>
        <v>0</v>
      </c>
      <c r="V246" s="220">
        <f>[1]ENERO!V246+[1]FEBRERO!AL246</f>
        <v>0</v>
      </c>
      <c r="W246" s="220">
        <f>[1]ENERO!W246+[1]FEBRERO!AM246</f>
        <v>0</v>
      </c>
      <c r="X246" s="271">
        <f t="shared" si="200"/>
        <v>0</v>
      </c>
      <c r="Y246" s="270">
        <f>[1]ENERO!AA246</f>
        <v>0</v>
      </c>
      <c r="Z246" s="208">
        <v>0</v>
      </c>
      <c r="AA246" s="271">
        <f t="shared" si="201"/>
        <v>0</v>
      </c>
      <c r="AB246" s="270">
        <f>[1]ENERO!AD246</f>
        <v>0</v>
      </c>
      <c r="AC246" s="208">
        <v>0</v>
      </c>
      <c r="AD246" s="271">
        <f t="shared" si="202"/>
        <v>0</v>
      </c>
      <c r="AE246" s="270">
        <f>[1]ENERO!AG246</f>
        <v>0</v>
      </c>
      <c r="AF246" s="208">
        <v>0</v>
      </c>
      <c r="AG246" s="271">
        <f t="shared" si="203"/>
        <v>0</v>
      </c>
      <c r="AH246" s="270">
        <f t="shared" si="204"/>
        <v>0</v>
      </c>
      <c r="AI246" s="220">
        <f t="shared" si="205"/>
        <v>0</v>
      </c>
      <c r="AJ246" s="269">
        <f t="shared" si="206"/>
        <v>0</v>
      </c>
      <c r="AK246" s="805"/>
      <c r="AL246" s="204">
        <v>0</v>
      </c>
      <c r="AM246" s="210">
        <v>0</v>
      </c>
    </row>
    <row r="247" spans="19:39" ht="24.75" customHeight="1">
      <c r="S247" s="311" t="str">
        <f>+IF([1]ENERO!S247=0,"",[1]ENERO!S247)</f>
        <v>8002100-4</v>
      </c>
      <c r="T247" s="267" t="str">
        <f>[1]ENERO!T247</f>
        <v>Programas Especial 03</v>
      </c>
      <c r="U247" s="884">
        <f>+[1]ENERO!U247</f>
        <v>0</v>
      </c>
      <c r="V247" s="220">
        <f>[1]ENERO!V247+[1]FEBRERO!AL247</f>
        <v>0</v>
      </c>
      <c r="W247" s="220">
        <f>[1]ENERO!W247+[1]FEBRERO!AM247</f>
        <v>0</v>
      </c>
      <c r="X247" s="271">
        <f t="shared" si="200"/>
        <v>0</v>
      </c>
      <c r="Y247" s="270">
        <f>[1]ENERO!AA247</f>
        <v>0</v>
      </c>
      <c r="Z247" s="208">
        <v>0</v>
      </c>
      <c r="AA247" s="271">
        <f t="shared" si="201"/>
        <v>0</v>
      </c>
      <c r="AB247" s="270">
        <f>[1]ENERO!AD247</f>
        <v>0</v>
      </c>
      <c r="AC247" s="208">
        <v>0</v>
      </c>
      <c r="AD247" s="271">
        <f t="shared" si="202"/>
        <v>0</v>
      </c>
      <c r="AE247" s="270">
        <f>[1]ENERO!AG247</f>
        <v>0</v>
      </c>
      <c r="AF247" s="208">
        <v>0</v>
      </c>
      <c r="AG247" s="271">
        <f t="shared" si="203"/>
        <v>0</v>
      </c>
      <c r="AH247" s="270">
        <f t="shared" si="204"/>
        <v>0</v>
      </c>
      <c r="AI247" s="220">
        <f t="shared" si="205"/>
        <v>0</v>
      </c>
      <c r="AJ247" s="269">
        <f t="shared" si="206"/>
        <v>0</v>
      </c>
      <c r="AK247" s="805"/>
      <c r="AL247" s="204">
        <v>0</v>
      </c>
      <c r="AM247" s="210">
        <v>0</v>
      </c>
    </row>
    <row r="248" spans="19:39" ht="24.75" customHeight="1">
      <c r="S248" s="311" t="str">
        <f>+IF([1]ENERO!S248=0,"",[1]ENERO!S248)</f>
        <v>8002100-5</v>
      </c>
      <c r="T248" s="267" t="str">
        <f>[1]ENERO!T248</f>
        <v>Programas Especial 04</v>
      </c>
      <c r="U248" s="884">
        <f>+[1]ENERO!U248</f>
        <v>0</v>
      </c>
      <c r="V248" s="220">
        <f>[1]ENERO!V248+[1]FEBRERO!AL248</f>
        <v>0</v>
      </c>
      <c r="W248" s="220">
        <f>[1]ENERO!W248+[1]FEBRERO!AM248</f>
        <v>0</v>
      </c>
      <c r="X248" s="271">
        <f t="shared" si="200"/>
        <v>0</v>
      </c>
      <c r="Y248" s="270">
        <f>[1]ENERO!AA248</f>
        <v>0</v>
      </c>
      <c r="Z248" s="208">
        <v>0</v>
      </c>
      <c r="AA248" s="271">
        <f t="shared" si="201"/>
        <v>0</v>
      </c>
      <c r="AB248" s="270">
        <f>[1]ENERO!AD248</f>
        <v>0</v>
      </c>
      <c r="AC248" s="208">
        <v>0</v>
      </c>
      <c r="AD248" s="271">
        <f t="shared" si="202"/>
        <v>0</v>
      </c>
      <c r="AE248" s="270">
        <f>[1]ENERO!AG248</f>
        <v>0</v>
      </c>
      <c r="AF248" s="208">
        <v>0</v>
      </c>
      <c r="AG248" s="271">
        <f t="shared" si="203"/>
        <v>0</v>
      </c>
      <c r="AH248" s="270">
        <f t="shared" si="204"/>
        <v>0</v>
      </c>
      <c r="AI248" s="220">
        <f t="shared" si="205"/>
        <v>0</v>
      </c>
      <c r="AJ248" s="269">
        <f t="shared" si="206"/>
        <v>0</v>
      </c>
      <c r="AK248" s="805"/>
      <c r="AL248" s="204">
        <v>0</v>
      </c>
      <c r="AM248" s="210">
        <v>0</v>
      </c>
    </row>
    <row r="249" spans="19:39" ht="24.75" customHeight="1">
      <c r="S249" s="311" t="str">
        <f>+IF([1]ENERO!S249=0,"",[1]ENERO!S249)</f>
        <v>8002100-6</v>
      </c>
      <c r="T249" s="267" t="str">
        <f>[1]ENERO!T249</f>
        <v>Programas Especial 05</v>
      </c>
      <c r="U249" s="884">
        <f>+[1]ENERO!U249</f>
        <v>0</v>
      </c>
      <c r="V249" s="220">
        <f>[1]ENERO!V249+[1]FEBRERO!AL249</f>
        <v>0</v>
      </c>
      <c r="W249" s="220">
        <f>[1]ENERO!W249+[1]FEBRERO!AM249</f>
        <v>0</v>
      </c>
      <c r="X249" s="271">
        <f t="shared" si="200"/>
        <v>0</v>
      </c>
      <c r="Y249" s="270">
        <f>[1]ENERO!AA249</f>
        <v>0</v>
      </c>
      <c r="Z249" s="208">
        <v>0</v>
      </c>
      <c r="AA249" s="271">
        <f t="shared" si="201"/>
        <v>0</v>
      </c>
      <c r="AB249" s="270">
        <f>[1]ENERO!AD249</f>
        <v>0</v>
      </c>
      <c r="AC249" s="208">
        <v>0</v>
      </c>
      <c r="AD249" s="271">
        <f t="shared" si="202"/>
        <v>0</v>
      </c>
      <c r="AE249" s="270">
        <f>[1]ENERO!AG249</f>
        <v>0</v>
      </c>
      <c r="AF249" s="208">
        <v>0</v>
      </c>
      <c r="AG249" s="271">
        <f t="shared" si="203"/>
        <v>0</v>
      </c>
      <c r="AH249" s="270">
        <f t="shared" si="204"/>
        <v>0</v>
      </c>
      <c r="AI249" s="220">
        <f t="shared" si="205"/>
        <v>0</v>
      </c>
      <c r="AJ249" s="269">
        <f t="shared" si="206"/>
        <v>0</v>
      </c>
      <c r="AK249" s="805"/>
      <c r="AL249" s="204">
        <v>0</v>
      </c>
      <c r="AM249" s="210">
        <v>0</v>
      </c>
    </row>
    <row r="250" spans="19:39" ht="24.75" customHeight="1">
      <c r="S250" s="311" t="str">
        <f>+IF([1]ENERO!S250=0,"",[1]ENERO!S250)</f>
        <v>8002100-7</v>
      </c>
      <c r="T250" s="267" t="str">
        <f>[1]ENERO!T250</f>
        <v>Programas Especial 06</v>
      </c>
      <c r="U250" s="884">
        <f>+[1]ENERO!U250</f>
        <v>0</v>
      </c>
      <c r="V250" s="220">
        <f>[1]ENERO!V250+[1]FEBRERO!AL250</f>
        <v>0</v>
      </c>
      <c r="W250" s="220">
        <f>[1]ENERO!W250+[1]FEBRERO!AM250</f>
        <v>0</v>
      </c>
      <c r="X250" s="271">
        <f t="shared" si="200"/>
        <v>0</v>
      </c>
      <c r="Y250" s="270">
        <f>[1]ENERO!AA250</f>
        <v>0</v>
      </c>
      <c r="Z250" s="208">
        <v>0</v>
      </c>
      <c r="AA250" s="271">
        <f t="shared" si="201"/>
        <v>0</v>
      </c>
      <c r="AB250" s="270">
        <f>[1]ENERO!AD250</f>
        <v>0</v>
      </c>
      <c r="AC250" s="208">
        <v>0</v>
      </c>
      <c r="AD250" s="271">
        <f t="shared" si="202"/>
        <v>0</v>
      </c>
      <c r="AE250" s="270">
        <f>[1]ENERO!AG250</f>
        <v>0</v>
      </c>
      <c r="AF250" s="208">
        <v>0</v>
      </c>
      <c r="AG250" s="271">
        <f t="shared" si="203"/>
        <v>0</v>
      </c>
      <c r="AH250" s="270">
        <f t="shared" si="204"/>
        <v>0</v>
      </c>
      <c r="AI250" s="220">
        <f t="shared" si="205"/>
        <v>0</v>
      </c>
      <c r="AJ250" s="269">
        <f t="shared" si="206"/>
        <v>0</v>
      </c>
      <c r="AK250" s="805"/>
      <c r="AL250" s="204">
        <v>0</v>
      </c>
      <c r="AM250" s="210">
        <v>0</v>
      </c>
    </row>
    <row r="251" spans="19:39" ht="24.75" customHeight="1">
      <c r="S251" s="311" t="str">
        <f>+IF([1]ENERO!S251=0,"",[1]ENERO!S251)</f>
        <v>8002100-8</v>
      </c>
      <c r="T251" s="267" t="str">
        <f>[1]ENERO!T251</f>
        <v>Programas Especial 07</v>
      </c>
      <c r="U251" s="884">
        <f>+[1]ENERO!U251</f>
        <v>0</v>
      </c>
      <c r="V251" s="220">
        <f>[1]ENERO!V251+[1]FEBRERO!AL251</f>
        <v>0</v>
      </c>
      <c r="W251" s="220">
        <f>[1]ENERO!W251+[1]FEBRERO!AM251</f>
        <v>0</v>
      </c>
      <c r="X251" s="271">
        <f t="shared" si="200"/>
        <v>0</v>
      </c>
      <c r="Y251" s="270">
        <f>[1]ENERO!AA251</f>
        <v>0</v>
      </c>
      <c r="Z251" s="208">
        <v>0</v>
      </c>
      <c r="AA251" s="271">
        <f t="shared" si="201"/>
        <v>0</v>
      </c>
      <c r="AB251" s="270">
        <f>[1]ENERO!AD251</f>
        <v>0</v>
      </c>
      <c r="AC251" s="208">
        <v>0</v>
      </c>
      <c r="AD251" s="271">
        <f t="shared" si="202"/>
        <v>0</v>
      </c>
      <c r="AE251" s="270">
        <f>[1]ENERO!AG251</f>
        <v>0</v>
      </c>
      <c r="AF251" s="208">
        <v>0</v>
      </c>
      <c r="AG251" s="271">
        <f t="shared" si="203"/>
        <v>0</v>
      </c>
      <c r="AH251" s="270">
        <f t="shared" si="204"/>
        <v>0</v>
      </c>
      <c r="AI251" s="220">
        <f t="shared" si="205"/>
        <v>0</v>
      </c>
      <c r="AJ251" s="269">
        <f t="shared" si="206"/>
        <v>0</v>
      </c>
      <c r="AK251" s="805"/>
      <c r="AL251" s="204">
        <v>0</v>
      </c>
      <c r="AM251" s="210">
        <v>0</v>
      </c>
    </row>
    <row r="252" spans="19:39" ht="24.75" customHeight="1">
      <c r="S252" s="311" t="str">
        <f>+IF([1]ENERO!S252=0,"",[1]ENERO!S252)</f>
        <v>8002100-9</v>
      </c>
      <c r="T252" s="267" t="str">
        <f>[1]ENERO!T252</f>
        <v>Programas Especial 08</v>
      </c>
      <c r="U252" s="884">
        <f>+[1]ENERO!U252</f>
        <v>0</v>
      </c>
      <c r="V252" s="220">
        <f>[1]ENERO!V252+[1]FEBRERO!AL252</f>
        <v>0</v>
      </c>
      <c r="W252" s="220">
        <f>[1]ENERO!W252+[1]FEBRERO!AM252</f>
        <v>0</v>
      </c>
      <c r="X252" s="271">
        <f t="shared" si="200"/>
        <v>0</v>
      </c>
      <c r="Y252" s="270">
        <f>[1]ENERO!AA252</f>
        <v>0</v>
      </c>
      <c r="Z252" s="208">
        <v>0</v>
      </c>
      <c r="AA252" s="271">
        <f t="shared" si="201"/>
        <v>0</v>
      </c>
      <c r="AB252" s="270">
        <f>[1]ENERO!AD252</f>
        <v>0</v>
      </c>
      <c r="AC252" s="208">
        <v>0</v>
      </c>
      <c r="AD252" s="271">
        <f t="shared" si="202"/>
        <v>0</v>
      </c>
      <c r="AE252" s="270">
        <f>[1]ENERO!AG252</f>
        <v>0</v>
      </c>
      <c r="AF252" s="208">
        <v>0</v>
      </c>
      <c r="AG252" s="271">
        <f t="shared" si="203"/>
        <v>0</v>
      </c>
      <c r="AH252" s="270">
        <f t="shared" si="204"/>
        <v>0</v>
      </c>
      <c r="AI252" s="220">
        <f t="shared" si="205"/>
        <v>0</v>
      </c>
      <c r="AJ252" s="269">
        <f t="shared" si="206"/>
        <v>0</v>
      </c>
      <c r="AK252" s="805"/>
      <c r="AL252" s="204">
        <v>0</v>
      </c>
      <c r="AM252" s="210">
        <v>0</v>
      </c>
    </row>
    <row r="253" spans="19:39" ht="24.75" customHeight="1">
      <c r="S253" s="311" t="str">
        <f>+IF([1]ENERO!S253=0,"",[1]ENERO!S253)</f>
        <v>8002100-10</v>
      </c>
      <c r="T253" s="267" t="str">
        <f>[1]ENERO!T253</f>
        <v>Programas Especial 09</v>
      </c>
      <c r="U253" s="884">
        <f>+[1]ENERO!U253</f>
        <v>0</v>
      </c>
      <c r="V253" s="220">
        <f>[1]ENERO!V253+[1]FEBRERO!AL253</f>
        <v>0</v>
      </c>
      <c r="W253" s="220">
        <f>[1]ENERO!W253+[1]FEBRERO!AM253</f>
        <v>0</v>
      </c>
      <c r="X253" s="271">
        <f t="shared" si="200"/>
        <v>0</v>
      </c>
      <c r="Y253" s="270">
        <f>[1]ENERO!AA253</f>
        <v>0</v>
      </c>
      <c r="Z253" s="208">
        <v>0</v>
      </c>
      <c r="AA253" s="271">
        <f t="shared" si="201"/>
        <v>0</v>
      </c>
      <c r="AB253" s="270">
        <f>[1]ENERO!AD253</f>
        <v>0</v>
      </c>
      <c r="AC253" s="208">
        <v>0</v>
      </c>
      <c r="AD253" s="271">
        <f t="shared" si="202"/>
        <v>0</v>
      </c>
      <c r="AE253" s="270">
        <f>[1]ENERO!AG253</f>
        <v>0</v>
      </c>
      <c r="AF253" s="208">
        <v>0</v>
      </c>
      <c r="AG253" s="271">
        <f t="shared" si="203"/>
        <v>0</v>
      </c>
      <c r="AH253" s="270">
        <f t="shared" si="204"/>
        <v>0</v>
      </c>
      <c r="AI253" s="220">
        <f t="shared" si="205"/>
        <v>0</v>
      </c>
      <c r="AJ253" s="269">
        <f t="shared" si="206"/>
        <v>0</v>
      </c>
      <c r="AK253" s="805"/>
      <c r="AL253" s="204">
        <v>0</v>
      </c>
      <c r="AM253" s="210">
        <v>0</v>
      </c>
    </row>
    <row r="254" spans="19:39" ht="24.75" customHeight="1">
      <c r="S254" s="311" t="str">
        <f>+IF([1]ENERO!S254=0,"",[1]ENERO!S254)</f>
        <v>8002100-11</v>
      </c>
      <c r="T254" s="267" t="str">
        <f>[1]ENERO!T254</f>
        <v>Programas Especial 10</v>
      </c>
      <c r="U254" s="884">
        <f>+[1]ENERO!U254</f>
        <v>0</v>
      </c>
      <c r="V254" s="220">
        <f>[1]ENERO!V254+[1]FEBRERO!AL254</f>
        <v>0</v>
      </c>
      <c r="W254" s="220">
        <f>[1]ENERO!W254+[1]FEBRERO!AM254</f>
        <v>0</v>
      </c>
      <c r="X254" s="271">
        <f t="shared" si="200"/>
        <v>0</v>
      </c>
      <c r="Y254" s="270">
        <f>[1]ENERO!AA254</f>
        <v>0</v>
      </c>
      <c r="Z254" s="208">
        <v>0</v>
      </c>
      <c r="AA254" s="271">
        <f t="shared" si="201"/>
        <v>0</v>
      </c>
      <c r="AB254" s="270">
        <f>[1]ENERO!AD254</f>
        <v>0</v>
      </c>
      <c r="AC254" s="208">
        <v>0</v>
      </c>
      <c r="AD254" s="271">
        <f t="shared" si="202"/>
        <v>0</v>
      </c>
      <c r="AE254" s="270">
        <f>[1]ENERO!AG254</f>
        <v>0</v>
      </c>
      <c r="AF254" s="208">
        <v>0</v>
      </c>
      <c r="AG254" s="271">
        <f t="shared" si="203"/>
        <v>0</v>
      </c>
      <c r="AH254" s="270">
        <f t="shared" si="204"/>
        <v>0</v>
      </c>
      <c r="AI254" s="220">
        <f t="shared" si="205"/>
        <v>0</v>
      </c>
      <c r="AJ254" s="269">
        <f t="shared" si="206"/>
        <v>0</v>
      </c>
      <c r="AK254" s="805"/>
      <c r="AL254" s="204">
        <v>0</v>
      </c>
      <c r="AM254" s="210">
        <v>0</v>
      </c>
    </row>
    <row r="255" spans="19:39" ht="24.75" customHeight="1">
      <c r="S255" s="311" t="str">
        <f>+IF([1]ENERO!S255=0,"",[1]ENERO!S255)</f>
        <v>8002100-12</v>
      </c>
      <c r="T255" s="267" t="str">
        <f>[1]ENERO!T255</f>
        <v>Programas Especial 11</v>
      </c>
      <c r="U255" s="884">
        <f>+[1]ENERO!U255</f>
        <v>0</v>
      </c>
      <c r="V255" s="220">
        <f>[1]ENERO!V255+[1]FEBRERO!AL255</f>
        <v>0</v>
      </c>
      <c r="W255" s="220">
        <f>[1]ENERO!W255+[1]FEBRERO!AM255</f>
        <v>0</v>
      </c>
      <c r="X255" s="271">
        <f t="shared" si="200"/>
        <v>0</v>
      </c>
      <c r="Y255" s="270">
        <f>[1]ENERO!AA255</f>
        <v>0</v>
      </c>
      <c r="Z255" s="208">
        <v>0</v>
      </c>
      <c r="AA255" s="271">
        <f t="shared" si="201"/>
        <v>0</v>
      </c>
      <c r="AB255" s="270">
        <f>[1]ENERO!AD255</f>
        <v>0</v>
      </c>
      <c r="AC255" s="208">
        <v>0</v>
      </c>
      <c r="AD255" s="271">
        <f t="shared" si="202"/>
        <v>0</v>
      </c>
      <c r="AE255" s="270">
        <f>[1]ENERO!AG255</f>
        <v>0</v>
      </c>
      <c r="AF255" s="208">
        <v>0</v>
      </c>
      <c r="AG255" s="271">
        <f t="shared" si="203"/>
        <v>0</v>
      </c>
      <c r="AH255" s="270">
        <f t="shared" si="204"/>
        <v>0</v>
      </c>
      <c r="AI255" s="220">
        <f t="shared" si="205"/>
        <v>0</v>
      </c>
      <c r="AJ255" s="269">
        <f t="shared" si="206"/>
        <v>0</v>
      </c>
      <c r="AK255" s="805"/>
      <c r="AL255" s="204">
        <v>0</v>
      </c>
      <c r="AM255" s="210">
        <v>0</v>
      </c>
    </row>
    <row r="256" spans="19:39" ht="24.75" customHeight="1" thickBot="1">
      <c r="S256" s="499" t="str">
        <f>+IF([1]ENERO!S256=0,"",[1]ENERO!S256)</f>
        <v>2.3.2.01.01.99</v>
      </c>
      <c r="T256" s="267" t="str">
        <f>[1]ENERO!T256</f>
        <v>Vigencias Anteriores Activos Fijos</v>
      </c>
      <c r="U256" s="547">
        <f>+[1]ENERO!U256</f>
        <v>0</v>
      </c>
      <c r="V256" s="468">
        <f>[1]ENERO!V256+[1]FEBRERO!AL256</f>
        <v>0</v>
      </c>
      <c r="W256" s="468">
        <f>[1]ENERO!W256+[1]FEBRERO!AM256</f>
        <v>0</v>
      </c>
      <c r="X256" s="471">
        <f t="shared" si="200"/>
        <v>0</v>
      </c>
      <c r="Y256" s="470">
        <f>[1]ENERO!AA256</f>
        <v>0</v>
      </c>
      <c r="Z256" s="246">
        <v>0</v>
      </c>
      <c r="AA256" s="471">
        <f t="shared" si="201"/>
        <v>0</v>
      </c>
      <c r="AB256" s="470">
        <f>[1]ENERO!AD256</f>
        <v>0</v>
      </c>
      <c r="AC256" s="246">
        <v>0</v>
      </c>
      <c r="AD256" s="471">
        <f t="shared" si="202"/>
        <v>0</v>
      </c>
      <c r="AE256" s="470">
        <f>[1]ENERO!AG256</f>
        <v>0</v>
      </c>
      <c r="AF256" s="246">
        <v>0</v>
      </c>
      <c r="AG256" s="471">
        <f t="shared" si="203"/>
        <v>0</v>
      </c>
      <c r="AH256" s="470">
        <f t="shared" si="204"/>
        <v>0</v>
      </c>
      <c r="AI256" s="468">
        <f t="shared" si="205"/>
        <v>0</v>
      </c>
      <c r="AJ256" s="469">
        <f t="shared" si="206"/>
        <v>0</v>
      </c>
      <c r="AK256" s="805"/>
      <c r="AL256" s="242">
        <v>0</v>
      </c>
      <c r="AM256" s="248">
        <v>0</v>
      </c>
    </row>
    <row r="257" spans="19:39" ht="24.75" customHeight="1" thickBot="1">
      <c r="S257" s="885" t="str">
        <f>+IF([1]ENERO!S257=0,"",[1]ENERO!S257)</f>
        <v/>
      </c>
      <c r="T257" s="803"/>
      <c r="U257" s="887"/>
      <c r="V257" s="887"/>
      <c r="W257" s="887"/>
      <c r="X257" s="887"/>
      <c r="Y257" s="887"/>
      <c r="Z257" s="887"/>
      <c r="AA257" s="887"/>
      <c r="AB257" s="887"/>
      <c r="AC257" s="887"/>
      <c r="AD257" s="887"/>
      <c r="AE257" s="887"/>
      <c r="AF257" s="887"/>
      <c r="AG257" s="887"/>
      <c r="AH257" s="887"/>
      <c r="AI257" s="887"/>
      <c r="AJ257" s="484"/>
      <c r="AK257" s="827"/>
      <c r="AL257" s="889"/>
      <c r="AM257" s="502"/>
    </row>
    <row r="258" spans="19:39" ht="24.75" customHeight="1" thickBot="1">
      <c r="S258" s="503" t="s">
        <v>342</v>
      </c>
      <c r="T258" s="504" t="s">
        <v>197</v>
      </c>
      <c r="U258" s="136">
        <f t="shared" ref="U258:AJ258" si="207">+(C10+C17+C113)-(U10+U193+U220+U232)</f>
        <v>0.30987548828125</v>
      </c>
      <c r="V258" s="136">
        <f t="shared" si="207"/>
        <v>0</v>
      </c>
      <c r="W258" s="136">
        <f t="shared" si="207"/>
        <v>100</v>
      </c>
      <c r="X258" s="136">
        <f t="shared" si="207"/>
        <v>0.30987548828125</v>
      </c>
      <c r="Y258" s="136">
        <f t="shared" si="207"/>
        <v>-45610824551</v>
      </c>
      <c r="Z258" s="136">
        <f t="shared" si="207"/>
        <v>6198279738</v>
      </c>
      <c r="AA258" s="136">
        <f t="shared" si="207"/>
        <v>-39412544813</v>
      </c>
      <c r="AB258" s="136">
        <f t="shared" si="207"/>
        <v>-10218883749</v>
      </c>
      <c r="AC258" s="136">
        <f t="shared" si="207"/>
        <v>-8265163189</v>
      </c>
      <c r="AD258" s="136">
        <f t="shared" si="207"/>
        <v>-18484046938</v>
      </c>
      <c r="AE258" s="136">
        <f t="shared" si="207"/>
        <v>115145400915.47652</v>
      </c>
      <c r="AF258" s="136">
        <f t="shared" si="207"/>
        <v>141372504919.4765</v>
      </c>
      <c r="AG258" s="136">
        <f t="shared" si="207"/>
        <v>-19618161756</v>
      </c>
      <c r="AH258" s="136">
        <f t="shared" si="207"/>
        <v>-85433138354.166656</v>
      </c>
      <c r="AI258" s="136">
        <f t="shared" si="207"/>
        <v>-124161102697.16666</v>
      </c>
      <c r="AJ258" s="890">
        <f t="shared" si="207"/>
        <v>-153571694676.16666</v>
      </c>
      <c r="AK258" s="805"/>
      <c r="AL258" s="134">
        <v>0</v>
      </c>
      <c r="AM258" s="135">
        <v>0</v>
      </c>
    </row>
    <row r="259" spans="19:39" ht="24.75" customHeight="1" thickBot="1">
      <c r="S259" s="1405"/>
      <c r="T259" s="1406"/>
      <c r="U259" s="891"/>
      <c r="V259" s="891"/>
      <c r="W259" s="891"/>
      <c r="X259" s="891"/>
      <c r="Y259" s="891"/>
      <c r="Z259" s="891"/>
      <c r="AA259" s="891"/>
      <c r="AB259" s="891"/>
      <c r="AC259" s="891"/>
      <c r="AD259" s="891"/>
      <c r="AE259" s="891"/>
      <c r="AF259" s="891"/>
      <c r="AG259" s="891"/>
      <c r="AH259" s="891"/>
      <c r="AI259" s="891"/>
      <c r="AJ259" s="892"/>
      <c r="AK259" s="827"/>
      <c r="AL259" s="508">
        <f>+SUMIF(AK8:AK256,AK33,AL8:AL256)</f>
        <v>0</v>
      </c>
      <c r="AM259" s="509">
        <f>+SUMIF(AL8:AL256,AL33,AM8:AM256)</f>
        <v>43116533967</v>
      </c>
    </row>
    <row r="260" spans="19:39" ht="24.75" customHeight="1" thickBot="1">
      <c r="S260" s="510" t="s">
        <v>343</v>
      </c>
      <c r="T260" s="511"/>
      <c r="U260" s="512">
        <f t="shared" ref="U260:AJ260" si="208">+U8-U262</f>
        <v>135355804552.9446</v>
      </c>
      <c r="V260" s="512">
        <f t="shared" si="208"/>
        <v>-1175559635</v>
      </c>
      <c r="W260" s="512">
        <f t="shared" si="208"/>
        <v>14887888450</v>
      </c>
      <c r="X260" s="512">
        <f t="shared" si="208"/>
        <v>148617350938.94461</v>
      </c>
      <c r="Y260" s="512">
        <f t="shared" si="208"/>
        <v>62145308155</v>
      </c>
      <c r="Z260" s="512">
        <f t="shared" si="208"/>
        <v>9339662872</v>
      </c>
      <c r="AA260" s="512">
        <f t="shared" si="208"/>
        <v>71484971027</v>
      </c>
      <c r="AB260" s="512">
        <f t="shared" si="208"/>
        <v>11683626867</v>
      </c>
      <c r="AC260" s="512">
        <f t="shared" si="208"/>
        <v>12434345029</v>
      </c>
      <c r="AD260" s="512">
        <f t="shared" si="208"/>
        <v>24117971896</v>
      </c>
      <c r="AE260" s="512">
        <f t="shared" si="208"/>
        <v>772532970</v>
      </c>
      <c r="AF260" s="512">
        <f t="shared" si="208"/>
        <v>2580081737</v>
      </c>
      <c r="AG260" s="512">
        <f t="shared" si="208"/>
        <v>3352614707</v>
      </c>
      <c r="AH260" s="512">
        <f t="shared" si="208"/>
        <v>77132379911.944595</v>
      </c>
      <c r="AI260" s="512">
        <f t="shared" si="208"/>
        <v>124499379042.9446</v>
      </c>
      <c r="AJ260" s="513">
        <f t="shared" si="208"/>
        <v>145264736231.94461</v>
      </c>
      <c r="AK260" s="827"/>
      <c r="AL260" s="697"/>
      <c r="AM260" s="697"/>
    </row>
    <row r="261" spans="19:39" ht="24.75" customHeight="1" thickBot="1">
      <c r="S261" s="514"/>
      <c r="T261" s="515"/>
      <c r="U261" s="516"/>
      <c r="V261" s="516"/>
      <c r="W261" s="516"/>
      <c r="X261" s="516"/>
      <c r="Y261" s="516"/>
      <c r="Z261" s="516"/>
      <c r="AA261" s="516"/>
      <c r="AB261" s="516"/>
      <c r="AC261" s="516"/>
      <c r="AD261" s="516"/>
      <c r="AE261" s="516"/>
      <c r="AF261" s="516"/>
      <c r="AG261" s="516"/>
      <c r="AH261" s="516"/>
      <c r="AI261" s="516"/>
      <c r="AJ261" s="517"/>
      <c r="AK261" s="827"/>
      <c r="AL261" s="697"/>
      <c r="AM261" s="697"/>
    </row>
    <row r="262" spans="19:39" ht="24.75" customHeight="1" thickBot="1">
      <c r="S262" s="518" t="s">
        <v>344</v>
      </c>
      <c r="T262" s="519"/>
      <c r="U262" s="660">
        <f>SUM(U256+U241+U230+U225+U218+U207+U191+U182+U167+U153+U139+U121+U108+U102+U88+U81+U61+U55+U41+U33)</f>
        <v>22787348584.222057</v>
      </c>
      <c r="V262" s="660">
        <f>SUM(V33+V41+V55+V61+V81+V88+V102+V108+V121+V139+V143+V153+V167+V173+V182+V191+V207+V218)</f>
        <v>1175559635</v>
      </c>
      <c r="W262" s="660">
        <f>SUM(W33+W41+W55+W61+W81+W88+W102+W108+W121+W139+W143+W153+W167+W173+W182+W191+W207+W218)</f>
        <v>158814745</v>
      </c>
      <c r="X262" s="660">
        <f t="shared" ref="X262:AJ262" si="209">SUM(X256+X241+X230+X225+X218+X207+X191+X182+X167+X153+X139+X121+X108+X102+X88+X81+X61+X55+X41+X33)</f>
        <v>24572505493.222057</v>
      </c>
      <c r="Y262" s="660">
        <f t="shared" si="209"/>
        <v>8945723216</v>
      </c>
      <c r="Z262" s="660">
        <f t="shared" si="209"/>
        <v>7326023835</v>
      </c>
      <c r="AA262" s="660">
        <f t="shared" si="209"/>
        <v>16271747051</v>
      </c>
      <c r="AB262" s="660">
        <f t="shared" si="209"/>
        <v>8945723216</v>
      </c>
      <c r="AC262" s="660">
        <f t="shared" si="209"/>
        <v>7319823835</v>
      </c>
      <c r="AD262" s="660">
        <f t="shared" si="209"/>
        <v>16265547051</v>
      </c>
      <c r="AE262" s="660">
        <f t="shared" si="209"/>
        <v>8927749282</v>
      </c>
      <c r="AF262" s="660">
        <f t="shared" si="209"/>
        <v>7337797767</v>
      </c>
      <c r="AG262" s="660">
        <f t="shared" si="209"/>
        <v>16265547049</v>
      </c>
      <c r="AH262" s="660">
        <f t="shared" si="209"/>
        <v>8300758442.2220573</v>
      </c>
      <c r="AI262" s="660">
        <f t="shared" si="209"/>
        <v>8306958442.2220573</v>
      </c>
      <c r="AJ262" s="660">
        <f t="shared" si="209"/>
        <v>8306958444.2220573</v>
      </c>
      <c r="AK262" s="771"/>
      <c r="AL262" s="766"/>
      <c r="AM262" s="766"/>
    </row>
    <row r="263" spans="19:39" ht="24.75" customHeight="1" thickBot="1">
      <c r="S263" s="514"/>
      <c r="T263" s="515"/>
      <c r="U263" s="515"/>
      <c r="V263" s="516"/>
      <c r="W263" s="516"/>
      <c r="X263" s="516"/>
      <c r="Y263" s="516"/>
      <c r="Z263" s="516"/>
      <c r="AA263" s="516"/>
      <c r="AB263" s="516"/>
      <c r="AC263" s="516"/>
      <c r="AD263" s="516"/>
      <c r="AE263" s="516"/>
      <c r="AF263" s="516"/>
      <c r="AG263" s="516"/>
      <c r="AH263" s="516"/>
      <c r="AI263" s="516"/>
      <c r="AJ263" s="516"/>
      <c r="AK263" s="771"/>
      <c r="AL263" s="766"/>
      <c r="AM263" s="766"/>
    </row>
    <row r="264" spans="19:39" ht="24.75" customHeight="1" thickBot="1">
      <c r="S264" s="520" t="s">
        <v>345</v>
      </c>
      <c r="T264" s="521"/>
      <c r="U264" s="522">
        <f t="shared" ref="U264:AJ264" si="210">+U260+U262</f>
        <v>158143153137.16666</v>
      </c>
      <c r="V264" s="522">
        <f t="shared" si="210"/>
        <v>0</v>
      </c>
      <c r="W264" s="522">
        <f t="shared" si="210"/>
        <v>15046703195</v>
      </c>
      <c r="X264" s="522">
        <f t="shared" si="210"/>
        <v>173189856432.16666</v>
      </c>
      <c r="Y264" s="522">
        <f t="shared" si="210"/>
        <v>71091031371</v>
      </c>
      <c r="Z264" s="522">
        <f t="shared" si="210"/>
        <v>16665686707</v>
      </c>
      <c r="AA264" s="522">
        <f t="shared" si="210"/>
        <v>87756718078</v>
      </c>
      <c r="AB264" s="522">
        <f t="shared" si="210"/>
        <v>20629350083</v>
      </c>
      <c r="AC264" s="522">
        <f t="shared" si="210"/>
        <v>19754168864</v>
      </c>
      <c r="AD264" s="522">
        <f t="shared" si="210"/>
        <v>40383518947</v>
      </c>
      <c r="AE264" s="522">
        <f t="shared" si="210"/>
        <v>9700282252</v>
      </c>
      <c r="AF264" s="522">
        <f t="shared" si="210"/>
        <v>9917879504</v>
      </c>
      <c r="AG264" s="522">
        <f t="shared" si="210"/>
        <v>19618161756</v>
      </c>
      <c r="AH264" s="522">
        <f t="shared" si="210"/>
        <v>85433138354.166656</v>
      </c>
      <c r="AI264" s="522">
        <f t="shared" si="210"/>
        <v>132806337485.16666</v>
      </c>
      <c r="AJ264" s="523">
        <f t="shared" si="210"/>
        <v>153571694676.16666</v>
      </c>
      <c r="AK264" s="771"/>
      <c r="AL264" s="766"/>
      <c r="AM264" s="766"/>
    </row>
  </sheetData>
  <mergeCells count="54">
    <mergeCell ref="BG5:BG6"/>
    <mergeCell ref="BH5:BK5"/>
    <mergeCell ref="A1:B1"/>
    <mergeCell ref="BM2:BO2"/>
    <mergeCell ref="AP3:AZ3"/>
    <mergeCell ref="BB3:BC3"/>
    <mergeCell ref="BM3:BO3"/>
    <mergeCell ref="B3:B4"/>
    <mergeCell ref="BM5:BM6"/>
    <mergeCell ref="BN5:BQ5"/>
    <mergeCell ref="AE5:AG5"/>
    <mergeCell ref="AH5:AJ5"/>
    <mergeCell ref="V2:X2"/>
    <mergeCell ref="Y2:AG2"/>
    <mergeCell ref="BG2:BI2"/>
    <mergeCell ref="BG3:BI3"/>
    <mergeCell ref="BC5:BE5"/>
    <mergeCell ref="T5:T6"/>
    <mergeCell ref="C1:J1"/>
    <mergeCell ref="K1:N1"/>
    <mergeCell ref="L2:M2"/>
    <mergeCell ref="P2:Q2"/>
    <mergeCell ref="AW4:AZ4"/>
    <mergeCell ref="AH2:AI2"/>
    <mergeCell ref="AL2:AM2"/>
    <mergeCell ref="AP2:AZ2"/>
    <mergeCell ref="BB2:BC2"/>
    <mergeCell ref="S259:T259"/>
    <mergeCell ref="D2:E2"/>
    <mergeCell ref="D3:E4"/>
    <mergeCell ref="A5:A6"/>
    <mergeCell ref="B5:B6"/>
    <mergeCell ref="C5:F5"/>
    <mergeCell ref="F3:K4"/>
    <mergeCell ref="L3:M4"/>
    <mergeCell ref="P3:P5"/>
    <mergeCell ref="Q3:Q5"/>
    <mergeCell ref="G5:I5"/>
    <mergeCell ref="J5:L5"/>
    <mergeCell ref="M5:N5"/>
    <mergeCell ref="N3:N4"/>
    <mergeCell ref="T3:T4"/>
    <mergeCell ref="S5:S6"/>
    <mergeCell ref="AW19:AZ19"/>
    <mergeCell ref="AW35:AX35"/>
    <mergeCell ref="V3:X4"/>
    <mergeCell ref="Y3:AG4"/>
    <mergeCell ref="AH3:AI4"/>
    <mergeCell ref="AJ3:AJ4"/>
    <mergeCell ref="AL3:AL5"/>
    <mergeCell ref="AM3:AM5"/>
    <mergeCell ref="U5:X5"/>
    <mergeCell ref="Y5:AA5"/>
    <mergeCell ref="AB5:AD5"/>
  </mergeCells>
  <conditionalFormatting sqref="B5:B7">
    <cfRule type="expression" dxfId="156" priority="19" stopIfTrue="1">
      <formula>$B$5="OJO - RECUERDE RECAUDAR LA DISPONIBLIDAD INICIAL EN ESTE TRIMESTRE, haga clik en H9 para ampliar la información"</formula>
    </cfRule>
  </conditionalFormatting>
  <dataValidations disablePrompts="1" count="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xr:uid="{00000000-0002-0000-0200-000000000000}"/>
    <dataValidation allowBlank="1" showInputMessage="1" showErrorMessage="1" promptTitle="ATENCION..." prompt="Las actividades de Promoción y Prevención se manejaran en cada régimen." sqref="A23:C24 P23:Q24 K23:K24 H23:H24" xr:uid="{00000000-0002-0000-0200-000001000000}"/>
    <dataValidation allowBlank="1" showInputMessage="1" showErrorMessage="1" promptTitle="ATENCION..." prompt="Las actividades de Promoción y Prevención se manejaran en su respectivo régimen." sqref="H43:H44 P43:Q44 K43:K44 B43:C44" xr:uid="{00000000-0002-0000-0200-000002000000}"/>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K12" xr:uid="{00000000-0002-0000-0200-000003000000}"/>
  </dataValidations>
  <printOptions horizontalCentered="1" verticalCentered="1"/>
  <pageMargins left="0.59055118110236227" right="0.59055118110236227" top="0.43307086614173229" bottom="0.39370078740157483" header="0" footer="0"/>
  <pageSetup orientation="portrait" r:id="rId1"/>
  <headerFooter>
    <oddFooter>&amp;CPágina &amp;P de</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Q264"/>
  <sheetViews>
    <sheetView showGridLines="0" topLeftCell="B86" zoomScale="112" zoomScaleNormal="112" workbookViewId="0">
      <selection activeCell="K90" sqref="K90"/>
    </sheetView>
  </sheetViews>
  <sheetFormatPr baseColWidth="10" defaultColWidth="14.42578125" defaultRowHeight="15" customHeight="1"/>
  <cols>
    <col min="1" max="1" width="34" customWidth="1"/>
    <col min="2" max="2" width="42" customWidth="1"/>
    <col min="3" max="3" width="19.28515625" customWidth="1"/>
    <col min="4" max="4" width="16.140625" customWidth="1"/>
    <col min="5" max="5" width="16.5703125" customWidth="1"/>
    <col min="6" max="6" width="18.7109375" customWidth="1"/>
    <col min="7" max="7" width="16.7109375" customWidth="1"/>
    <col min="8" max="8" width="21.140625" customWidth="1"/>
    <col min="9" max="9" width="17.140625" customWidth="1"/>
    <col min="10" max="10" width="18.5703125" customWidth="1"/>
    <col min="11" max="11" width="21.5703125" customWidth="1"/>
    <col min="12" max="12" width="19.85546875" customWidth="1"/>
    <col min="13" max="14" width="16.7109375" customWidth="1"/>
    <col min="15" max="15" width="2.85546875" customWidth="1"/>
    <col min="16" max="17" width="23.7109375" customWidth="1"/>
    <col min="18" max="18" width="5.42578125" customWidth="1"/>
    <col min="19" max="19" width="21.85546875" customWidth="1"/>
    <col min="20" max="20" width="66.5703125" customWidth="1"/>
    <col min="21" max="21" width="17" customWidth="1"/>
    <col min="22" max="22" width="14.7109375" customWidth="1"/>
    <col min="23" max="23" width="16.7109375" customWidth="1"/>
    <col min="24" max="24" width="16.85546875" customWidth="1"/>
    <col min="25" max="25" width="17.5703125" customWidth="1"/>
    <col min="26" max="27" width="18" customWidth="1"/>
    <col min="28" max="28" width="17.5703125" customWidth="1"/>
    <col min="29" max="30" width="17.28515625" customWidth="1"/>
    <col min="31" max="31" width="17.42578125" customWidth="1"/>
    <col min="32" max="32" width="18" customWidth="1"/>
    <col min="33" max="33" width="18.140625" customWidth="1"/>
    <col min="34" max="34" width="19" customWidth="1"/>
    <col min="35" max="35" width="16.7109375" customWidth="1"/>
    <col min="36" max="36" width="20.140625" customWidth="1"/>
    <col min="37" max="37" width="8.85546875" customWidth="1"/>
    <col min="38" max="39" width="23.7109375" customWidth="1"/>
    <col min="40" max="40" width="4.85546875" customWidth="1"/>
    <col min="41" max="41" width="12.28515625" customWidth="1"/>
    <col min="42" max="42" width="50.28515625" customWidth="1"/>
    <col min="43" max="45" width="16.85546875" customWidth="1"/>
    <col min="46" max="46" width="12.7109375" customWidth="1"/>
    <col min="47" max="47" width="27.42578125" customWidth="1"/>
    <col min="48" max="48" width="25" customWidth="1"/>
    <col min="49" max="52" width="16.85546875" customWidth="1"/>
    <col min="53" max="53" width="11" customWidth="1"/>
    <col min="54" max="54" width="65.140625" customWidth="1"/>
    <col min="55" max="57" width="18.85546875" customWidth="1"/>
    <col min="58" max="58" width="31.7109375" customWidth="1"/>
    <col min="59" max="59" width="72.7109375" customWidth="1"/>
    <col min="60" max="63" width="17.5703125" customWidth="1"/>
    <col min="64" max="64" width="35.42578125" customWidth="1"/>
    <col min="65" max="65" width="76" customWidth="1"/>
    <col min="66" max="66" width="17.28515625" customWidth="1"/>
    <col min="67" max="67" width="17" customWidth="1"/>
    <col min="68" max="68" width="18.28515625" customWidth="1"/>
    <col min="69" max="69" width="17.7109375" customWidth="1"/>
    <col min="70" max="70" width="11" customWidth="1"/>
    <col min="71" max="71" width="20" customWidth="1"/>
  </cols>
  <sheetData>
    <row r="1" spans="1:69" ht="24.75" customHeight="1" thickBot="1">
      <c r="A1" s="1362"/>
      <c r="B1" s="1363"/>
      <c r="C1" s="1420"/>
      <c r="D1" s="1363"/>
      <c r="E1" s="1363"/>
      <c r="F1" s="1363"/>
      <c r="G1" s="1363"/>
      <c r="H1" s="1363"/>
      <c r="I1" s="1363"/>
      <c r="J1" s="1363"/>
      <c r="K1" s="1421" t="str">
        <f>+IF(L8&gt;I8,"OJO - SUS RECAUDOS SON SUPERIORES A SUS RECONOCIMIENTOS, VERIFIQUE","")</f>
        <v/>
      </c>
      <c r="L1" s="1363"/>
      <c r="M1" s="1363"/>
      <c r="N1" s="1363"/>
      <c r="O1" s="893"/>
      <c r="P1" s="894"/>
      <c r="Q1" s="894"/>
      <c r="R1" s="893"/>
      <c r="S1" s="895"/>
      <c r="T1" s="896"/>
      <c r="U1" s="897" t="str">
        <f>+IF(AA8&gt;X8,"OJO - HA COMPROMETIDO MUCHO MAS DE LO QUE TIENE PRESUPUESTADO","")</f>
        <v/>
      </c>
      <c r="V1" s="893"/>
      <c r="W1" s="893"/>
      <c r="X1" s="897"/>
      <c r="Y1" s="897" t="str">
        <f>+IF(AD8&gt;AA8,"OJO - SUS OBLIGACIONES SUPERAN SUS COMPROMISOS, VERIFIQUE","")</f>
        <v/>
      </c>
      <c r="Z1" s="893"/>
      <c r="AA1" s="893"/>
      <c r="AB1" s="893"/>
      <c r="AC1" s="897" t="str">
        <f>+IF(AG8&gt;AD8,"OJO - SUS PAGOS NO PUEDEN SUPERAR SUS OBLIGACIONES, VERIFIQUE","")</f>
        <v/>
      </c>
      <c r="AD1" s="893"/>
      <c r="AE1" s="893"/>
      <c r="AF1" s="893"/>
      <c r="AG1" s="893"/>
      <c r="AH1" s="893"/>
      <c r="AI1" s="893"/>
      <c r="AJ1" s="893"/>
      <c r="AK1" s="898"/>
      <c r="AL1" s="893"/>
      <c r="AM1" s="893"/>
      <c r="AN1" s="893"/>
      <c r="AO1" s="893"/>
      <c r="AP1" s="893"/>
      <c r="AQ1" s="893"/>
      <c r="AR1" s="893"/>
      <c r="AS1" s="893"/>
      <c r="AT1" s="893"/>
      <c r="AU1" s="893"/>
      <c r="AV1" s="893"/>
      <c r="AW1" s="893"/>
      <c r="AX1" s="893"/>
      <c r="AY1" s="893"/>
      <c r="AZ1" s="893"/>
      <c r="BA1" s="893"/>
      <c r="BB1" s="893"/>
      <c r="BC1" s="893"/>
      <c r="BD1" s="893"/>
      <c r="BE1" s="893"/>
      <c r="BF1" s="893"/>
      <c r="BG1" s="893"/>
      <c r="BH1" s="893"/>
      <c r="BI1" s="893"/>
      <c r="BJ1" s="893"/>
      <c r="BK1" s="893"/>
      <c r="BL1" s="893"/>
      <c r="BM1" s="893"/>
      <c r="BN1" s="893"/>
      <c r="BO1" s="893"/>
      <c r="BP1" s="893"/>
      <c r="BQ1" s="893"/>
    </row>
    <row r="2" spans="1:69" ht="53.25" customHeight="1" thickBot="1">
      <c r="A2" s="772"/>
      <c r="B2" s="773" t="str">
        <f>+ENERO!B2</f>
        <v>SECRETARIA SECCIONAL DE SALUD Y PROTECCION SOCIAL DE ANTIOQUIA DE ANTIOQUIA</v>
      </c>
      <c r="C2" s="774"/>
      <c r="D2" s="1407" t="str">
        <f>+IF(F2="","","MUNICIPIO:")</f>
        <v>MUNICIPIO:</v>
      </c>
      <c r="E2" s="1406"/>
      <c r="F2" s="775" t="str">
        <f>IF(INSTRUCCIONES!B3=0,"",INSTRUCCIONES!B3)</f>
        <v>BELLO</v>
      </c>
      <c r="G2" s="776"/>
      <c r="H2" s="776"/>
      <c r="I2" s="776"/>
      <c r="J2" s="776"/>
      <c r="K2" s="777"/>
      <c r="L2" s="1422" t="s">
        <v>37</v>
      </c>
      <c r="M2" s="1404"/>
      <c r="N2" s="43" t="s">
        <v>38</v>
      </c>
      <c r="O2" s="893"/>
      <c r="P2" s="1423" t="s">
        <v>346</v>
      </c>
      <c r="Q2" s="1338"/>
      <c r="R2" s="893"/>
      <c r="S2" s="778"/>
      <c r="T2" s="773" t="str">
        <f>+ENERO!T2</f>
        <v>SECRETARIA SECCIONAL DE SALUD Y PROTECCION SOCIAL DE ANTIOQUIA DE ANTIOQUIA</v>
      </c>
      <c r="U2" s="774"/>
      <c r="V2" s="1433" t="str">
        <f>+IF(Y2="","","M U N I C I P I O:")</f>
        <v>M U N I C I P I O:</v>
      </c>
      <c r="W2" s="1406"/>
      <c r="X2" s="1406"/>
      <c r="Y2" s="1434" t="str">
        <f>IF(INSTRUCCIONES!B3=0,"",INSTRUCCIONES!B3)</f>
        <v>BELLO</v>
      </c>
      <c r="Z2" s="1406"/>
      <c r="AA2" s="1406"/>
      <c r="AB2" s="1406"/>
      <c r="AC2" s="1406"/>
      <c r="AD2" s="1406"/>
      <c r="AE2" s="1406"/>
      <c r="AF2" s="1406"/>
      <c r="AG2" s="1338"/>
      <c r="AH2" s="1427" t="s">
        <v>37</v>
      </c>
      <c r="AI2" s="1404"/>
      <c r="AJ2" s="43" t="s">
        <v>38</v>
      </c>
      <c r="AK2" s="898"/>
      <c r="AL2" s="1423" t="s">
        <v>346</v>
      </c>
      <c r="AM2" s="1338"/>
      <c r="AN2" s="893"/>
      <c r="AO2" s="779">
        <v>3</v>
      </c>
      <c r="AP2" s="1428" t="s">
        <v>40</v>
      </c>
      <c r="AQ2" s="1387"/>
      <c r="AR2" s="1387"/>
      <c r="AS2" s="1387"/>
      <c r="AT2" s="1387"/>
      <c r="AU2" s="1387"/>
      <c r="AV2" s="1387"/>
      <c r="AW2" s="1387"/>
      <c r="AX2" s="1387"/>
      <c r="AY2" s="1387"/>
      <c r="AZ2" s="1388"/>
      <c r="BA2" s="893"/>
      <c r="BB2" s="1423" t="s">
        <v>41</v>
      </c>
      <c r="BC2" s="1406"/>
      <c r="BD2" s="47" t="s">
        <v>37</v>
      </c>
      <c r="BE2" s="43" t="str">
        <f>+L3</f>
        <v>MARZO</v>
      </c>
      <c r="BF2" s="897"/>
      <c r="BG2" s="1423" t="s">
        <v>42</v>
      </c>
      <c r="BH2" s="1406"/>
      <c r="BI2" s="1406"/>
      <c r="BJ2" s="47" t="s">
        <v>37</v>
      </c>
      <c r="BK2" s="43" t="str">
        <f>+BE2</f>
        <v>MARZO</v>
      </c>
      <c r="BL2" s="893"/>
      <c r="BM2" s="1343" t="s">
        <v>42</v>
      </c>
      <c r="BN2" s="1344"/>
      <c r="BO2" s="1345"/>
      <c r="BP2" s="732" t="s">
        <v>37</v>
      </c>
      <c r="BQ2" s="733" t="str">
        <f>+BK2</f>
        <v>MARZO</v>
      </c>
    </row>
    <row r="3" spans="1:69" ht="24.75" customHeight="1" thickBot="1">
      <c r="A3" s="780"/>
      <c r="B3" s="1437" t="s">
        <v>43</v>
      </c>
      <c r="C3" s="781"/>
      <c r="D3" s="1438" t="str">
        <f>+IF(F3="","","INSTITUCION:")</f>
        <v>INSTITUCION:</v>
      </c>
      <c r="E3" s="1436"/>
      <c r="F3" s="1435" t="str">
        <f>IF(INSTRUCCIONES!B5=0,"",INSTRUCCIONES!B5)</f>
        <v>ESE HOSPITAL MARCO FIDEL SUAREZ</v>
      </c>
      <c r="G3" s="1436"/>
      <c r="H3" s="1436"/>
      <c r="I3" s="1436"/>
      <c r="J3" s="1436"/>
      <c r="K3" s="1392"/>
      <c r="L3" s="1412" t="s">
        <v>351</v>
      </c>
      <c r="M3" s="1313"/>
      <c r="N3" s="1395">
        <f>SUM(ENERO!N3)</f>
        <v>2025</v>
      </c>
      <c r="O3" s="893"/>
      <c r="P3" s="1397" t="s">
        <v>45</v>
      </c>
      <c r="Q3" s="1400" t="s">
        <v>348</v>
      </c>
      <c r="R3" s="893"/>
      <c r="S3" s="782"/>
      <c r="T3" s="1437" t="s">
        <v>47</v>
      </c>
      <c r="U3" s="783"/>
      <c r="V3" s="1439" t="str">
        <f>+IF(Y3="","","E.S.E. H O S P I T A L:")</f>
        <v>E.S.E. H O S P I T A L:</v>
      </c>
      <c r="W3" s="1436"/>
      <c r="X3" s="1436"/>
      <c r="Y3" s="1435" t="str">
        <f>IF(INSTRUCCIONES!B5=0,"",INSTRUCCIONES!B5)</f>
        <v>ESE HOSPITAL MARCO FIDEL SUAREZ</v>
      </c>
      <c r="Z3" s="1436"/>
      <c r="AA3" s="1436"/>
      <c r="AB3" s="1436"/>
      <c r="AC3" s="1436"/>
      <c r="AD3" s="1436"/>
      <c r="AE3" s="1436"/>
      <c r="AF3" s="1436"/>
      <c r="AG3" s="1392"/>
      <c r="AH3" s="1334" t="str">
        <f>+L3</f>
        <v>MARZO</v>
      </c>
      <c r="AI3" s="1313"/>
      <c r="AJ3" s="1395">
        <f>+N3</f>
        <v>2025</v>
      </c>
      <c r="AK3" s="898"/>
      <c r="AL3" s="1397" t="s">
        <v>349</v>
      </c>
      <c r="AM3" s="1400" t="s">
        <v>348</v>
      </c>
      <c r="AN3" s="893"/>
      <c r="AO3" s="784"/>
      <c r="AP3" s="1431" t="s">
        <v>50</v>
      </c>
      <c r="AQ3" s="1425"/>
      <c r="AR3" s="1425"/>
      <c r="AS3" s="1425"/>
      <c r="AT3" s="1425"/>
      <c r="AU3" s="1425"/>
      <c r="AV3" s="1425"/>
      <c r="AW3" s="1425"/>
      <c r="AX3" s="1425"/>
      <c r="AY3" s="1425"/>
      <c r="AZ3" s="1426"/>
      <c r="BA3" s="893"/>
      <c r="BB3" s="1432" t="str">
        <f>+CONCATENATE(INSTRUCCIONES!B5, " - ", INSTRUCCIONES!B3)</f>
        <v>ESE HOSPITAL MARCO FIDEL SUAREZ - BELLO</v>
      </c>
      <c r="BC3" s="1436"/>
      <c r="BD3" s="53" t="s">
        <v>38</v>
      </c>
      <c r="BE3" s="54">
        <f>+N3</f>
        <v>2025</v>
      </c>
      <c r="BF3" s="899" t="s">
        <v>51</v>
      </c>
      <c r="BG3" s="1432" t="str">
        <f>+CONCATENATE(INSTRUCCIONES!B5, " - ", INSTRUCCIONES!B3)</f>
        <v>ESE HOSPITAL MARCO FIDEL SUAREZ - BELLO</v>
      </c>
      <c r="BH3" s="1436"/>
      <c r="BI3" s="1436"/>
      <c r="BJ3" s="53" t="s">
        <v>38</v>
      </c>
      <c r="BK3" s="54">
        <f>N3</f>
        <v>2025</v>
      </c>
      <c r="BL3" s="893"/>
      <c r="BM3" s="1379" t="str">
        <f>+CONCATENATE(INSTRUCCIONES!B5, " - ", INSTRUCCIONES!B3)</f>
        <v>ESE HOSPITAL MARCO FIDEL SUAREZ - BELLO</v>
      </c>
      <c r="BN3" s="1380"/>
      <c r="BO3" s="1381"/>
      <c r="BP3" s="53" t="s">
        <v>38</v>
      </c>
      <c r="BQ3" s="734">
        <f>+BK3</f>
        <v>2025</v>
      </c>
    </row>
    <row r="4" spans="1:69" ht="24.75" customHeight="1" thickBot="1">
      <c r="A4" s="780"/>
      <c r="B4" s="1363"/>
      <c r="C4" s="786"/>
      <c r="D4" s="1363"/>
      <c r="E4" s="1363"/>
      <c r="F4" s="1363"/>
      <c r="G4" s="1363"/>
      <c r="H4" s="1363"/>
      <c r="I4" s="1363"/>
      <c r="J4" s="1363"/>
      <c r="K4" s="1393"/>
      <c r="L4" s="1413"/>
      <c r="M4" s="1394"/>
      <c r="N4" s="1396"/>
      <c r="O4" s="893"/>
      <c r="P4" s="1398"/>
      <c r="Q4" s="1401"/>
      <c r="R4" s="893"/>
      <c r="S4" s="782"/>
      <c r="T4" s="1436"/>
      <c r="U4" s="786"/>
      <c r="V4" s="1363"/>
      <c r="W4" s="1363"/>
      <c r="X4" s="1363"/>
      <c r="Y4" s="1363"/>
      <c r="Z4" s="1363"/>
      <c r="AA4" s="1363"/>
      <c r="AB4" s="1363"/>
      <c r="AC4" s="1363"/>
      <c r="AD4" s="1363"/>
      <c r="AE4" s="1363"/>
      <c r="AF4" s="1363"/>
      <c r="AG4" s="1393"/>
      <c r="AH4" s="1363"/>
      <c r="AI4" s="1394"/>
      <c r="AJ4" s="1396"/>
      <c r="AK4" s="898"/>
      <c r="AL4" s="1398"/>
      <c r="AM4" s="1401"/>
      <c r="AN4" s="893"/>
      <c r="AO4" s="784"/>
      <c r="AP4" s="787"/>
      <c r="AQ4" s="58" t="s">
        <v>52</v>
      </c>
      <c r="AR4" s="58" t="s">
        <v>53</v>
      </c>
      <c r="AS4" s="58" t="s">
        <v>54</v>
      </c>
      <c r="AT4" s="58" t="s">
        <v>55</v>
      </c>
      <c r="AU4" s="58" t="s">
        <v>55</v>
      </c>
      <c r="AV4" s="900" t="s">
        <v>55</v>
      </c>
      <c r="AW4" s="1424" t="str">
        <f>+CONCATENATE("PROYECCION A DICIEMBRE 31 DEL ",N3)</f>
        <v>PROYECCION A DICIEMBRE 31 DEL 2025</v>
      </c>
      <c r="AX4" s="1425"/>
      <c r="AY4" s="1425"/>
      <c r="AZ4" s="1426"/>
      <c r="BA4" s="893"/>
      <c r="BB4" s="789"/>
      <c r="BC4" s="790"/>
      <c r="BD4" s="790"/>
      <c r="BE4" s="63"/>
      <c r="BF4" s="737"/>
      <c r="BG4" s="789"/>
      <c r="BH4" s="790"/>
      <c r="BI4" s="790"/>
      <c r="BJ4" s="792"/>
      <c r="BK4" s="65"/>
      <c r="BL4" s="901"/>
      <c r="BM4" s="735"/>
      <c r="BN4" s="736"/>
      <c r="BO4" s="737"/>
      <c r="BP4" s="737"/>
      <c r="BQ4" s="738"/>
    </row>
    <row r="5" spans="1:69" ht="45" customHeight="1" thickTop="1" thickBot="1">
      <c r="A5" s="1409" t="s">
        <v>56</v>
      </c>
      <c r="B5" s="1410" t="str">
        <f>IF(SUM(C8:N125)=0,"DESCRIPCIÓN",IF(I10&gt;0,"DESCRIPCIÓN",IF(MARZO!I10=0,"OJO - RECUERDE RECAUDAR LA DISPONIBLIDAD INICIAL EN ESTE TRIMESTRE, haga clik en H9 para ampliar la información","")))</f>
        <v>DESCRIPCIÓN</v>
      </c>
      <c r="C5" s="1411" t="s">
        <v>57</v>
      </c>
      <c r="D5" s="1387"/>
      <c r="E5" s="1387"/>
      <c r="F5" s="1388"/>
      <c r="G5" s="1414" t="s">
        <v>58</v>
      </c>
      <c r="H5" s="1387"/>
      <c r="I5" s="1388"/>
      <c r="J5" s="1415" t="str">
        <f>+IF(L8&gt;I8,"OJO - RECAUDOS MAYORES QUE RECONOCIMIENTOS","RECAUDO")</f>
        <v>RECAUDO</v>
      </c>
      <c r="K5" s="1387"/>
      <c r="L5" s="1388"/>
      <c r="M5" s="1416" t="s">
        <v>59</v>
      </c>
      <c r="N5" s="1388"/>
      <c r="O5" s="893"/>
      <c r="P5" s="1399"/>
      <c r="Q5" s="1396"/>
      <c r="R5" s="893"/>
      <c r="S5" s="1418" t="s">
        <v>60</v>
      </c>
      <c r="T5" s="1410" t="s">
        <v>61</v>
      </c>
      <c r="U5" s="1402" t="s">
        <v>57</v>
      </c>
      <c r="V5" s="1387"/>
      <c r="W5" s="1387"/>
      <c r="X5" s="1388"/>
      <c r="Y5" s="1403" t="s">
        <v>62</v>
      </c>
      <c r="Z5" s="1387"/>
      <c r="AA5" s="1404"/>
      <c r="AB5" s="1403" t="s">
        <v>63</v>
      </c>
      <c r="AC5" s="1387"/>
      <c r="AD5" s="1388"/>
      <c r="AE5" s="1403" t="s">
        <v>34</v>
      </c>
      <c r="AF5" s="1387"/>
      <c r="AG5" s="1388"/>
      <c r="AH5" s="1403" t="s">
        <v>64</v>
      </c>
      <c r="AI5" s="1387"/>
      <c r="AJ5" s="1388"/>
      <c r="AK5" s="898"/>
      <c r="AL5" s="1399"/>
      <c r="AM5" s="1396"/>
      <c r="AN5" s="893"/>
      <c r="AO5" s="794"/>
      <c r="AP5" s="795" t="s">
        <v>65</v>
      </c>
      <c r="AQ5" s="58"/>
      <c r="AR5" s="58" t="s">
        <v>66</v>
      </c>
      <c r="AS5" s="58" t="s">
        <v>66</v>
      </c>
      <c r="AT5" s="58" t="s">
        <v>67</v>
      </c>
      <c r="AU5" s="58" t="s">
        <v>68</v>
      </c>
      <c r="AV5" s="58" t="s">
        <v>68</v>
      </c>
      <c r="AW5" s="58" t="s">
        <v>23</v>
      </c>
      <c r="AX5" s="58" t="s">
        <v>26</v>
      </c>
      <c r="AY5" s="58" t="s">
        <v>69</v>
      </c>
      <c r="AZ5" s="70" t="s">
        <v>69</v>
      </c>
      <c r="BA5" s="893"/>
      <c r="BB5" s="796" t="s">
        <v>70</v>
      </c>
      <c r="BC5" s="1419" t="str">
        <f>+CONCATENATE("ACUMULADO ",N3)</f>
        <v>ACUMULADO 2025</v>
      </c>
      <c r="BD5" s="1387"/>
      <c r="BE5" s="1388"/>
      <c r="BF5" s="1440" t="s">
        <v>352</v>
      </c>
      <c r="BG5" s="902" t="s">
        <v>71</v>
      </c>
      <c r="BH5" s="1430" t="str">
        <f>+CONCATENATE("ACUMULADO ",N3)</f>
        <v>ACUMULADO 2025</v>
      </c>
      <c r="BI5" s="1387"/>
      <c r="BJ5" s="1387"/>
      <c r="BK5" s="1442"/>
      <c r="BL5" s="1443" t="s">
        <v>353</v>
      </c>
      <c r="BM5" s="1384" t="s">
        <v>71</v>
      </c>
      <c r="BN5" s="1370" t="str">
        <f>+CONCATENATE("ACUMULADO ",BQ3)</f>
        <v>ACUMULADO 2025</v>
      </c>
      <c r="BO5" s="1371"/>
      <c r="BP5" s="1371"/>
      <c r="BQ5" s="1372"/>
    </row>
    <row r="6" spans="1:69" ht="24.75" customHeight="1" thickBot="1">
      <c r="A6" s="1398"/>
      <c r="B6" s="1401"/>
      <c r="C6" s="76" t="s">
        <v>72</v>
      </c>
      <c r="D6" s="798" t="s">
        <v>73</v>
      </c>
      <c r="E6" s="798" t="s">
        <v>74</v>
      </c>
      <c r="F6" s="78" t="s">
        <v>75</v>
      </c>
      <c r="G6" s="76" t="s">
        <v>76</v>
      </c>
      <c r="H6" s="798" t="s">
        <v>77</v>
      </c>
      <c r="I6" s="78" t="s">
        <v>78</v>
      </c>
      <c r="J6" s="76" t="s">
        <v>76</v>
      </c>
      <c r="K6" s="798" t="s">
        <v>77</v>
      </c>
      <c r="L6" s="78" t="s">
        <v>78</v>
      </c>
      <c r="M6" s="76" t="s">
        <v>79</v>
      </c>
      <c r="N6" s="78" t="s">
        <v>80</v>
      </c>
      <c r="O6" s="893"/>
      <c r="P6" s="799" t="s">
        <v>39</v>
      </c>
      <c r="Q6" s="800" t="s">
        <v>82</v>
      </c>
      <c r="R6" s="893"/>
      <c r="S6" s="1399"/>
      <c r="T6" s="1396"/>
      <c r="U6" s="81" t="s">
        <v>72</v>
      </c>
      <c r="V6" s="82" t="s">
        <v>73</v>
      </c>
      <c r="W6" s="82" t="s">
        <v>74</v>
      </c>
      <c r="X6" s="83" t="s">
        <v>75</v>
      </c>
      <c r="Y6" s="84" t="s">
        <v>76</v>
      </c>
      <c r="Z6" s="82" t="s">
        <v>77</v>
      </c>
      <c r="AA6" s="82" t="s">
        <v>78</v>
      </c>
      <c r="AB6" s="84" t="s">
        <v>76</v>
      </c>
      <c r="AC6" s="82" t="s">
        <v>77</v>
      </c>
      <c r="AD6" s="82" t="s">
        <v>78</v>
      </c>
      <c r="AE6" s="84" t="s">
        <v>76</v>
      </c>
      <c r="AF6" s="82" t="s">
        <v>77</v>
      </c>
      <c r="AG6" s="82" t="s">
        <v>78</v>
      </c>
      <c r="AH6" s="84" t="s">
        <v>29</v>
      </c>
      <c r="AI6" s="82" t="s">
        <v>31</v>
      </c>
      <c r="AJ6" s="83" t="s">
        <v>34</v>
      </c>
      <c r="AK6" s="898"/>
      <c r="AL6" s="76" t="s">
        <v>39</v>
      </c>
      <c r="AM6" s="78" t="s">
        <v>82</v>
      </c>
      <c r="AN6" s="893"/>
      <c r="AO6" s="801"/>
      <c r="AP6" s="86"/>
      <c r="AQ6" s="87" t="s">
        <v>75</v>
      </c>
      <c r="AR6" s="87" t="str">
        <f>+L3</f>
        <v>MARZO</v>
      </c>
      <c r="AS6" s="87" t="str">
        <f>AR6</f>
        <v>MARZO</v>
      </c>
      <c r="AT6" s="87" t="str">
        <f>AR6</f>
        <v>MARZO</v>
      </c>
      <c r="AU6" s="87" t="s">
        <v>53</v>
      </c>
      <c r="AV6" s="87" t="s">
        <v>26</v>
      </c>
      <c r="AW6" s="87"/>
      <c r="AX6" s="87"/>
      <c r="AY6" s="87" t="s">
        <v>53</v>
      </c>
      <c r="AZ6" s="88" t="s">
        <v>26</v>
      </c>
      <c r="BA6" s="893"/>
      <c r="BB6" s="89"/>
      <c r="BC6" s="90" t="s">
        <v>83</v>
      </c>
      <c r="BD6" s="91" t="s">
        <v>84</v>
      </c>
      <c r="BE6" s="92" t="s">
        <v>85</v>
      </c>
      <c r="BF6" s="1441"/>
      <c r="BG6" s="550"/>
      <c r="BH6" s="551" t="s">
        <v>83</v>
      </c>
      <c r="BI6" s="551" t="s">
        <v>86</v>
      </c>
      <c r="BJ6" s="551" t="s">
        <v>87</v>
      </c>
      <c r="BK6" s="552" t="s">
        <v>88</v>
      </c>
      <c r="BL6" s="1444"/>
      <c r="BM6" s="1385"/>
      <c r="BN6" s="96" t="s">
        <v>83</v>
      </c>
      <c r="BO6" s="739" t="s">
        <v>86</v>
      </c>
      <c r="BP6" s="739" t="s">
        <v>87</v>
      </c>
      <c r="BQ6" s="740" t="s">
        <v>88</v>
      </c>
    </row>
    <row r="7" spans="1:69" ht="24.75" customHeight="1" thickBot="1">
      <c r="A7" s="526"/>
      <c r="B7" s="803"/>
      <c r="C7" s="804"/>
      <c r="D7" s="804"/>
      <c r="E7" s="804"/>
      <c r="F7" s="804"/>
      <c r="G7" s="804"/>
      <c r="H7" s="804"/>
      <c r="I7" s="804"/>
      <c r="J7" s="804"/>
      <c r="K7" s="804"/>
      <c r="L7" s="804"/>
      <c r="M7" s="804"/>
      <c r="N7" s="105"/>
      <c r="O7" s="893"/>
      <c r="P7" s="527"/>
      <c r="Q7" s="105"/>
      <c r="R7" s="903"/>
      <c r="S7" s="102"/>
      <c r="T7" s="803"/>
      <c r="U7" s="804"/>
      <c r="V7" s="804"/>
      <c r="W7" s="804"/>
      <c r="X7" s="804"/>
      <c r="Y7" s="804"/>
      <c r="Z7" s="804"/>
      <c r="AA7" s="804"/>
      <c r="AB7" s="804"/>
      <c r="AC7" s="804"/>
      <c r="AD7" s="804"/>
      <c r="AE7" s="804"/>
      <c r="AF7" s="804"/>
      <c r="AG7" s="804"/>
      <c r="AH7" s="804"/>
      <c r="AI7" s="804"/>
      <c r="AJ7" s="105"/>
      <c r="AK7" s="898"/>
      <c r="AL7" s="106"/>
      <c r="AM7" s="107"/>
      <c r="AN7" s="903"/>
      <c r="AO7" s="806"/>
      <c r="AP7" s="109" t="s">
        <v>89</v>
      </c>
      <c r="AQ7" s="807">
        <f>F22</f>
        <v>56030749893.586876</v>
      </c>
      <c r="AR7" s="807">
        <f>I22</f>
        <v>22843849593</v>
      </c>
      <c r="AS7" s="807">
        <f>L22</f>
        <v>9518383565</v>
      </c>
      <c r="AT7" s="903"/>
      <c r="AU7" s="808">
        <f>IF(AQ7=0," ",AR7/AQ7)</f>
        <v>0.40770201427581898</v>
      </c>
      <c r="AV7" s="808">
        <f>IF(AQ7=0," ",AS7/AQ7)</f>
        <v>0.16987785426890115</v>
      </c>
      <c r="AW7" s="807">
        <f>I23/AO$2*12+I24</f>
        <v>68780149983</v>
      </c>
      <c r="AX7" s="807">
        <f>L23/AO$2*12+L24</f>
        <v>15478285871</v>
      </c>
      <c r="AY7" s="807">
        <f t="shared" ref="AY7:AY16" si="0">AW7-AQ7</f>
        <v>12749400089.413124</v>
      </c>
      <c r="AZ7" s="809">
        <f>AX7-AQ7</f>
        <v>-40552464022.586876</v>
      </c>
      <c r="BA7" s="903"/>
      <c r="BB7" s="113" t="s">
        <v>90</v>
      </c>
      <c r="BC7" s="114">
        <f>F10</f>
        <v>1179477265</v>
      </c>
      <c r="BD7" s="115">
        <f>I10</f>
        <v>1179477265</v>
      </c>
      <c r="BE7" s="116">
        <f>K10</f>
        <v>0</v>
      </c>
      <c r="BF7" s="553">
        <f>+ENERO!BE7+FEBRERO!BE7+MARZO!BE7</f>
        <v>1179477265</v>
      </c>
      <c r="BG7" s="227" t="s">
        <v>91</v>
      </c>
      <c r="BH7" s="904">
        <f>+SUM(BH8:BH11)</f>
        <v>92349401860.611267</v>
      </c>
      <c r="BI7" s="904">
        <f>+SUM(BI8:BI11)</f>
        <v>51344845886</v>
      </c>
      <c r="BJ7" s="904">
        <f>+SUM(BJ8:BJ11)</f>
        <v>23555143214</v>
      </c>
      <c r="BK7" s="904">
        <f>+SUM(BK8:BK11)</f>
        <v>1860002087</v>
      </c>
      <c r="BL7" s="555">
        <f>+ENERO!BK7+FEBRERO!BK7+MARZO!BK7</f>
        <v>4165212596</v>
      </c>
      <c r="BM7" s="741" t="s">
        <v>91</v>
      </c>
      <c r="BN7" s="121">
        <f>BN8+BN15+BN22</f>
        <v>92349401860.611298</v>
      </c>
      <c r="BO7" s="122">
        <f>BO8+BO15+BO22</f>
        <v>51344845886</v>
      </c>
      <c r="BP7" s="122">
        <f>BP8+BP15+BP22</f>
        <v>23555143214</v>
      </c>
      <c r="BQ7" s="742">
        <f>BQ8+BQ15+BQ22</f>
        <v>1860002087</v>
      </c>
    </row>
    <row r="8" spans="1:69" ht="24.75" customHeight="1" thickBot="1">
      <c r="A8" s="123">
        <f>+IF(FEBRERO!A8=0,"",FEBRERO!A8)</f>
        <v>1</v>
      </c>
      <c r="B8" s="124" t="str">
        <f>+IF(FEBRERO!B8=0,"",FEBRERO!B8)</f>
        <v>INGRESOS</v>
      </c>
      <c r="C8" s="125">
        <f t="shared" ref="C8:N8" si="1">C10+C17+C113</f>
        <v>158143153137.47653</v>
      </c>
      <c r="D8" s="125">
        <f t="shared" si="1"/>
        <v>0</v>
      </c>
      <c r="E8" s="125">
        <f t="shared" si="1"/>
        <v>15046703295</v>
      </c>
      <c r="F8" s="125">
        <f t="shared" si="1"/>
        <v>173189856432.47653</v>
      </c>
      <c r="G8" s="125">
        <f t="shared" si="1"/>
        <v>48344173265</v>
      </c>
      <c r="H8" s="125">
        <f t="shared" si="1"/>
        <v>19663303995</v>
      </c>
      <c r="I8" s="125">
        <f t="shared" si="1"/>
        <v>68007477260</v>
      </c>
      <c r="J8" s="125">
        <f t="shared" si="1"/>
        <v>21899472009</v>
      </c>
      <c r="K8" s="125">
        <f t="shared" si="1"/>
        <v>12666539999</v>
      </c>
      <c r="L8" s="125">
        <f t="shared" si="1"/>
        <v>34566012008</v>
      </c>
      <c r="M8" s="125">
        <f t="shared" si="1"/>
        <v>105182379172.47652</v>
      </c>
      <c r="N8" s="125">
        <f t="shared" si="1"/>
        <v>138623844424.4765</v>
      </c>
      <c r="O8" s="905"/>
      <c r="P8" s="127">
        <f>P10+P17+P113</f>
        <v>0</v>
      </c>
      <c r="Q8" s="128">
        <f>Q10+Q17+Q113</f>
        <v>0</v>
      </c>
      <c r="R8" s="903"/>
      <c r="S8" s="129" t="str">
        <f>+IF(FEBRERO!S8=0,"",FEBRERO!S8)</f>
        <v>2</v>
      </c>
      <c r="T8" s="130" t="str">
        <f>+IF(FEBRERO!T8=0,"",FEBRERO!T8)</f>
        <v>GASTOS</v>
      </c>
      <c r="U8" s="812">
        <f>U10+U193+U220+U232</f>
        <v>158143153137.16666</v>
      </c>
      <c r="V8" s="132">
        <f>V10+V192+V219+V231</f>
        <v>0</v>
      </c>
      <c r="W8" s="812">
        <f>W10+W193+W220+W232</f>
        <v>15046703295</v>
      </c>
      <c r="X8" s="812">
        <f>X10+X193+X220+X232</f>
        <v>173189856432.16666</v>
      </c>
      <c r="Y8" s="812">
        <f t="shared" ref="Y8:AJ8" si="2">Y10+Y193+Y220+Y232</f>
        <v>89865600641</v>
      </c>
      <c r="Z8" s="812">
        <f t="shared" si="2"/>
        <v>15361822407</v>
      </c>
      <c r="AA8" s="812">
        <f t="shared" si="2"/>
        <v>105227423048</v>
      </c>
      <c r="AB8" s="812">
        <f t="shared" si="2"/>
        <v>41074722708</v>
      </c>
      <c r="AC8" s="812">
        <f t="shared" si="2"/>
        <v>19324826582</v>
      </c>
      <c r="AD8" s="812">
        <f t="shared" si="2"/>
        <v>60399549290</v>
      </c>
      <c r="AE8" s="812">
        <f t="shared" si="2"/>
        <v>19865002041</v>
      </c>
      <c r="AF8" s="812">
        <f t="shared" si="2"/>
        <v>12172219634</v>
      </c>
      <c r="AG8" s="812">
        <f t="shared" si="2"/>
        <v>32198207356</v>
      </c>
      <c r="AH8" s="812">
        <f t="shared" si="2"/>
        <v>70555252716.388885</v>
      </c>
      <c r="AI8" s="812">
        <f t="shared" si="2"/>
        <v>115383126474.38889</v>
      </c>
      <c r="AJ8" s="812">
        <f t="shared" si="2"/>
        <v>143584468408.38889</v>
      </c>
      <c r="AK8" s="903"/>
      <c r="AL8" s="136">
        <f>AL10+AL193+AL220+AL232</f>
        <v>0</v>
      </c>
      <c r="AM8" s="137">
        <f>AM10+AM193+AM220+AM232</f>
        <v>0</v>
      </c>
      <c r="AN8" s="903"/>
      <c r="AO8" s="806"/>
      <c r="AP8" s="109" t="s">
        <v>93</v>
      </c>
      <c r="AQ8" s="814">
        <f>F25</f>
        <v>91588666596</v>
      </c>
      <c r="AR8" s="814">
        <f>I25</f>
        <v>35190844508</v>
      </c>
      <c r="AS8" s="814">
        <f>L25</f>
        <v>20268528450</v>
      </c>
      <c r="AT8" s="903"/>
      <c r="AU8" s="139">
        <f>IF(AQ8=0," ",AR8/AQ8)</f>
        <v>0.38422706450381827</v>
      </c>
      <c r="AV8" s="139">
        <f>IF(AQ8=0," ",AS8/AQ8)</f>
        <v>0.22129952540312667</v>
      </c>
      <c r="AW8" s="814">
        <f>I26/AO$2*12+I27</f>
        <v>91014114590</v>
      </c>
      <c r="AX8" s="814">
        <f>L26/AO$2*12+L27</f>
        <v>31324850358</v>
      </c>
      <c r="AY8" s="814">
        <f t="shared" si="0"/>
        <v>-574552006</v>
      </c>
      <c r="AZ8" s="140">
        <f>AX8-AQ8</f>
        <v>-60263816238</v>
      </c>
      <c r="BA8" s="903"/>
      <c r="BB8" s="141" t="s">
        <v>94</v>
      </c>
      <c r="BC8" s="142">
        <f>BC9+BC19</f>
        <v>152827494698.37653</v>
      </c>
      <c r="BD8" s="143">
        <f>BD9+BD19</f>
        <v>41507472482</v>
      </c>
      <c r="BE8" s="142">
        <f>SUM(BE9+BE19+BE18)</f>
        <v>7072118896</v>
      </c>
      <c r="BF8" s="553">
        <f>+ENERO!BE8+FEBRERO!BE8+MARZO!BE8</f>
        <v>8066007230</v>
      </c>
      <c r="BG8" s="145" t="s">
        <v>95</v>
      </c>
      <c r="BH8" s="146">
        <f>BN9+BN13</f>
        <v>10773104894.212667</v>
      </c>
      <c r="BI8" s="146">
        <f>BO9+BO13</f>
        <v>1939716453</v>
      </c>
      <c r="BJ8" s="146">
        <f>BP9+BP13</f>
        <v>1939716453</v>
      </c>
      <c r="BK8" s="146">
        <f>BQ9+BQ13</f>
        <v>695186585</v>
      </c>
      <c r="BL8" s="555">
        <f>+ENERO!BK8+FEBRERO!BK8+MARZO!BK8</f>
        <v>1939716453</v>
      </c>
      <c r="BM8" s="743" t="s">
        <v>96</v>
      </c>
      <c r="BN8" s="148">
        <f>BN9+BN14+BN13</f>
        <v>72530411151.212677</v>
      </c>
      <c r="BO8" s="146">
        <f>BO9+BO14+BO13</f>
        <v>40704818486</v>
      </c>
      <c r="BP8" s="146">
        <f>BP9+BP14+BP13</f>
        <v>18514275070</v>
      </c>
      <c r="BQ8" s="744">
        <f>BQ9+BQ14+BQ13</f>
        <v>1120398766</v>
      </c>
    </row>
    <row r="9" spans="1:69" ht="24.75" customHeight="1" thickBot="1">
      <c r="A9" s="815"/>
      <c r="B9" s="816"/>
      <c r="C9" s="906"/>
      <c r="D9" s="906"/>
      <c r="E9" s="906"/>
      <c r="F9" s="906"/>
      <c r="G9" s="906"/>
      <c r="H9" s="906"/>
      <c r="I9" s="906"/>
      <c r="J9" s="906"/>
      <c r="K9" s="906"/>
      <c r="L9" s="906"/>
      <c r="M9" s="906"/>
      <c r="N9" s="152"/>
      <c r="O9" s="905"/>
      <c r="P9" s="818"/>
      <c r="Q9" s="152"/>
      <c r="R9" s="903"/>
      <c r="S9" s="102"/>
      <c r="T9" s="803"/>
      <c r="U9" s="804"/>
      <c r="V9" s="804"/>
      <c r="W9" s="804"/>
      <c r="X9" s="804"/>
      <c r="Y9" s="804"/>
      <c r="Z9" s="804"/>
      <c r="AA9" s="804"/>
      <c r="AB9" s="804"/>
      <c r="AC9" s="804"/>
      <c r="AD9" s="804"/>
      <c r="AE9" s="804"/>
      <c r="AF9" s="804"/>
      <c r="AG9" s="804"/>
      <c r="AH9" s="804"/>
      <c r="AI9" s="804"/>
      <c r="AJ9" s="105"/>
      <c r="AK9" s="903"/>
      <c r="AL9" s="154"/>
      <c r="AM9" s="155"/>
      <c r="AN9" s="903"/>
      <c r="AO9" s="819"/>
      <c r="AP9" s="109" t="s">
        <v>97</v>
      </c>
      <c r="AQ9" s="814">
        <f>F28+F75</f>
        <v>2299679776</v>
      </c>
      <c r="AR9" s="814">
        <f>I28+I75</f>
        <v>757952593</v>
      </c>
      <c r="AS9" s="814">
        <f>L28+L75</f>
        <v>374421483</v>
      </c>
      <c r="AT9" s="903"/>
      <c r="AU9" s="157">
        <f>IF(AQ9=0," ",AR9/AQ9)</f>
        <v>0.32959049382012739</v>
      </c>
      <c r="AV9" s="157">
        <f>IF(AQ9=0," ",AS9/AQ9)</f>
        <v>0.16281461745567832</v>
      </c>
      <c r="AW9" s="820">
        <f>(I30+I33+I36+I76)/AO$2*12+I31+I34+I37+I38+I39+I40+I77</f>
        <v>2328848671</v>
      </c>
      <c r="AX9" s="820">
        <f>(L30+L33+L36+L76)/AO$2*12+L31+L34+L37+L38+L39+L40+L77</f>
        <v>794724231</v>
      </c>
      <c r="AY9" s="820">
        <f t="shared" si="0"/>
        <v>29168895</v>
      </c>
      <c r="AZ9" s="159">
        <f>AX9-AQ9</f>
        <v>-1504955545</v>
      </c>
      <c r="BA9" s="903"/>
      <c r="BB9" s="160" t="s">
        <v>98</v>
      </c>
      <c r="BC9" s="161">
        <f>BC10+BC18</f>
        <v>151942494698.37653</v>
      </c>
      <c r="BD9" s="162">
        <f>BD10+BD18</f>
        <v>41407392040</v>
      </c>
      <c r="BE9" s="161">
        <f>BE10+BE16</f>
        <v>7050924157</v>
      </c>
      <c r="BF9" s="553">
        <f>+ENERO!BE9+FEBRERO!BE9+MARZO!BE9</f>
        <v>7977970990</v>
      </c>
      <c r="BG9" s="165" t="s">
        <v>99</v>
      </c>
      <c r="BH9" s="166">
        <f t="shared" ref="BH9:BK10" si="3">BN14</f>
        <v>61757306257</v>
      </c>
      <c r="BI9" s="166">
        <f t="shared" si="3"/>
        <v>38765102033</v>
      </c>
      <c r="BJ9" s="166">
        <f t="shared" si="3"/>
        <v>16574558617</v>
      </c>
      <c r="BK9" s="166">
        <f t="shared" si="3"/>
        <v>425212181</v>
      </c>
      <c r="BL9" s="555">
        <f>+ENERO!BK9+FEBRERO!BK9+MARZO!BK9</f>
        <v>453547179</v>
      </c>
      <c r="BM9" s="745" t="s">
        <v>100</v>
      </c>
      <c r="BN9" s="168">
        <f>SUM(BN10:BN12)</f>
        <v>8107453490.916667</v>
      </c>
      <c r="BO9" s="574">
        <f>SUM(BO10:BO12)</f>
        <v>1492041250</v>
      </c>
      <c r="BP9" s="166">
        <f>SUM(BP10:BP12)</f>
        <v>1492041250</v>
      </c>
      <c r="BQ9" s="746">
        <f>SUM(BQ10:BQ12)</f>
        <v>533794282</v>
      </c>
    </row>
    <row r="10" spans="1:69" ht="24.75" customHeight="1">
      <c r="A10" s="169" t="str">
        <f>+IF(FEBRERO!A10=0,"",FEBRERO!A10)</f>
        <v>1.0</v>
      </c>
      <c r="B10" s="170" t="str">
        <f>+IF(FEBRERO!B10=0,"",FEBRERO!B10)</f>
        <v>DISPONIBILIDAD INICIAL</v>
      </c>
      <c r="C10" s="171">
        <f t="shared" ref="C10:N10" si="4">SUM(C12:C15)</f>
        <v>0</v>
      </c>
      <c r="D10" s="172">
        <f t="shared" si="4"/>
        <v>0</v>
      </c>
      <c r="E10" s="172">
        <f t="shared" si="4"/>
        <v>1179477265</v>
      </c>
      <c r="F10" s="173">
        <f t="shared" si="4"/>
        <v>1179477265</v>
      </c>
      <c r="G10" s="174">
        <f t="shared" si="4"/>
        <v>1179477265</v>
      </c>
      <c r="H10" s="172">
        <f t="shared" si="4"/>
        <v>0</v>
      </c>
      <c r="I10" s="175">
        <f t="shared" si="4"/>
        <v>1179477265</v>
      </c>
      <c r="J10" s="171">
        <f t="shared" si="4"/>
        <v>1179477265</v>
      </c>
      <c r="K10" s="172">
        <f t="shared" si="4"/>
        <v>0</v>
      </c>
      <c r="L10" s="173">
        <f t="shared" si="4"/>
        <v>1179477265</v>
      </c>
      <c r="M10" s="171">
        <f t="shared" si="4"/>
        <v>0</v>
      </c>
      <c r="N10" s="173">
        <f t="shared" si="4"/>
        <v>0</v>
      </c>
      <c r="O10" s="903"/>
      <c r="P10" s="171">
        <f>SUM(P12:P15)</f>
        <v>0</v>
      </c>
      <c r="Q10" s="173">
        <f>SUM(Q12:Q15)</f>
        <v>0</v>
      </c>
      <c r="R10" s="903"/>
      <c r="S10" s="176" t="str">
        <f>+IF(FEBRERO!S10=0,"",FEBRERO!S10)</f>
        <v>2.1</v>
      </c>
      <c r="T10" s="529" t="str">
        <f>+IF(FEBRERO!T10=0,"",FEBRERO!T10)</f>
        <v>GASTOS DE FUNCIONAMIENTO</v>
      </c>
      <c r="U10" s="181">
        <f>U12+U110+U169</f>
        <v>112528788023.5</v>
      </c>
      <c r="V10" s="179">
        <f>V12+V110+V168</f>
        <v>0</v>
      </c>
      <c r="W10" s="181">
        <f>W12+W110+W169</f>
        <v>328694736</v>
      </c>
      <c r="X10" s="181">
        <f>X12+X110+X169</f>
        <v>112857482759.5</v>
      </c>
      <c r="Y10" s="181">
        <f t="shared" ref="Y10:AM10" si="5">Y12+Y110+Y169</f>
        <v>61303783997</v>
      </c>
      <c r="Z10" s="181">
        <f t="shared" si="5"/>
        <v>7562622204</v>
      </c>
      <c r="AA10" s="181">
        <f t="shared" si="5"/>
        <v>68866406201</v>
      </c>
      <c r="AB10" s="181">
        <f t="shared" si="5"/>
        <v>28262753929</v>
      </c>
      <c r="AC10" s="181">
        <f t="shared" si="5"/>
        <v>12813949600</v>
      </c>
      <c r="AD10" s="181">
        <f t="shared" si="5"/>
        <v>41076703529</v>
      </c>
      <c r="AE10" s="181">
        <f t="shared" si="5"/>
        <v>14991973921</v>
      </c>
      <c r="AF10" s="181">
        <f t="shared" si="5"/>
        <v>7144383284</v>
      </c>
      <c r="AG10" s="181">
        <f t="shared" si="5"/>
        <v>22297342886</v>
      </c>
      <c r="AH10" s="181">
        <f t="shared" si="5"/>
        <v>46583895890.722229</v>
      </c>
      <c r="AI10" s="181">
        <f t="shared" si="5"/>
        <v>74373598562.722229</v>
      </c>
      <c r="AJ10" s="181">
        <f t="shared" si="5"/>
        <v>93152959205.722229</v>
      </c>
      <c r="AK10" s="181">
        <f t="shared" si="5"/>
        <v>0</v>
      </c>
      <c r="AL10" s="181">
        <f t="shared" si="5"/>
        <v>0</v>
      </c>
      <c r="AM10" s="181">
        <f t="shared" si="5"/>
        <v>0</v>
      </c>
      <c r="AN10" s="903"/>
      <c r="AO10" s="819"/>
      <c r="AP10" s="109" t="s">
        <v>102</v>
      </c>
      <c r="AQ10" s="814">
        <f>F42</f>
        <v>287170800</v>
      </c>
      <c r="AR10" s="814">
        <f>I42</f>
        <v>155213650</v>
      </c>
      <c r="AS10" s="814">
        <f>L42</f>
        <v>142945149</v>
      </c>
      <c r="AT10" s="903"/>
      <c r="AU10" s="157">
        <f>IF(AQ10=0," ",AR10/AQ10)</f>
        <v>0.54049245257526179</v>
      </c>
      <c r="AV10" s="157">
        <f>IF(AQ10=0," ",AS10/AQ10)</f>
        <v>0.49777048711080651</v>
      </c>
      <c r="AW10" s="820">
        <f>I43/AO$2*12+I44</f>
        <v>200551852</v>
      </c>
      <c r="AX10" s="820">
        <f>L43/AO$2*12+L44</f>
        <v>151477848</v>
      </c>
      <c r="AY10" s="820">
        <f t="shared" si="0"/>
        <v>-86618948</v>
      </c>
      <c r="AZ10" s="159">
        <f>AX10-AQ10</f>
        <v>-135692952</v>
      </c>
      <c r="BA10" s="903"/>
      <c r="BB10" s="185" t="s">
        <v>103</v>
      </c>
      <c r="BC10" s="161">
        <f>BC11+BC12+BC13+BC14+BC16+BC17+BC15</f>
        <v>151942494698.37653</v>
      </c>
      <c r="BD10" s="162">
        <f>BD11+BD12+BD13+BD14+BD16+BD17+BD15</f>
        <v>41407392040</v>
      </c>
      <c r="BE10" s="161">
        <f>SUM(BE11+BE12+BE13+BE14+BE17)</f>
        <v>5572797333</v>
      </c>
      <c r="BF10" s="553">
        <f>+ENERO!BE10+FEBRERO!BE10+MARZO!BE10</f>
        <v>6034086603</v>
      </c>
      <c r="BG10" s="145" t="s">
        <v>104</v>
      </c>
      <c r="BH10" s="186">
        <f t="shared" si="3"/>
        <v>18025930124.398613</v>
      </c>
      <c r="BI10" s="186">
        <f t="shared" si="3"/>
        <v>10069020564</v>
      </c>
      <c r="BJ10" s="186">
        <f t="shared" si="3"/>
        <v>4469861308</v>
      </c>
      <c r="BK10" s="186">
        <f t="shared" si="3"/>
        <v>703544506</v>
      </c>
      <c r="BL10" s="555">
        <f>+ENERO!BK10+FEBRERO!BK10+MARZO!BK10</f>
        <v>1508172139</v>
      </c>
      <c r="BM10" s="747" t="s">
        <v>105</v>
      </c>
      <c r="BN10" s="188">
        <f>X17+X66</f>
        <v>6481850793</v>
      </c>
      <c r="BO10" s="575">
        <f>AA17+AA66</f>
        <v>1256849226</v>
      </c>
      <c r="BP10" s="186">
        <f>AD17+AD66</f>
        <v>1256849226</v>
      </c>
      <c r="BQ10" s="748">
        <f>AF17+AF66</f>
        <v>420897564</v>
      </c>
    </row>
    <row r="11" spans="1:69" ht="24.75" customHeight="1">
      <c r="A11" s="815"/>
      <c r="B11" s="816"/>
      <c r="C11" s="906"/>
      <c r="D11" s="906"/>
      <c r="E11" s="906"/>
      <c r="F11" s="906"/>
      <c r="G11" s="906"/>
      <c r="H11" s="906"/>
      <c r="I11" s="906"/>
      <c r="J11" s="906"/>
      <c r="K11" s="906"/>
      <c r="L11" s="906"/>
      <c r="M11" s="906"/>
      <c r="N11" s="152"/>
      <c r="O11" s="905"/>
      <c r="P11" s="818"/>
      <c r="Q11" s="152"/>
      <c r="R11" s="903"/>
      <c r="S11" s="189"/>
      <c r="T11" s="488"/>
      <c r="U11" s="193"/>
      <c r="V11" s="191"/>
      <c r="W11" s="191"/>
      <c r="X11" s="191"/>
      <c r="Y11" s="193"/>
      <c r="Z11" s="191"/>
      <c r="AA11" s="192"/>
      <c r="AB11" s="193"/>
      <c r="AC11" s="191"/>
      <c r="AD11" s="192"/>
      <c r="AE11" s="193"/>
      <c r="AF11" s="191"/>
      <c r="AG11" s="192"/>
      <c r="AH11" s="193"/>
      <c r="AI11" s="191"/>
      <c r="AJ11" s="192"/>
      <c r="AK11" s="903"/>
      <c r="AL11" s="194"/>
      <c r="AM11" s="195"/>
      <c r="AN11" s="903"/>
      <c r="AO11" s="823" t="s">
        <v>50</v>
      </c>
      <c r="AP11" s="197" t="s">
        <v>106</v>
      </c>
      <c r="AQ11" s="814">
        <f>F88</f>
        <v>1684010668</v>
      </c>
      <c r="AR11" s="814">
        <f>I88</f>
        <v>850085355</v>
      </c>
      <c r="AS11" s="814">
        <f>L88</f>
        <v>646375737</v>
      </c>
      <c r="AT11" s="824">
        <f>AO2/12</f>
        <v>0.25</v>
      </c>
      <c r="AU11" s="157">
        <f>IF(AQ11=0," ",AR11/AQ11)</f>
        <v>0.50479808183732955</v>
      </c>
      <c r="AV11" s="157">
        <f>IF(AQ11=0," ",AS11/AQ11)</f>
        <v>0.38383114150200859</v>
      </c>
      <c r="AW11" s="820">
        <f>I88</f>
        <v>850085355</v>
      </c>
      <c r="AX11" s="820">
        <f>L88</f>
        <v>646375737</v>
      </c>
      <c r="AY11" s="820">
        <f t="shared" si="0"/>
        <v>-833925313</v>
      </c>
      <c r="AZ11" s="159">
        <f>AX11-AQ11</f>
        <v>-1037634931</v>
      </c>
      <c r="BA11" s="903"/>
      <c r="BB11" s="185" t="s">
        <v>107</v>
      </c>
      <c r="BC11" s="161">
        <f>F26</f>
        <v>81866799864</v>
      </c>
      <c r="BD11" s="162">
        <f>I26</f>
        <v>18607756694</v>
      </c>
      <c r="BE11" s="161">
        <f>SUM(K26)</f>
        <v>3436148993</v>
      </c>
      <c r="BF11" s="553">
        <f>+ENERO!BE11+FEBRERO!BE11+MARZO!BE11</f>
        <v>3685440636</v>
      </c>
      <c r="BG11" s="145" t="s">
        <v>108</v>
      </c>
      <c r="BH11" s="199">
        <f>BN22</f>
        <v>1793060585</v>
      </c>
      <c r="BI11" s="199">
        <f>BO22</f>
        <v>571006836</v>
      </c>
      <c r="BJ11" s="199">
        <f>BP22</f>
        <v>571006836</v>
      </c>
      <c r="BK11" s="199">
        <f>BQ22</f>
        <v>36058815</v>
      </c>
      <c r="BL11" s="555">
        <f>+ENERO!BK11+FEBRERO!BK11+MARZO!BK11</f>
        <v>263776825</v>
      </c>
      <c r="BM11" s="749" t="s">
        <v>109</v>
      </c>
      <c r="BN11" s="201">
        <f>X18+X67</f>
        <v>17000000</v>
      </c>
      <c r="BO11" s="576">
        <f>AA18+AA67</f>
        <v>3150811</v>
      </c>
      <c r="BP11" s="199">
        <f>AD18+AD67</f>
        <v>3150811</v>
      </c>
      <c r="BQ11" s="750">
        <f>AF18+AF67</f>
        <v>1252149</v>
      </c>
    </row>
    <row r="12" spans="1:69" ht="24.75" customHeight="1">
      <c r="A12" s="202" t="str">
        <f>+IF(FEBRERO!A12=0,"",FEBRERO!A12)</f>
        <v>1.0.01</v>
      </c>
      <c r="B12" s="203" t="str">
        <f>+IF(FEBRERO!B12=0,"",FEBRERO!B12)</f>
        <v>Caja</v>
      </c>
      <c r="C12" s="204">
        <f>+ENERO!C12</f>
        <v>0</v>
      </c>
      <c r="D12" s="205">
        <f>FEBRERO!D12+MARZO!P12</f>
        <v>0</v>
      </c>
      <c r="E12" s="205">
        <f>FEBRERO!E12+MARZO!Q12</f>
        <v>3941159</v>
      </c>
      <c r="F12" s="206">
        <f>SUM(C12:E12)</f>
        <v>3941159</v>
      </c>
      <c r="G12" s="207">
        <f>FEBRERO!I12</f>
        <v>3941159</v>
      </c>
      <c r="H12" s="208">
        <v>0</v>
      </c>
      <c r="I12" s="206">
        <f>SUM(G12:H12)</f>
        <v>3941159</v>
      </c>
      <c r="J12" s="207">
        <f>FEBRERO!L12</f>
        <v>3941159</v>
      </c>
      <c r="K12" s="209">
        <f>+H12</f>
        <v>0</v>
      </c>
      <c r="L12" s="206">
        <f>SUM(J12:K12)</f>
        <v>3941159</v>
      </c>
      <c r="M12" s="207">
        <f>F12-I12</f>
        <v>0</v>
      </c>
      <c r="N12" s="206">
        <f>F12-L12</f>
        <v>0</v>
      </c>
      <c r="O12" s="736"/>
      <c r="P12" s="204">
        <v>0</v>
      </c>
      <c r="Q12" s="210">
        <v>0</v>
      </c>
      <c r="R12" s="903"/>
      <c r="S12" s="825" t="str">
        <f>+IF(FEBRERO!S12=0,"",FEBRERO!S12)</f>
        <v>2.1.1</v>
      </c>
      <c r="T12" s="530" t="str">
        <f>+IF(FEBRERO!T12=0,"",FEBRERO!T12)</f>
        <v>GASTOS DE PERSONAL</v>
      </c>
      <c r="U12" s="822">
        <f t="shared" ref="U12:AJ12" si="6">U14+U63</f>
        <v>88367557767.879166</v>
      </c>
      <c r="V12" s="822">
        <f t="shared" si="6"/>
        <v>680999693</v>
      </c>
      <c r="W12" s="826">
        <f t="shared" si="6"/>
        <v>0</v>
      </c>
      <c r="X12" s="822">
        <f t="shared" si="6"/>
        <v>89048557460.879166</v>
      </c>
      <c r="Y12" s="822">
        <f t="shared" si="6"/>
        <v>50681798823</v>
      </c>
      <c r="Z12" s="826">
        <f t="shared" si="6"/>
        <v>6431215945</v>
      </c>
      <c r="AA12" s="184">
        <f t="shared" si="6"/>
        <v>57113014768</v>
      </c>
      <c r="AB12" s="822">
        <f t="shared" si="6"/>
        <v>23524665435</v>
      </c>
      <c r="AC12" s="826">
        <f t="shared" si="6"/>
        <v>11397805917</v>
      </c>
      <c r="AD12" s="184">
        <f t="shared" si="6"/>
        <v>34922471352</v>
      </c>
      <c r="AE12" s="822">
        <f t="shared" si="6"/>
        <v>12642857610</v>
      </c>
      <c r="AF12" s="826">
        <f t="shared" si="6"/>
        <v>6158602304</v>
      </c>
      <c r="AG12" s="184">
        <f t="shared" si="6"/>
        <v>18801459914</v>
      </c>
      <c r="AH12" s="822">
        <f t="shared" si="6"/>
        <v>31935542692.879169</v>
      </c>
      <c r="AI12" s="826">
        <f t="shared" si="6"/>
        <v>54126086108.879166</v>
      </c>
      <c r="AJ12" s="184">
        <f t="shared" si="6"/>
        <v>70247097546.879166</v>
      </c>
      <c r="AK12" s="907"/>
      <c r="AL12" s="217">
        <f>AL14+AL63</f>
        <v>410000000</v>
      </c>
      <c r="AM12" s="218">
        <f>AM14+AM63</f>
        <v>0</v>
      </c>
      <c r="AN12" s="903"/>
      <c r="AO12" s="823"/>
      <c r="AP12" s="197" t="s">
        <v>111</v>
      </c>
      <c r="AQ12" s="814">
        <f>F89</f>
        <v>2520457839</v>
      </c>
      <c r="AR12" s="814">
        <f>I89</f>
        <v>840152613</v>
      </c>
      <c r="AS12" s="814">
        <f>L89</f>
        <v>831751087</v>
      </c>
      <c r="AT12" s="903"/>
      <c r="AU12" s="157"/>
      <c r="AV12" s="157"/>
      <c r="AW12" s="820">
        <f>I89</f>
        <v>840152613</v>
      </c>
      <c r="AX12" s="820">
        <f>L89</f>
        <v>831751087</v>
      </c>
      <c r="AY12" s="820">
        <f t="shared" si="0"/>
        <v>-1680305226</v>
      </c>
      <c r="AZ12" s="159"/>
      <c r="BA12" s="903"/>
      <c r="BB12" s="185" t="s">
        <v>112</v>
      </c>
      <c r="BC12" s="161">
        <f>F23</f>
        <v>49300076925.586876</v>
      </c>
      <c r="BD12" s="162">
        <f>I23</f>
        <v>15312100130</v>
      </c>
      <c r="BE12" s="161">
        <f>SUM(K23)</f>
        <v>1882989642</v>
      </c>
      <c r="BF12" s="553">
        <f>+ENERO!BE12+FEBRERO!BE12+MARZO!BE12</f>
        <v>1986634102</v>
      </c>
      <c r="BG12" s="219" t="s">
        <v>113</v>
      </c>
      <c r="BH12" s="199">
        <f>BN25</f>
        <v>34165849515.333328</v>
      </c>
      <c r="BI12" s="199">
        <f>BO25</f>
        <v>20982821282</v>
      </c>
      <c r="BJ12" s="199">
        <f>BP25</f>
        <v>11072128874</v>
      </c>
      <c r="BK12" s="199">
        <f>BQ25</f>
        <v>1362636237</v>
      </c>
      <c r="BL12" s="555">
        <f>+ENERO!BK12+FEBRERO!BK12+MARZO!BK12</f>
        <v>2013657033</v>
      </c>
      <c r="BM12" s="751" t="s">
        <v>114</v>
      </c>
      <c r="BN12" s="201">
        <f>X16+X65-X81-X33-BN10-BN11</f>
        <v>1608602697.916667</v>
      </c>
      <c r="BO12" s="576">
        <f>AA16+AA65-AA81-AA33-BO10-BO11</f>
        <v>232041213</v>
      </c>
      <c r="BP12" s="199">
        <f>AD16+AD65-AD81-AD33-BP10-BP11</f>
        <v>232041213</v>
      </c>
      <c r="BQ12" s="750">
        <f>AF16+AF65-AF81-AF33-BQ10-BQ11</f>
        <v>111644569</v>
      </c>
    </row>
    <row r="13" spans="1:69" ht="24.75" customHeight="1">
      <c r="A13" s="202" t="str">
        <f>+IF(FEBRERO!A13=0,"",FEBRERO!A13)</f>
        <v>1.0.02</v>
      </c>
      <c r="B13" s="203" t="str">
        <f>+IF(FEBRERO!B13=0,"",FEBRERO!B13)</f>
        <v>Bancos</v>
      </c>
      <c r="C13" s="204">
        <f>+ENERO!C13</f>
        <v>0</v>
      </c>
      <c r="D13" s="205">
        <f>FEBRERO!D13+MARZO!P13</f>
        <v>0</v>
      </c>
      <c r="E13" s="205">
        <f>FEBRERO!E13+MARZO!Q13</f>
        <v>554873586</v>
      </c>
      <c r="F13" s="206">
        <f>SUM(C13:E13)</f>
        <v>554873586</v>
      </c>
      <c r="G13" s="207">
        <f>FEBRERO!I13</f>
        <v>554873586</v>
      </c>
      <c r="H13" s="208">
        <v>0</v>
      </c>
      <c r="I13" s="206">
        <f>SUM(G13:H13)</f>
        <v>554873586</v>
      </c>
      <c r="J13" s="207">
        <f>FEBRERO!L13</f>
        <v>554873586</v>
      </c>
      <c r="K13" s="209">
        <f>+H13</f>
        <v>0</v>
      </c>
      <c r="L13" s="206">
        <f>SUM(J13:K13)</f>
        <v>554873586</v>
      </c>
      <c r="M13" s="207">
        <f>F13-I13</f>
        <v>0</v>
      </c>
      <c r="N13" s="206">
        <f>F13-L13</f>
        <v>0</v>
      </c>
      <c r="O13" s="736"/>
      <c r="P13" s="204">
        <v>0</v>
      </c>
      <c r="Q13" s="210">
        <v>0</v>
      </c>
      <c r="R13" s="903"/>
      <c r="S13" s="189"/>
      <c r="T13" s="488"/>
      <c r="U13" s="193"/>
      <c r="V13" s="191"/>
      <c r="W13" s="191"/>
      <c r="X13" s="191"/>
      <c r="Y13" s="193"/>
      <c r="Z13" s="191"/>
      <c r="AA13" s="192"/>
      <c r="AB13" s="193"/>
      <c r="AC13" s="191"/>
      <c r="AD13" s="192"/>
      <c r="AE13" s="193"/>
      <c r="AF13" s="191"/>
      <c r="AG13" s="192"/>
      <c r="AH13" s="193"/>
      <c r="AI13" s="191"/>
      <c r="AJ13" s="192"/>
      <c r="AK13" s="907"/>
      <c r="AL13" s="194"/>
      <c r="AM13" s="195"/>
      <c r="AN13" s="903"/>
      <c r="AO13" s="828"/>
      <c r="AP13" s="197" t="s">
        <v>115</v>
      </c>
      <c r="AQ13" s="814">
        <f>F90</f>
        <v>9662757523</v>
      </c>
      <c r="AR13" s="814">
        <f>I90</f>
        <v>3616679990</v>
      </c>
      <c r="AS13" s="814">
        <f>L90</f>
        <v>465757563</v>
      </c>
      <c r="AT13" s="903"/>
      <c r="AU13" s="157"/>
      <c r="AV13" s="157"/>
      <c r="AW13" s="820">
        <f>I90</f>
        <v>3616679990</v>
      </c>
      <c r="AX13" s="820">
        <f>L90</f>
        <v>465757563</v>
      </c>
      <c r="AY13" s="820">
        <f t="shared" si="0"/>
        <v>-6046077533</v>
      </c>
      <c r="AZ13" s="159"/>
      <c r="BA13" s="736"/>
      <c r="BB13" s="236" t="s">
        <v>116</v>
      </c>
      <c r="BC13" s="223">
        <f>+F30+F33+F36+F38+F39+F40</f>
        <v>1140706891</v>
      </c>
      <c r="BD13" s="224">
        <f>+I30+I33+I36+I38+I39+I40</f>
        <v>469765142</v>
      </c>
      <c r="BE13" s="161">
        <f>SUM(K33)</f>
        <v>140100916</v>
      </c>
      <c r="BF13" s="553">
        <f>+ENERO!BE13+FEBRERO!BE13+MARZO!BE13</f>
        <v>140100916</v>
      </c>
      <c r="BG13" s="227" t="s">
        <v>117</v>
      </c>
      <c r="BH13" s="199">
        <f t="shared" ref="BH13:BK15" si="7">BN29</f>
        <v>13867226030</v>
      </c>
      <c r="BI13" s="199">
        <f t="shared" si="7"/>
        <v>9353034530</v>
      </c>
      <c r="BJ13" s="199">
        <f t="shared" si="7"/>
        <v>2231755852</v>
      </c>
      <c r="BK13" s="199">
        <f t="shared" si="7"/>
        <v>1693288254</v>
      </c>
      <c r="BL13" s="555">
        <f>+ENERO!BK13+FEBRERO!BK13+MARZO!BK13</f>
        <v>1868246404</v>
      </c>
      <c r="BM13" s="745" t="s">
        <v>118</v>
      </c>
      <c r="BN13" s="188">
        <f>X43-X55+X57-X61+X90-X102+X104-X108</f>
        <v>2665651403.2960005</v>
      </c>
      <c r="BO13" s="575">
        <f>AA43-AA55+AA57-AA61+AA90-AA102+AA104-AA108</f>
        <v>447675203</v>
      </c>
      <c r="BP13" s="186">
        <f>AD43-AD55+AD57-AD61+AD90-AD102+AD104-AD108</f>
        <v>447675203</v>
      </c>
      <c r="BQ13" s="748">
        <f>AF43-AF55+AF57-AF61+AF90-AF102+AF104-AF108</f>
        <v>161392303</v>
      </c>
    </row>
    <row r="14" spans="1:69" ht="24.75" customHeight="1">
      <c r="A14" s="202" t="str">
        <f>+IF(FEBRERO!A14=0,"",FEBRERO!A14)</f>
        <v>1.0.03</v>
      </c>
      <c r="B14" s="203" t="str">
        <f>+IF(FEBRERO!B14=0,"",FEBRERO!B14)</f>
        <v>Inversiones Temporales</v>
      </c>
      <c r="C14" s="204">
        <f>+ENERO!C14</f>
        <v>0</v>
      </c>
      <c r="D14" s="205">
        <f>FEBRERO!D14+MARZO!P14</f>
        <v>0</v>
      </c>
      <c r="E14" s="205">
        <f>FEBRERO!E14+MARZO!Q14</f>
        <v>620662520</v>
      </c>
      <c r="F14" s="206">
        <f>SUM(C14:E14)</f>
        <v>620662520</v>
      </c>
      <c r="G14" s="207">
        <f>FEBRERO!I14</f>
        <v>620662520</v>
      </c>
      <c r="H14" s="208">
        <v>0</v>
      </c>
      <c r="I14" s="206">
        <f>SUM(G14:H14)</f>
        <v>620662520</v>
      </c>
      <c r="J14" s="207">
        <f>FEBRERO!L14</f>
        <v>620662520</v>
      </c>
      <c r="K14" s="209">
        <f>+H14</f>
        <v>0</v>
      </c>
      <c r="L14" s="206">
        <f>SUM(J14:K14)</f>
        <v>620662520</v>
      </c>
      <c r="M14" s="207">
        <f>F14-I14</f>
        <v>0</v>
      </c>
      <c r="N14" s="206">
        <f>F14-L14</f>
        <v>0</v>
      </c>
      <c r="O14" s="736"/>
      <c r="P14" s="204">
        <v>0</v>
      </c>
      <c r="Q14" s="210">
        <v>0</v>
      </c>
      <c r="R14" s="903"/>
      <c r="S14" s="228" t="str">
        <f>+IF(FEBRERO!S14=0,"",FEBRERO!S14)</f>
        <v>2.1.1.01</v>
      </c>
      <c r="T14" s="531" t="str">
        <f>+IF(FEBRERO!T14=0,"",FEBRERO!T14)</f>
        <v>Gastos de Administración</v>
      </c>
      <c r="U14" s="233">
        <f t="shared" ref="U14:AJ14" si="8">U16+U35+U43+U57</f>
        <v>23848754297.879169</v>
      </c>
      <c r="V14" s="231">
        <f t="shared" si="8"/>
        <v>753999693</v>
      </c>
      <c r="W14" s="231">
        <f t="shared" si="8"/>
        <v>0</v>
      </c>
      <c r="X14" s="234">
        <f t="shared" si="8"/>
        <v>24602753990.879169</v>
      </c>
      <c r="Y14" s="233">
        <f t="shared" si="8"/>
        <v>11234723506</v>
      </c>
      <c r="Z14" s="231">
        <f t="shared" si="8"/>
        <v>1632767490</v>
      </c>
      <c r="AA14" s="232">
        <f t="shared" si="8"/>
        <v>12867490996</v>
      </c>
      <c r="AB14" s="233">
        <f t="shared" si="8"/>
        <v>5634386859</v>
      </c>
      <c r="AC14" s="231">
        <f t="shared" si="8"/>
        <v>2702137647</v>
      </c>
      <c r="AD14" s="232">
        <f t="shared" si="8"/>
        <v>8336524506</v>
      </c>
      <c r="AE14" s="233">
        <f t="shared" si="8"/>
        <v>3509462373</v>
      </c>
      <c r="AF14" s="231">
        <f t="shared" si="8"/>
        <v>1647083368</v>
      </c>
      <c r="AG14" s="232">
        <f t="shared" si="8"/>
        <v>5156545741</v>
      </c>
      <c r="AH14" s="233">
        <f t="shared" si="8"/>
        <v>11735262994.879169</v>
      </c>
      <c r="AI14" s="231">
        <f t="shared" si="8"/>
        <v>16266229484.879169</v>
      </c>
      <c r="AJ14" s="232">
        <f t="shared" si="8"/>
        <v>19446208249.879169</v>
      </c>
      <c r="AK14" s="907"/>
      <c r="AL14" s="233">
        <f>AL16+AL35+AL43+AL57</f>
        <v>783000000</v>
      </c>
      <c r="AM14" s="232">
        <f>AM16+AM35+AM43+AM57</f>
        <v>0</v>
      </c>
      <c r="AN14" s="903"/>
      <c r="AO14" s="806"/>
      <c r="AP14" s="109" t="s">
        <v>120</v>
      </c>
      <c r="AQ14" s="814">
        <f>F19-AQ7-AQ8-AQ9-AQ10-AQ11-AQ12-AQ13</f>
        <v>7051886071.8896484</v>
      </c>
      <c r="AR14" s="814">
        <f>I19-AR7-AR8-AR9-AR10-AR11-AR12-AR13</f>
        <v>2453404462</v>
      </c>
      <c r="AS14" s="814">
        <f>L19-AS7-AS8-AS9-AS10-AS11-AS12-AS13</f>
        <v>1030598680</v>
      </c>
      <c r="AT14" s="736"/>
      <c r="AU14" s="157">
        <f>IF(AQ14=0," ",AR14/AQ14)</f>
        <v>0.34790755791983136</v>
      </c>
      <c r="AV14" s="157">
        <f>IF(AQ14=0," ",AS14/AQ14)</f>
        <v>0.14614511203012631</v>
      </c>
      <c r="AW14" s="820">
        <f>(I41+I46+I49+I52+I55+I58+I61+I64+I67+I70+I73+I78+I81+I82+I83+I85+I94+I104)/AO$2*12+I47+I50+I53+I56+I59+I62+I65+I68+I71+I74</f>
        <v>29805192544</v>
      </c>
      <c r="AX14" s="820">
        <f>(L41+L46+L49+L52+L55+L58+L61+L64+L67+L70+L73+L78+L81+L82+L83+L85+L94+L104)/AO$2*12+L47+L50+L53+L56+L59+L62+L65+L68+L71+L74</f>
        <v>10276218988</v>
      </c>
      <c r="AY14" s="820">
        <f t="shared" si="0"/>
        <v>22753306472.110352</v>
      </c>
      <c r="AZ14" s="159">
        <f>AX14-AQ14</f>
        <v>3224332916.1103516</v>
      </c>
      <c r="BA14" s="903"/>
      <c r="BB14" s="236" t="s">
        <v>121</v>
      </c>
      <c r="BC14" s="237">
        <f>+F64</f>
        <v>2137731076.9417498</v>
      </c>
      <c r="BD14" s="238">
        <f>+I64</f>
        <v>550310921</v>
      </c>
      <c r="BE14" s="239">
        <f>K64</f>
        <v>97927971</v>
      </c>
      <c r="BF14" s="553">
        <f>+ENERO!BE14+FEBRERO!BE14+MARZO!BE14</f>
        <v>171683308</v>
      </c>
      <c r="BG14" s="227" t="s">
        <v>122</v>
      </c>
      <c r="BH14" s="186">
        <f t="shared" si="7"/>
        <v>3239175000</v>
      </c>
      <c r="BI14" s="186">
        <f t="shared" si="7"/>
        <v>331093822</v>
      </c>
      <c r="BJ14" s="186">
        <f t="shared" si="7"/>
        <v>331093822</v>
      </c>
      <c r="BK14" s="186">
        <f t="shared" si="7"/>
        <v>109668570</v>
      </c>
      <c r="BL14" s="555">
        <f>+ENERO!BK14+FEBRERO!BK14+MARZO!BK14</f>
        <v>331093822</v>
      </c>
      <c r="BM14" s="752" t="s">
        <v>123</v>
      </c>
      <c r="BN14" s="201">
        <f>X35-X41+X83-X88</f>
        <v>61757306257</v>
      </c>
      <c r="BO14" s="199">
        <f>AA35-AA41+AA83-AA88</f>
        <v>38765102033</v>
      </c>
      <c r="BP14" s="199">
        <f>AD35-AD41+AD83-AD88</f>
        <v>16574558617</v>
      </c>
      <c r="BQ14" s="753">
        <f>AF35-AF41+AF83-AF88</f>
        <v>425212181</v>
      </c>
    </row>
    <row r="15" spans="1:69" ht="24.75" customHeight="1" thickBot="1">
      <c r="A15" s="241">
        <f>+IF(FEBRERO!A15=0,"",FEBRERO!A15)</f>
        <v>1004</v>
      </c>
      <c r="B15" s="203" t="str">
        <f>+IF(FEBRERO!B15=0,"",FEBRERO!B15)</f>
        <v>Cesantias Ley 50/1990 a Dic-31-2024</v>
      </c>
      <c r="C15" s="242">
        <f>+ENERO!C15</f>
        <v>0</v>
      </c>
      <c r="D15" s="243">
        <f>FEBRERO!D15+MARZO!P15</f>
        <v>0</v>
      </c>
      <c r="E15" s="243">
        <f>FEBRERO!E15+MARZO!Q15</f>
        <v>0</v>
      </c>
      <c r="F15" s="244">
        <f>SUM(C15:E15)</f>
        <v>0</v>
      </c>
      <c r="G15" s="245">
        <f>FEBRERO!I15</f>
        <v>0</v>
      </c>
      <c r="H15" s="246">
        <v>0</v>
      </c>
      <c r="I15" s="244">
        <f>SUM(G15:H15)</f>
        <v>0</v>
      </c>
      <c r="J15" s="245">
        <f>FEBRERO!L15</f>
        <v>0</v>
      </c>
      <c r="K15" s="247">
        <f>+H15</f>
        <v>0</v>
      </c>
      <c r="L15" s="244">
        <f>SUM(J15:K15)</f>
        <v>0</v>
      </c>
      <c r="M15" s="245">
        <f>F15-I15</f>
        <v>0</v>
      </c>
      <c r="N15" s="244">
        <f>F15-L15</f>
        <v>0</v>
      </c>
      <c r="O15" s="736"/>
      <c r="P15" s="242">
        <v>0</v>
      </c>
      <c r="Q15" s="248">
        <v>0</v>
      </c>
      <c r="R15" s="903"/>
      <c r="S15" s="189" t="str">
        <f>+IF(FEBRERO!S15=0,"",FEBRERO!S15)</f>
        <v/>
      </c>
      <c r="T15" s="488" t="str">
        <f>+IF(FEBRERO!T15=0,"",FEBRERO!T15)</f>
        <v xml:space="preserve"> </v>
      </c>
      <c r="U15" s="193"/>
      <c r="V15" s="191"/>
      <c r="W15" s="191"/>
      <c r="X15" s="191"/>
      <c r="Y15" s="193"/>
      <c r="Z15" s="191"/>
      <c r="AA15" s="192"/>
      <c r="AB15" s="193"/>
      <c r="AC15" s="191"/>
      <c r="AD15" s="192"/>
      <c r="AE15" s="193"/>
      <c r="AF15" s="191"/>
      <c r="AG15" s="192"/>
      <c r="AH15" s="193"/>
      <c r="AI15" s="191"/>
      <c r="AJ15" s="192"/>
      <c r="AK15" s="907"/>
      <c r="AL15" s="249"/>
      <c r="AM15" s="250"/>
      <c r="AN15" s="903"/>
      <c r="AO15" s="828"/>
      <c r="AP15" s="109" t="s">
        <v>124</v>
      </c>
      <c r="AQ15" s="814">
        <f>F113</f>
        <v>0</v>
      </c>
      <c r="AR15" s="814">
        <f>I113</f>
        <v>0</v>
      </c>
      <c r="AS15" s="814">
        <f>L113</f>
        <v>0</v>
      </c>
      <c r="AT15" s="903"/>
      <c r="AU15" s="139" t="str">
        <f>IF(AQ15=0," ",AR15/AQ15)</f>
        <v xml:space="preserve"> </v>
      </c>
      <c r="AV15" s="139" t="str">
        <f>IF(AQ15=0," ",AS15/AQ15)</f>
        <v xml:space="preserve"> </v>
      </c>
      <c r="AW15" s="814">
        <f>+AR15</f>
        <v>0</v>
      </c>
      <c r="AX15" s="814">
        <f>+AS15</f>
        <v>0</v>
      </c>
      <c r="AY15" s="814">
        <f t="shared" si="0"/>
        <v>0</v>
      </c>
      <c r="AZ15" s="140">
        <f>AX15-AQ15</f>
        <v>0</v>
      </c>
      <c r="BA15" s="736"/>
      <c r="BB15" s="236" t="s">
        <v>125</v>
      </c>
      <c r="BC15" s="237">
        <f>F46+F49</f>
        <v>976431378</v>
      </c>
      <c r="BD15" s="238">
        <f>I46+I49</f>
        <v>161122526</v>
      </c>
      <c r="BE15" s="239">
        <f>K46</f>
        <v>0</v>
      </c>
      <c r="BF15" s="553">
        <f>+ENERO!BE15+FEBRERO!BE15+MARZO!BE15</f>
        <v>4215387</v>
      </c>
      <c r="BG15" s="227" t="s">
        <v>126</v>
      </c>
      <c r="BH15" s="186">
        <f t="shared" si="7"/>
        <v>29917421497.222054</v>
      </c>
      <c r="BI15" s="186">
        <f t="shared" si="7"/>
        <v>23559087482</v>
      </c>
      <c r="BJ15" s="186">
        <f t="shared" si="7"/>
        <v>23552887482</v>
      </c>
      <c r="BK15" s="186">
        <f t="shared" si="7"/>
        <v>7146624486</v>
      </c>
      <c r="BL15" s="555">
        <f>+ENERO!BK15+FEBRERO!BK15+MARZO!BK15</f>
        <v>23412171535</v>
      </c>
      <c r="BM15" s="743" t="s">
        <v>104</v>
      </c>
      <c r="BN15" s="188">
        <f>SUM(BN16:BN21)</f>
        <v>18025930124.398613</v>
      </c>
      <c r="BO15" s="186">
        <f>SUM(BO16:BO21)</f>
        <v>10069020564</v>
      </c>
      <c r="BP15" s="186">
        <f>SUM(BP16:BP21)</f>
        <v>4469861308</v>
      </c>
      <c r="BQ15" s="754">
        <f>SUM(BQ16:BQ21)</f>
        <v>703544506</v>
      </c>
    </row>
    <row r="16" spans="1:69" ht="24.75" customHeight="1" thickBot="1">
      <c r="A16" s="831" t="str">
        <f>+IF(FEBRERO!A16=0,"",FEBRERO!A16)</f>
        <v/>
      </c>
      <c r="B16" s="832" t="str">
        <f>+IF(FEBRERO!B16=0,"",FEBRERO!B16)</f>
        <v/>
      </c>
      <c r="C16" s="833"/>
      <c r="D16" s="833"/>
      <c r="E16" s="833"/>
      <c r="F16" s="833"/>
      <c r="G16" s="833"/>
      <c r="H16" s="833"/>
      <c r="I16" s="833"/>
      <c r="J16" s="833"/>
      <c r="K16" s="833"/>
      <c r="L16" s="833"/>
      <c r="M16" s="833"/>
      <c r="N16" s="834"/>
      <c r="O16" s="736"/>
      <c r="P16" s="255"/>
      <c r="Q16" s="256"/>
      <c r="R16" s="903"/>
      <c r="S16" s="257" t="str">
        <f>+IF(FEBRERO!S16=0,"",FEBRERO!S16)</f>
        <v>2.1.1.01.01</v>
      </c>
      <c r="T16" s="532" t="str">
        <f>+IF(FEBRERO!T16=0,"",FEBRERO!T16)</f>
        <v>Servicios Personales Asociados a Nómina</v>
      </c>
      <c r="U16" s="233">
        <f t="shared" ref="U16:AJ16" si="9">SUM(U17:U20)+U33</f>
        <v>8136453797.916667</v>
      </c>
      <c r="V16" s="231">
        <f t="shared" si="9"/>
        <v>-29000307</v>
      </c>
      <c r="W16" s="231">
        <f t="shared" si="9"/>
        <v>0</v>
      </c>
      <c r="X16" s="234">
        <f t="shared" si="9"/>
        <v>8107453490.916667</v>
      </c>
      <c r="Y16" s="233">
        <f t="shared" si="9"/>
        <v>958246968</v>
      </c>
      <c r="Z16" s="231">
        <f t="shared" si="9"/>
        <v>533794282</v>
      </c>
      <c r="AA16" s="232">
        <f t="shared" si="9"/>
        <v>1492041250</v>
      </c>
      <c r="AB16" s="233">
        <f t="shared" si="9"/>
        <v>958246968</v>
      </c>
      <c r="AC16" s="231">
        <f t="shared" si="9"/>
        <v>533794282</v>
      </c>
      <c r="AD16" s="232">
        <f t="shared" si="9"/>
        <v>1492041250</v>
      </c>
      <c r="AE16" s="233">
        <f t="shared" si="9"/>
        <v>958246968</v>
      </c>
      <c r="AF16" s="231">
        <f t="shared" si="9"/>
        <v>533794282</v>
      </c>
      <c r="AG16" s="232">
        <f t="shared" si="9"/>
        <v>1492041250</v>
      </c>
      <c r="AH16" s="233">
        <f t="shared" si="9"/>
        <v>6615412240.916667</v>
      </c>
      <c r="AI16" s="231">
        <f t="shared" si="9"/>
        <v>6615412240.916667</v>
      </c>
      <c r="AJ16" s="232">
        <f t="shared" si="9"/>
        <v>6615412240.916667</v>
      </c>
      <c r="AK16" s="907"/>
      <c r="AL16" s="233">
        <f>SUM(AL17:AL20)+AL33</f>
        <v>0</v>
      </c>
      <c r="AM16" s="232">
        <f>SUM(AM17:AM20)+AM33</f>
        <v>0</v>
      </c>
      <c r="AN16" s="903"/>
      <c r="AO16" s="806"/>
      <c r="AP16" s="259" t="s">
        <v>128</v>
      </c>
      <c r="AQ16" s="260">
        <f>F10</f>
        <v>1179477265</v>
      </c>
      <c r="AR16" s="260">
        <f>I10</f>
        <v>1179477265</v>
      </c>
      <c r="AS16" s="260">
        <f>L10</f>
        <v>1179477265</v>
      </c>
      <c r="AT16" s="736"/>
      <c r="AU16" s="261">
        <f>IF(AQ16=0," ",AR16/AQ16)</f>
        <v>1</v>
      </c>
      <c r="AV16" s="261">
        <f>IF(AQ16=0," ",AS16/AQ16)</f>
        <v>1</v>
      </c>
      <c r="AW16" s="260">
        <f>+AR16</f>
        <v>1179477265</v>
      </c>
      <c r="AX16" s="260">
        <f>+AS16</f>
        <v>1179477265</v>
      </c>
      <c r="AY16" s="814">
        <f t="shared" si="0"/>
        <v>0</v>
      </c>
      <c r="AZ16" s="262">
        <f>AX16-AQ16</f>
        <v>0</v>
      </c>
      <c r="BA16" s="736"/>
      <c r="BB16" s="185" t="s">
        <v>129</v>
      </c>
      <c r="BC16" s="161">
        <f>F43</f>
        <v>0</v>
      </c>
      <c r="BD16" s="162">
        <f>I43</f>
        <v>15112734</v>
      </c>
      <c r="BE16" s="237">
        <f>SUM(K86:K91)</f>
        <v>1478126824</v>
      </c>
      <c r="BF16" s="553">
        <f>+ENERO!BE16+FEBRERO!BE16+MARZO!BE16</f>
        <v>1943884387</v>
      </c>
      <c r="BG16" s="227" t="s">
        <v>130</v>
      </c>
      <c r="BH16" s="263">
        <f>BH7+BH12+BH13+BH14+BH15</f>
        <v>173539073903.16663</v>
      </c>
      <c r="BI16" s="263">
        <f>BI7+BI12+BI13+BI14+BI15</f>
        <v>105570883002</v>
      </c>
      <c r="BJ16" s="263">
        <f>BJ7+BJ12+BJ13+BJ14+BJ15</f>
        <v>60743009244</v>
      </c>
      <c r="BK16" s="263">
        <f>BK7+BK12+BK13+BK14+BK15</f>
        <v>12172219634</v>
      </c>
      <c r="BL16" s="555">
        <f>+ENERO!BK16+FEBRERO!BK16+MARZO!BK16</f>
        <v>31790381390</v>
      </c>
      <c r="BM16" s="745" t="s">
        <v>131</v>
      </c>
      <c r="BN16" s="188">
        <f>SUM(X115+X116+X117+X149)</f>
        <v>1583007702.1208334</v>
      </c>
      <c r="BO16" s="188">
        <f>SUM(AA115+AA116+AA117+AA149)</f>
        <v>716575105</v>
      </c>
      <c r="BP16" s="188">
        <f>SUM(AD115+AD116+AD117+AD149)</f>
        <v>349181213</v>
      </c>
      <c r="BQ16" s="188">
        <f>SUM(AF115+AF116+AF117+AF149)</f>
        <v>4899604</v>
      </c>
    </row>
    <row r="17" spans="1:69" ht="24.75" customHeight="1" thickBot="1">
      <c r="A17" s="169" t="str">
        <f>+IF(FEBRERO!A17=0,"",FEBRERO!A17)</f>
        <v>1.1</v>
      </c>
      <c r="B17" s="265" t="str">
        <f>+IF(FEBRERO!B17=0,"",FEBRERO!B17)</f>
        <v>INGRESOS  CORRIENTES</v>
      </c>
      <c r="C17" s="127">
        <f t="shared" ref="C17:N17" si="10">C19+C94+C104</f>
        <v>158143153137.47653</v>
      </c>
      <c r="D17" s="125">
        <f t="shared" si="10"/>
        <v>0</v>
      </c>
      <c r="E17" s="125">
        <f t="shared" si="10"/>
        <v>13867226030</v>
      </c>
      <c r="F17" s="125">
        <f t="shared" si="10"/>
        <v>172010379167.47653</v>
      </c>
      <c r="G17" s="125">
        <f t="shared" si="10"/>
        <v>47164696000</v>
      </c>
      <c r="H17" s="125">
        <f t="shared" si="10"/>
        <v>19663303995</v>
      </c>
      <c r="I17" s="125">
        <f t="shared" si="10"/>
        <v>66827999995</v>
      </c>
      <c r="J17" s="125">
        <f t="shared" si="10"/>
        <v>20719994744</v>
      </c>
      <c r="K17" s="125">
        <f t="shared" si="10"/>
        <v>12666539999</v>
      </c>
      <c r="L17" s="125">
        <f t="shared" si="10"/>
        <v>33386534743</v>
      </c>
      <c r="M17" s="125">
        <f t="shared" si="10"/>
        <v>105182379172.47652</v>
      </c>
      <c r="N17" s="128">
        <f t="shared" si="10"/>
        <v>138623844424.4765</v>
      </c>
      <c r="O17" s="736"/>
      <c r="P17" s="171">
        <f>P19+P94+P104</f>
        <v>0</v>
      </c>
      <c r="Q17" s="173">
        <f>Q19+Q94+Q104</f>
        <v>0</v>
      </c>
      <c r="R17" s="903"/>
      <c r="S17" s="266" t="str">
        <f>+IF(FEBRERO!S17=0,"",FEBRERO!S17)</f>
        <v>2.1.1.01.01.001.01</v>
      </c>
      <c r="T17" s="534" t="str">
        <f>+IF(FEBRERO!T17=0,"",FEBRERO!T17)</f>
        <v>Sueldos del Personal de nómina</v>
      </c>
      <c r="U17" s="301">
        <f>+ENERO!U17</f>
        <v>6531851100</v>
      </c>
      <c r="V17" s="220">
        <f>FEBRERO!V17+MARZO!AL17</f>
        <v>-50000307</v>
      </c>
      <c r="W17" s="220">
        <f>FEBRERO!W17+MARZO!AM17</f>
        <v>0</v>
      </c>
      <c r="X17" s="271">
        <f>SUM(U17:W17)</f>
        <v>6481850793</v>
      </c>
      <c r="Y17" s="270">
        <f>FEBRERO!AA17</f>
        <v>835951662</v>
      </c>
      <c r="Z17" s="208">
        <v>420897564</v>
      </c>
      <c r="AA17" s="269">
        <f>SUM(Y17:Z17)</f>
        <v>1256849226</v>
      </c>
      <c r="AB17" s="270">
        <f>FEBRERO!AD17</f>
        <v>835951662</v>
      </c>
      <c r="AC17" s="208">
        <v>420897564</v>
      </c>
      <c r="AD17" s="269">
        <f>SUM(AB17:AC17)</f>
        <v>1256849226</v>
      </c>
      <c r="AE17" s="270">
        <f>FEBRERO!AG17</f>
        <v>835951662</v>
      </c>
      <c r="AF17" s="208">
        <v>420897564</v>
      </c>
      <c r="AG17" s="269">
        <f>SUM(AE17:AF17)</f>
        <v>1256849226</v>
      </c>
      <c r="AH17" s="270">
        <f>X17-AA17</f>
        <v>5225001567</v>
      </c>
      <c r="AI17" s="220">
        <f>X17-AD17</f>
        <v>5225001567</v>
      </c>
      <c r="AJ17" s="269">
        <f>X17-AG17</f>
        <v>5225001567</v>
      </c>
      <c r="AK17" s="903"/>
      <c r="AL17" s="204">
        <v>0</v>
      </c>
      <c r="AM17" s="210">
        <v>0</v>
      </c>
      <c r="AN17" s="903"/>
      <c r="AO17" s="819"/>
      <c r="AP17" s="835" t="s">
        <v>134</v>
      </c>
      <c r="AQ17" s="836">
        <f>SUM(AQ7:AQ16)</f>
        <v>172304856432.47653</v>
      </c>
      <c r="AR17" s="274">
        <f>SUM(AR7:AR16)</f>
        <v>67887660029</v>
      </c>
      <c r="AS17" s="837">
        <f>SUM(AS7:AS16)</f>
        <v>34458238979</v>
      </c>
      <c r="AT17" s="276"/>
      <c r="AU17" s="274">
        <f>IF(AQ17=0," ",AR17/AQ17)</f>
        <v>0.3939973685860913</v>
      </c>
      <c r="AV17" s="274">
        <f>IF(AQ17=0," ",AS17/AQ17)</f>
        <v>0.19998414259730179</v>
      </c>
      <c r="AW17" s="277">
        <f>SUM(AX7:AX16)</f>
        <v>61148918948</v>
      </c>
      <c r="AX17" s="277">
        <f>SUM(AX7:AX16)</f>
        <v>61148918948</v>
      </c>
      <c r="AY17" s="277">
        <f>SUM(AY7:AY16)</f>
        <v>26310396430.523476</v>
      </c>
      <c r="AZ17" s="278">
        <f>SUM(AZ7:AZ16)</f>
        <v>-100270230772.47653</v>
      </c>
      <c r="BA17" s="903"/>
      <c r="BB17" s="185" t="s">
        <v>135</v>
      </c>
      <c r="BC17" s="161">
        <f>F41+F52+F55+F58+F61+F67+F70+F73+F76+F79+F82+F86+F87+F88+F89+F90+F91</f>
        <v>16520748562.847889</v>
      </c>
      <c r="BD17" s="162">
        <f>I41+I52+I55+I58+I61+I67+I70+I73+I76+I79+I82+I86+I87+I88+I89+I90+I91</f>
        <v>6291223893</v>
      </c>
      <c r="BE17" s="161">
        <f>SUM(K43+K49+K46+K49+K52+K55+K58+K61+K67+K70+K73+K79+K76+K82)</f>
        <v>15629811</v>
      </c>
      <c r="BF17" s="553">
        <f>+ENERO!BE17+FEBRERO!BE17+MARZO!BE17</f>
        <v>50227641</v>
      </c>
      <c r="BG17" s="279" t="s">
        <v>136</v>
      </c>
      <c r="BH17" s="280">
        <f>BC23-BH16</f>
        <v>-173539073903.16663</v>
      </c>
      <c r="BI17" s="280"/>
      <c r="BJ17" s="280"/>
      <c r="BK17" s="280"/>
      <c r="BL17" s="555">
        <f>+ENERO!BK17+FEBRERO!BK17+MARZO!BK17</f>
        <v>0</v>
      </c>
      <c r="BM17" s="745" t="s">
        <v>137</v>
      </c>
      <c r="BN17" s="188">
        <f>X124+X127+X128+X129+X130+X131+X132+X133+X134+X135+X136+X125+X137+X138</f>
        <v>4777032728.2777777</v>
      </c>
      <c r="BO17" s="188">
        <f>AA124+AA127+AA128+AA129+AA130+AA131+AA132+AA133+AA134+AA135+AA136+AA125+AA137+AA138</f>
        <v>4142034776</v>
      </c>
      <c r="BP17" s="188">
        <f>AD124+AD127+AD128+AD129+AD130+AD131+AD132+AD133+AD134+AD135+AD136+AD125+AD137+AD138</f>
        <v>1767911587</v>
      </c>
      <c r="BQ17" s="188">
        <f>AF124+AF127+AF128+AF129+AF130+AF131+AF132+AF133+AF134+AF135+AF136+AF125+AF137+AF138</f>
        <v>290801248</v>
      </c>
    </row>
    <row r="18" spans="1:69" ht="24.75" customHeight="1" thickBot="1">
      <c r="A18" s="202">
        <f>+IF(FEBRERO!A18=0,"",FEBRERO!A18)</f>
        <v>399373312</v>
      </c>
      <c r="B18" s="838">
        <f>+IF(FEBRERO!B18=0,"",FEBRERO!B18)</f>
        <v>399373312</v>
      </c>
      <c r="C18" s="736"/>
      <c r="D18" s="736"/>
      <c r="E18" s="736"/>
      <c r="F18" s="736"/>
      <c r="G18" s="736"/>
      <c r="H18" s="736"/>
      <c r="I18" s="736"/>
      <c r="J18" s="736"/>
      <c r="K18" s="736"/>
      <c r="L18" s="736"/>
      <c r="M18" s="736"/>
      <c r="N18" s="283"/>
      <c r="O18" s="903"/>
      <c r="P18" s="284"/>
      <c r="Q18" s="285"/>
      <c r="R18" s="903"/>
      <c r="S18" s="266" t="str">
        <f>+IF(FEBRERO!S18=0,"",FEBRERO!S18)</f>
        <v>2.1.1.01.01.001.02</v>
      </c>
      <c r="T18" s="534" t="str">
        <f>+IF(FEBRERO!T18=0,"",FEBRERO!T18)</f>
        <v>Horas Extras,Dominic.,Festivos y Rec. Nocturnos</v>
      </c>
      <c r="U18" s="301">
        <f>+ENERO!U18</f>
        <v>17000000</v>
      </c>
      <c r="V18" s="220">
        <f>FEBRERO!V18+MARZO!AL18</f>
        <v>0</v>
      </c>
      <c r="W18" s="220">
        <f>FEBRERO!W18+MARZO!AM18</f>
        <v>0</v>
      </c>
      <c r="X18" s="271">
        <f>SUM(U18:W18)</f>
        <v>17000000</v>
      </c>
      <c r="Y18" s="270">
        <f>FEBRERO!AA18</f>
        <v>1898662</v>
      </c>
      <c r="Z18" s="208">
        <v>1252149</v>
      </c>
      <c r="AA18" s="269">
        <f>SUM(Y18:Z18)</f>
        <v>3150811</v>
      </c>
      <c r="AB18" s="270">
        <f>FEBRERO!AD18</f>
        <v>1898662</v>
      </c>
      <c r="AC18" s="208">
        <v>1252149</v>
      </c>
      <c r="AD18" s="269">
        <f>SUM(AB18:AC18)</f>
        <v>3150811</v>
      </c>
      <c r="AE18" s="270">
        <f>FEBRERO!AG18</f>
        <v>1898662</v>
      </c>
      <c r="AF18" s="208">
        <v>1252149</v>
      </c>
      <c r="AG18" s="269">
        <f>SUM(AE18:AF18)</f>
        <v>3150811</v>
      </c>
      <c r="AH18" s="270">
        <f>X18-AA18</f>
        <v>13849189</v>
      </c>
      <c r="AI18" s="220">
        <f>X18-AD18</f>
        <v>13849189</v>
      </c>
      <c r="AJ18" s="269">
        <f>X18-AG18</f>
        <v>13849189</v>
      </c>
      <c r="AK18" s="903"/>
      <c r="AL18" s="204">
        <v>0</v>
      </c>
      <c r="AM18" s="210">
        <v>0</v>
      </c>
      <c r="AN18" s="903"/>
      <c r="AO18" s="806"/>
      <c r="AP18" s="736" t="s">
        <v>92</v>
      </c>
      <c r="AQ18" s="736"/>
      <c r="AR18" s="736"/>
      <c r="AS18" s="736"/>
      <c r="AT18" s="736"/>
      <c r="AU18" s="736"/>
      <c r="AV18" s="736"/>
      <c r="AW18" s="736"/>
      <c r="AX18" s="736"/>
      <c r="AY18" s="736"/>
      <c r="AZ18" s="736"/>
      <c r="BA18" s="736"/>
      <c r="BB18" s="236" t="s">
        <v>139</v>
      </c>
      <c r="BC18" s="161">
        <f>+F95+F96+F97+F99</f>
        <v>0</v>
      </c>
      <c r="BD18" s="162">
        <f>+I95+I96+I97+I99</f>
        <v>0</v>
      </c>
      <c r="BE18" s="163">
        <f>+K95+K96+K97+K99</f>
        <v>0</v>
      </c>
      <c r="BF18" s="553">
        <f>+ENERO!BE18+FEBRERO!BE18+MARZO!BE18</f>
        <v>0</v>
      </c>
      <c r="BG18" s="903"/>
      <c r="BH18" s="903"/>
      <c r="BI18" s="903"/>
      <c r="BJ18" s="903"/>
      <c r="BK18" s="903"/>
      <c r="BL18" s="903"/>
      <c r="BM18" s="745" t="s">
        <v>140</v>
      </c>
      <c r="BN18" s="188">
        <f>X118+X120+X148+X156+X157</f>
        <v>8493867035</v>
      </c>
      <c r="BO18" s="188">
        <f>AA118+AA120+AA148+AA156+AA157</f>
        <v>4573658735</v>
      </c>
      <c r="BP18" s="188">
        <f>AD118+AD120+AD148+AD156+AD157</f>
        <v>1716865060</v>
      </c>
      <c r="BQ18" s="188">
        <f>AF118+AF120+AF148+AF156+AF157</f>
        <v>94877998</v>
      </c>
    </row>
    <row r="19" spans="1:69" ht="24.75" customHeight="1" thickBot="1">
      <c r="A19" s="286">
        <f>+IF(FEBRERO!A19=0,"",FEBRERO!A19)</f>
        <v>113</v>
      </c>
      <c r="B19" s="287" t="str">
        <f>+IF(FEBRERO!B19=0,"",FEBRERO!B19)</f>
        <v>VENTA DE SERVICIOS</v>
      </c>
      <c r="C19" s="127">
        <f t="shared" ref="C19:N19" si="11">C21+C85</f>
        <v>157258153137.47653</v>
      </c>
      <c r="D19" s="125">
        <f t="shared" si="11"/>
        <v>0</v>
      </c>
      <c r="E19" s="125">
        <f t="shared" si="11"/>
        <v>13867226030</v>
      </c>
      <c r="F19" s="128">
        <f t="shared" si="11"/>
        <v>171125379167.47653</v>
      </c>
      <c r="G19" s="127">
        <f t="shared" si="11"/>
        <v>46987229131</v>
      </c>
      <c r="H19" s="125">
        <f t="shared" si="11"/>
        <v>19720953633</v>
      </c>
      <c r="I19" s="128">
        <f t="shared" si="11"/>
        <v>66708182764</v>
      </c>
      <c r="J19" s="127">
        <f t="shared" si="11"/>
        <v>20634797714</v>
      </c>
      <c r="K19" s="125">
        <f t="shared" si="11"/>
        <v>12643964000</v>
      </c>
      <c r="L19" s="128">
        <f t="shared" si="11"/>
        <v>33278761714</v>
      </c>
      <c r="M19" s="127">
        <f t="shared" si="11"/>
        <v>104417196403.47652</v>
      </c>
      <c r="N19" s="128">
        <f t="shared" si="11"/>
        <v>137846617453.4765</v>
      </c>
      <c r="O19" s="736"/>
      <c r="P19" s="288">
        <f>P21+P85</f>
        <v>0</v>
      </c>
      <c r="Q19" s="289">
        <f>Q21+Q85</f>
        <v>0</v>
      </c>
      <c r="R19" s="903"/>
      <c r="S19" s="266">
        <f>+IF(FEBRERO!S19=0,"",FEBRERO!S19)</f>
        <v>1010103</v>
      </c>
      <c r="T19" s="534" t="str">
        <f>+IF(FEBRERO!T19=0,"",FEBRERO!T19)</f>
        <v>Prima Técnica</v>
      </c>
      <c r="U19" s="301">
        <f>+ENERO!U19</f>
        <v>0</v>
      </c>
      <c r="V19" s="220">
        <f>FEBRERO!V19+MARZO!AL19</f>
        <v>0</v>
      </c>
      <c r="W19" s="220">
        <f>FEBRERO!W19+MARZO!AM19</f>
        <v>0</v>
      </c>
      <c r="X19" s="271">
        <f>SUM(U19:W19)</f>
        <v>0</v>
      </c>
      <c r="Y19" s="270">
        <f>FEBRERO!AA19</f>
        <v>0</v>
      </c>
      <c r="Z19" s="208">
        <v>0</v>
      </c>
      <c r="AA19" s="269">
        <f>SUM(Y19:Z19)</f>
        <v>0</v>
      </c>
      <c r="AB19" s="270">
        <f>FEBRERO!AD19</f>
        <v>0</v>
      </c>
      <c r="AC19" s="208">
        <v>0</v>
      </c>
      <c r="AD19" s="269">
        <f>SUM(AB19:AC19)</f>
        <v>0</v>
      </c>
      <c r="AE19" s="270">
        <f>FEBRERO!AG19</f>
        <v>0</v>
      </c>
      <c r="AF19" s="208">
        <v>0</v>
      </c>
      <c r="AG19" s="269">
        <f>SUM(AE19:AF19)</f>
        <v>0</v>
      </c>
      <c r="AH19" s="270">
        <f>X19-AA19</f>
        <v>0</v>
      </c>
      <c r="AI19" s="220">
        <f>X19-AD19</f>
        <v>0</v>
      </c>
      <c r="AJ19" s="269">
        <f>X19-AG19</f>
        <v>0</v>
      </c>
      <c r="AK19" s="903"/>
      <c r="AL19" s="204">
        <v>0</v>
      </c>
      <c r="AM19" s="210">
        <v>0</v>
      </c>
      <c r="AN19" s="903"/>
      <c r="AO19" s="806"/>
      <c r="AP19" s="290"/>
      <c r="AQ19" s="291" t="s">
        <v>52</v>
      </c>
      <c r="AR19" s="292" t="s">
        <v>31</v>
      </c>
      <c r="AS19" s="293" t="s">
        <v>143</v>
      </c>
      <c r="AT19" s="292" t="s">
        <v>55</v>
      </c>
      <c r="AU19" s="294" t="s">
        <v>55</v>
      </c>
      <c r="AV19" s="295" t="s">
        <v>55</v>
      </c>
      <c r="AW19" s="1386" t="str">
        <f>+CONCATENATE("PROYECCION A DICIEMBRE 31 DEL ",N3)</f>
        <v>PROYECCION A DICIEMBRE 31 DEL 2025</v>
      </c>
      <c r="AX19" s="1387"/>
      <c r="AY19" s="1387"/>
      <c r="AZ19" s="1388"/>
      <c r="BA19" s="736"/>
      <c r="BB19" s="296" t="s">
        <v>144</v>
      </c>
      <c r="BC19" s="297">
        <f>+F105+F106+F107+F108+F109+F110+F98+F100+F101</f>
        <v>885000000</v>
      </c>
      <c r="BD19" s="238">
        <f>+I105+I106+I107+I108+I109+I110+I98+I100+I101</f>
        <v>100080442</v>
      </c>
      <c r="BE19" s="239">
        <f>+K105+K106+K107+K108+K109+K110+K98+K100+K101</f>
        <v>21194739</v>
      </c>
      <c r="BF19" s="553">
        <f>+ENERO!BE19+FEBRERO!BE19+MARZO!BE19</f>
        <v>88036240</v>
      </c>
      <c r="BG19" s="736"/>
      <c r="BH19" s="736"/>
      <c r="BI19" s="736"/>
      <c r="BJ19" s="736"/>
      <c r="BK19" s="736"/>
      <c r="BL19" s="903"/>
      <c r="BM19" s="745" t="s">
        <v>145</v>
      </c>
      <c r="BN19" s="188">
        <f>X126</f>
        <v>2624022659</v>
      </c>
      <c r="BO19" s="188">
        <f>AA126</f>
        <v>567607008</v>
      </c>
      <c r="BP19" s="188">
        <f>AD126</f>
        <v>566758508</v>
      </c>
      <c r="BQ19" s="755">
        <f>AF126</f>
        <v>252700776</v>
      </c>
    </row>
    <row r="20" spans="1:69" ht="24.75" customHeight="1" thickBot="1">
      <c r="A20" s="202" t="str">
        <f>+IF(FEBRERO!A20=0,"",FEBRERO!A20)</f>
        <v/>
      </c>
      <c r="B20" s="298" t="str">
        <f>+IF(FEBRERO!B20=0,"",FEBRERO!B20)</f>
        <v/>
      </c>
      <c r="C20" s="736"/>
      <c r="D20" s="736"/>
      <c r="E20" s="736"/>
      <c r="F20" s="736"/>
      <c r="G20" s="736"/>
      <c r="H20" s="736"/>
      <c r="I20" s="736"/>
      <c r="J20" s="736"/>
      <c r="K20" s="736"/>
      <c r="L20" s="736"/>
      <c r="M20" s="736"/>
      <c r="N20" s="283"/>
      <c r="O20" s="903"/>
      <c r="P20" s="284"/>
      <c r="Q20" s="285"/>
      <c r="R20" s="903"/>
      <c r="S20" s="266">
        <f>+IF(FEBRERO!S20=0,"",FEBRERO!S20)</f>
        <v>1010104</v>
      </c>
      <c r="T20" s="534" t="str">
        <f>+IF(FEBRERO!T20=0,"",FEBRERO!T20)</f>
        <v>Otros</v>
      </c>
      <c r="U20" s="301">
        <f t="shared" ref="U20:AJ20" si="12">SUM(U21:U32)</f>
        <v>1587602697.9166667</v>
      </c>
      <c r="V20" s="220">
        <f t="shared" si="12"/>
        <v>21000000</v>
      </c>
      <c r="W20" s="220">
        <f t="shared" si="12"/>
        <v>0</v>
      </c>
      <c r="X20" s="271">
        <f t="shared" si="12"/>
        <v>1608602697.9166667</v>
      </c>
      <c r="Y20" s="270">
        <f t="shared" si="12"/>
        <v>120396644</v>
      </c>
      <c r="Z20" s="300">
        <f t="shared" si="12"/>
        <v>111644569</v>
      </c>
      <c r="AA20" s="269">
        <f t="shared" si="12"/>
        <v>232041213</v>
      </c>
      <c r="AB20" s="270">
        <f t="shared" si="12"/>
        <v>120396644</v>
      </c>
      <c r="AC20" s="300">
        <f t="shared" si="12"/>
        <v>111644569</v>
      </c>
      <c r="AD20" s="269">
        <f t="shared" si="12"/>
        <v>232041213</v>
      </c>
      <c r="AE20" s="270">
        <f t="shared" si="12"/>
        <v>120396644</v>
      </c>
      <c r="AF20" s="300">
        <f t="shared" si="12"/>
        <v>111644569</v>
      </c>
      <c r="AG20" s="269">
        <f t="shared" si="12"/>
        <v>232041213</v>
      </c>
      <c r="AH20" s="270">
        <f t="shared" si="12"/>
        <v>1376561484.9166667</v>
      </c>
      <c r="AI20" s="220">
        <f t="shared" si="12"/>
        <v>1376561484.9166667</v>
      </c>
      <c r="AJ20" s="269">
        <f t="shared" si="12"/>
        <v>1376561484.9166667</v>
      </c>
      <c r="AK20" s="903"/>
      <c r="AL20" s="301">
        <f>SUM(AL21:AL32)</f>
        <v>0</v>
      </c>
      <c r="AM20" s="302">
        <f>SUM(AM21:AM32)</f>
        <v>0</v>
      </c>
      <c r="AN20" s="903"/>
      <c r="AO20" s="819"/>
      <c r="AP20" s="303" t="s">
        <v>65</v>
      </c>
      <c r="AQ20" s="839" t="s">
        <v>75</v>
      </c>
      <c r="AR20" s="839" t="s">
        <v>66</v>
      </c>
      <c r="AS20" s="305" t="s">
        <v>66</v>
      </c>
      <c r="AT20" s="839" t="s">
        <v>67</v>
      </c>
      <c r="AU20" s="840" t="s">
        <v>68</v>
      </c>
      <c r="AV20" s="840" t="s">
        <v>68</v>
      </c>
      <c r="AW20" s="840" t="s">
        <v>31</v>
      </c>
      <c r="AX20" s="840" t="s">
        <v>34</v>
      </c>
      <c r="AY20" s="840" t="s">
        <v>147</v>
      </c>
      <c r="AZ20" s="307" t="s">
        <v>147</v>
      </c>
      <c r="BA20" s="736"/>
      <c r="BB20" s="308" t="s">
        <v>148</v>
      </c>
      <c r="BC20" s="142">
        <f>+F115+F117+F119+F120+F121+F123+F124</f>
        <v>0</v>
      </c>
      <c r="BD20" s="143">
        <f>+I115+I117+I119+I120+I121+I123+I124</f>
        <v>0</v>
      </c>
      <c r="BE20" s="144">
        <f>+K115+K117+K119+K120+K121+K123+K124</f>
        <v>0</v>
      </c>
      <c r="BF20" s="553">
        <f>+ENERO!BE20+FEBRERO!BE20+MARZO!BE20</f>
        <v>0</v>
      </c>
      <c r="BG20" s="736"/>
      <c r="BH20" s="736">
        <v>125183596000</v>
      </c>
      <c r="BI20" s="736"/>
      <c r="BJ20" s="736"/>
      <c r="BK20" s="736"/>
      <c r="BL20" s="736"/>
      <c r="BM20" s="745" t="s">
        <v>149</v>
      </c>
      <c r="BN20" s="188">
        <f>+X141</f>
        <v>548000000</v>
      </c>
      <c r="BO20" s="188">
        <f>+AA141</f>
        <v>69144940</v>
      </c>
      <c r="BP20" s="188">
        <f>+AD141</f>
        <v>69144940</v>
      </c>
      <c r="BQ20" s="755">
        <f>+AF141</f>
        <v>60264880</v>
      </c>
    </row>
    <row r="21" spans="1:69" ht="24.75" customHeight="1" thickBot="1">
      <c r="A21" s="309" t="str">
        <f>+IF(FEBRERO!A21=0,"",FEBRERO!A21)</f>
        <v>1.1.02.05.001.09.02</v>
      </c>
      <c r="B21" s="310" t="str">
        <f>+IF(FEBRERO!B21=0,"",FEBRERO!B21)</f>
        <v>Venta de Servicios de Salud</v>
      </c>
      <c r="C21" s="171">
        <f t="shared" ref="C21:N21" si="13">C22+C25+C28+C41+C42+C45+C48+C51+C54+C57+C60+C63+C66+C69+C72+C75+C78+C81</f>
        <v>157258153137.47653</v>
      </c>
      <c r="D21" s="172">
        <f t="shared" si="13"/>
        <v>0</v>
      </c>
      <c r="E21" s="172">
        <f t="shared" si="13"/>
        <v>0</v>
      </c>
      <c r="F21" s="172">
        <f t="shared" si="13"/>
        <v>157258153137.47653</v>
      </c>
      <c r="G21" s="172">
        <f t="shared" si="13"/>
        <v>43744780637</v>
      </c>
      <c r="H21" s="172">
        <f t="shared" si="13"/>
        <v>17656484169</v>
      </c>
      <c r="I21" s="172">
        <f t="shared" si="13"/>
        <v>61401264806</v>
      </c>
      <c r="J21" s="172">
        <f t="shared" si="13"/>
        <v>20169040151</v>
      </c>
      <c r="K21" s="172">
        <f t="shared" si="13"/>
        <v>11165837176</v>
      </c>
      <c r="L21" s="172">
        <f t="shared" si="13"/>
        <v>31334877327</v>
      </c>
      <c r="M21" s="172">
        <f t="shared" si="13"/>
        <v>95856888331.476517</v>
      </c>
      <c r="N21" s="173">
        <f t="shared" si="13"/>
        <v>125923275810.47652</v>
      </c>
      <c r="O21" s="736"/>
      <c r="P21" s="288">
        <f>P22+P25+P28+P41+P42+P45+P48+P51+P54+P57+P60+P63+P66+P69+P72+P75+P78+P81</f>
        <v>0</v>
      </c>
      <c r="Q21" s="289">
        <f>Q22+Q25+Q28+Q41+Q42+Q45+Q48+Q51+Q54+Q57+Q60+Q63+Q66+Q69+Q72+Q75+Q78+Q81</f>
        <v>0</v>
      </c>
      <c r="R21" s="903"/>
      <c r="S21" s="311" t="str">
        <f>+IF(FEBRERO!S21=0,"",FEBRERO!S21)</f>
        <v>2.1.1.01.01.001.08.01</v>
      </c>
      <c r="T21" s="535" t="str">
        <f>+IF(FEBRERO!T21=0,"",FEBRERO!T21)</f>
        <v xml:space="preserve">Prima de Navidad </v>
      </c>
      <c r="U21" s="301">
        <f>+ENERO!U21</f>
        <v>544320925</v>
      </c>
      <c r="V21" s="220">
        <f>FEBRERO!V21+MARZO!AL21</f>
        <v>0</v>
      </c>
      <c r="W21" s="220">
        <f>FEBRERO!W21+MARZO!AM21</f>
        <v>0</v>
      </c>
      <c r="X21" s="271">
        <f t="shared" ref="X21:X33" si="14">SUM(U21:W21)</f>
        <v>544320925</v>
      </c>
      <c r="Y21" s="270">
        <f>FEBRERO!AA21</f>
        <v>3547652</v>
      </c>
      <c r="Z21" s="208">
        <v>0</v>
      </c>
      <c r="AA21" s="269">
        <f t="shared" ref="AA21:AA33" si="15">SUM(Y21:Z21)</f>
        <v>3547652</v>
      </c>
      <c r="AB21" s="270">
        <f>FEBRERO!AD21</f>
        <v>3547652</v>
      </c>
      <c r="AC21" s="208">
        <v>0</v>
      </c>
      <c r="AD21" s="269">
        <f t="shared" ref="AD21:AD33" si="16">SUM(AB21:AC21)</f>
        <v>3547652</v>
      </c>
      <c r="AE21" s="270">
        <f>FEBRERO!AG21</f>
        <v>3547652</v>
      </c>
      <c r="AF21" s="208">
        <v>0</v>
      </c>
      <c r="AG21" s="269">
        <f t="shared" ref="AG21:AG33" si="17">SUM(AE21:AF21)</f>
        <v>3547652</v>
      </c>
      <c r="AH21" s="270">
        <f t="shared" ref="AH21:AH33" si="18">X21-AA21</f>
        <v>540773273</v>
      </c>
      <c r="AI21" s="220">
        <f t="shared" ref="AI21:AI33" si="19">X21-AD21</f>
        <v>540773273</v>
      </c>
      <c r="AJ21" s="269">
        <f t="shared" ref="AJ21:AJ33" si="20">X21-AG21</f>
        <v>540773273</v>
      </c>
      <c r="AK21" s="903"/>
      <c r="AL21" s="204">
        <v>0</v>
      </c>
      <c r="AM21" s="210">
        <v>0</v>
      </c>
      <c r="AN21" s="903"/>
      <c r="AO21" s="819"/>
      <c r="AP21" s="313"/>
      <c r="AQ21" s="314"/>
      <c r="AR21" s="315" t="str">
        <f>AR6</f>
        <v>MARZO</v>
      </c>
      <c r="AS21" s="316" t="str">
        <f>AR6</f>
        <v>MARZO</v>
      </c>
      <c r="AT21" s="315" t="str">
        <f>AR6</f>
        <v>MARZO</v>
      </c>
      <c r="AU21" s="315" t="s">
        <v>31</v>
      </c>
      <c r="AV21" s="315" t="s">
        <v>34</v>
      </c>
      <c r="AW21" s="317"/>
      <c r="AX21" s="317"/>
      <c r="AY21" s="315" t="s">
        <v>31</v>
      </c>
      <c r="AZ21" s="318" t="s">
        <v>34</v>
      </c>
      <c r="BA21" s="903"/>
      <c r="BB21" s="308" t="s">
        <v>152</v>
      </c>
      <c r="BC21" s="142">
        <f>SUM(F128)</f>
        <v>19182884469.099998</v>
      </c>
      <c r="BD21" s="143">
        <f>SUMIF($B8:B122,$B24,I8:I122)+I122</f>
        <v>25300790724</v>
      </c>
      <c r="BE21" s="142">
        <f>SUM(K128)</f>
        <v>5594421103</v>
      </c>
      <c r="BF21" s="553">
        <f>+ENERO!BE21+FEBRERO!BE21+MARZO!BE21</f>
        <v>25320527513</v>
      </c>
      <c r="BG21" s="736"/>
      <c r="BH21" s="736">
        <f>SUM(BH20-BH16)</f>
        <v>-48355477903.166626</v>
      </c>
      <c r="BI21" s="736"/>
      <c r="BJ21" s="736"/>
      <c r="BK21" s="736"/>
      <c r="BL21" s="736"/>
      <c r="BM21" s="745" t="s">
        <v>153</v>
      </c>
      <c r="BN21" s="188">
        <v>0</v>
      </c>
      <c r="BO21" s="186">
        <v>0</v>
      </c>
      <c r="BP21" s="186">
        <v>0</v>
      </c>
      <c r="BQ21" s="754">
        <v>0</v>
      </c>
    </row>
    <row r="22" spans="1:69" ht="24.75" customHeight="1" thickBot="1">
      <c r="A22" s="286" t="str">
        <f>+IF(FEBRERO!A22=0,"",FEBRERO!A22)</f>
        <v>1.1.02.05.001.09.02.02</v>
      </c>
      <c r="B22" s="319" t="str">
        <f>+IF(FEBRERO!B22=0,"",FEBRERO!B22)</f>
        <v>EPS - REGIMEN CONTRIBUTIVO</v>
      </c>
      <c r="C22" s="288">
        <f t="shared" ref="C22:N22" si="21">SUM(C23:C24)</f>
        <v>56030749893.586876</v>
      </c>
      <c r="D22" s="320">
        <f t="shared" si="21"/>
        <v>0</v>
      </c>
      <c r="E22" s="320">
        <f t="shared" si="21"/>
        <v>0</v>
      </c>
      <c r="F22" s="320">
        <f t="shared" si="21"/>
        <v>56030749893.586876</v>
      </c>
      <c r="G22" s="320">
        <f t="shared" si="21"/>
        <v>14760429054</v>
      </c>
      <c r="H22" s="320">
        <f t="shared" si="21"/>
        <v>8083420539</v>
      </c>
      <c r="I22" s="320">
        <f t="shared" si="21"/>
        <v>22843849593</v>
      </c>
      <c r="J22" s="320">
        <f t="shared" si="21"/>
        <v>4950736848</v>
      </c>
      <c r="K22" s="320">
        <f t="shared" si="21"/>
        <v>4567646717</v>
      </c>
      <c r="L22" s="320">
        <f t="shared" si="21"/>
        <v>9518383565</v>
      </c>
      <c r="M22" s="320">
        <f t="shared" si="21"/>
        <v>33186900300.586876</v>
      </c>
      <c r="N22" s="289">
        <f t="shared" si="21"/>
        <v>46512366328.586876</v>
      </c>
      <c r="O22" s="903"/>
      <c r="P22" s="288">
        <f>SUM(P23:P24)</f>
        <v>0</v>
      </c>
      <c r="Q22" s="289">
        <f>SUM(Q23:Q24)</f>
        <v>0</v>
      </c>
      <c r="R22" s="903"/>
      <c r="S22" s="311" t="str">
        <f>+IF(FEBRERO!S22=0,"",FEBRERO!S22)</f>
        <v>2.1.1.01.01.001.08.02</v>
      </c>
      <c r="T22" s="535" t="str">
        <f>+IF(FEBRERO!T22=0,"",FEBRERO!T22)</f>
        <v>Prima de Vacaciones</v>
      </c>
      <c r="U22" s="301">
        <f>+ENERO!U22</f>
        <v>272160462.5</v>
      </c>
      <c r="V22" s="220">
        <f>FEBRERO!V22+MARZO!AL22</f>
        <v>0</v>
      </c>
      <c r="W22" s="220">
        <f>FEBRERO!W22+MARZO!AM22</f>
        <v>0</v>
      </c>
      <c r="X22" s="271">
        <f t="shared" si="14"/>
        <v>272160462.5</v>
      </c>
      <c r="Y22" s="270">
        <f>FEBRERO!AA22</f>
        <v>30485871</v>
      </c>
      <c r="Z22" s="208">
        <v>21279048</v>
      </c>
      <c r="AA22" s="269">
        <f t="shared" si="15"/>
        <v>51764919</v>
      </c>
      <c r="AB22" s="270">
        <f>FEBRERO!AD22</f>
        <v>30485871</v>
      </c>
      <c r="AC22" s="208">
        <v>21279048</v>
      </c>
      <c r="AD22" s="269">
        <f t="shared" si="16"/>
        <v>51764919</v>
      </c>
      <c r="AE22" s="270">
        <f>FEBRERO!AG22</f>
        <v>30485871</v>
      </c>
      <c r="AF22" s="208">
        <v>21279048</v>
      </c>
      <c r="AG22" s="269">
        <f t="shared" si="17"/>
        <v>51764919</v>
      </c>
      <c r="AH22" s="270">
        <f t="shared" si="18"/>
        <v>220395543.5</v>
      </c>
      <c r="AI22" s="220">
        <f t="shared" si="19"/>
        <v>220395543.5</v>
      </c>
      <c r="AJ22" s="269">
        <f t="shared" si="20"/>
        <v>220395543.5</v>
      </c>
      <c r="AK22" s="903"/>
      <c r="AL22" s="204">
        <v>0</v>
      </c>
      <c r="AM22" s="210">
        <v>0</v>
      </c>
      <c r="AN22" s="903"/>
      <c r="AO22" s="806"/>
      <c r="AP22" s="536" t="s">
        <v>156</v>
      </c>
      <c r="AQ22" s="842">
        <f>X17+X66</f>
        <v>6481850793</v>
      </c>
      <c r="AR22" s="842">
        <f>AD17+AD66</f>
        <v>1256849226</v>
      </c>
      <c r="AS22" s="842">
        <f>AG17+AG66</f>
        <v>1256849226</v>
      </c>
      <c r="AT22" s="843"/>
      <c r="AU22" s="325">
        <f t="shared" ref="AU22:AU32" si="22">IF(AQ22=0," ",AR22/AQ22)</f>
        <v>0.19390283209809764</v>
      </c>
      <c r="AV22" s="325">
        <f t="shared" ref="AV22:AV32" si="23">IF(AQ22=0," ",AS22/AQ22)</f>
        <v>0.19390283209809764</v>
      </c>
      <c r="AW22" s="323">
        <f>AR22/$AO$2*12</f>
        <v>5027396904</v>
      </c>
      <c r="AX22" s="323">
        <f>AS22/$AO$2*12</f>
        <v>5027396904</v>
      </c>
      <c r="AY22" s="323">
        <f t="shared" ref="AY22:AY31" si="24">AQ22-AW22</f>
        <v>1454453889</v>
      </c>
      <c r="AZ22" s="326">
        <f t="shared" ref="AZ22:AZ31" si="25">AQ22-AX22</f>
        <v>1454453889</v>
      </c>
      <c r="BA22" s="736"/>
      <c r="BB22" s="844" t="s">
        <v>157</v>
      </c>
      <c r="BC22" s="328">
        <f>BC7+BC8+BC20+BC21</f>
        <v>173189856432.47653</v>
      </c>
      <c r="BD22" s="329">
        <f>BD7+BD8+BD20+BD21</f>
        <v>67987740471</v>
      </c>
      <c r="BE22" s="328">
        <f>SUM(BE8+BE21)</f>
        <v>12666539999</v>
      </c>
      <c r="BF22" s="553">
        <f>+ENERO!BE22+FEBRERO!BE22+MARZO!BE22</f>
        <v>33386534743</v>
      </c>
      <c r="BG22" s="736"/>
      <c r="BH22" s="736"/>
      <c r="BI22" s="736"/>
      <c r="BJ22" s="736"/>
      <c r="BK22" s="736"/>
      <c r="BL22" s="903"/>
      <c r="BM22" s="743" t="s">
        <v>108</v>
      </c>
      <c r="BN22" s="188">
        <f>BN23+BN24</f>
        <v>1793060585</v>
      </c>
      <c r="BO22" s="186">
        <f>BO23+BO24</f>
        <v>571006836</v>
      </c>
      <c r="BP22" s="186">
        <f>BP23+BP24</f>
        <v>571006836</v>
      </c>
      <c r="BQ22" s="748">
        <f>BQ23+BQ24</f>
        <v>36058815</v>
      </c>
    </row>
    <row r="23" spans="1:69" ht="24.75" customHeight="1">
      <c r="A23" s="202" t="str">
        <f>+IF(FEBRERO!A23=0,"",FEBRERO!A23)</f>
        <v>1.1.02.05.001.09.02.02</v>
      </c>
      <c r="B23" s="331" t="str">
        <f>+CONCATENATE("Vigencia ",INSTRUCCIONES!$F$3)</f>
        <v>Vigencia 2025</v>
      </c>
      <c r="C23" s="204">
        <f>+ENERO!C23</f>
        <v>49300076925.586876</v>
      </c>
      <c r="D23" s="205">
        <f>FEBRERO!D23+MARZO!P23</f>
        <v>0</v>
      </c>
      <c r="E23" s="205">
        <f>FEBRERO!E23+MARZO!Q23</f>
        <v>0</v>
      </c>
      <c r="F23" s="205">
        <f>SUM(C23:E23)</f>
        <v>49300076925.586876</v>
      </c>
      <c r="G23" s="205">
        <f>FEBRERO!I23</f>
        <v>9913336666</v>
      </c>
      <c r="H23" s="208">
        <v>5398763464</v>
      </c>
      <c r="I23" s="205">
        <f>SUM(G23:H23)</f>
        <v>15312100130</v>
      </c>
      <c r="J23" s="205">
        <f>FEBRERO!L23</f>
        <v>103644460</v>
      </c>
      <c r="K23" s="208">
        <v>1882989642</v>
      </c>
      <c r="L23" s="205">
        <f>SUM(J23:K23)</f>
        <v>1986634102</v>
      </c>
      <c r="M23" s="205">
        <f>F23-I23</f>
        <v>33987976795.586876</v>
      </c>
      <c r="N23" s="206">
        <f>F23-L23</f>
        <v>47313442823.586876</v>
      </c>
      <c r="O23" s="903"/>
      <c r="P23" s="204">
        <v>0</v>
      </c>
      <c r="Q23" s="210">
        <v>0</v>
      </c>
      <c r="R23" s="903"/>
      <c r="S23" s="311" t="str">
        <f>+IF(FEBRERO!S23=0,"",FEBRERO!S23)</f>
        <v>2.1.1.01.01.001.07</v>
      </c>
      <c r="T23" s="535" t="str">
        <f>+IF(FEBRERO!T23=0,"",FEBRERO!T23)</f>
        <v>Bonificación  por servicios prestados</v>
      </c>
      <c r="U23" s="301">
        <f>+ENERO!U23</f>
        <v>190512323.74999997</v>
      </c>
      <c r="V23" s="220">
        <f>FEBRERO!V23+MARZO!AL23</f>
        <v>0</v>
      </c>
      <c r="W23" s="220">
        <f>FEBRERO!W23+MARZO!AM23</f>
        <v>0</v>
      </c>
      <c r="X23" s="271">
        <f t="shared" si="14"/>
        <v>190512323.74999997</v>
      </c>
      <c r="Y23" s="270">
        <f>FEBRERO!AA23</f>
        <v>30696774</v>
      </c>
      <c r="Z23" s="208">
        <v>53861668</v>
      </c>
      <c r="AA23" s="269">
        <f t="shared" si="15"/>
        <v>84558442</v>
      </c>
      <c r="AB23" s="270">
        <f>FEBRERO!AD23</f>
        <v>30696774</v>
      </c>
      <c r="AC23" s="208">
        <v>53861668</v>
      </c>
      <c r="AD23" s="269">
        <f t="shared" si="16"/>
        <v>84558442</v>
      </c>
      <c r="AE23" s="270">
        <f>FEBRERO!AG23</f>
        <v>30696774</v>
      </c>
      <c r="AF23" s="208">
        <v>53861668</v>
      </c>
      <c r="AG23" s="269">
        <f t="shared" si="17"/>
        <v>84558442</v>
      </c>
      <c r="AH23" s="270">
        <f t="shared" si="18"/>
        <v>105953881.74999997</v>
      </c>
      <c r="AI23" s="220">
        <f t="shared" si="19"/>
        <v>105953881.74999997</v>
      </c>
      <c r="AJ23" s="269">
        <f t="shared" si="20"/>
        <v>105953881.74999997</v>
      </c>
      <c r="AK23" s="903"/>
      <c r="AL23" s="204">
        <v>0</v>
      </c>
      <c r="AM23" s="210">
        <v>0</v>
      </c>
      <c r="AN23" s="903"/>
      <c r="AO23" s="823"/>
      <c r="AP23" s="845" t="s">
        <v>159</v>
      </c>
      <c r="AQ23" s="334">
        <f>X16+X65-AQ22</f>
        <v>1625602697.916667</v>
      </c>
      <c r="AR23" s="334">
        <f>AD16+AD65-AR22</f>
        <v>235192024</v>
      </c>
      <c r="AS23" s="334">
        <f>AG16+AG65-AS22</f>
        <v>235192024</v>
      </c>
      <c r="AT23" s="807"/>
      <c r="AU23" s="139">
        <f t="shared" si="22"/>
        <v>0.14467989275695495</v>
      </c>
      <c r="AV23" s="139">
        <f t="shared" si="23"/>
        <v>0.14467989275695495</v>
      </c>
      <c r="AW23" s="334">
        <f>(AR23-AD21-AD22-AD23-AD25-AD30-AD33-AD70-AD71-AD72-AD74-AD78-AD81)/$AO$2*12+AX22/12*2.5+AD30+AD33+AD78+AD81</f>
        <v>1409565097</v>
      </c>
      <c r="AX23" s="334">
        <f>(AS23-AG21-AG22-AG23-AG25-AG30-AG33-AG70-AG71-AG72-AG74-AG78-AG81)/$AO$2*12+AX22/12*2.5+AG30+AG33+AG78+AG81</f>
        <v>1409565097</v>
      </c>
      <c r="AY23" s="334">
        <f t="shared" si="24"/>
        <v>216037600.91666698</v>
      </c>
      <c r="AZ23" s="335">
        <f t="shared" si="25"/>
        <v>216037600.91666698</v>
      </c>
      <c r="BA23" s="736"/>
      <c r="BB23" s="908"/>
      <c r="BC23" s="908"/>
      <c r="BD23" s="908"/>
      <c r="BE23" s="908"/>
      <c r="BF23" s="736"/>
      <c r="BG23" s="736"/>
      <c r="BH23" s="736"/>
      <c r="BI23" s="736"/>
      <c r="BJ23" s="736"/>
      <c r="BK23" s="736"/>
      <c r="BL23" s="736"/>
      <c r="BM23" s="745" t="s">
        <v>160</v>
      </c>
      <c r="BN23" s="188">
        <f>X176</f>
        <v>0</v>
      </c>
      <c r="BO23" s="186">
        <f>AA176</f>
        <v>0</v>
      </c>
      <c r="BP23" s="186">
        <f>AD176</f>
        <v>0</v>
      </c>
      <c r="BQ23" s="748">
        <f>AF176</f>
        <v>0</v>
      </c>
    </row>
    <row r="24" spans="1:69" ht="24.75" customHeight="1">
      <c r="A24" s="202" t="str">
        <f>+IF(FEBRERO!A24=0,"",FEBRERO!A24)</f>
        <v>1.1.02.05.001.09.02.02,99</v>
      </c>
      <c r="B24" s="331" t="str">
        <f>+IF(FEBRERO!B24=0,"",FEBRERO!B24)</f>
        <v>Vigencia Anterior</v>
      </c>
      <c r="C24" s="204">
        <f>+ENERO!C24</f>
        <v>6730672968</v>
      </c>
      <c r="D24" s="205">
        <f>FEBRERO!D24+MARZO!P24</f>
        <v>0</v>
      </c>
      <c r="E24" s="205">
        <f>FEBRERO!E24+MARZO!Q24</f>
        <v>0</v>
      </c>
      <c r="F24" s="205">
        <f>SUM(C24:E24)</f>
        <v>6730672968</v>
      </c>
      <c r="G24" s="205">
        <f>FEBRERO!I24</f>
        <v>4847092388</v>
      </c>
      <c r="H24" s="208">
        <v>2684657075</v>
      </c>
      <c r="I24" s="205">
        <f>SUM(G24:H24)</f>
        <v>7531749463</v>
      </c>
      <c r="J24" s="205">
        <f>FEBRERO!L24</f>
        <v>4847092388</v>
      </c>
      <c r="K24" s="208">
        <v>2684657075</v>
      </c>
      <c r="L24" s="205">
        <f>SUM(J24:K24)</f>
        <v>7531749463</v>
      </c>
      <c r="M24" s="1158">
        <f>F24-I24</f>
        <v>-801076495</v>
      </c>
      <c r="N24" s="1159">
        <f>F24-L24</f>
        <v>-801076495</v>
      </c>
      <c r="O24" s="736"/>
      <c r="P24" s="204">
        <v>0</v>
      </c>
      <c r="Q24" s="210">
        <v>0</v>
      </c>
      <c r="R24" s="903"/>
      <c r="S24" s="311" t="str">
        <f>+IF(FEBRERO!S24=0,"",FEBRERO!S24)</f>
        <v>2.1.1.01.01.001.06</v>
      </c>
      <c r="T24" s="535" t="str">
        <f>+IF(FEBRERO!T24=0,"",FEBRERO!T24)</f>
        <v>Prima de Servicios</v>
      </c>
      <c r="U24" s="301">
        <f>+ENERO!U24</f>
        <v>272160462.5</v>
      </c>
      <c r="V24" s="220">
        <f>FEBRERO!V24+MARZO!AL24</f>
        <v>0</v>
      </c>
      <c r="W24" s="220">
        <f>FEBRERO!W24+MARZO!AM24</f>
        <v>0</v>
      </c>
      <c r="X24" s="271">
        <f t="shared" si="14"/>
        <v>272160462.5</v>
      </c>
      <c r="Y24" s="270">
        <f>FEBRERO!AA24</f>
        <v>15353483</v>
      </c>
      <c r="Z24" s="208">
        <v>0</v>
      </c>
      <c r="AA24" s="269">
        <f t="shared" si="15"/>
        <v>15353483</v>
      </c>
      <c r="AB24" s="270">
        <f>FEBRERO!AD24</f>
        <v>15353483</v>
      </c>
      <c r="AC24" s="208">
        <v>0</v>
      </c>
      <c r="AD24" s="269">
        <f t="shared" si="16"/>
        <v>15353483</v>
      </c>
      <c r="AE24" s="270">
        <f>FEBRERO!AG24</f>
        <v>15353483</v>
      </c>
      <c r="AF24" s="208">
        <v>0</v>
      </c>
      <c r="AG24" s="269">
        <f t="shared" si="17"/>
        <v>15353483</v>
      </c>
      <c r="AH24" s="270">
        <f t="shared" si="18"/>
        <v>256806979.5</v>
      </c>
      <c r="AI24" s="220">
        <f t="shared" si="19"/>
        <v>256806979.5</v>
      </c>
      <c r="AJ24" s="269">
        <f t="shared" si="20"/>
        <v>256806979.5</v>
      </c>
      <c r="AK24" s="903"/>
      <c r="AL24" s="204">
        <v>0</v>
      </c>
      <c r="AM24" s="210">
        <v>0</v>
      </c>
      <c r="AN24" s="903"/>
      <c r="AO24" s="823"/>
      <c r="AP24" s="303" t="s">
        <v>163</v>
      </c>
      <c r="AQ24" s="843">
        <f>X35+X83</f>
        <v>77743311477</v>
      </c>
      <c r="AR24" s="843">
        <f>AD35+AD83</f>
        <v>32460686921</v>
      </c>
      <c r="AS24" s="843">
        <f>AG35+AG83</f>
        <v>16339675483</v>
      </c>
      <c r="AT24" s="843"/>
      <c r="AU24" s="205">
        <f t="shared" si="22"/>
        <v>0.41753671543311277</v>
      </c>
      <c r="AV24" s="205">
        <f t="shared" si="23"/>
        <v>0.21017467834302397</v>
      </c>
      <c r="AW24" s="205">
        <f>(AR24-AD41-AD88)/$AO$2*12+AD41+AD88</f>
        <v>82184362772</v>
      </c>
      <c r="AX24" s="205">
        <f>(AS24-AG41-AG88)/$AO$2*12+AG41+AG88</f>
        <v>17700317020</v>
      </c>
      <c r="AY24" s="205">
        <f t="shared" si="24"/>
        <v>-4441051295</v>
      </c>
      <c r="AZ24" s="206">
        <f t="shared" si="25"/>
        <v>60042994457</v>
      </c>
      <c r="BA24" s="903"/>
      <c r="BB24" s="909"/>
      <c r="BC24" s="736">
        <v>125183596000</v>
      </c>
      <c r="BD24" s="736"/>
      <c r="BE24" s="736"/>
      <c r="BF24" s="736"/>
      <c r="BG24" s="736"/>
      <c r="BH24" s="736"/>
      <c r="BI24" s="736"/>
      <c r="BJ24" s="736"/>
      <c r="BK24" s="736"/>
      <c r="BL24" s="736"/>
      <c r="BM24" s="745" t="s">
        <v>164</v>
      </c>
      <c r="BN24" s="188">
        <f>X169-X191</f>
        <v>1793060585</v>
      </c>
      <c r="BO24" s="188">
        <f>AA169-AA182</f>
        <v>571006836</v>
      </c>
      <c r="BP24" s="188">
        <f>AD169-AD182</f>
        <v>571006836</v>
      </c>
      <c r="BQ24" s="188">
        <f>AF169-AF182-AF191</f>
        <v>36058815</v>
      </c>
    </row>
    <row r="25" spans="1:69" ht="24.75" customHeight="1">
      <c r="A25" s="286" t="str">
        <f>+IF(FEBRERO!A25=0,"",FEBRERO!A25)</f>
        <v>1.1.02.05.001.09.02.01</v>
      </c>
      <c r="B25" s="319" t="str">
        <f>+IF(FEBRERO!B25=0,"",FEBRERO!B25)</f>
        <v>ARS - REGIMEN SUBSIDIADO</v>
      </c>
      <c r="C25" s="288">
        <f t="shared" ref="C25:N25" si="26">SUM(C26:C27)</f>
        <v>91588666596</v>
      </c>
      <c r="D25" s="320">
        <f t="shared" si="26"/>
        <v>0</v>
      </c>
      <c r="E25" s="320">
        <f t="shared" si="26"/>
        <v>0</v>
      </c>
      <c r="F25" s="320">
        <f t="shared" si="26"/>
        <v>91588666596</v>
      </c>
      <c r="G25" s="320">
        <f t="shared" si="26"/>
        <v>26552689830</v>
      </c>
      <c r="H25" s="320">
        <f t="shared" si="26"/>
        <v>8638154678</v>
      </c>
      <c r="I25" s="320">
        <f t="shared" si="26"/>
        <v>35190844508</v>
      </c>
      <c r="J25" s="320">
        <f t="shared" si="26"/>
        <v>14097365185</v>
      </c>
      <c r="K25" s="320">
        <f t="shared" si="26"/>
        <v>6171163265</v>
      </c>
      <c r="L25" s="320">
        <f t="shared" si="26"/>
        <v>20268528450</v>
      </c>
      <c r="M25" s="320">
        <f t="shared" si="26"/>
        <v>56397822088</v>
      </c>
      <c r="N25" s="289">
        <f t="shared" si="26"/>
        <v>71320138146</v>
      </c>
      <c r="O25" s="736"/>
      <c r="P25" s="288">
        <f>SUM(P26:P27)</f>
        <v>0</v>
      </c>
      <c r="Q25" s="289">
        <f>SUM(Q26:Q27)</f>
        <v>0</v>
      </c>
      <c r="R25" s="903"/>
      <c r="S25" s="311" t="str">
        <f>+IF(FEBRERO!S25=0,"",FEBRERO!S25)</f>
        <v>1010104-5</v>
      </c>
      <c r="T25" s="535" t="str">
        <f>+IF(FEBRERO!T25=0,"",FEBRERO!T25)</f>
        <v>Bonificación Convencional</v>
      </c>
      <c r="U25" s="301">
        <f>+ENERO!U25</f>
        <v>0</v>
      </c>
      <c r="V25" s="220">
        <f>FEBRERO!V25+MARZO!AL25</f>
        <v>0</v>
      </c>
      <c r="W25" s="220">
        <f>FEBRERO!W25+MARZO!AM25</f>
        <v>0</v>
      </c>
      <c r="X25" s="271">
        <f t="shared" si="14"/>
        <v>0</v>
      </c>
      <c r="Y25" s="270">
        <f>FEBRERO!AA25</f>
        <v>0</v>
      </c>
      <c r="Z25" s="208">
        <v>0</v>
      </c>
      <c r="AA25" s="269">
        <f t="shared" si="15"/>
        <v>0</v>
      </c>
      <c r="AB25" s="270">
        <f>FEBRERO!AD25</f>
        <v>0</v>
      </c>
      <c r="AC25" s="208">
        <v>0</v>
      </c>
      <c r="AD25" s="269">
        <f t="shared" si="16"/>
        <v>0</v>
      </c>
      <c r="AE25" s="270">
        <f>FEBRERO!AG25</f>
        <v>0</v>
      </c>
      <c r="AF25" s="208">
        <v>0</v>
      </c>
      <c r="AG25" s="269">
        <f t="shared" si="17"/>
        <v>0</v>
      </c>
      <c r="AH25" s="270">
        <f t="shared" si="18"/>
        <v>0</v>
      </c>
      <c r="AI25" s="220">
        <f t="shared" si="19"/>
        <v>0</v>
      </c>
      <c r="AJ25" s="269">
        <f t="shared" si="20"/>
        <v>0</v>
      </c>
      <c r="AK25" s="903"/>
      <c r="AL25" s="204">
        <v>0</v>
      </c>
      <c r="AM25" s="210">
        <v>0</v>
      </c>
      <c r="AN25" s="903"/>
      <c r="AO25" s="806"/>
      <c r="AP25" s="696" t="s">
        <v>168</v>
      </c>
      <c r="AQ25" s="205">
        <f>X43+X57+X90+X104</f>
        <v>3197792492.9625015</v>
      </c>
      <c r="AR25" s="205">
        <f>AD43+AD57+AD90+AD104</f>
        <v>969743181</v>
      </c>
      <c r="AS25" s="205">
        <f>AG43+AG57+AG90+AG104</f>
        <v>969743181</v>
      </c>
      <c r="AT25" s="843"/>
      <c r="AU25" s="205">
        <f t="shared" si="22"/>
        <v>0.3032539425663639</v>
      </c>
      <c r="AV25" s="205">
        <f t="shared" si="23"/>
        <v>0.3032539425663639</v>
      </c>
      <c r="AW25" s="205">
        <f>(AR25-AD55-AD61-AD102-AD108)/$AO$2*12+AD55+AD61+AD102+AD108</f>
        <v>2312768790</v>
      </c>
      <c r="AX25" s="205">
        <f>(AS25-AG55-AG61-AG102-AG108)/$AO$2*12+AG55+AG61+AG102+AG108</f>
        <v>2312768790</v>
      </c>
      <c r="AY25" s="205">
        <f t="shared" si="24"/>
        <v>885023702.96250153</v>
      </c>
      <c r="AZ25" s="206">
        <f t="shared" si="25"/>
        <v>885023702.96250153</v>
      </c>
      <c r="BA25" s="736"/>
      <c r="BB25" s="736"/>
      <c r="BC25" s="736">
        <f>SUM(BC24-BC22)</f>
        <v>-48006260432.476532</v>
      </c>
      <c r="BD25" s="736"/>
      <c r="BE25" s="736"/>
      <c r="BF25" s="736"/>
      <c r="BG25" s="736"/>
      <c r="BH25" s="736"/>
      <c r="BI25" s="736"/>
      <c r="BJ25" s="736"/>
      <c r="BK25" s="736"/>
      <c r="BL25" s="736"/>
      <c r="BM25" s="756" t="s">
        <v>169</v>
      </c>
      <c r="BN25" s="340">
        <f>+SUM(BN26:BN28)</f>
        <v>34165849515.333328</v>
      </c>
      <c r="BO25" s="341">
        <f>+SUM(BO26:BO28)</f>
        <v>20982821282</v>
      </c>
      <c r="BP25" s="341">
        <f>+SUM(BP26:BP28)</f>
        <v>11072128874</v>
      </c>
      <c r="BQ25" s="757">
        <f>+SUM(BQ26:BQ28)</f>
        <v>1362636237</v>
      </c>
    </row>
    <row r="26" spans="1:69" ht="24.75" customHeight="1">
      <c r="A26" s="202" t="str">
        <f>+IF(FEBRERO!A26=0,"",FEBRERO!A26)</f>
        <v>1.1.02.05.001.09.02.01</v>
      </c>
      <c r="B26" s="331" t="str">
        <f>+CONCATENATE("Vigencia ",INSTRUCCIONES!$F$3)</f>
        <v>Vigencia 2025</v>
      </c>
      <c r="C26" s="204">
        <f>+ENERO!C26</f>
        <v>81866799864</v>
      </c>
      <c r="D26" s="205">
        <f>FEBRERO!D26+MARZO!P26</f>
        <v>0</v>
      </c>
      <c r="E26" s="205">
        <f>FEBRERO!E26+MARZO!Q26</f>
        <v>0</v>
      </c>
      <c r="F26" s="205">
        <f>SUM(C26:E26)</f>
        <v>81866799864</v>
      </c>
      <c r="G26" s="205">
        <f>FEBRERO!I26</f>
        <v>12704616288</v>
      </c>
      <c r="H26" s="208">
        <v>5903140406</v>
      </c>
      <c r="I26" s="205">
        <f>SUM(G26:H26)</f>
        <v>18607756694</v>
      </c>
      <c r="J26" s="205">
        <f>FEBRERO!L26</f>
        <v>249291643</v>
      </c>
      <c r="K26" s="208">
        <v>3436148993</v>
      </c>
      <c r="L26" s="205">
        <f>SUM(J26:K26)</f>
        <v>3685440636</v>
      </c>
      <c r="M26" s="205">
        <f>F26-I26</f>
        <v>63259043170</v>
      </c>
      <c r="N26" s="206">
        <f>F26-L26</f>
        <v>78181359228</v>
      </c>
      <c r="O26" s="903"/>
      <c r="P26" s="204">
        <v>0</v>
      </c>
      <c r="Q26" s="210">
        <v>0</v>
      </c>
      <c r="R26" s="903"/>
      <c r="S26" s="311" t="str">
        <f>+IF(FEBRERO!S26=0,"",FEBRERO!S26)</f>
        <v>2.1.1.01.01.001.05</v>
      </c>
      <c r="T26" s="535" t="str">
        <f>+IF(FEBRERO!T26=0,"",FEBRERO!T26)</f>
        <v>Auxilio de Transporte</v>
      </c>
      <c r="U26" s="301">
        <f>+ENERO!U26</f>
        <v>0</v>
      </c>
      <c r="V26" s="220">
        <f>FEBRERO!V26+MARZO!AL26</f>
        <v>21000000</v>
      </c>
      <c r="W26" s="220">
        <f>FEBRERO!W26+MARZO!AM26</f>
        <v>0</v>
      </c>
      <c r="X26" s="271">
        <f t="shared" si="14"/>
        <v>21000000</v>
      </c>
      <c r="Y26" s="270">
        <f>FEBRERO!AA26</f>
        <v>4606666</v>
      </c>
      <c r="Z26" s="208">
        <v>2400000</v>
      </c>
      <c r="AA26" s="269">
        <f t="shared" si="15"/>
        <v>7006666</v>
      </c>
      <c r="AB26" s="270">
        <f>FEBRERO!AD26</f>
        <v>4606666</v>
      </c>
      <c r="AC26" s="208">
        <v>2400000</v>
      </c>
      <c r="AD26" s="269">
        <f t="shared" si="16"/>
        <v>7006666</v>
      </c>
      <c r="AE26" s="270">
        <f>FEBRERO!AG26</f>
        <v>4606666</v>
      </c>
      <c r="AF26" s="208">
        <v>2400000</v>
      </c>
      <c r="AG26" s="269">
        <f t="shared" si="17"/>
        <v>7006666</v>
      </c>
      <c r="AH26" s="270">
        <f t="shared" si="18"/>
        <v>13993334</v>
      </c>
      <c r="AI26" s="220">
        <f t="shared" si="19"/>
        <v>13993334</v>
      </c>
      <c r="AJ26" s="269">
        <f t="shared" si="20"/>
        <v>13993334</v>
      </c>
      <c r="AK26" s="903"/>
      <c r="AL26" s="204">
        <v>0</v>
      </c>
      <c r="AM26" s="210">
        <v>0</v>
      </c>
      <c r="AN26" s="903"/>
      <c r="AO26" s="806"/>
      <c r="AP26" s="539" t="s">
        <v>171</v>
      </c>
      <c r="AQ26" s="807">
        <f>X110</f>
        <v>21615864713.620834</v>
      </c>
      <c r="AR26" s="807">
        <f>AD110</f>
        <v>5583225341</v>
      </c>
      <c r="AS26" s="807">
        <f>AG110</f>
        <v>3029331938</v>
      </c>
      <c r="AT26" s="824">
        <f>AO2/12</f>
        <v>0.25</v>
      </c>
      <c r="AU26" s="139">
        <f t="shared" si="22"/>
        <v>0.25829294432444494</v>
      </c>
      <c r="AV26" s="139">
        <f t="shared" si="23"/>
        <v>0.14014391643056143</v>
      </c>
      <c r="AW26" s="334">
        <f>(AR26-AD121-AD139-AD143-AD153-AD167)/$AO$2*12+AD121+AD139+AD143+AD153+AD167</f>
        <v>18785374445</v>
      </c>
      <c r="AX26" s="334">
        <f>(AS26-AG121-AG139-AG143-AG153-AG167)/$AO$2*12+AG121+AG139+AG143+AG153+AG167</f>
        <v>8569891433</v>
      </c>
      <c r="AY26" s="334">
        <f t="shared" si="24"/>
        <v>2830490268.6208344</v>
      </c>
      <c r="AZ26" s="335">
        <f t="shared" si="25"/>
        <v>13045973280.620834</v>
      </c>
      <c r="BA26" s="736"/>
      <c r="BB26" s="736"/>
      <c r="BC26" s="736"/>
      <c r="BD26" s="736"/>
      <c r="BE26" s="736"/>
      <c r="BF26" s="736"/>
      <c r="BG26" s="736"/>
      <c r="BH26" s="736"/>
      <c r="BI26" s="736"/>
      <c r="BJ26" s="736"/>
      <c r="BK26" s="736"/>
      <c r="BL26" s="903"/>
      <c r="BM26" s="758" t="s">
        <v>172</v>
      </c>
      <c r="BN26" s="199">
        <f>+X198</f>
        <v>7396066391.666666</v>
      </c>
      <c r="BO26" s="199">
        <f>+AA198+AA212</f>
        <v>3441988112</v>
      </c>
      <c r="BP26" s="199">
        <f>+AD198+AD212</f>
        <v>2223380357</v>
      </c>
      <c r="BQ26" s="750">
        <f>+AF198+AF212</f>
        <v>270688821</v>
      </c>
    </row>
    <row r="27" spans="1:69" ht="24.75" customHeight="1">
      <c r="A27" s="202" t="str">
        <f>+IF(FEBRERO!A27=0,"",FEBRERO!A27)</f>
        <v>1.1.02.05.001.09.02.01.99</v>
      </c>
      <c r="B27" s="331" t="str">
        <f>+IF(FEBRERO!B27=0,"",FEBRERO!B27)</f>
        <v>Vigencia Anterior</v>
      </c>
      <c r="C27" s="204">
        <f>+ENERO!C27</f>
        <v>9721866732</v>
      </c>
      <c r="D27" s="205">
        <f>FEBRERO!D27+MARZO!P27</f>
        <v>0</v>
      </c>
      <c r="E27" s="205">
        <f>FEBRERO!E27+MARZO!Q27</f>
        <v>0</v>
      </c>
      <c r="F27" s="205">
        <f>SUM(C27:E27)</f>
        <v>9721866732</v>
      </c>
      <c r="G27" s="205">
        <f>FEBRERO!I27</f>
        <v>13848073542</v>
      </c>
      <c r="H27" s="208">
        <v>2735014272</v>
      </c>
      <c r="I27" s="205">
        <f>SUM(G27:H27)</f>
        <v>16583087814</v>
      </c>
      <c r="J27" s="205">
        <f>FEBRERO!L27</f>
        <v>13848073542</v>
      </c>
      <c r="K27" s="208">
        <v>2735014272</v>
      </c>
      <c r="L27" s="205">
        <f>SUM(J27:K27)</f>
        <v>16583087814</v>
      </c>
      <c r="M27" s="1158">
        <f>F27-I27</f>
        <v>-6861221082</v>
      </c>
      <c r="N27" s="1159">
        <f>F27-L27</f>
        <v>-6861221082</v>
      </c>
      <c r="O27" s="736"/>
      <c r="P27" s="204">
        <v>0</v>
      </c>
      <c r="Q27" s="210">
        <v>0</v>
      </c>
      <c r="R27" s="903"/>
      <c r="S27" s="311" t="str">
        <f>+IF(FEBRERO!S27=0,"",FEBRERO!S27)</f>
        <v>2.1.1.01.01.001.04</v>
      </c>
      <c r="T27" s="535" t="str">
        <f>+IF(FEBRERO!T27=0,"",FEBRERO!T27)</f>
        <v>Auxilio de Alimentación</v>
      </c>
      <c r="U27" s="301">
        <f>+ENERO!U27</f>
        <v>0</v>
      </c>
      <c r="V27" s="220">
        <f>FEBRERO!V27+MARZO!AL27</f>
        <v>0</v>
      </c>
      <c r="W27" s="220">
        <f>FEBRERO!W27+MARZO!AM27</f>
        <v>0</v>
      </c>
      <c r="X27" s="271">
        <f t="shared" si="14"/>
        <v>0</v>
      </c>
      <c r="Y27" s="270">
        <f>FEBRERO!AA27</f>
        <v>0</v>
      </c>
      <c r="Z27" s="208">
        <v>0</v>
      </c>
      <c r="AA27" s="269">
        <f t="shared" si="15"/>
        <v>0</v>
      </c>
      <c r="AB27" s="270">
        <f>FEBRERO!AD27</f>
        <v>0</v>
      </c>
      <c r="AC27" s="208">
        <v>0</v>
      </c>
      <c r="AD27" s="269">
        <f t="shared" si="16"/>
        <v>0</v>
      </c>
      <c r="AE27" s="270">
        <f>FEBRERO!AG27</f>
        <v>0</v>
      </c>
      <c r="AF27" s="208">
        <v>0</v>
      </c>
      <c r="AG27" s="269">
        <f t="shared" si="17"/>
        <v>0</v>
      </c>
      <c r="AH27" s="270">
        <f t="shared" si="18"/>
        <v>0</v>
      </c>
      <c r="AI27" s="220">
        <f t="shared" si="19"/>
        <v>0</v>
      </c>
      <c r="AJ27" s="269">
        <f t="shared" si="20"/>
        <v>0</v>
      </c>
      <c r="AK27" s="903"/>
      <c r="AL27" s="204">
        <v>0</v>
      </c>
      <c r="AM27" s="210">
        <v>0</v>
      </c>
      <c r="AN27" s="903"/>
      <c r="AO27" s="819"/>
      <c r="AP27" s="696" t="s">
        <v>174</v>
      </c>
      <c r="AQ27" s="205">
        <f>X169</f>
        <v>2193060585</v>
      </c>
      <c r="AR27" s="205">
        <f>AD169</f>
        <v>571006836</v>
      </c>
      <c r="AS27" s="205">
        <f>AG169</f>
        <v>466551034</v>
      </c>
      <c r="AT27" s="843"/>
      <c r="AU27" s="205">
        <f t="shared" si="22"/>
        <v>0.26036984108216055</v>
      </c>
      <c r="AV27" s="205">
        <f t="shared" si="23"/>
        <v>0.21273969227804074</v>
      </c>
      <c r="AW27" s="205">
        <f>(AR27-AD173-AD182-AD191)/$AO$2*12+AD173+AD182+AD191</f>
        <v>1461082302</v>
      </c>
      <c r="AX27" s="205">
        <f>(AS27-AG173-AG182-AG191)/$AO$2*12+AG173+AG182+AG191</f>
        <v>1043259094</v>
      </c>
      <c r="AY27" s="205">
        <f t="shared" si="24"/>
        <v>731978283</v>
      </c>
      <c r="AZ27" s="206">
        <f t="shared" si="25"/>
        <v>1149801491</v>
      </c>
      <c r="BA27" s="903"/>
      <c r="BB27" s="736"/>
      <c r="BC27" s="736"/>
      <c r="BD27" s="736"/>
      <c r="BE27" s="736"/>
      <c r="BF27" s="736"/>
      <c r="BG27" s="736"/>
      <c r="BH27" s="736"/>
      <c r="BI27" s="736"/>
      <c r="BJ27" s="736"/>
      <c r="BK27" s="736"/>
      <c r="BL27" s="736"/>
      <c r="BM27" s="758" t="s">
        <v>175</v>
      </c>
      <c r="BN27" s="201">
        <f>+X209-X212-X218</f>
        <v>3000000</v>
      </c>
      <c r="BO27" s="199">
        <f>+AA209-AA212-AA218</f>
        <v>0</v>
      </c>
      <c r="BP27" s="199">
        <f>+AD209-AD212-AD218</f>
        <v>0</v>
      </c>
      <c r="BQ27" s="750">
        <f>+AF209-AF212-AF218</f>
        <v>0</v>
      </c>
    </row>
    <row r="28" spans="1:69" ht="24.75" customHeight="1">
      <c r="A28" s="286">
        <f>+IF(FEBRERO!A28=0,"",FEBRERO!A28)</f>
        <v>1130103</v>
      </c>
      <c r="B28" s="848" t="str">
        <f>+IF(FEBRERO!B28=0,"",FEBRERO!B28)</f>
        <v>SUBSIDIO A LA OFERTA- ATENCION PERSONAS POBRES NO CUBIERTOS CON SUBSIDIO A LA DEMANDA</v>
      </c>
      <c r="C28" s="288">
        <f>C29+C32+C35+C38+C39+C40</f>
        <v>1850957800</v>
      </c>
      <c r="D28" s="320">
        <f>+D29+D32+D35+D38+D39+D40</f>
        <v>0</v>
      </c>
      <c r="E28" s="320">
        <f>+E29+E32+E35+E38+E39+E40</f>
        <v>0</v>
      </c>
      <c r="F28" s="320">
        <f>+F29+F32+F35+F38+F39+F40</f>
        <v>1850957800</v>
      </c>
      <c r="G28" s="320">
        <f t="shared" ref="G28:N28" si="27">G29+G32+G35+G38+G39+G40</f>
        <v>498289313</v>
      </c>
      <c r="H28" s="320">
        <f t="shared" si="27"/>
        <v>205796396</v>
      </c>
      <c r="I28" s="320">
        <f t="shared" si="27"/>
        <v>704085709</v>
      </c>
      <c r="J28" s="320">
        <f t="shared" si="27"/>
        <v>234320567</v>
      </c>
      <c r="K28" s="320">
        <f t="shared" si="27"/>
        <v>140100916</v>
      </c>
      <c r="L28" s="320">
        <f t="shared" si="27"/>
        <v>374421483</v>
      </c>
      <c r="M28" s="320">
        <f t="shared" si="27"/>
        <v>1146872091</v>
      </c>
      <c r="N28" s="289">
        <f t="shared" si="27"/>
        <v>1476536317</v>
      </c>
      <c r="O28" s="736"/>
      <c r="P28" s="288">
        <f>P29+P32+P35+P38+P39+P940</f>
        <v>0</v>
      </c>
      <c r="Q28" s="289">
        <f>Q29+Q32+Q35+Q38+Q39+Q40</f>
        <v>0</v>
      </c>
      <c r="R28" s="903"/>
      <c r="S28" s="311" t="str">
        <f>+IF(FEBRERO!S28=0,"",FEBRERO!S28)</f>
        <v>1010104-8</v>
      </c>
      <c r="T28" s="535" t="str">
        <f>+IF(FEBRERO!T28=0,"",FEBRERO!T28)</f>
        <v>Indemnizaciones por Vacaciones o Supresión de Cargos por Reestructuración</v>
      </c>
      <c r="U28" s="301">
        <f>+ENERO!U28</f>
        <v>0</v>
      </c>
      <c r="V28" s="220">
        <f>FEBRERO!V28+MARZO!AL28</f>
        <v>0</v>
      </c>
      <c r="W28" s="220">
        <f>FEBRERO!W28+MARZO!AM28</f>
        <v>0</v>
      </c>
      <c r="X28" s="271">
        <f t="shared" si="14"/>
        <v>0</v>
      </c>
      <c r="Y28" s="270">
        <f>FEBRERO!AA28</f>
        <v>0</v>
      </c>
      <c r="Z28" s="208">
        <v>0</v>
      </c>
      <c r="AA28" s="269">
        <f t="shared" si="15"/>
        <v>0</v>
      </c>
      <c r="AB28" s="270">
        <f>FEBRERO!AD28</f>
        <v>0</v>
      </c>
      <c r="AC28" s="208">
        <v>0</v>
      </c>
      <c r="AD28" s="269">
        <f t="shared" si="16"/>
        <v>0</v>
      </c>
      <c r="AE28" s="270">
        <f>FEBRERO!AG28</f>
        <v>0</v>
      </c>
      <c r="AF28" s="208">
        <v>0</v>
      </c>
      <c r="AG28" s="269">
        <f t="shared" si="17"/>
        <v>0</v>
      </c>
      <c r="AH28" s="270">
        <f t="shared" si="18"/>
        <v>0</v>
      </c>
      <c r="AI28" s="220">
        <f t="shared" si="19"/>
        <v>0</v>
      </c>
      <c r="AJ28" s="269">
        <f t="shared" si="20"/>
        <v>0</v>
      </c>
      <c r="AK28" s="903"/>
      <c r="AL28" s="204">
        <v>0</v>
      </c>
      <c r="AM28" s="210">
        <v>0</v>
      </c>
      <c r="AN28" s="903"/>
      <c r="AO28" s="819"/>
      <c r="AP28" s="333" t="s">
        <v>179</v>
      </c>
      <c r="AQ28" s="205">
        <f>X195</f>
        <v>39478630478.666664</v>
      </c>
      <c r="AR28" s="205">
        <f>AD195</f>
        <v>13645843674</v>
      </c>
      <c r="AS28" s="205">
        <f>AG195</f>
        <v>4587371831</v>
      </c>
      <c r="AT28" s="843"/>
      <c r="AU28" s="205">
        <f t="shared" si="22"/>
        <v>0.34565139440117859</v>
      </c>
      <c r="AV28" s="205">
        <f t="shared" si="23"/>
        <v>0.11619885936719383</v>
      </c>
      <c r="AW28" s="205">
        <f>(AR28-AD207)/$AO$2*12+AD207</f>
        <v>46862230296</v>
      </c>
      <c r="AX28" s="205">
        <f>(AS28-AG207)/$AO$2*12+AG207</f>
        <v>10628342930</v>
      </c>
      <c r="AY28" s="205">
        <f t="shared" si="24"/>
        <v>-7383599817.3333359</v>
      </c>
      <c r="AZ28" s="206">
        <f t="shared" si="25"/>
        <v>28850287548.666664</v>
      </c>
      <c r="BA28" s="736"/>
      <c r="BB28" s="736"/>
      <c r="BC28" s="736"/>
      <c r="BD28" s="736"/>
      <c r="BE28" s="736"/>
      <c r="BF28" s="736"/>
      <c r="BG28" s="736"/>
      <c r="BH28" s="736"/>
      <c r="BI28" s="736"/>
      <c r="BJ28" s="736"/>
      <c r="BK28" s="736"/>
      <c r="BL28" s="736"/>
      <c r="BM28" s="743" t="s">
        <v>180</v>
      </c>
      <c r="BN28" s="186">
        <f>+X196-X198-X207</f>
        <v>26766783123.666664</v>
      </c>
      <c r="BO28" s="186">
        <f>+AA196-AA198-AA207</f>
        <v>17540833170</v>
      </c>
      <c r="BP28" s="186">
        <f>+AD196-AD198-AD207</f>
        <v>8848748517</v>
      </c>
      <c r="BQ28" s="748">
        <f>+AF196-AF198-AF207</f>
        <v>1091947416</v>
      </c>
    </row>
    <row r="29" spans="1:69" ht="24.75" customHeight="1">
      <c r="A29" s="202" t="str">
        <f>+IF(FEBRERO!A29=0,"",FEBRERO!A29)</f>
        <v>1130103-1</v>
      </c>
      <c r="B29" s="345" t="str">
        <f>+IF(FEBRERO!B29=0,"",FEBRERO!B29)</f>
        <v>Prestación de Servicios de salud  1er Nivel</v>
      </c>
      <c r="C29" s="270">
        <f t="shared" ref="C29:N29" si="28">SUM(C30:C31)</f>
        <v>0</v>
      </c>
      <c r="D29" s="220">
        <f t="shared" si="28"/>
        <v>0</v>
      </c>
      <c r="E29" s="220">
        <f t="shared" si="28"/>
        <v>0</v>
      </c>
      <c r="F29" s="220">
        <f t="shared" si="28"/>
        <v>0</v>
      </c>
      <c r="G29" s="220">
        <f t="shared" si="28"/>
        <v>0</v>
      </c>
      <c r="H29" s="220">
        <f t="shared" si="28"/>
        <v>0</v>
      </c>
      <c r="I29" s="220">
        <f t="shared" si="28"/>
        <v>0</v>
      </c>
      <c r="J29" s="220">
        <f t="shared" si="28"/>
        <v>0</v>
      </c>
      <c r="K29" s="220">
        <f t="shared" si="28"/>
        <v>0</v>
      </c>
      <c r="L29" s="220">
        <f t="shared" si="28"/>
        <v>0</v>
      </c>
      <c r="M29" s="220">
        <f t="shared" si="28"/>
        <v>0</v>
      </c>
      <c r="N29" s="269">
        <f t="shared" si="28"/>
        <v>0</v>
      </c>
      <c r="O29" s="736"/>
      <c r="P29" s="346">
        <f>SUM(P30:P31)</f>
        <v>0</v>
      </c>
      <c r="Q29" s="347">
        <f>SUM(Q30:Q31)</f>
        <v>0</v>
      </c>
      <c r="R29" s="903"/>
      <c r="S29" s="311" t="str">
        <f>+IF(FEBRERO!S29=0,"",FEBRERO!S29)</f>
        <v>1010104-9</v>
      </c>
      <c r="T29" s="535" t="str">
        <f>+IF(FEBRERO!T29=0,"",FEBRERO!T29)</f>
        <v>Gastos de Representacion</v>
      </c>
      <c r="U29" s="301">
        <f>+ENERO!U29</f>
        <v>0</v>
      </c>
      <c r="V29" s="220">
        <f>FEBRERO!V29+MARZO!AL29</f>
        <v>0</v>
      </c>
      <c r="W29" s="220">
        <f>FEBRERO!W29+MARZO!AM29</f>
        <v>0</v>
      </c>
      <c r="X29" s="271">
        <f t="shared" si="14"/>
        <v>0</v>
      </c>
      <c r="Y29" s="270">
        <f>FEBRERO!AA29</f>
        <v>0</v>
      </c>
      <c r="Z29" s="208">
        <v>0</v>
      </c>
      <c r="AA29" s="269">
        <f t="shared" si="15"/>
        <v>0</v>
      </c>
      <c r="AB29" s="270">
        <f>FEBRERO!AD29</f>
        <v>0</v>
      </c>
      <c r="AC29" s="208">
        <v>0</v>
      </c>
      <c r="AD29" s="269">
        <f t="shared" si="16"/>
        <v>0</v>
      </c>
      <c r="AE29" s="270">
        <f>FEBRERO!AG29</f>
        <v>0</v>
      </c>
      <c r="AF29" s="208">
        <v>0</v>
      </c>
      <c r="AG29" s="269">
        <f t="shared" si="17"/>
        <v>0</v>
      </c>
      <c r="AH29" s="270">
        <f t="shared" si="18"/>
        <v>0</v>
      </c>
      <c r="AI29" s="220">
        <f t="shared" si="19"/>
        <v>0</v>
      </c>
      <c r="AJ29" s="269">
        <f t="shared" si="20"/>
        <v>0</v>
      </c>
      <c r="AK29" s="903"/>
      <c r="AL29" s="204">
        <v>0</v>
      </c>
      <c r="AM29" s="210">
        <v>0</v>
      </c>
      <c r="AN29" s="903"/>
      <c r="AO29" s="806"/>
      <c r="AP29" s="333" t="s">
        <v>185</v>
      </c>
      <c r="AQ29" s="205">
        <f>X209</f>
        <v>3296559635</v>
      </c>
      <c r="AR29" s="205">
        <f>AD209</f>
        <v>3114152413</v>
      </c>
      <c r="AS29" s="205">
        <f>AG209</f>
        <v>3114152413</v>
      </c>
      <c r="AT29" s="807"/>
      <c r="AU29" s="139">
        <f t="shared" si="22"/>
        <v>0.94466739807666178</v>
      </c>
      <c r="AV29" s="139">
        <f t="shared" si="23"/>
        <v>0.94466739807666178</v>
      </c>
      <c r="AW29" s="334">
        <f>(AR29-AD218)/$AO$2*12+AD218</f>
        <v>3114152413</v>
      </c>
      <c r="AX29" s="334">
        <f>(AS29-AG218)/$AO$2*12+AG218</f>
        <v>3114152413</v>
      </c>
      <c r="AY29" s="334">
        <f t="shared" si="24"/>
        <v>182407222</v>
      </c>
      <c r="AZ29" s="335">
        <f t="shared" si="25"/>
        <v>182407222</v>
      </c>
      <c r="BA29" s="736"/>
      <c r="BB29" s="908"/>
      <c r="BC29" s="908"/>
      <c r="BD29" s="908"/>
      <c r="BE29" s="908"/>
      <c r="BF29" s="908"/>
      <c r="BG29" s="736"/>
      <c r="BH29" s="736"/>
      <c r="BI29" s="736"/>
      <c r="BJ29" s="736"/>
      <c r="BK29" s="736"/>
      <c r="BL29" s="903"/>
      <c r="BM29" s="759" t="s">
        <v>117</v>
      </c>
      <c r="BN29" s="340">
        <f>X238</f>
        <v>13867226030</v>
      </c>
      <c r="BO29" s="341">
        <f>AA232-AA256-AA241</f>
        <v>9353034530</v>
      </c>
      <c r="BP29" s="341">
        <f>AD232-AD256-AD241</f>
        <v>2231755852</v>
      </c>
      <c r="BQ29" s="757">
        <f>AF232-AF256-AF241</f>
        <v>1693288254</v>
      </c>
    </row>
    <row r="30" spans="1:69" ht="24.75" customHeight="1">
      <c r="A30" s="202" t="str">
        <f>+IF(FEBRERO!A30=0,"",FEBRERO!A30)</f>
        <v>1130103-1-1</v>
      </c>
      <c r="B30" s="331" t="str">
        <f>+CONCATENATE("Vigencia ",INSTRUCCIONES!$F$3)</f>
        <v>Vigencia 2025</v>
      </c>
      <c r="C30" s="204">
        <f>+ENERO!C30</f>
        <v>0</v>
      </c>
      <c r="D30" s="205">
        <f>FEBRERO!D30+MARZO!P30</f>
        <v>0</v>
      </c>
      <c r="E30" s="205">
        <f>FEBRERO!E30+MARZO!Q30</f>
        <v>0</v>
      </c>
      <c r="F30" s="205">
        <f>SUM(C30:E30)</f>
        <v>0</v>
      </c>
      <c r="G30" s="205">
        <f>FEBRERO!I30</f>
        <v>0</v>
      </c>
      <c r="H30" s="208">
        <v>0</v>
      </c>
      <c r="I30" s="205">
        <f>SUM(G30:H30)</f>
        <v>0</v>
      </c>
      <c r="J30" s="205">
        <f>FEBRERO!L30</f>
        <v>0</v>
      </c>
      <c r="K30" s="208">
        <v>0</v>
      </c>
      <c r="L30" s="205">
        <f>SUM(J30:K30)</f>
        <v>0</v>
      </c>
      <c r="M30" s="205">
        <f>F30-I30</f>
        <v>0</v>
      </c>
      <c r="N30" s="206">
        <f>F30-L30</f>
        <v>0</v>
      </c>
      <c r="O30" s="903"/>
      <c r="P30" s="204">
        <v>0</v>
      </c>
      <c r="Q30" s="210">
        <v>0</v>
      </c>
      <c r="R30" s="903"/>
      <c r="S30" s="311" t="str">
        <f>+IF(FEBRERO!S30=0,"",FEBRERO!S30)</f>
        <v>2.1.1.01.03.001.03</v>
      </c>
      <c r="T30" s="535" t="str">
        <f>+IF(FEBRERO!T30=0,"",FEBRERO!T30)</f>
        <v>Bonificación Especial por Recreación</v>
      </c>
      <c r="U30" s="301">
        <f>+ENERO!U30</f>
        <v>36288061.666666657</v>
      </c>
      <c r="V30" s="220">
        <f>FEBRERO!V30+MARZO!AL30</f>
        <v>0</v>
      </c>
      <c r="W30" s="220">
        <f>FEBRERO!W30+MARZO!AM30</f>
        <v>0</v>
      </c>
      <c r="X30" s="271">
        <f t="shared" si="14"/>
        <v>36288061.666666657</v>
      </c>
      <c r="Y30" s="270">
        <f>FEBRERO!AA30</f>
        <v>3713581</v>
      </c>
      <c r="Z30" s="208">
        <v>2650853</v>
      </c>
      <c r="AA30" s="269">
        <f t="shared" si="15"/>
        <v>6364434</v>
      </c>
      <c r="AB30" s="270">
        <f>FEBRERO!AD30</f>
        <v>3713581</v>
      </c>
      <c r="AC30" s="208">
        <v>2650853</v>
      </c>
      <c r="AD30" s="269">
        <f t="shared" si="16"/>
        <v>6364434</v>
      </c>
      <c r="AE30" s="270">
        <f>FEBRERO!AG30</f>
        <v>3713581</v>
      </c>
      <c r="AF30" s="208">
        <v>2650853</v>
      </c>
      <c r="AG30" s="269">
        <f t="shared" si="17"/>
        <v>6364434</v>
      </c>
      <c r="AH30" s="270">
        <f t="shared" si="18"/>
        <v>29923627.666666657</v>
      </c>
      <c r="AI30" s="220">
        <f t="shared" si="19"/>
        <v>29923627.666666657</v>
      </c>
      <c r="AJ30" s="269">
        <f t="shared" si="20"/>
        <v>29923627.666666657</v>
      </c>
      <c r="AK30" s="903"/>
      <c r="AL30" s="204">
        <v>0</v>
      </c>
      <c r="AM30" s="210">
        <v>0</v>
      </c>
      <c r="AN30" s="903"/>
      <c r="AO30" s="823" t="s">
        <v>92</v>
      </c>
      <c r="AP30" s="696" t="s">
        <v>188</v>
      </c>
      <c r="AQ30" s="205">
        <f>X220+X232</f>
        <v>17557183559</v>
      </c>
      <c r="AR30" s="205">
        <f>AD220+AD232</f>
        <v>2562849674</v>
      </c>
      <c r="AS30" s="205">
        <f>AG220+AG232</f>
        <v>2199340226</v>
      </c>
      <c r="AT30" s="843"/>
      <c r="AU30" s="205">
        <f t="shared" si="22"/>
        <v>0.14597157143044481</v>
      </c>
      <c r="AV30" s="205">
        <f t="shared" si="23"/>
        <v>0.12526725705231889</v>
      </c>
      <c r="AW30" s="205">
        <f>(AR30-AD225-AD230-AD241-AD256)/$AO$2*12+AD225+AD230+AD241+AD256</f>
        <v>10251398696</v>
      </c>
      <c r="AX30" s="205">
        <f>(AS30-AG225-AG230-AG241-AG256)/$AO$2*12+AG225+AG230+AG241+AG256</f>
        <v>8797360904</v>
      </c>
      <c r="AY30" s="205">
        <f t="shared" si="24"/>
        <v>7305784863</v>
      </c>
      <c r="AZ30" s="206">
        <f t="shared" si="25"/>
        <v>8759822655</v>
      </c>
      <c r="BA30" s="736"/>
      <c r="BB30" s="908"/>
      <c r="BC30" s="908"/>
      <c r="BD30" s="908"/>
      <c r="BE30" s="908"/>
      <c r="BF30" s="908"/>
      <c r="BG30" s="736"/>
      <c r="BH30" s="736"/>
      <c r="BI30" s="736"/>
      <c r="BJ30" s="736"/>
      <c r="BK30" s="736"/>
      <c r="BL30" s="736"/>
      <c r="BM30" s="759" t="s">
        <v>122</v>
      </c>
      <c r="BN30" s="340">
        <f>X220-X225-X230</f>
        <v>3239175000</v>
      </c>
      <c r="BO30" s="341">
        <f>AA220-AA225-AA230</f>
        <v>331093822</v>
      </c>
      <c r="BP30" s="341">
        <f>AD220-AD225-AD230</f>
        <v>331093822</v>
      </c>
      <c r="BQ30" s="757">
        <f>AF220-AF225-AF230</f>
        <v>109668570</v>
      </c>
    </row>
    <row r="31" spans="1:69" ht="24.75" customHeight="1">
      <c r="A31" s="202" t="str">
        <f>+IF(FEBRERO!A31=0,"",FEBRERO!A31)</f>
        <v>1130103-1-2</v>
      </c>
      <c r="B31" s="331" t="str">
        <f>+IF(FEBRERO!B31=0,"",FEBRERO!B31)</f>
        <v>Vigencia Anterior</v>
      </c>
      <c r="C31" s="204">
        <f>+ENERO!C31</f>
        <v>0</v>
      </c>
      <c r="D31" s="205">
        <f>FEBRERO!D31+MARZO!P31</f>
        <v>0</v>
      </c>
      <c r="E31" s="205">
        <f>FEBRERO!E31+MARZO!Q31</f>
        <v>0</v>
      </c>
      <c r="F31" s="205">
        <f>SUM(C31:E31)</f>
        <v>0</v>
      </c>
      <c r="G31" s="205">
        <f>FEBRERO!I31</f>
        <v>0</v>
      </c>
      <c r="H31" s="208">
        <v>0</v>
      </c>
      <c r="I31" s="205">
        <f>SUM(G31:H31)</f>
        <v>0</v>
      </c>
      <c r="J31" s="205">
        <f>FEBRERO!L31</f>
        <v>0</v>
      </c>
      <c r="K31" s="208">
        <v>0</v>
      </c>
      <c r="L31" s="205">
        <f>SUM(J31:K31)</f>
        <v>0</v>
      </c>
      <c r="M31" s="205">
        <f>F31-I31</f>
        <v>0</v>
      </c>
      <c r="N31" s="206">
        <f>F31-L31</f>
        <v>0</v>
      </c>
      <c r="O31" s="736"/>
      <c r="P31" s="204">
        <v>0</v>
      </c>
      <c r="Q31" s="210">
        <v>0</v>
      </c>
      <c r="R31" s="903"/>
      <c r="S31" s="311" t="str">
        <f>+IF(FEBRERO!S31=0,"",FEBRERO!S31)</f>
        <v>2.1.1.01.03.001.01</v>
      </c>
      <c r="T31" s="535" t="str">
        <f>+IF(FEBRERO!T31=0,"",FEBRERO!T31)</f>
        <v>Vacaciones</v>
      </c>
      <c r="U31" s="301">
        <f>+ENERO!U31</f>
        <v>272160462.5</v>
      </c>
      <c r="V31" s="220">
        <f>FEBRERO!V31+MARZO!AL31</f>
        <v>0</v>
      </c>
      <c r="W31" s="220">
        <f>FEBRERO!W31+MARZO!AM31</f>
        <v>0</v>
      </c>
      <c r="X31" s="271">
        <f t="shared" si="14"/>
        <v>272160462.5</v>
      </c>
      <c r="Y31" s="270">
        <f>FEBRERO!AA31</f>
        <v>31992617</v>
      </c>
      <c r="Z31" s="208">
        <v>31453000</v>
      </c>
      <c r="AA31" s="269">
        <f t="shared" si="15"/>
        <v>63445617</v>
      </c>
      <c r="AB31" s="270">
        <f>FEBRERO!AD31</f>
        <v>31992617</v>
      </c>
      <c r="AC31" s="208">
        <v>31453000</v>
      </c>
      <c r="AD31" s="269">
        <f t="shared" si="16"/>
        <v>63445617</v>
      </c>
      <c r="AE31" s="270">
        <f>FEBRERO!AG31</f>
        <v>31992617</v>
      </c>
      <c r="AF31" s="208">
        <v>31453000</v>
      </c>
      <c r="AG31" s="269">
        <f t="shared" si="17"/>
        <v>63445617</v>
      </c>
      <c r="AH31" s="270">
        <f t="shared" si="18"/>
        <v>208714845.5</v>
      </c>
      <c r="AI31" s="220">
        <f t="shared" si="19"/>
        <v>208714845.5</v>
      </c>
      <c r="AJ31" s="269">
        <f t="shared" si="20"/>
        <v>208714845.5</v>
      </c>
      <c r="AK31" s="903"/>
      <c r="AL31" s="204">
        <v>0</v>
      </c>
      <c r="AM31" s="210">
        <v>0</v>
      </c>
      <c r="AN31" s="903"/>
      <c r="AO31" s="819"/>
      <c r="AP31" s="303" t="s">
        <v>190</v>
      </c>
      <c r="AQ31" s="843">
        <f>X258</f>
        <v>0.30987548828125</v>
      </c>
      <c r="AR31" s="843">
        <f>AD258</f>
        <v>-25833537282</v>
      </c>
      <c r="AS31" s="843">
        <f>AG258</f>
        <v>-32198207356</v>
      </c>
      <c r="AT31" s="843"/>
      <c r="AU31" s="205">
        <f t="shared" si="22"/>
        <v>-83367475837.756149</v>
      </c>
      <c r="AV31" s="205">
        <f t="shared" si="23"/>
        <v>-103906919306.81584</v>
      </c>
      <c r="AW31" s="205">
        <f>AQ31</f>
        <v>0.30987548828125</v>
      </c>
      <c r="AX31" s="205">
        <f>AQ31</f>
        <v>0.30987548828125</v>
      </c>
      <c r="AY31" s="205">
        <f t="shared" si="24"/>
        <v>0</v>
      </c>
      <c r="AZ31" s="206">
        <f t="shared" si="25"/>
        <v>0</v>
      </c>
      <c r="BA31" s="736"/>
      <c r="BB31" s="736"/>
      <c r="BC31" s="736"/>
      <c r="BD31" s="736"/>
      <c r="BE31" s="736"/>
      <c r="BF31" s="736"/>
      <c r="BG31" s="736"/>
      <c r="BH31" s="736"/>
      <c r="BI31" s="736"/>
      <c r="BJ31" s="736"/>
      <c r="BK31" s="736"/>
      <c r="BL31" s="736"/>
      <c r="BM31" s="759" t="s">
        <v>191</v>
      </c>
      <c r="BN31" s="340">
        <f>SUM(X262)</f>
        <v>29917421497.222054</v>
      </c>
      <c r="BO31" s="341">
        <f>AA33+AA41+AA55+AA61+AA81+AA88+AA102+AA108+AA121+AA139+AA143+AA153+AA167+AA173+AA182+AA191+AA207+AA218+AA230+AA241+AA256+AA225</f>
        <v>23559087482</v>
      </c>
      <c r="BP31" s="341">
        <f>AD33+AD41+AD55+AD61+AD81+AD88+AD102+AD108+AD121+AD139+AD143+AD153+AD167+AD173+AD182+AD191+AD207+AD218+AD230+AD241+AD256+AD225</f>
        <v>23552887482</v>
      </c>
      <c r="BQ31" s="847">
        <f>AF33+AF41+AF55+AF61+AF81+AF88+AF102+AF108+AF121+AF139+AF153+AF167+AF182+AF191+AF207+AF218+AF230+AF241+AF256+AF225</f>
        <v>7146624486</v>
      </c>
    </row>
    <row r="32" spans="1:69" ht="24.75" customHeight="1" thickBot="1">
      <c r="A32" s="202" t="str">
        <f>+IF(FEBRERO!A32=0,"",FEBRERO!A32)</f>
        <v>1.1.02.05.001.09.02.15</v>
      </c>
      <c r="B32" s="345" t="str">
        <f>+IF(FEBRERO!B32=0,"",FEBRERO!B32)</f>
        <v>Prestación de Servicios de salud  2o. Nivel</v>
      </c>
      <c r="C32" s="270">
        <f t="shared" ref="C32:N32" si="29">SUM(C33:C34)</f>
        <v>1850957800</v>
      </c>
      <c r="D32" s="220">
        <f t="shared" si="29"/>
        <v>0</v>
      </c>
      <c r="E32" s="220">
        <f t="shared" si="29"/>
        <v>0</v>
      </c>
      <c r="F32" s="220">
        <f t="shared" si="29"/>
        <v>1850957800</v>
      </c>
      <c r="G32" s="220">
        <f t="shared" si="29"/>
        <v>498289313</v>
      </c>
      <c r="H32" s="220">
        <f t="shared" si="29"/>
        <v>205796396</v>
      </c>
      <c r="I32" s="220">
        <f t="shared" si="29"/>
        <v>704085709</v>
      </c>
      <c r="J32" s="220">
        <f t="shared" si="29"/>
        <v>234320567</v>
      </c>
      <c r="K32" s="220">
        <f t="shared" si="29"/>
        <v>140100916</v>
      </c>
      <c r="L32" s="220">
        <f t="shared" si="29"/>
        <v>374421483</v>
      </c>
      <c r="M32" s="220">
        <f t="shared" si="29"/>
        <v>1146872091</v>
      </c>
      <c r="N32" s="269">
        <f t="shared" si="29"/>
        <v>1476536317</v>
      </c>
      <c r="O32" s="736"/>
      <c r="P32" s="346">
        <f>SUM(P33:P34)</f>
        <v>0</v>
      </c>
      <c r="Q32" s="347">
        <f>SUM(Q33:Q34)</f>
        <v>0</v>
      </c>
      <c r="R32" s="903"/>
      <c r="S32" s="311" t="str">
        <f>+IF(FEBRERO!S32=0,"",FEBRERO!S32)</f>
        <v>1010104-12</v>
      </c>
      <c r="T32" s="535" t="str">
        <f>+IF(FEBRERO!T32=0,"",FEBRERO!T32)</f>
        <v/>
      </c>
      <c r="U32" s="301">
        <f>+ENERO!U32</f>
        <v>0</v>
      </c>
      <c r="V32" s="220">
        <f>FEBRERO!V32+MARZO!AL32</f>
        <v>0</v>
      </c>
      <c r="W32" s="220">
        <f>FEBRERO!W32+MARZO!AM32</f>
        <v>0</v>
      </c>
      <c r="X32" s="271">
        <f t="shared" si="14"/>
        <v>0</v>
      </c>
      <c r="Y32" s="270">
        <f>FEBRERO!AA32</f>
        <v>0</v>
      </c>
      <c r="Z32" s="208">
        <v>0</v>
      </c>
      <c r="AA32" s="269">
        <f t="shared" si="15"/>
        <v>0</v>
      </c>
      <c r="AB32" s="270">
        <f>FEBRERO!AD32</f>
        <v>0</v>
      </c>
      <c r="AC32" s="208">
        <v>0</v>
      </c>
      <c r="AD32" s="269">
        <f t="shared" si="16"/>
        <v>0</v>
      </c>
      <c r="AE32" s="270">
        <f>FEBRERO!AG32</f>
        <v>0</v>
      </c>
      <c r="AF32" s="208">
        <v>0</v>
      </c>
      <c r="AG32" s="269">
        <f t="shared" si="17"/>
        <v>0</v>
      </c>
      <c r="AH32" s="270">
        <f t="shared" si="18"/>
        <v>0</v>
      </c>
      <c r="AI32" s="220">
        <f t="shared" si="19"/>
        <v>0</v>
      </c>
      <c r="AJ32" s="269">
        <f t="shared" si="20"/>
        <v>0</v>
      </c>
      <c r="AK32" s="903"/>
      <c r="AL32" s="204">
        <v>0</v>
      </c>
      <c r="AM32" s="210">
        <v>0</v>
      </c>
      <c r="AN32" s="903"/>
      <c r="AO32" s="806"/>
      <c r="AP32" s="540" t="s">
        <v>194</v>
      </c>
      <c r="AQ32" s="260">
        <f>SUM(AQ22:AQ31)</f>
        <v>173189856432.47656</v>
      </c>
      <c r="AR32" s="260">
        <f>SUM(AR22:AR31)</f>
        <v>34566012008</v>
      </c>
      <c r="AS32" s="260">
        <f>SUM(AS22:AS31)</f>
        <v>0</v>
      </c>
      <c r="AT32" s="349"/>
      <c r="AU32" s="350">
        <f t="shared" si="22"/>
        <v>0.19958450639097697</v>
      </c>
      <c r="AV32" s="350">
        <f t="shared" si="23"/>
        <v>0</v>
      </c>
      <c r="AW32" s="820">
        <f>SUM(AW22:AW31)</f>
        <v>171408331715.30988</v>
      </c>
      <c r="AX32" s="820">
        <f>SUM(AX22:AX31)</f>
        <v>58603054585.309875</v>
      </c>
      <c r="AY32" s="820">
        <f>SUM(AY22:AY31)</f>
        <v>1781524717.166667</v>
      </c>
      <c r="AZ32" s="159">
        <f>SUM(AZ22:AZ31)</f>
        <v>114586801847.16666</v>
      </c>
      <c r="BA32" s="736"/>
      <c r="BB32" s="908"/>
      <c r="BC32" s="908"/>
      <c r="BD32" s="908"/>
      <c r="BE32" s="908"/>
      <c r="BF32" s="908"/>
      <c r="BG32" s="736"/>
      <c r="BH32" s="736"/>
      <c r="BI32" s="736"/>
      <c r="BJ32" s="736"/>
      <c r="BK32" s="736"/>
      <c r="BL32" s="903"/>
      <c r="BM32" s="759" t="s">
        <v>195</v>
      </c>
      <c r="BN32" s="340">
        <f>+BN7+BN25+BN29+BN30+BN31</f>
        <v>173539073903.16669</v>
      </c>
      <c r="BO32" s="340">
        <f>+BO7+BO25+BO29+BO30+BO31</f>
        <v>105570883002</v>
      </c>
      <c r="BP32" s="340">
        <f>+BP7+BP25+BP29+BP30+BP31</f>
        <v>60743009244</v>
      </c>
      <c r="BQ32" s="760">
        <f>+BQ7+BQ25+BQ29+BQ30+BQ31</f>
        <v>12172219634</v>
      </c>
    </row>
    <row r="33" spans="1:69" ht="24.75" customHeight="1" thickBot="1">
      <c r="A33" s="202" t="str">
        <f>+IF(FEBRERO!A33=0,"",FEBRERO!A33)</f>
        <v>1.1.02.05.001.09.02.15</v>
      </c>
      <c r="B33" s="331" t="str">
        <f>+CONCATENATE("Vigencia ",INSTRUCCIONES!$F$3)</f>
        <v>Vigencia 2025</v>
      </c>
      <c r="C33" s="204">
        <f>+ENERO!C33</f>
        <v>1140706891</v>
      </c>
      <c r="D33" s="205">
        <f>FEBRERO!D33+MARZO!P33</f>
        <v>0</v>
      </c>
      <c r="E33" s="205">
        <f>FEBRERO!E33+MARZO!Q33</f>
        <v>0</v>
      </c>
      <c r="F33" s="205">
        <f>SUM(C33:E33)</f>
        <v>1140706891</v>
      </c>
      <c r="G33" s="205">
        <f>FEBRERO!I33</f>
        <v>263968746</v>
      </c>
      <c r="H33" s="208">
        <v>205796396</v>
      </c>
      <c r="I33" s="205">
        <f>SUM(G33:H33)</f>
        <v>469765142</v>
      </c>
      <c r="J33" s="205">
        <f>FEBRERO!L33</f>
        <v>0</v>
      </c>
      <c r="K33" s="208">
        <v>140100916</v>
      </c>
      <c r="L33" s="205">
        <f>SUM(J33:K33)</f>
        <v>140100916</v>
      </c>
      <c r="M33" s="205">
        <f>F33-I33</f>
        <v>670941749</v>
      </c>
      <c r="N33" s="206">
        <f>F33-L33</f>
        <v>1000605975</v>
      </c>
      <c r="O33" s="903"/>
      <c r="P33" s="204">
        <v>0</v>
      </c>
      <c r="Q33" s="210">
        <v>0</v>
      </c>
      <c r="R33" s="903"/>
      <c r="S33" s="266">
        <f>+IF(FEBRERO!S33=0,"",FEBRERO!S33)</f>
        <v>1010199</v>
      </c>
      <c r="T33" s="534" t="str">
        <f>+IF(FEBRERO!T33=0,"",FEBRERO!T33)</f>
        <v>Vigencias Anteriores</v>
      </c>
      <c r="U33" s="301">
        <f>+ENERO!U33</f>
        <v>0</v>
      </c>
      <c r="V33" s="220">
        <f>FEBRERO!V33+MARZO!AL33</f>
        <v>0</v>
      </c>
      <c r="W33" s="220">
        <f>FEBRERO!W33+MARZO!AM33</f>
        <v>0</v>
      </c>
      <c r="X33" s="271">
        <f t="shared" si="14"/>
        <v>0</v>
      </c>
      <c r="Y33" s="270">
        <f>FEBRERO!AA33</f>
        <v>0</v>
      </c>
      <c r="Z33" s="208">
        <v>0</v>
      </c>
      <c r="AA33" s="269">
        <f t="shared" si="15"/>
        <v>0</v>
      </c>
      <c r="AB33" s="270">
        <f>FEBRERO!AD33</f>
        <v>0</v>
      </c>
      <c r="AC33" s="208">
        <v>0</v>
      </c>
      <c r="AD33" s="269">
        <f t="shared" si="16"/>
        <v>0</v>
      </c>
      <c r="AE33" s="270">
        <f>FEBRERO!AG33</f>
        <v>0</v>
      </c>
      <c r="AF33" s="208">
        <v>0</v>
      </c>
      <c r="AG33" s="269">
        <f t="shared" si="17"/>
        <v>0</v>
      </c>
      <c r="AH33" s="270">
        <f t="shared" si="18"/>
        <v>0</v>
      </c>
      <c r="AI33" s="220">
        <f t="shared" si="19"/>
        <v>0</v>
      </c>
      <c r="AJ33" s="269">
        <f t="shared" si="20"/>
        <v>0</v>
      </c>
      <c r="AK33" s="903"/>
      <c r="AL33" s="204">
        <v>0</v>
      </c>
      <c r="AM33" s="210">
        <v>0</v>
      </c>
      <c r="AN33" s="903"/>
      <c r="AO33" s="819"/>
      <c r="AP33" s="849"/>
      <c r="AQ33" s="850">
        <f>IF((AQ32-X8)&lt;&gt;0,(AQ32-X8),"")</f>
        <v>0.309906005859375</v>
      </c>
      <c r="AR33" s="850"/>
      <c r="AS33" s="850"/>
      <c r="AT33" s="850"/>
      <c r="AU33" s="353"/>
      <c r="AV33" s="325"/>
      <c r="AW33" s="323"/>
      <c r="AX33" s="323"/>
      <c r="AY33" s="323"/>
      <c r="AZ33" s="326"/>
      <c r="BA33" s="736"/>
      <c r="BB33" s="908"/>
      <c r="BC33" s="908"/>
      <c r="BD33" s="908"/>
      <c r="BE33" s="908"/>
      <c r="BF33" s="908"/>
      <c r="BG33" s="736"/>
      <c r="BH33" s="736"/>
      <c r="BI33" s="736"/>
      <c r="BJ33" s="736"/>
      <c r="BK33" s="736"/>
      <c r="BL33" s="736"/>
      <c r="BM33" s="761" t="s">
        <v>197</v>
      </c>
      <c r="BN33" s="762">
        <f>X258</f>
        <v>0.30987548828125</v>
      </c>
      <c r="BO33" s="763">
        <f>AA258</f>
        <v>-37219945788</v>
      </c>
      <c r="BP33" s="763">
        <f>AD258</f>
        <v>-25833537282</v>
      </c>
      <c r="BQ33" s="764">
        <f>AF258</f>
        <v>126451624790.4765</v>
      </c>
    </row>
    <row r="34" spans="1:69" ht="24.75" customHeight="1" thickBot="1">
      <c r="A34" s="202" t="str">
        <f>+IF(FEBRERO!A34=0,"",FEBRERO!A34)</f>
        <v>1.1.02.05.001.09.02.15.99</v>
      </c>
      <c r="B34" s="331" t="str">
        <f>+IF(FEBRERO!B34=0,"",FEBRERO!B34)</f>
        <v>Vigencia Anterior</v>
      </c>
      <c r="C34" s="204">
        <f>+ENERO!C34</f>
        <v>710250909</v>
      </c>
      <c r="D34" s="205">
        <f>FEBRERO!D34+MARZO!P34</f>
        <v>0</v>
      </c>
      <c r="E34" s="205">
        <f>FEBRERO!E34+MARZO!Q34</f>
        <v>0</v>
      </c>
      <c r="F34" s="205">
        <f>SUM(C34:E34)</f>
        <v>710250909</v>
      </c>
      <c r="G34" s="205">
        <f>FEBRERO!I34</f>
        <v>234320567</v>
      </c>
      <c r="H34" s="208">
        <v>0</v>
      </c>
      <c r="I34" s="205">
        <f>SUM(G34:H34)</f>
        <v>234320567</v>
      </c>
      <c r="J34" s="205">
        <f>FEBRERO!L34</f>
        <v>234320567</v>
      </c>
      <c r="K34" s="208">
        <v>0</v>
      </c>
      <c r="L34" s="205">
        <f>SUM(J34:K34)</f>
        <v>234320567</v>
      </c>
      <c r="M34" s="205">
        <f>F34-I34</f>
        <v>475930342</v>
      </c>
      <c r="N34" s="206">
        <f>F34-L34</f>
        <v>475930342</v>
      </c>
      <c r="O34" s="736"/>
      <c r="P34" s="204">
        <v>0</v>
      </c>
      <c r="Q34" s="210">
        <v>0</v>
      </c>
      <c r="R34" s="903"/>
      <c r="S34" s="189" t="str">
        <f>+IF(FEBRERO!S34=0,"",FEBRERO!S34)</f>
        <v/>
      </c>
      <c r="T34" s="488" t="str">
        <f>+IF(FEBRERO!T34=0,"",FEBRERO!T34)</f>
        <v/>
      </c>
      <c r="U34" s="193"/>
      <c r="V34" s="191"/>
      <c r="W34" s="191"/>
      <c r="X34" s="191"/>
      <c r="Y34" s="193"/>
      <c r="Z34" s="191"/>
      <c r="AA34" s="192"/>
      <c r="AB34" s="193"/>
      <c r="AC34" s="191"/>
      <c r="AD34" s="192"/>
      <c r="AE34" s="193"/>
      <c r="AF34" s="191"/>
      <c r="AG34" s="192"/>
      <c r="AH34" s="193"/>
      <c r="AI34" s="191"/>
      <c r="AJ34" s="192"/>
      <c r="AK34" s="903"/>
      <c r="AL34" s="249"/>
      <c r="AM34" s="250"/>
      <c r="AN34" s="903"/>
      <c r="AO34" s="819"/>
      <c r="AP34" s="851"/>
      <c r="AQ34" s="903"/>
      <c r="AR34" s="903"/>
      <c r="AS34" s="903" t="s">
        <v>198</v>
      </c>
      <c r="AT34" s="903"/>
      <c r="AU34" s="355" t="s">
        <v>199</v>
      </c>
      <c r="AV34" s="356" t="s">
        <v>200</v>
      </c>
      <c r="AW34" s="243" t="s">
        <v>198</v>
      </c>
      <c r="AX34" s="357"/>
      <c r="AY34" s="243" t="s">
        <v>201</v>
      </c>
      <c r="AZ34" s="244" t="s">
        <v>202</v>
      </c>
      <c r="BA34" s="736"/>
      <c r="BB34" s="736"/>
      <c r="BC34" s="736"/>
      <c r="BD34" s="736"/>
      <c r="BE34" s="736"/>
      <c r="BF34" s="736"/>
      <c r="BG34" s="736"/>
      <c r="BH34" s="736"/>
      <c r="BI34" s="736"/>
      <c r="BJ34" s="736"/>
      <c r="BK34" s="736"/>
      <c r="BL34" s="736"/>
      <c r="BM34" s="903"/>
      <c r="BN34" s="903"/>
      <c r="BO34" s="903"/>
      <c r="BP34" s="903"/>
      <c r="BQ34" s="903"/>
    </row>
    <row r="35" spans="1:69" ht="24.75" customHeight="1" thickBot="1">
      <c r="A35" s="202" t="str">
        <f>+IF(FEBRERO!A35=0,"",FEBRERO!A35)</f>
        <v>1130103-3</v>
      </c>
      <c r="B35" s="345" t="str">
        <f>+IF(FEBRERO!B35=0,"",FEBRERO!B35)</f>
        <v>Prestación de Servicios de salud  3o. Nivel</v>
      </c>
      <c r="C35" s="270">
        <f t="shared" ref="C35:N35" si="30">SUM(C36:C37)</f>
        <v>0</v>
      </c>
      <c r="D35" s="220">
        <f t="shared" si="30"/>
        <v>0</v>
      </c>
      <c r="E35" s="220">
        <f t="shared" si="30"/>
        <v>0</v>
      </c>
      <c r="F35" s="220">
        <f t="shared" si="30"/>
        <v>0</v>
      </c>
      <c r="G35" s="220">
        <f t="shared" si="30"/>
        <v>0</v>
      </c>
      <c r="H35" s="220">
        <f t="shared" si="30"/>
        <v>0</v>
      </c>
      <c r="I35" s="220">
        <f t="shared" si="30"/>
        <v>0</v>
      </c>
      <c r="J35" s="220">
        <f t="shared" si="30"/>
        <v>0</v>
      </c>
      <c r="K35" s="220">
        <f t="shared" si="30"/>
        <v>0</v>
      </c>
      <c r="L35" s="220">
        <f t="shared" si="30"/>
        <v>0</v>
      </c>
      <c r="M35" s="220">
        <f t="shared" si="30"/>
        <v>0</v>
      </c>
      <c r="N35" s="269">
        <f t="shared" si="30"/>
        <v>0</v>
      </c>
      <c r="O35" s="736"/>
      <c r="P35" s="346">
        <f>SUM(P36:P37)</f>
        <v>0</v>
      </c>
      <c r="Q35" s="347">
        <f>SUM(Q36:Q37)</f>
        <v>0</v>
      </c>
      <c r="R35" s="903"/>
      <c r="S35" s="257" t="str">
        <f>+IF(FEBRERO!S35=0,"",FEBRERO!S35)</f>
        <v>2.1.2.02.02.008</v>
      </c>
      <c r="T35" s="532" t="str">
        <f>+IF(FEBRERO!T35=0,"",FEBRERO!T35)</f>
        <v>Servicios Personales Indirectos</v>
      </c>
      <c r="U35" s="233">
        <f>SUM(U36:U41)</f>
        <v>12514508007</v>
      </c>
      <c r="V35" s="231">
        <f t="shared" ref="V35:AJ35" si="31">SUM(V36:V41)</f>
        <v>783000000</v>
      </c>
      <c r="W35" s="231">
        <f t="shared" si="31"/>
        <v>0</v>
      </c>
      <c r="X35" s="234">
        <f t="shared" si="31"/>
        <v>13297508007</v>
      </c>
      <c r="Y35" s="233">
        <f t="shared" si="31"/>
        <v>9468125660</v>
      </c>
      <c r="Z35" s="231">
        <f t="shared" si="31"/>
        <v>937580905</v>
      </c>
      <c r="AA35" s="232">
        <f t="shared" si="31"/>
        <v>10405706565</v>
      </c>
      <c r="AB35" s="233">
        <f t="shared" si="31"/>
        <v>3867789013</v>
      </c>
      <c r="AC35" s="231">
        <f t="shared" si="31"/>
        <v>2006951062</v>
      </c>
      <c r="AD35" s="232">
        <f t="shared" si="31"/>
        <v>5874740075</v>
      </c>
      <c r="AE35" s="233">
        <f t="shared" si="31"/>
        <v>1742864527</v>
      </c>
      <c r="AF35" s="231">
        <f t="shared" si="31"/>
        <v>951896783</v>
      </c>
      <c r="AG35" s="232">
        <f t="shared" si="31"/>
        <v>2694761310</v>
      </c>
      <c r="AH35" s="233">
        <f t="shared" si="31"/>
        <v>2891801442</v>
      </c>
      <c r="AI35" s="231">
        <f t="shared" si="31"/>
        <v>7422767932</v>
      </c>
      <c r="AJ35" s="232">
        <f t="shared" si="31"/>
        <v>10602746697</v>
      </c>
      <c r="AK35" s="903"/>
      <c r="AL35" s="233">
        <f>SUM(AL36:AL41)</f>
        <v>783000000</v>
      </c>
      <c r="AM35" s="232">
        <f>SUM(AM36:AM41)</f>
        <v>0</v>
      </c>
      <c r="AN35" s="903"/>
      <c r="AO35" s="819"/>
      <c r="AP35" s="852"/>
      <c r="AQ35" s="790"/>
      <c r="AR35" s="853"/>
      <c r="AS35" s="853"/>
      <c r="AT35" s="853"/>
      <c r="AU35" s="360">
        <f>AR17-AR32</f>
        <v>33321648021</v>
      </c>
      <c r="AV35" s="361">
        <f>AS17-AR32</f>
        <v>-107773029</v>
      </c>
      <c r="AW35" s="1329" t="s">
        <v>205</v>
      </c>
      <c r="AX35" s="1330"/>
      <c r="AY35" s="361">
        <f>AY17+AY32</f>
        <v>28091921147.690144</v>
      </c>
      <c r="AZ35" s="362">
        <f>AZ17+AY32</f>
        <v>-98488706055.30986</v>
      </c>
      <c r="BA35" s="736"/>
      <c r="BB35" s="908"/>
      <c r="BC35" s="908"/>
      <c r="BD35" s="908"/>
      <c r="BE35" s="908"/>
      <c r="BF35" s="908"/>
      <c r="BG35" s="736"/>
      <c r="BH35" s="736"/>
      <c r="BI35" s="736"/>
      <c r="BJ35" s="736"/>
      <c r="BK35" s="736"/>
      <c r="BL35" s="736"/>
      <c r="BM35" s="736"/>
      <c r="BN35" s="736"/>
      <c r="BO35" s="736"/>
      <c r="BP35" s="736"/>
      <c r="BQ35" s="736"/>
    </row>
    <row r="36" spans="1:69" ht="24.75" customHeight="1" thickBot="1">
      <c r="A36" s="202" t="str">
        <f>+IF(FEBRERO!A36=0,"",FEBRERO!A36)</f>
        <v>1130103-3-1</v>
      </c>
      <c r="B36" s="331" t="str">
        <f>+CONCATENATE("Vigencia ",INSTRUCCIONES!$F$3)</f>
        <v>Vigencia 2025</v>
      </c>
      <c r="C36" s="204">
        <f>+ENERO!C36</f>
        <v>0</v>
      </c>
      <c r="D36" s="205">
        <f>FEBRERO!D36+MARZO!P36</f>
        <v>0</v>
      </c>
      <c r="E36" s="205">
        <f>FEBRERO!E36+MARZO!Q36</f>
        <v>0</v>
      </c>
      <c r="F36" s="205">
        <f t="shared" ref="F36:F41" si="32">SUM(C36:E36)</f>
        <v>0</v>
      </c>
      <c r="G36" s="205">
        <f>FEBRERO!I36</f>
        <v>0</v>
      </c>
      <c r="H36" s="208">
        <v>0</v>
      </c>
      <c r="I36" s="205">
        <f t="shared" ref="I36:I41" si="33">SUM(G36:H36)</f>
        <v>0</v>
      </c>
      <c r="J36" s="205">
        <f>FEBRERO!L36</f>
        <v>0</v>
      </c>
      <c r="K36" s="208">
        <v>0</v>
      </c>
      <c r="L36" s="205">
        <f t="shared" ref="L36:L41" si="34">SUM(J36:K36)</f>
        <v>0</v>
      </c>
      <c r="M36" s="205">
        <f t="shared" ref="M36:M41" si="35">F36-I36</f>
        <v>0</v>
      </c>
      <c r="N36" s="206">
        <f t="shared" ref="N36:N41" si="36">F36-L36</f>
        <v>0</v>
      </c>
      <c r="O36" s="903"/>
      <c r="P36" s="204">
        <v>0</v>
      </c>
      <c r="Q36" s="210">
        <v>0</v>
      </c>
      <c r="R36" s="903"/>
      <c r="S36" s="266" t="str">
        <f>+IF(FEBRERO!S36=0,"",FEBRERO!S36)</f>
        <v>2.1.2.02.02.008.802</v>
      </c>
      <c r="T36" s="534" t="str">
        <f>+IF(FEBRERO!T36=0,"",FEBRERO!T36)</f>
        <v>Servicios Personales Administrativos (Contador, Abogado, otros)</v>
      </c>
      <c r="U36" s="301">
        <f>+ENERO!U36</f>
        <v>771615965</v>
      </c>
      <c r="V36" s="220">
        <f>FEBRERO!V36+MARZO!AL36</f>
        <v>0</v>
      </c>
      <c r="W36" s="220">
        <f>FEBRERO!W36+MARZO!AM36</f>
        <v>0</v>
      </c>
      <c r="X36" s="271">
        <f t="shared" ref="X36:X41" si="37">SUM(U36:W36)</f>
        <v>771615965</v>
      </c>
      <c r="Y36" s="270">
        <f>FEBRERO!AA36</f>
        <v>226006980</v>
      </c>
      <c r="Z36" s="208">
        <v>15000000</v>
      </c>
      <c r="AA36" s="269">
        <f t="shared" ref="AA36:AA41" si="38">SUM(Y36:Z36)</f>
        <v>241006980</v>
      </c>
      <c r="AB36" s="270">
        <f>FEBRERO!AD36</f>
        <v>60189751</v>
      </c>
      <c r="AC36" s="208">
        <v>17214901</v>
      </c>
      <c r="AD36" s="269">
        <f t="shared" ref="AD36:AD41" si="39">SUM(AB36:AC36)</f>
        <v>77404652</v>
      </c>
      <c r="AE36" s="270">
        <f>FEBRERO!AG36</f>
        <v>28334998</v>
      </c>
      <c r="AF36" s="208">
        <v>25757128</v>
      </c>
      <c r="AG36" s="269">
        <f t="shared" ref="AG36:AG41" si="40">SUM(AE36:AF36)</f>
        <v>54092126</v>
      </c>
      <c r="AH36" s="270">
        <f t="shared" ref="AH36:AH41" si="41">X36-AA36</f>
        <v>530608985</v>
      </c>
      <c r="AI36" s="220">
        <f t="shared" ref="AI36:AI41" si="42">X36-AD36</f>
        <v>694211313</v>
      </c>
      <c r="AJ36" s="269">
        <f t="shared" ref="AJ36:AJ41" si="43">X36-AG36</f>
        <v>717523839</v>
      </c>
      <c r="AK36" s="903"/>
      <c r="AL36" s="204">
        <v>0</v>
      </c>
      <c r="AM36" s="210">
        <v>0</v>
      </c>
      <c r="AN36" s="903"/>
      <c r="AO36" s="363"/>
      <c r="AP36" s="854"/>
      <c r="AQ36" s="854"/>
      <c r="AR36" s="854"/>
      <c r="AS36" s="854"/>
      <c r="AT36" s="854"/>
      <c r="AU36" s="854"/>
      <c r="AV36" s="854"/>
      <c r="AW36" s="854"/>
      <c r="AX36" s="854"/>
      <c r="AY36" s="854"/>
      <c r="AZ36" s="365"/>
      <c r="BA36" s="736"/>
      <c r="BB36" s="908"/>
      <c r="BC36" s="908"/>
      <c r="BD36" s="908"/>
      <c r="BE36" s="908"/>
      <c r="BF36" s="908"/>
      <c r="BG36" s="736"/>
      <c r="BH36" s="736"/>
      <c r="BI36" s="736"/>
      <c r="BJ36" s="736"/>
      <c r="BK36" s="736"/>
      <c r="BL36" s="736"/>
      <c r="BM36" s="736"/>
      <c r="BN36" s="736"/>
      <c r="BO36" s="736"/>
      <c r="BP36" s="736"/>
      <c r="BQ36" s="736"/>
    </row>
    <row r="37" spans="1:69" ht="24.75" customHeight="1">
      <c r="A37" s="202" t="str">
        <f>+IF(FEBRERO!A37=0,"",FEBRERO!A37)</f>
        <v>1130103-3-2</v>
      </c>
      <c r="B37" s="331" t="str">
        <f>+IF(FEBRERO!B37=0,"",FEBRERO!B37)</f>
        <v>Vigencia Anterior</v>
      </c>
      <c r="C37" s="204">
        <f>+ENERO!C37</f>
        <v>0</v>
      </c>
      <c r="D37" s="205">
        <f>FEBRERO!D37+MARZO!P37</f>
        <v>0</v>
      </c>
      <c r="E37" s="205">
        <f>FEBRERO!E37+MARZO!Q37</f>
        <v>0</v>
      </c>
      <c r="F37" s="205">
        <f t="shared" si="32"/>
        <v>0</v>
      </c>
      <c r="G37" s="205">
        <f>FEBRERO!I37</f>
        <v>0</v>
      </c>
      <c r="H37" s="208">
        <v>0</v>
      </c>
      <c r="I37" s="205">
        <f t="shared" si="33"/>
        <v>0</v>
      </c>
      <c r="J37" s="205">
        <f>FEBRERO!L37</f>
        <v>0</v>
      </c>
      <c r="K37" s="208">
        <v>0</v>
      </c>
      <c r="L37" s="205">
        <f t="shared" si="34"/>
        <v>0</v>
      </c>
      <c r="M37" s="205">
        <f t="shared" si="35"/>
        <v>0</v>
      </c>
      <c r="N37" s="206">
        <f t="shared" si="36"/>
        <v>0</v>
      </c>
      <c r="O37" s="736"/>
      <c r="P37" s="204">
        <v>0</v>
      </c>
      <c r="Q37" s="210">
        <v>0</v>
      </c>
      <c r="R37" s="903"/>
      <c r="S37" s="266" t="str">
        <f>+IF(FEBRERO!S37=0,"",FEBRERO!S37)</f>
        <v>1010200-2</v>
      </c>
      <c r="T37" s="534" t="str">
        <f>+IF(FEBRERO!T37=0,"",FEBRERO!T37)</f>
        <v>Personal Supernumerario</v>
      </c>
      <c r="U37" s="301">
        <f>+ENERO!U37</f>
        <v>0</v>
      </c>
      <c r="V37" s="220">
        <f>FEBRERO!V37+MARZO!AL37</f>
        <v>0</v>
      </c>
      <c r="W37" s="220">
        <f>FEBRERO!W37+MARZO!AM37</f>
        <v>0</v>
      </c>
      <c r="X37" s="271">
        <f t="shared" si="37"/>
        <v>0</v>
      </c>
      <c r="Y37" s="270">
        <f>FEBRERO!AA37</f>
        <v>0</v>
      </c>
      <c r="Z37" s="208">
        <v>0</v>
      </c>
      <c r="AA37" s="269">
        <f t="shared" si="38"/>
        <v>0</v>
      </c>
      <c r="AB37" s="270">
        <f>FEBRERO!AD37</f>
        <v>0</v>
      </c>
      <c r="AC37" s="208">
        <v>0</v>
      </c>
      <c r="AD37" s="269">
        <f t="shared" si="39"/>
        <v>0</v>
      </c>
      <c r="AE37" s="270">
        <f>FEBRERO!AG37</f>
        <v>0</v>
      </c>
      <c r="AF37" s="208">
        <v>0</v>
      </c>
      <c r="AG37" s="269">
        <f t="shared" si="40"/>
        <v>0</v>
      </c>
      <c r="AH37" s="270">
        <f t="shared" si="41"/>
        <v>0</v>
      </c>
      <c r="AI37" s="220">
        <f t="shared" si="42"/>
        <v>0</v>
      </c>
      <c r="AJ37" s="269">
        <f t="shared" si="43"/>
        <v>0</v>
      </c>
      <c r="AK37" s="903"/>
      <c r="AL37" s="204">
        <v>0</v>
      </c>
      <c r="AM37" s="210">
        <v>0</v>
      </c>
      <c r="AN37" s="903"/>
      <c r="AO37" s="855" t="s">
        <v>209</v>
      </c>
      <c r="AP37" s="736"/>
      <c r="AQ37" s="736"/>
      <c r="AR37" s="736"/>
      <c r="AS37" s="736"/>
      <c r="AT37" s="736"/>
      <c r="AU37" s="736"/>
      <c r="AV37" s="736"/>
      <c r="AW37" s="736"/>
      <c r="AX37" s="736"/>
      <c r="AY37" s="736"/>
      <c r="AZ37" s="736"/>
      <c r="BA37" s="736"/>
      <c r="BB37" s="736"/>
      <c r="BC37" s="736"/>
      <c r="BD37" s="736"/>
      <c r="BE37" s="736"/>
      <c r="BF37" s="736"/>
      <c r="BG37" s="736"/>
      <c r="BH37" s="736"/>
      <c r="BI37" s="736"/>
      <c r="BJ37" s="736"/>
      <c r="BK37" s="736"/>
      <c r="BL37" s="736"/>
      <c r="BM37" s="736"/>
      <c r="BN37" s="736"/>
      <c r="BO37" s="736"/>
      <c r="BP37" s="736"/>
      <c r="BQ37" s="736"/>
    </row>
    <row r="38" spans="1:69" ht="24.75" customHeight="1">
      <c r="A38" s="856" t="str">
        <f>+IF(FEBRERO!A38=0,"",FEBRERO!A38)</f>
        <v>1130103-4</v>
      </c>
      <c r="B38" s="857" t="str">
        <f>+IF(FEBRERO!B38=0,"",FEBRERO!B38)</f>
        <v xml:space="preserve"> Aportes Patronales  1o. Nivel</v>
      </c>
      <c r="C38" s="204">
        <f>+ENERO!C38</f>
        <v>0</v>
      </c>
      <c r="D38" s="205">
        <f>FEBRERO!D38+MARZO!P38</f>
        <v>0</v>
      </c>
      <c r="E38" s="205">
        <f>FEBRERO!E38+MARZO!Q38</f>
        <v>0</v>
      </c>
      <c r="F38" s="205">
        <f t="shared" si="32"/>
        <v>0</v>
      </c>
      <c r="G38" s="205">
        <f>FEBRERO!I38</f>
        <v>0</v>
      </c>
      <c r="H38" s="208">
        <v>0</v>
      </c>
      <c r="I38" s="205">
        <f t="shared" si="33"/>
        <v>0</v>
      </c>
      <c r="J38" s="205">
        <f>FEBRERO!L38</f>
        <v>0</v>
      </c>
      <c r="K38" s="208">
        <v>0</v>
      </c>
      <c r="L38" s="205">
        <f t="shared" si="34"/>
        <v>0</v>
      </c>
      <c r="M38" s="205">
        <f t="shared" si="35"/>
        <v>0</v>
      </c>
      <c r="N38" s="206">
        <f t="shared" si="36"/>
        <v>0</v>
      </c>
      <c r="O38" s="369"/>
      <c r="P38" s="204">
        <v>0</v>
      </c>
      <c r="Q38" s="210">
        <v>0</v>
      </c>
      <c r="R38" s="903"/>
      <c r="S38" s="266" t="str">
        <f>+IF(FEBRERO!S38=0,"",FEBRERO!S38)</f>
        <v>2.1.2.02.02.008.810</v>
      </c>
      <c r="T38" s="534" t="str">
        <f>+IF(FEBRERO!T38=0,"",FEBRERO!T38)</f>
        <v>Honorarios de la Junta Directiva</v>
      </c>
      <c r="U38" s="301">
        <f>+ENERO!U38</f>
        <v>38518134</v>
      </c>
      <c r="V38" s="220">
        <f>FEBRERO!V38+MARZO!AL38</f>
        <v>0</v>
      </c>
      <c r="W38" s="220">
        <f>FEBRERO!W38+MARZO!AM38</f>
        <v>0</v>
      </c>
      <c r="X38" s="271">
        <f t="shared" si="37"/>
        <v>38518134</v>
      </c>
      <c r="Y38" s="270">
        <f>FEBRERO!AA38</f>
        <v>3558750</v>
      </c>
      <c r="Z38" s="208">
        <v>0</v>
      </c>
      <c r="AA38" s="269">
        <f t="shared" si="38"/>
        <v>3558750</v>
      </c>
      <c r="AB38" s="270">
        <f>FEBRERO!AD38</f>
        <v>3558750</v>
      </c>
      <c r="AC38" s="208">
        <v>0</v>
      </c>
      <c r="AD38" s="269">
        <f t="shared" si="39"/>
        <v>3558750</v>
      </c>
      <c r="AE38" s="270">
        <f>FEBRERO!AG38</f>
        <v>0</v>
      </c>
      <c r="AF38" s="208">
        <v>3558750</v>
      </c>
      <c r="AG38" s="269">
        <f t="shared" si="40"/>
        <v>3558750</v>
      </c>
      <c r="AH38" s="270">
        <f t="shared" si="41"/>
        <v>34959384</v>
      </c>
      <c r="AI38" s="220">
        <f t="shared" si="42"/>
        <v>34959384</v>
      </c>
      <c r="AJ38" s="269">
        <f t="shared" si="43"/>
        <v>34959384</v>
      </c>
      <c r="AK38" s="903"/>
      <c r="AL38" s="204">
        <v>0</v>
      </c>
      <c r="AM38" s="210">
        <v>0</v>
      </c>
      <c r="AN38" s="903"/>
      <c r="AO38" s="736"/>
      <c r="AP38" s="736"/>
      <c r="AQ38" s="736"/>
      <c r="AR38" s="736"/>
      <c r="AS38" s="736"/>
      <c r="AT38" s="736"/>
      <c r="AU38" s="736"/>
      <c r="AV38" s="736"/>
      <c r="AW38" s="736"/>
      <c r="AX38" s="736"/>
      <c r="AY38" s="736"/>
      <c r="AZ38" s="736"/>
      <c r="BA38" s="736"/>
      <c r="BB38" s="736"/>
      <c r="BC38" s="736"/>
      <c r="BD38" s="736"/>
      <c r="BE38" s="736"/>
      <c r="BF38" s="736"/>
      <c r="BG38" s="736"/>
      <c r="BH38" s="736"/>
      <c r="BI38" s="736"/>
      <c r="BJ38" s="736"/>
      <c r="BK38" s="736"/>
      <c r="BL38" s="736"/>
      <c r="BM38" s="736"/>
      <c r="BN38" s="736"/>
      <c r="BO38" s="736"/>
      <c r="BP38" s="736"/>
      <c r="BQ38" s="736"/>
    </row>
    <row r="39" spans="1:69" ht="24.75" customHeight="1">
      <c r="A39" s="856" t="str">
        <f>+IF(FEBRERO!A39=0,"",FEBRERO!A39)</f>
        <v>1130103-5</v>
      </c>
      <c r="B39" s="857" t="str">
        <f>+IF(FEBRERO!B39=0,"",FEBRERO!B39)</f>
        <v xml:space="preserve"> Aportes Patronales  2o. Nivel</v>
      </c>
      <c r="C39" s="204">
        <f>+ENERO!C39</f>
        <v>0</v>
      </c>
      <c r="D39" s="205">
        <f>FEBRERO!D39+MARZO!P39</f>
        <v>0</v>
      </c>
      <c r="E39" s="205">
        <f>FEBRERO!E39+MARZO!Q39</f>
        <v>0</v>
      </c>
      <c r="F39" s="205">
        <f t="shared" si="32"/>
        <v>0</v>
      </c>
      <c r="G39" s="205">
        <f>FEBRERO!I39</f>
        <v>0</v>
      </c>
      <c r="H39" s="208">
        <v>0</v>
      </c>
      <c r="I39" s="205">
        <f t="shared" si="33"/>
        <v>0</v>
      </c>
      <c r="J39" s="205">
        <f>FEBRERO!L39</f>
        <v>0</v>
      </c>
      <c r="K39" s="208">
        <v>0</v>
      </c>
      <c r="L39" s="205">
        <f t="shared" si="34"/>
        <v>0</v>
      </c>
      <c r="M39" s="205">
        <f t="shared" si="35"/>
        <v>0</v>
      </c>
      <c r="N39" s="206">
        <f t="shared" si="36"/>
        <v>0</v>
      </c>
      <c r="O39" s="369"/>
      <c r="P39" s="204">
        <v>0</v>
      </c>
      <c r="Q39" s="210">
        <v>0</v>
      </c>
      <c r="R39" s="903"/>
      <c r="S39" s="266" t="str">
        <f>+IF(FEBRERO!S39=0,"",FEBRERO!S39)</f>
        <v>2.1.2.02.02.009.906</v>
      </c>
      <c r="T39" s="534" t="str">
        <f>+IF(FEBRERO!T39=0,"",FEBRERO!T39)</f>
        <v>Servicios de Agremiación (administrativo)</v>
      </c>
      <c r="U39" s="301">
        <f>+ENERO!U39</f>
        <v>9849382921</v>
      </c>
      <c r="V39" s="220">
        <f>FEBRERO!V39+MARZO!AL39</f>
        <v>0</v>
      </c>
      <c r="W39" s="220">
        <f>FEBRERO!W39+MARZO!AM39</f>
        <v>0</v>
      </c>
      <c r="X39" s="271">
        <f t="shared" si="37"/>
        <v>9849382921</v>
      </c>
      <c r="Y39" s="270">
        <f>FEBRERO!AA39</f>
        <v>7524030401</v>
      </c>
      <c r="Z39" s="208">
        <v>0</v>
      </c>
      <c r="AA39" s="269">
        <f t="shared" si="38"/>
        <v>7524030401</v>
      </c>
      <c r="AB39" s="270">
        <f>FEBRERO!AD39</f>
        <v>2089510983</v>
      </c>
      <c r="AC39" s="208">
        <v>1067155256</v>
      </c>
      <c r="AD39" s="269">
        <f t="shared" si="39"/>
        <v>3156666239</v>
      </c>
      <c r="AE39" s="270">
        <f>FEBRERO!AG39</f>
        <v>0</v>
      </c>
      <c r="AF39" s="208">
        <v>0</v>
      </c>
      <c r="AG39" s="269">
        <f t="shared" si="40"/>
        <v>0</v>
      </c>
      <c r="AH39" s="270">
        <f t="shared" si="41"/>
        <v>2325352520</v>
      </c>
      <c r="AI39" s="220">
        <f t="shared" si="42"/>
        <v>6692716682</v>
      </c>
      <c r="AJ39" s="269">
        <f t="shared" si="43"/>
        <v>9849382921</v>
      </c>
      <c r="AK39" s="903"/>
      <c r="AL39" s="204">
        <v>0</v>
      </c>
      <c r="AM39" s="210">
        <v>0</v>
      </c>
      <c r="AN39" s="903"/>
      <c r="AO39" s="736"/>
      <c r="AP39" s="736"/>
      <c r="AQ39" s="736"/>
      <c r="AR39" s="736"/>
      <c r="AS39" s="736"/>
      <c r="AT39" s="736"/>
      <c r="AU39" s="736"/>
      <c r="AV39" s="736"/>
      <c r="AW39" s="736"/>
      <c r="AX39" s="736"/>
      <c r="AY39" s="736"/>
      <c r="AZ39" s="736"/>
      <c r="BA39" s="736"/>
      <c r="BB39" s="736"/>
      <c r="BC39" s="736"/>
      <c r="BD39" s="736"/>
      <c r="BE39" s="736"/>
      <c r="BF39" s="736"/>
      <c r="BG39" s="736"/>
      <c r="BH39" s="736"/>
      <c r="BI39" s="736"/>
      <c r="BJ39" s="736"/>
      <c r="BK39" s="736"/>
      <c r="BL39" s="736"/>
      <c r="BM39" s="736"/>
      <c r="BN39" s="736"/>
      <c r="BO39" s="736"/>
      <c r="BP39" s="736"/>
      <c r="BQ39" s="736"/>
    </row>
    <row r="40" spans="1:69" ht="24.75" customHeight="1">
      <c r="A40" s="856" t="str">
        <f>+IF(FEBRERO!A40=0,"",FEBRERO!A40)</f>
        <v>1130103-6</v>
      </c>
      <c r="B40" s="857" t="str">
        <f>+IF(FEBRERO!B40=0,"",FEBRERO!B40)</f>
        <v xml:space="preserve"> Aportes Patronales  3er. Nivel</v>
      </c>
      <c r="C40" s="204">
        <f>+ENERO!C40</f>
        <v>0</v>
      </c>
      <c r="D40" s="205">
        <f>FEBRERO!D40+MARZO!P40</f>
        <v>0</v>
      </c>
      <c r="E40" s="205">
        <f>FEBRERO!E40+MARZO!Q40</f>
        <v>0</v>
      </c>
      <c r="F40" s="205">
        <f t="shared" si="32"/>
        <v>0</v>
      </c>
      <c r="G40" s="205">
        <f>FEBRERO!I40</f>
        <v>0</v>
      </c>
      <c r="H40" s="208">
        <v>0</v>
      </c>
      <c r="I40" s="205">
        <f t="shared" si="33"/>
        <v>0</v>
      </c>
      <c r="J40" s="205">
        <f>FEBRERO!L40</f>
        <v>0</v>
      </c>
      <c r="K40" s="208">
        <v>0</v>
      </c>
      <c r="L40" s="205">
        <f t="shared" si="34"/>
        <v>0</v>
      </c>
      <c r="M40" s="205">
        <f t="shared" si="35"/>
        <v>0</v>
      </c>
      <c r="N40" s="206">
        <f t="shared" si="36"/>
        <v>0</v>
      </c>
      <c r="O40" s="369"/>
      <c r="P40" s="204">
        <v>0</v>
      </c>
      <c r="Q40" s="210">
        <v>0</v>
      </c>
      <c r="R40" s="903"/>
      <c r="S40" s="266" t="str">
        <f>+IF(FEBRERO!S40=0,"",FEBRERO!S40)</f>
        <v/>
      </c>
      <c r="T40" s="534" t="str">
        <f>+IF(FEBRERO!T40=0,"",FEBRERO!T40)</f>
        <v>Certificación, Habilitación y Acreditación</v>
      </c>
      <c r="U40" s="301">
        <f>+ENERO!U40</f>
        <v>0</v>
      </c>
      <c r="V40" s="220">
        <f>FEBRERO!V40+MARZO!AL40</f>
        <v>0</v>
      </c>
      <c r="W40" s="220">
        <f>FEBRERO!W40+MARZO!AM40</f>
        <v>0</v>
      </c>
      <c r="X40" s="271">
        <f t="shared" si="37"/>
        <v>0</v>
      </c>
      <c r="Y40" s="270">
        <f>FEBRERO!AA40</f>
        <v>0</v>
      </c>
      <c r="Z40" s="208">
        <v>0</v>
      </c>
      <c r="AA40" s="269">
        <f t="shared" si="38"/>
        <v>0</v>
      </c>
      <c r="AB40" s="270">
        <f>FEBRERO!AD40</f>
        <v>0</v>
      </c>
      <c r="AC40" s="208">
        <v>0</v>
      </c>
      <c r="AD40" s="269">
        <f t="shared" si="39"/>
        <v>0</v>
      </c>
      <c r="AE40" s="270">
        <f>FEBRERO!AG40</f>
        <v>0</v>
      </c>
      <c r="AF40" s="208">
        <v>0</v>
      </c>
      <c r="AG40" s="269">
        <f t="shared" si="40"/>
        <v>0</v>
      </c>
      <c r="AH40" s="270">
        <f t="shared" si="41"/>
        <v>0</v>
      </c>
      <c r="AI40" s="220">
        <f t="shared" si="42"/>
        <v>0</v>
      </c>
      <c r="AJ40" s="269">
        <f t="shared" si="43"/>
        <v>0</v>
      </c>
      <c r="AK40" s="903"/>
      <c r="AL40" s="204">
        <v>0</v>
      </c>
      <c r="AM40" s="210">
        <v>0</v>
      </c>
      <c r="AN40" s="903"/>
      <c r="AO40" s="736"/>
      <c r="AP40" s="736"/>
      <c r="AQ40" s="736"/>
      <c r="AR40" s="736"/>
      <c r="AS40" s="736"/>
      <c r="AT40" s="736"/>
      <c r="AU40" s="736"/>
      <c r="AV40" s="736"/>
      <c r="AW40" s="736"/>
      <c r="AX40" s="736"/>
      <c r="AY40" s="736"/>
      <c r="AZ40" s="736"/>
      <c r="BA40" s="736"/>
      <c r="BB40" s="908"/>
      <c r="BC40" s="908"/>
      <c r="BD40" s="908"/>
      <c r="BE40" s="908"/>
      <c r="BF40" s="736"/>
      <c r="BG40" s="736"/>
      <c r="BH40" s="736"/>
      <c r="BI40" s="736"/>
      <c r="BJ40" s="736"/>
      <c r="BK40" s="736"/>
      <c r="BL40" s="736"/>
      <c r="BM40" s="736"/>
      <c r="BN40" s="736"/>
      <c r="BO40" s="736"/>
      <c r="BP40" s="736"/>
      <c r="BQ40" s="736"/>
    </row>
    <row r="41" spans="1:69" ht="24.75" customHeight="1">
      <c r="A41" s="286">
        <f>+IF(FEBRERO!A41=0,"",FEBRERO!A41)</f>
        <v>1130104</v>
      </c>
      <c r="B41" s="319" t="str">
        <f>+IF(FEBRERO!B41=0,"",FEBRERO!B41)</f>
        <v>SUBSIDIO A LA OFERTA- ACTIVIDADES NO POS-S</v>
      </c>
      <c r="C41" s="204">
        <f>+ENERO!C41</f>
        <v>0</v>
      </c>
      <c r="D41" s="231">
        <f>FEBRERO!D41+MARZO!P41</f>
        <v>0</v>
      </c>
      <c r="E41" s="231">
        <f>FEBRERO!E41+MARZO!Q41</f>
        <v>0</v>
      </c>
      <c r="F41" s="231">
        <f t="shared" si="32"/>
        <v>0</v>
      </c>
      <c r="G41" s="231">
        <f>FEBRERO!I41</f>
        <v>0</v>
      </c>
      <c r="H41" s="208">
        <v>0</v>
      </c>
      <c r="I41" s="231">
        <f t="shared" si="33"/>
        <v>0</v>
      </c>
      <c r="J41" s="231">
        <f>FEBRERO!L41</f>
        <v>0</v>
      </c>
      <c r="K41" s="208">
        <v>0</v>
      </c>
      <c r="L41" s="231">
        <f t="shared" si="34"/>
        <v>0</v>
      </c>
      <c r="M41" s="231">
        <f t="shared" si="35"/>
        <v>0</v>
      </c>
      <c r="N41" s="232">
        <f t="shared" si="36"/>
        <v>0</v>
      </c>
      <c r="O41" s="736"/>
      <c r="P41" s="208">
        <v>0</v>
      </c>
      <c r="Q41" s="210">
        <v>0</v>
      </c>
      <c r="R41" s="903"/>
      <c r="S41" s="266" t="str">
        <f>+IF(FEBRERO!S41=0,"",FEBRERO!S41)</f>
        <v>2.1.2.02.02.009.99.02</v>
      </c>
      <c r="T41" s="534" t="str">
        <f>+IF(FEBRERO!T41=0,"",FEBRERO!T41)</f>
        <v>Vigencias Anteriores servicios de agremiacion</v>
      </c>
      <c r="U41" s="301">
        <f>+ENERO!U41</f>
        <v>1854990987</v>
      </c>
      <c r="V41" s="220">
        <f>FEBRERO!V41+MARZO!AL41</f>
        <v>783000000</v>
      </c>
      <c r="W41" s="220">
        <f>FEBRERO!W41+MARZO!AM41</f>
        <v>0</v>
      </c>
      <c r="X41" s="271">
        <f t="shared" si="37"/>
        <v>2637990987</v>
      </c>
      <c r="Y41" s="270">
        <f>FEBRERO!AA41</f>
        <v>1714529529</v>
      </c>
      <c r="Z41" s="208">
        <v>922580905</v>
      </c>
      <c r="AA41" s="269">
        <f t="shared" si="38"/>
        <v>2637110434</v>
      </c>
      <c r="AB41" s="270">
        <f>FEBRERO!AD41</f>
        <v>1714529529</v>
      </c>
      <c r="AC41" s="208">
        <v>922580905</v>
      </c>
      <c r="AD41" s="269">
        <f t="shared" si="39"/>
        <v>2637110434</v>
      </c>
      <c r="AE41" s="270">
        <f>FEBRERO!AG41</f>
        <v>1714529529</v>
      </c>
      <c r="AF41" s="208">
        <v>922580905</v>
      </c>
      <c r="AG41" s="269">
        <f t="shared" si="40"/>
        <v>2637110434</v>
      </c>
      <c r="AH41" s="270">
        <f t="shared" si="41"/>
        <v>880553</v>
      </c>
      <c r="AI41" s="220">
        <f t="shared" si="42"/>
        <v>880553</v>
      </c>
      <c r="AJ41" s="269">
        <f t="shared" si="43"/>
        <v>880553</v>
      </c>
      <c r="AK41" s="903"/>
      <c r="AL41" s="204">
        <v>783000000</v>
      </c>
      <c r="AM41" s="210">
        <v>0</v>
      </c>
      <c r="AN41" s="903"/>
      <c r="AO41" s="736"/>
      <c r="AP41" s="736"/>
      <c r="AQ41" s="736"/>
      <c r="AR41" s="736"/>
      <c r="AS41" s="736"/>
      <c r="AT41" s="736"/>
      <c r="AU41" s="736"/>
      <c r="AV41" s="736"/>
      <c r="AW41" s="736"/>
      <c r="AX41" s="736"/>
      <c r="AY41" s="736"/>
      <c r="AZ41" s="736"/>
      <c r="BA41" s="736"/>
      <c r="BB41" s="908"/>
      <c r="BC41" s="908"/>
      <c r="BD41" s="908"/>
      <c r="BE41" s="908"/>
      <c r="BF41" s="736"/>
      <c r="BG41" s="736"/>
      <c r="BH41" s="736"/>
      <c r="BI41" s="736"/>
      <c r="BJ41" s="736"/>
      <c r="BK41" s="736"/>
      <c r="BL41" s="736"/>
      <c r="BM41" s="908"/>
      <c r="BN41" s="908"/>
      <c r="BO41" s="908"/>
      <c r="BP41" s="908"/>
      <c r="BQ41" s="908"/>
    </row>
    <row r="42" spans="1:69" ht="24.75" customHeight="1">
      <c r="A42" s="286" t="s">
        <v>778</v>
      </c>
      <c r="B42" s="319" t="str">
        <f>+IF(FEBRERO!B42=0,"",FEBRERO!B42)</f>
        <v>SALUD PUBLICA - PLAN DE INTERVENCIONES COLECTIVAS</v>
      </c>
      <c r="C42" s="288">
        <f t="shared" ref="C42:N42" si="44">SUM(C43:C44)</f>
        <v>287170800</v>
      </c>
      <c r="D42" s="320">
        <f t="shared" si="44"/>
        <v>0</v>
      </c>
      <c r="E42" s="320">
        <f t="shared" si="44"/>
        <v>0</v>
      </c>
      <c r="F42" s="320">
        <f t="shared" si="44"/>
        <v>287170800</v>
      </c>
      <c r="G42" s="320">
        <f t="shared" si="44"/>
        <v>10678970</v>
      </c>
      <c r="H42" s="320">
        <f t="shared" si="44"/>
        <v>144534680</v>
      </c>
      <c r="I42" s="320">
        <f t="shared" si="44"/>
        <v>155213650</v>
      </c>
      <c r="J42" s="320">
        <f t="shared" si="44"/>
        <v>0</v>
      </c>
      <c r="K42" s="320">
        <f t="shared" si="44"/>
        <v>142945149</v>
      </c>
      <c r="L42" s="320">
        <f t="shared" si="44"/>
        <v>142945149</v>
      </c>
      <c r="M42" s="320">
        <f t="shared" si="44"/>
        <v>131957150</v>
      </c>
      <c r="N42" s="289">
        <f t="shared" si="44"/>
        <v>144225651</v>
      </c>
      <c r="O42" s="736"/>
      <c r="P42" s="288">
        <f>SUM(P43:P44)</f>
        <v>0</v>
      </c>
      <c r="Q42" s="289">
        <f>SUM(Q43:Q44)</f>
        <v>0</v>
      </c>
      <c r="R42" s="903"/>
      <c r="S42" s="189">
        <f>+IF(FEBRERO!S42=0,"",FEBRERO!S42)</f>
        <v>1130106</v>
      </c>
      <c r="T42" s="488" t="str">
        <f>+IF(FEBRERO!T42=0,"",FEBRERO!T42)</f>
        <v/>
      </c>
      <c r="U42" s="193"/>
      <c r="V42" s="191"/>
      <c r="W42" s="191"/>
      <c r="X42" s="191"/>
      <c r="Y42" s="193"/>
      <c r="Z42" s="191"/>
      <c r="AA42" s="192"/>
      <c r="AB42" s="193"/>
      <c r="AC42" s="191"/>
      <c r="AD42" s="192"/>
      <c r="AE42" s="193"/>
      <c r="AF42" s="191"/>
      <c r="AG42" s="192"/>
      <c r="AH42" s="193"/>
      <c r="AI42" s="191"/>
      <c r="AJ42" s="192"/>
      <c r="AK42" s="907"/>
      <c r="AL42" s="370"/>
      <c r="AM42" s="371"/>
      <c r="AN42" s="903"/>
      <c r="AO42" s="736"/>
      <c r="AP42" s="736"/>
      <c r="AQ42" s="736"/>
      <c r="AR42" s="736"/>
      <c r="AS42" s="736"/>
      <c r="AT42" s="736"/>
      <c r="AU42" s="736"/>
      <c r="AV42" s="736"/>
      <c r="AW42" s="736"/>
      <c r="AX42" s="736"/>
      <c r="AY42" s="736"/>
      <c r="AZ42" s="736"/>
      <c r="BA42" s="736"/>
      <c r="BB42" s="736"/>
      <c r="BC42" s="736"/>
      <c r="BD42" s="736"/>
      <c r="BE42" s="736"/>
      <c r="BF42" s="736"/>
      <c r="BG42" s="736"/>
      <c r="BH42" s="736"/>
      <c r="BI42" s="736"/>
      <c r="BJ42" s="736"/>
      <c r="BK42" s="736"/>
      <c r="BL42" s="736"/>
      <c r="BM42" s="736"/>
      <c r="BN42" s="736"/>
      <c r="BO42" s="736"/>
      <c r="BP42" s="736"/>
      <c r="BQ42" s="736"/>
    </row>
    <row r="43" spans="1:69" ht="24.75" customHeight="1">
      <c r="A43" s="286" t="s">
        <v>778</v>
      </c>
      <c r="B43" s="331" t="str">
        <f>+CONCATENATE("Vigencia ",INSTRUCCIONES!$F$3)</f>
        <v>Vigencia 2025</v>
      </c>
      <c r="C43" s="204">
        <f>+ENERO!C43</f>
        <v>0</v>
      </c>
      <c r="D43" s="205">
        <f>FEBRERO!D43+MARZO!P43</f>
        <v>0</v>
      </c>
      <c r="E43" s="205">
        <f>FEBRERO!E43+MARZO!Q43</f>
        <v>0</v>
      </c>
      <c r="F43" s="205">
        <f>SUM(C43:E43)</f>
        <v>0</v>
      </c>
      <c r="G43" s="205">
        <f>FEBRERO!I43</f>
        <v>10678970</v>
      </c>
      <c r="H43" s="208">
        <v>4433764</v>
      </c>
      <c r="I43" s="205">
        <f>SUM(G43:H43)</f>
        <v>15112734</v>
      </c>
      <c r="J43" s="205">
        <f>FEBRERO!L43</f>
        <v>0</v>
      </c>
      <c r="K43" s="208">
        <v>2844233</v>
      </c>
      <c r="L43" s="205">
        <f>SUM(J43:K43)</f>
        <v>2844233</v>
      </c>
      <c r="M43" s="205">
        <f>F43-I43</f>
        <v>-15112734</v>
      </c>
      <c r="N43" s="206">
        <f>F43-L43</f>
        <v>-2844233</v>
      </c>
      <c r="O43" s="736"/>
      <c r="P43" s="204">
        <v>0</v>
      </c>
      <c r="Q43" s="210">
        <v>0</v>
      </c>
      <c r="R43" s="903"/>
      <c r="S43" s="257">
        <f>+IF(FEBRERO!S43=0,"",FEBRERO!S43)</f>
        <v>1010300</v>
      </c>
      <c r="T43" s="532" t="str">
        <f>+IF(FEBRERO!T43=0,"",FEBRERO!T43)</f>
        <v>Contribuciones Inherentes nómina al Sector Privado</v>
      </c>
      <c r="U43" s="233">
        <f t="shared" ref="U43:AJ43" si="45">U44+U49+U55</f>
        <v>2871199937.9625015</v>
      </c>
      <c r="V43" s="231">
        <f t="shared" si="45"/>
        <v>0</v>
      </c>
      <c r="W43" s="231">
        <f t="shared" si="45"/>
        <v>0</v>
      </c>
      <c r="X43" s="234">
        <f t="shared" si="45"/>
        <v>2871199937.9625015</v>
      </c>
      <c r="Y43" s="233">
        <f t="shared" si="45"/>
        <v>762086378</v>
      </c>
      <c r="Z43" s="231">
        <f t="shared" si="45"/>
        <v>137169003</v>
      </c>
      <c r="AA43" s="232">
        <f t="shared" si="45"/>
        <v>899255381</v>
      </c>
      <c r="AB43" s="233">
        <f t="shared" si="45"/>
        <v>762086378</v>
      </c>
      <c r="AC43" s="231">
        <f t="shared" si="45"/>
        <v>137169003</v>
      </c>
      <c r="AD43" s="232">
        <f t="shared" si="45"/>
        <v>899255381</v>
      </c>
      <c r="AE43" s="233">
        <f t="shared" si="45"/>
        <v>762086378</v>
      </c>
      <c r="AF43" s="231">
        <f t="shared" si="45"/>
        <v>137169003</v>
      </c>
      <c r="AG43" s="232">
        <f t="shared" si="45"/>
        <v>899255381</v>
      </c>
      <c r="AH43" s="233">
        <f t="shared" si="45"/>
        <v>1971944556.9625013</v>
      </c>
      <c r="AI43" s="231">
        <f t="shared" si="45"/>
        <v>1971944556.9625013</v>
      </c>
      <c r="AJ43" s="232">
        <f t="shared" si="45"/>
        <v>1971944556.9625013</v>
      </c>
      <c r="AK43" s="903"/>
      <c r="AL43" s="233">
        <f>AL44+AL49+AL55</f>
        <v>0</v>
      </c>
      <c r="AM43" s="232">
        <f>AM44+AM49+AM55</f>
        <v>0</v>
      </c>
      <c r="AN43" s="903"/>
      <c r="AO43" s="736"/>
      <c r="AP43" s="910"/>
      <c r="AQ43" s="736"/>
      <c r="AR43" s="736"/>
      <c r="AS43" s="736"/>
      <c r="AT43" s="736"/>
      <c r="AU43" s="736"/>
      <c r="AV43" s="736"/>
      <c r="AW43" s="736"/>
      <c r="AX43" s="736"/>
      <c r="AY43" s="736"/>
      <c r="AZ43" s="736"/>
      <c r="BA43" s="736"/>
      <c r="BB43" s="908"/>
      <c r="BC43" s="908"/>
      <c r="BD43" s="908"/>
      <c r="BE43" s="908"/>
      <c r="BF43" s="736"/>
      <c r="BG43" s="736"/>
      <c r="BH43" s="736"/>
      <c r="BI43" s="736"/>
      <c r="BJ43" s="736"/>
      <c r="BK43" s="736"/>
      <c r="BL43" s="736"/>
      <c r="BM43" s="736"/>
      <c r="BN43" s="736"/>
      <c r="BO43" s="736"/>
      <c r="BP43" s="736"/>
      <c r="BQ43" s="736"/>
    </row>
    <row r="44" spans="1:69" ht="24.75" customHeight="1">
      <c r="A44" s="286" t="s">
        <v>779</v>
      </c>
      <c r="B44" s="331" t="str">
        <f>+IF(FEBRERO!B44=0,"",FEBRERO!B44)</f>
        <v>Vigencia Anterior</v>
      </c>
      <c r="C44" s="204">
        <f>+ENERO!C44</f>
        <v>287170800</v>
      </c>
      <c r="D44" s="205">
        <f>FEBRERO!D44+MARZO!P44</f>
        <v>0</v>
      </c>
      <c r="E44" s="205">
        <f>FEBRERO!E44+MARZO!Q44</f>
        <v>0</v>
      </c>
      <c r="F44" s="205">
        <f>SUM(C44:E44)</f>
        <v>287170800</v>
      </c>
      <c r="G44" s="205">
        <f>FEBRERO!I44</f>
        <v>0</v>
      </c>
      <c r="H44" s="208">
        <v>140100916</v>
      </c>
      <c r="I44" s="205">
        <f>SUM(G44:H44)</f>
        <v>140100916</v>
      </c>
      <c r="J44" s="205">
        <f>FEBRERO!L44</f>
        <v>0</v>
      </c>
      <c r="K44" s="208">
        <v>140100916</v>
      </c>
      <c r="L44" s="205">
        <f>SUM(J44:K44)</f>
        <v>140100916</v>
      </c>
      <c r="M44" s="205">
        <f>F44-I44</f>
        <v>147069884</v>
      </c>
      <c r="N44" s="206">
        <f>F44-L44</f>
        <v>147069884</v>
      </c>
      <c r="O44" s="736"/>
      <c r="P44" s="204">
        <v>0</v>
      </c>
      <c r="Q44" s="210">
        <v>0</v>
      </c>
      <c r="R44" s="903"/>
      <c r="S44" s="266">
        <f>+IF(FEBRERO!S44=0,"",FEBRERO!S44)</f>
        <v>1010301</v>
      </c>
      <c r="T44" s="534" t="str">
        <f>+IF(FEBRERO!T44=0,"",FEBRERO!T44)</f>
        <v>Contribuciones - SGP - Aportes Patronales - Cuenta Maestra</v>
      </c>
      <c r="U44" s="301">
        <f t="shared" ref="U44:AJ44" si="46">SUM(U45:U48)</f>
        <v>0</v>
      </c>
      <c r="V44" s="220">
        <f t="shared" si="46"/>
        <v>0</v>
      </c>
      <c r="W44" s="220">
        <f t="shared" si="46"/>
        <v>0</v>
      </c>
      <c r="X44" s="271">
        <f t="shared" si="46"/>
        <v>0</v>
      </c>
      <c r="Y44" s="270">
        <f t="shared" si="46"/>
        <v>0</v>
      </c>
      <c r="Z44" s="300">
        <f t="shared" si="46"/>
        <v>0</v>
      </c>
      <c r="AA44" s="269">
        <f t="shared" si="46"/>
        <v>0</v>
      </c>
      <c r="AB44" s="270">
        <f t="shared" si="46"/>
        <v>0</v>
      </c>
      <c r="AC44" s="300">
        <f t="shared" si="46"/>
        <v>0</v>
      </c>
      <c r="AD44" s="269">
        <f t="shared" si="46"/>
        <v>0</v>
      </c>
      <c r="AE44" s="270">
        <f t="shared" si="46"/>
        <v>0</v>
      </c>
      <c r="AF44" s="300">
        <f t="shared" si="46"/>
        <v>0</v>
      </c>
      <c r="AG44" s="269">
        <f t="shared" si="46"/>
        <v>0</v>
      </c>
      <c r="AH44" s="270">
        <f t="shared" si="46"/>
        <v>0</v>
      </c>
      <c r="AI44" s="220">
        <f t="shared" si="46"/>
        <v>0</v>
      </c>
      <c r="AJ44" s="269">
        <f t="shared" si="46"/>
        <v>0</v>
      </c>
      <c r="AK44" s="903"/>
      <c r="AL44" s="301">
        <f>SUM(AL45:AL48)</f>
        <v>0</v>
      </c>
      <c r="AM44" s="302">
        <f>SUM(AM45:AM48)</f>
        <v>0</v>
      </c>
      <c r="AN44" s="903"/>
      <c r="AO44" s="736"/>
      <c r="AP44" s="736"/>
      <c r="AQ44" s="736"/>
      <c r="AR44" s="736"/>
      <c r="AS44" s="736"/>
      <c r="AT44" s="736"/>
      <c r="AU44" s="736"/>
      <c r="AV44" s="736"/>
      <c r="AW44" s="736"/>
      <c r="AX44" s="736"/>
      <c r="AY44" s="736"/>
      <c r="AZ44" s="736"/>
      <c r="BA44" s="736"/>
      <c r="BB44" s="908"/>
      <c r="BC44" s="908"/>
      <c r="BD44" s="908"/>
      <c r="BE44" s="908"/>
      <c r="BF44" s="736"/>
      <c r="BG44" s="736"/>
      <c r="BH44" s="736"/>
      <c r="BI44" s="736"/>
      <c r="BJ44" s="736"/>
      <c r="BK44" s="736"/>
      <c r="BL44" s="736"/>
      <c r="BM44" s="736"/>
      <c r="BN44" s="736"/>
      <c r="BO44" s="736"/>
      <c r="BP44" s="736"/>
      <c r="BQ44" s="736"/>
    </row>
    <row r="45" spans="1:69" ht="24.75" customHeight="1">
      <c r="A45" s="286" t="str">
        <f>+IF(FEBRERO!A45=0,"",FEBRERO!A45)</f>
        <v>1.1.02.05.001.09.02.04</v>
      </c>
      <c r="B45" s="319" t="str">
        <f>+IF(FEBRERO!B45=0,"",FEBRERO!B45)</f>
        <v>EVENTOS CATASTROFICOS Y ACCIDENTES DE TRANSITO</v>
      </c>
      <c r="C45" s="288">
        <f t="shared" ref="C45:N45" si="47">SUM(C46:C47)</f>
        <v>1301505717</v>
      </c>
      <c r="D45" s="320">
        <f t="shared" si="47"/>
        <v>0</v>
      </c>
      <c r="E45" s="320">
        <f t="shared" si="47"/>
        <v>0</v>
      </c>
      <c r="F45" s="320">
        <f t="shared" si="47"/>
        <v>1301505717</v>
      </c>
      <c r="G45" s="320">
        <f t="shared" si="47"/>
        <v>135107712</v>
      </c>
      <c r="H45" s="320">
        <f t="shared" si="47"/>
        <v>50210587</v>
      </c>
      <c r="I45" s="320">
        <f t="shared" si="47"/>
        <v>185318299</v>
      </c>
      <c r="J45" s="320">
        <f t="shared" si="47"/>
        <v>60939779</v>
      </c>
      <c r="K45" s="320">
        <f t="shared" si="47"/>
        <v>376663</v>
      </c>
      <c r="L45" s="320">
        <f t="shared" si="47"/>
        <v>61316442</v>
      </c>
      <c r="M45" s="320">
        <f t="shared" si="47"/>
        <v>1116187418</v>
      </c>
      <c r="N45" s="289">
        <f t="shared" si="47"/>
        <v>1240189275</v>
      </c>
      <c r="O45" s="736"/>
      <c r="P45" s="288">
        <f>SUM(P46:P47)</f>
        <v>0</v>
      </c>
      <c r="Q45" s="289">
        <f>SUM(Q46:Q47)</f>
        <v>0</v>
      </c>
      <c r="R45" s="903"/>
      <c r="S45" s="311" t="str">
        <f>+IF(FEBRERO!S45=0,"",FEBRERO!S45)</f>
        <v>1010301-1</v>
      </c>
      <c r="T45" s="535" t="str">
        <f>+IF(FEBRERO!T45=0,"",FEBRERO!T45)</f>
        <v>E.P.S. - Aportes cuenta maestra</v>
      </c>
      <c r="U45" s="301">
        <f>+ENERO!U45</f>
        <v>0</v>
      </c>
      <c r="V45" s="220">
        <f>FEBRERO!V45+MARZO!AL45</f>
        <v>0</v>
      </c>
      <c r="W45" s="220">
        <f>FEBRERO!W45+MARZO!AM45</f>
        <v>0</v>
      </c>
      <c r="X45" s="271">
        <f>SUM(U45:W45)</f>
        <v>0</v>
      </c>
      <c r="Y45" s="270">
        <f>FEBRERO!AA45</f>
        <v>0</v>
      </c>
      <c r="Z45" s="208">
        <v>0</v>
      </c>
      <c r="AA45" s="269">
        <f>SUM(Y45:Z45)</f>
        <v>0</v>
      </c>
      <c r="AB45" s="270">
        <f>FEBRERO!AD45</f>
        <v>0</v>
      </c>
      <c r="AC45" s="208">
        <v>0</v>
      </c>
      <c r="AD45" s="269">
        <f>SUM(AB45:AC45)</f>
        <v>0</v>
      </c>
      <c r="AE45" s="270">
        <f>FEBRERO!AG45</f>
        <v>0</v>
      </c>
      <c r="AF45" s="208">
        <v>0</v>
      </c>
      <c r="AG45" s="269">
        <f>SUM(AE45:AF45)</f>
        <v>0</v>
      </c>
      <c r="AH45" s="270">
        <f>X45-AA45</f>
        <v>0</v>
      </c>
      <c r="AI45" s="220">
        <f>X45-AD45</f>
        <v>0</v>
      </c>
      <c r="AJ45" s="269">
        <f>X45-AG45</f>
        <v>0</v>
      </c>
      <c r="AK45" s="903"/>
      <c r="AL45" s="204">
        <v>0</v>
      </c>
      <c r="AM45" s="210">
        <v>0</v>
      </c>
      <c r="AN45" s="903"/>
      <c r="AO45" s="736"/>
      <c r="AP45" s="736"/>
      <c r="AQ45" s="736"/>
      <c r="AR45" s="736"/>
      <c r="AS45" s="736"/>
      <c r="AT45" s="736"/>
      <c r="AU45" s="736"/>
      <c r="AV45" s="736"/>
      <c r="AW45" s="736"/>
      <c r="AX45" s="736"/>
      <c r="AY45" s="736"/>
      <c r="AZ45" s="736"/>
      <c r="BA45" s="736"/>
      <c r="BB45" s="736"/>
      <c r="BC45" s="736"/>
      <c r="BD45" s="736"/>
      <c r="BE45" s="736"/>
      <c r="BF45" s="736"/>
      <c r="BG45" s="736"/>
      <c r="BH45" s="736"/>
      <c r="BI45" s="736"/>
      <c r="BJ45" s="736"/>
      <c r="BK45" s="736"/>
      <c r="BL45" s="736"/>
      <c r="BM45" s="736"/>
      <c r="BN45" s="736"/>
      <c r="BO45" s="736"/>
      <c r="BP45" s="736"/>
      <c r="BQ45" s="736"/>
    </row>
    <row r="46" spans="1:69" ht="24.75" customHeight="1">
      <c r="A46" s="202" t="str">
        <f>+IF(FEBRERO!A46=0,"",FEBRERO!A46)</f>
        <v>1.1.02.05.001.09.02.04</v>
      </c>
      <c r="B46" s="331" t="str">
        <f>+CONCATENATE("Vigencia ",INSTRUCCIONES!$F$3)</f>
        <v>Vigencia 2025</v>
      </c>
      <c r="C46" s="204">
        <f>+ENERO!C46</f>
        <v>795758987</v>
      </c>
      <c r="D46" s="205">
        <f>FEBRERO!D46+MARZO!P46</f>
        <v>0</v>
      </c>
      <c r="E46" s="205">
        <f>FEBRERO!E46+MARZO!Q46</f>
        <v>0</v>
      </c>
      <c r="F46" s="205">
        <f>SUM(C46:E46)</f>
        <v>795758987</v>
      </c>
      <c r="G46" s="205">
        <f>FEBRERO!I46</f>
        <v>78383320</v>
      </c>
      <c r="H46" s="208">
        <v>49833924</v>
      </c>
      <c r="I46" s="205">
        <f>SUM(G46:H46)</f>
        <v>128217244</v>
      </c>
      <c r="J46" s="205">
        <f>FEBRERO!L46</f>
        <v>4215387</v>
      </c>
      <c r="K46" s="208">
        <v>0</v>
      </c>
      <c r="L46" s="205">
        <f>SUM(J46:K46)</f>
        <v>4215387</v>
      </c>
      <c r="M46" s="205">
        <f>F46-I46</f>
        <v>667541743</v>
      </c>
      <c r="N46" s="206">
        <f>F46-L46</f>
        <v>791543600</v>
      </c>
      <c r="O46" s="736"/>
      <c r="P46" s="204">
        <v>0</v>
      </c>
      <c r="Q46" s="210">
        <v>0</v>
      </c>
      <c r="R46" s="903"/>
      <c r="S46" s="311" t="str">
        <f>+IF(FEBRERO!S46=0,"",FEBRERO!S46)</f>
        <v>1010301-2</v>
      </c>
      <c r="T46" s="535" t="str">
        <f>+IF(FEBRERO!T46=0,"",FEBRERO!T46)</f>
        <v>Fondos pensionales - Aportes cuenta maestra</v>
      </c>
      <c r="U46" s="301">
        <f>+ENERO!U46</f>
        <v>0</v>
      </c>
      <c r="V46" s="220">
        <f>FEBRERO!V46+MARZO!AL46</f>
        <v>0</v>
      </c>
      <c r="W46" s="220">
        <f>FEBRERO!W46+MARZO!AM46</f>
        <v>0</v>
      </c>
      <c r="X46" s="271">
        <f>SUM(U46:W46)</f>
        <v>0</v>
      </c>
      <c r="Y46" s="270">
        <f>FEBRERO!AA46</f>
        <v>0</v>
      </c>
      <c r="Z46" s="208">
        <v>0</v>
      </c>
      <c r="AA46" s="269">
        <f>SUM(Y46:Z46)</f>
        <v>0</v>
      </c>
      <c r="AB46" s="270">
        <f>FEBRERO!AD46</f>
        <v>0</v>
      </c>
      <c r="AC46" s="208">
        <v>0</v>
      </c>
      <c r="AD46" s="269">
        <f>SUM(AB46:AC46)</f>
        <v>0</v>
      </c>
      <c r="AE46" s="270">
        <f>FEBRERO!AG46</f>
        <v>0</v>
      </c>
      <c r="AF46" s="208">
        <v>0</v>
      </c>
      <c r="AG46" s="269">
        <f>SUM(AE46:AF46)</f>
        <v>0</v>
      </c>
      <c r="AH46" s="270">
        <f>X46-AA46</f>
        <v>0</v>
      </c>
      <c r="AI46" s="220">
        <f>X46-AD46</f>
        <v>0</v>
      </c>
      <c r="AJ46" s="269">
        <f>X46-AG46</f>
        <v>0</v>
      </c>
      <c r="AK46" s="903"/>
      <c r="AL46" s="204">
        <v>0</v>
      </c>
      <c r="AM46" s="210">
        <v>0</v>
      </c>
      <c r="AN46" s="903"/>
      <c r="AO46" s="911"/>
      <c r="AP46" s="910"/>
      <c r="AQ46" s="736"/>
      <c r="AR46" s="736"/>
      <c r="AS46" s="736"/>
      <c r="AT46" s="736"/>
      <c r="AU46" s="736"/>
      <c r="AV46" s="736"/>
      <c r="AW46" s="736"/>
      <c r="AX46" s="736"/>
      <c r="AY46" s="736"/>
      <c r="AZ46" s="736"/>
      <c r="BA46" s="736"/>
      <c r="BB46" s="908"/>
      <c r="BC46" s="908"/>
      <c r="BD46" s="908"/>
      <c r="BE46" s="908"/>
      <c r="BF46" s="736"/>
      <c r="BG46" s="736"/>
      <c r="BH46" s="736"/>
      <c r="BI46" s="736"/>
      <c r="BJ46" s="736"/>
      <c r="BK46" s="736"/>
      <c r="BL46" s="736"/>
      <c r="BM46" s="908"/>
      <c r="BN46" s="908"/>
      <c r="BO46" s="908"/>
      <c r="BP46" s="908"/>
      <c r="BQ46" s="908"/>
    </row>
    <row r="47" spans="1:69" ht="24.75" customHeight="1">
      <c r="A47" s="202" t="str">
        <f>+IF(FEBRERO!A47=0,"",FEBRERO!A47)</f>
        <v>1.1.02.05.001.09.02.04.99</v>
      </c>
      <c r="B47" s="331" t="str">
        <f>+IF(FEBRERO!B47=0,"",FEBRERO!B47)</f>
        <v>Vigencia Anterior</v>
      </c>
      <c r="C47" s="204">
        <f>+ENERO!C47</f>
        <v>505746730</v>
      </c>
      <c r="D47" s="205">
        <f>FEBRERO!D47+MARZO!P47</f>
        <v>0</v>
      </c>
      <c r="E47" s="205">
        <f>FEBRERO!E47+MARZO!Q47</f>
        <v>0</v>
      </c>
      <c r="F47" s="205">
        <f>SUM(C47:E47)</f>
        <v>505746730</v>
      </c>
      <c r="G47" s="205">
        <f>FEBRERO!I47</f>
        <v>56724392</v>
      </c>
      <c r="H47" s="208">
        <v>376663</v>
      </c>
      <c r="I47" s="205">
        <f>SUM(G47:H47)</f>
        <v>57101055</v>
      </c>
      <c r="J47" s="205">
        <f>FEBRERO!L47</f>
        <v>56724392</v>
      </c>
      <c r="K47" s="208">
        <v>376663</v>
      </c>
      <c r="L47" s="205">
        <f>SUM(J47:K47)</f>
        <v>57101055</v>
      </c>
      <c r="M47" s="205">
        <f>F47-I47</f>
        <v>448645675</v>
      </c>
      <c r="N47" s="206">
        <f>F47-L47</f>
        <v>448645675</v>
      </c>
      <c r="O47" s="736"/>
      <c r="P47" s="204">
        <v>0</v>
      </c>
      <c r="Q47" s="210">
        <v>0</v>
      </c>
      <c r="R47" s="903"/>
      <c r="S47" s="311" t="str">
        <f>+IF(FEBRERO!S47=0,"",FEBRERO!S47)</f>
        <v>1010301-3</v>
      </c>
      <c r="T47" s="535" t="str">
        <f>+IF(FEBRERO!T47=0,"",FEBRERO!T47)</f>
        <v>Fondos de cesantías - Aportes cuenta maestra</v>
      </c>
      <c r="U47" s="301">
        <f>+ENERO!U47</f>
        <v>0</v>
      </c>
      <c r="V47" s="220">
        <f>FEBRERO!V47+MARZO!AL47</f>
        <v>0</v>
      </c>
      <c r="W47" s="220">
        <f>FEBRERO!W47+MARZO!AM47</f>
        <v>0</v>
      </c>
      <c r="X47" s="271">
        <f>SUM(U47:W47)</f>
        <v>0</v>
      </c>
      <c r="Y47" s="270">
        <f>FEBRERO!AA47</f>
        <v>0</v>
      </c>
      <c r="Z47" s="208">
        <v>0</v>
      </c>
      <c r="AA47" s="269">
        <f>SUM(Y47:Z47)</f>
        <v>0</v>
      </c>
      <c r="AB47" s="270">
        <f>FEBRERO!AD47</f>
        <v>0</v>
      </c>
      <c r="AC47" s="208">
        <v>0</v>
      </c>
      <c r="AD47" s="269">
        <f>SUM(AB47:AC47)</f>
        <v>0</v>
      </c>
      <c r="AE47" s="270">
        <f>FEBRERO!AG47</f>
        <v>0</v>
      </c>
      <c r="AF47" s="208">
        <v>0</v>
      </c>
      <c r="AG47" s="269">
        <f>SUM(AE47:AF47)</f>
        <v>0</v>
      </c>
      <c r="AH47" s="270">
        <f>X47-AA47</f>
        <v>0</v>
      </c>
      <c r="AI47" s="220">
        <f>X47-AD47</f>
        <v>0</v>
      </c>
      <c r="AJ47" s="269">
        <f>X47-AG47</f>
        <v>0</v>
      </c>
      <c r="AK47" s="903"/>
      <c r="AL47" s="204">
        <v>0</v>
      </c>
      <c r="AM47" s="210">
        <v>0</v>
      </c>
      <c r="AN47" s="903"/>
      <c r="AO47" s="736"/>
      <c r="AP47" s="736"/>
      <c r="AQ47" s="736"/>
      <c r="AR47" s="736"/>
      <c r="AS47" s="736"/>
      <c r="AT47" s="736"/>
      <c r="AU47" s="736"/>
      <c r="AV47" s="736"/>
      <c r="AW47" s="736"/>
      <c r="AX47" s="736"/>
      <c r="AY47" s="736"/>
      <c r="AZ47" s="736"/>
      <c r="BA47" s="736"/>
      <c r="BB47" s="908"/>
      <c r="BC47" s="908"/>
      <c r="BD47" s="908"/>
      <c r="BE47" s="908"/>
      <c r="BF47" s="736"/>
      <c r="BG47" s="736"/>
      <c r="BH47" s="736"/>
      <c r="BI47" s="736"/>
      <c r="BJ47" s="736"/>
      <c r="BK47" s="736"/>
      <c r="BL47" s="736"/>
      <c r="BM47" s="736"/>
      <c r="BN47" s="736"/>
      <c r="BO47" s="736"/>
      <c r="BP47" s="736"/>
      <c r="BQ47" s="736"/>
    </row>
    <row r="48" spans="1:69" ht="24.75" customHeight="1">
      <c r="A48" s="286" t="str">
        <f>+IF(FEBRERO!A48=0,"",FEBRERO!A48)</f>
        <v>1.1.02.05.001.09.02.11</v>
      </c>
      <c r="B48" s="319" t="str">
        <f>+IF(FEBRERO!B48=0,"",FEBRERO!B48)</f>
        <v>Poblacion Especial</v>
      </c>
      <c r="C48" s="288">
        <f t="shared" ref="C48:N48" si="48">SUM(C49:C50)</f>
        <v>225672391</v>
      </c>
      <c r="D48" s="320">
        <f t="shared" si="48"/>
        <v>0</v>
      </c>
      <c r="E48" s="320">
        <f t="shared" si="48"/>
        <v>0</v>
      </c>
      <c r="F48" s="320">
        <f t="shared" si="48"/>
        <v>225672391</v>
      </c>
      <c r="G48" s="320">
        <f t="shared" si="48"/>
        <v>35991620</v>
      </c>
      <c r="H48" s="320">
        <f t="shared" si="48"/>
        <v>24493299</v>
      </c>
      <c r="I48" s="320">
        <f t="shared" si="48"/>
        <v>60484919</v>
      </c>
      <c r="J48" s="320">
        <f t="shared" si="48"/>
        <v>15638226</v>
      </c>
      <c r="K48" s="320">
        <f t="shared" si="48"/>
        <v>11941411</v>
      </c>
      <c r="L48" s="320">
        <f t="shared" si="48"/>
        <v>27579637</v>
      </c>
      <c r="M48" s="320">
        <f t="shared" si="48"/>
        <v>165187472</v>
      </c>
      <c r="N48" s="289">
        <f t="shared" si="48"/>
        <v>198092754</v>
      </c>
      <c r="O48" s="736"/>
      <c r="P48" s="288">
        <f>SUM(P49:P50)</f>
        <v>0</v>
      </c>
      <c r="Q48" s="289">
        <f>SUM(Q49:Q50)</f>
        <v>0</v>
      </c>
      <c r="R48" s="903"/>
      <c r="S48" s="311" t="str">
        <f>+IF(FEBRERO!S48=0,"",FEBRERO!S48)</f>
        <v>1010301-4</v>
      </c>
      <c r="T48" s="535" t="str">
        <f>+IF(FEBRERO!T48=0,"",FEBRERO!T48)</f>
        <v>Riesgos laborales - Aportes cuenta maestra</v>
      </c>
      <c r="U48" s="301">
        <f>+ENERO!U48</f>
        <v>0</v>
      </c>
      <c r="V48" s="220">
        <f>FEBRERO!V48+MARZO!AL48</f>
        <v>0</v>
      </c>
      <c r="W48" s="220">
        <f>FEBRERO!W48+MARZO!AM48</f>
        <v>0</v>
      </c>
      <c r="X48" s="271">
        <f>SUM(U48:W48)</f>
        <v>0</v>
      </c>
      <c r="Y48" s="270">
        <f>FEBRERO!AA48</f>
        <v>0</v>
      </c>
      <c r="Z48" s="208">
        <v>0</v>
      </c>
      <c r="AA48" s="269">
        <f>SUM(Y48:Z48)</f>
        <v>0</v>
      </c>
      <c r="AB48" s="270">
        <f>FEBRERO!AD48</f>
        <v>0</v>
      </c>
      <c r="AC48" s="208">
        <v>0</v>
      </c>
      <c r="AD48" s="269">
        <f>SUM(AB48:AC48)</f>
        <v>0</v>
      </c>
      <c r="AE48" s="270">
        <f>FEBRERO!AG48</f>
        <v>0</v>
      </c>
      <c r="AF48" s="208">
        <v>0</v>
      </c>
      <c r="AG48" s="269">
        <f>SUM(AE48:AF48)</f>
        <v>0</v>
      </c>
      <c r="AH48" s="270">
        <f>X48-AA48</f>
        <v>0</v>
      </c>
      <c r="AI48" s="220">
        <f>X48-AD48</f>
        <v>0</v>
      </c>
      <c r="AJ48" s="269">
        <f>X48-AG48</f>
        <v>0</v>
      </c>
      <c r="AK48" s="903"/>
      <c r="AL48" s="204">
        <v>0</v>
      </c>
      <c r="AM48" s="210">
        <v>0</v>
      </c>
      <c r="AN48" s="903"/>
      <c r="AO48" s="736"/>
      <c r="AP48" s="736"/>
      <c r="AQ48" s="736"/>
      <c r="AR48" s="736"/>
      <c r="AS48" s="736"/>
      <c r="AT48" s="736"/>
      <c r="AU48" s="736"/>
      <c r="AV48" s="736"/>
      <c r="AW48" s="736"/>
      <c r="AX48" s="736"/>
      <c r="AY48" s="736"/>
      <c r="AZ48" s="736"/>
      <c r="BA48" s="736"/>
      <c r="BB48" s="736"/>
      <c r="BC48" s="736"/>
      <c r="BD48" s="736"/>
      <c r="BE48" s="736"/>
      <c r="BF48" s="736"/>
      <c r="BG48" s="736"/>
      <c r="BH48" s="736"/>
      <c r="BI48" s="736"/>
      <c r="BJ48" s="736"/>
      <c r="BK48" s="736"/>
      <c r="BL48" s="736"/>
      <c r="BM48" s="736"/>
      <c r="BN48" s="736"/>
      <c r="BO48" s="736"/>
      <c r="BP48" s="736"/>
      <c r="BQ48" s="736"/>
    </row>
    <row r="49" spans="1:39" ht="24.75" customHeight="1">
      <c r="A49" s="202" t="str">
        <f>+IF(FEBRERO!A49=0,"",FEBRERO!A49)</f>
        <v>1.1.02.05.001.09.02.11</v>
      </c>
      <c r="B49" s="331" t="str">
        <f>+CONCATENATE("Vigencia ",INSTRUCCIONES!$F$3)</f>
        <v>Vigencia 2025</v>
      </c>
      <c r="C49" s="204">
        <f>+ENERO!C49</f>
        <v>180672391</v>
      </c>
      <c r="D49" s="205">
        <f>FEBRERO!D49+MARZO!P49</f>
        <v>0</v>
      </c>
      <c r="E49" s="205">
        <f>FEBRERO!E49+MARZO!Q49</f>
        <v>0</v>
      </c>
      <c r="F49" s="205">
        <f>SUM(C49:E49)</f>
        <v>180672391</v>
      </c>
      <c r="G49" s="205">
        <f>FEBRERO!I49</f>
        <v>20353394</v>
      </c>
      <c r="H49" s="208">
        <v>12551888</v>
      </c>
      <c r="I49" s="205">
        <f>SUM(G49:H49)</f>
        <v>32905282</v>
      </c>
      <c r="J49" s="205">
        <f>FEBRERO!L49</f>
        <v>0</v>
      </c>
      <c r="K49" s="208">
        <v>0</v>
      </c>
      <c r="L49" s="205">
        <f>SUM(J49:K49)</f>
        <v>0</v>
      </c>
      <c r="M49" s="205">
        <f>F49-I49</f>
        <v>147767109</v>
      </c>
      <c r="N49" s="206">
        <f>F49-L49</f>
        <v>180672391</v>
      </c>
      <c r="O49" s="736"/>
      <c r="P49" s="204">
        <v>0</v>
      </c>
      <c r="Q49" s="210">
        <v>0</v>
      </c>
      <c r="R49" s="903"/>
      <c r="S49" s="266">
        <f>+IF(FEBRERO!S49=0,"",FEBRERO!S49)</f>
        <v>1010302</v>
      </c>
      <c r="T49" s="534" t="str">
        <f>+IF(FEBRERO!T49=0,"",FEBRERO!T49)</f>
        <v>Contribuciones - Otros</v>
      </c>
      <c r="U49" s="233">
        <f t="shared" ref="U49:AJ49" si="49">SUM(U50:U54)</f>
        <v>2369058848.2960005</v>
      </c>
      <c r="V49" s="220">
        <f t="shared" si="49"/>
        <v>-30000000</v>
      </c>
      <c r="W49" s="220">
        <f t="shared" si="49"/>
        <v>0</v>
      </c>
      <c r="X49" s="271">
        <f t="shared" si="49"/>
        <v>2339058848.2960005</v>
      </c>
      <c r="Y49" s="270">
        <f t="shared" si="49"/>
        <v>240018400</v>
      </c>
      <c r="Z49" s="300">
        <f t="shared" si="49"/>
        <v>137169003</v>
      </c>
      <c r="AA49" s="269">
        <f t="shared" si="49"/>
        <v>377187403</v>
      </c>
      <c r="AB49" s="270">
        <f t="shared" si="49"/>
        <v>240018400</v>
      </c>
      <c r="AC49" s="300">
        <f t="shared" si="49"/>
        <v>137169003</v>
      </c>
      <c r="AD49" s="269">
        <f t="shared" si="49"/>
        <v>377187403</v>
      </c>
      <c r="AE49" s="270">
        <f t="shared" si="49"/>
        <v>240018400</v>
      </c>
      <c r="AF49" s="300">
        <f t="shared" si="49"/>
        <v>137169003</v>
      </c>
      <c r="AG49" s="269">
        <f t="shared" si="49"/>
        <v>377187403</v>
      </c>
      <c r="AH49" s="270">
        <f t="shared" si="49"/>
        <v>1961871445.2960002</v>
      </c>
      <c r="AI49" s="220">
        <f t="shared" si="49"/>
        <v>1961871445.2960002</v>
      </c>
      <c r="AJ49" s="269">
        <f t="shared" si="49"/>
        <v>1961871445.2960002</v>
      </c>
      <c r="AK49" s="903"/>
      <c r="AL49" s="301">
        <f>SUM(AL50:AL54)</f>
        <v>0</v>
      </c>
      <c r="AM49" s="302">
        <f>SUM(AM50:AM54)</f>
        <v>0</v>
      </c>
    </row>
    <row r="50" spans="1:39" ht="24.75" customHeight="1">
      <c r="A50" s="202" t="str">
        <f>+IF(FEBRERO!A50=0,"",FEBRERO!A50)</f>
        <v>1.1.02.05.001.09.02.11.99</v>
      </c>
      <c r="B50" s="331" t="str">
        <f>+IF(FEBRERO!B50=0,"",FEBRERO!B50)</f>
        <v>Vigencia Anterior</v>
      </c>
      <c r="C50" s="204">
        <f>+ENERO!C50</f>
        <v>45000000</v>
      </c>
      <c r="D50" s="205">
        <f>FEBRERO!D50+MARZO!P50</f>
        <v>0</v>
      </c>
      <c r="E50" s="205">
        <f>FEBRERO!E50+MARZO!Q50</f>
        <v>0</v>
      </c>
      <c r="F50" s="205">
        <f>SUM(C50:E50)</f>
        <v>45000000</v>
      </c>
      <c r="G50" s="205">
        <f>FEBRERO!I50</f>
        <v>15638226</v>
      </c>
      <c r="H50" s="208">
        <v>11941411</v>
      </c>
      <c r="I50" s="205">
        <f>SUM(G50:H50)</f>
        <v>27579637</v>
      </c>
      <c r="J50" s="205">
        <f>FEBRERO!L50</f>
        <v>15638226</v>
      </c>
      <c r="K50" s="208">
        <v>11941411</v>
      </c>
      <c r="L50" s="205">
        <f>SUM(J50:K50)</f>
        <v>27579637</v>
      </c>
      <c r="M50" s="205">
        <f>F50-I50</f>
        <v>17420363</v>
      </c>
      <c r="N50" s="206">
        <f>F50-L50</f>
        <v>17420363</v>
      </c>
      <c r="O50" s="736"/>
      <c r="P50" s="204">
        <v>0</v>
      </c>
      <c r="Q50" s="210">
        <v>0</v>
      </c>
      <c r="R50" s="903"/>
      <c r="S50" s="311" t="str">
        <f>+IF(FEBRERO!S50=0,"",FEBRERO!S50)</f>
        <v>2.1.1.01.02.002</v>
      </c>
      <c r="T50" s="535" t="str">
        <f>+IF(FEBRERO!T50=0,"",FEBRERO!T50)</f>
        <v>Aportes a E.P.S. - recursos propios</v>
      </c>
      <c r="U50" s="301">
        <f>+ENERO!U50</f>
        <v>555207343.50000024</v>
      </c>
      <c r="V50" s="220">
        <f>FEBRERO!V50+MARZO!AL50</f>
        <v>0</v>
      </c>
      <c r="W50" s="220">
        <f>FEBRERO!W50+MARZO!AM50</f>
        <v>0</v>
      </c>
      <c r="X50" s="271">
        <f t="shared" ref="X50:X55" si="50">SUM(U50:W50)</f>
        <v>555207343.50000024</v>
      </c>
      <c r="Y50" s="270">
        <f>FEBRERO!AA50</f>
        <v>77428900</v>
      </c>
      <c r="Z50" s="208">
        <v>41322400</v>
      </c>
      <c r="AA50" s="269">
        <f t="shared" ref="AA50:AA55" si="51">SUM(Y50:Z50)</f>
        <v>118751300</v>
      </c>
      <c r="AB50" s="270">
        <f>FEBRERO!AD50</f>
        <v>77428900</v>
      </c>
      <c r="AC50" s="208">
        <v>41322400</v>
      </c>
      <c r="AD50" s="269">
        <f t="shared" ref="AD50:AD55" si="52">SUM(AB50:AC50)</f>
        <v>118751300</v>
      </c>
      <c r="AE50" s="270">
        <f>FEBRERO!AG50</f>
        <v>77428900</v>
      </c>
      <c r="AF50" s="208">
        <v>41322400</v>
      </c>
      <c r="AG50" s="269">
        <f t="shared" ref="AG50:AG55" si="53">SUM(AE50:AF50)</f>
        <v>118751300</v>
      </c>
      <c r="AH50" s="270">
        <f t="shared" ref="AH50:AH55" si="54">X50-AA50</f>
        <v>436456043.50000024</v>
      </c>
      <c r="AI50" s="220">
        <f t="shared" ref="AI50:AI55" si="55">X50-AD50</f>
        <v>436456043.50000024</v>
      </c>
      <c r="AJ50" s="269">
        <f t="shared" ref="AJ50:AJ55" si="56">X50-AG50</f>
        <v>436456043.50000024</v>
      </c>
      <c r="AK50" s="903"/>
      <c r="AL50" s="204">
        <v>0</v>
      </c>
      <c r="AM50" s="210">
        <v>0</v>
      </c>
    </row>
    <row r="51" spans="1:39" ht="24.75" customHeight="1">
      <c r="A51" s="286" t="str">
        <f>+IF(FEBRERO!A51=0,"",FEBRERO!A51)</f>
        <v>1.1.02.05.001.09.02.16</v>
      </c>
      <c r="B51" s="319" t="str">
        <f>+IF(FEBRERO!B51=0,"",FEBRERO!B51)</f>
        <v>Fondo Nacional de la Salud personas privadas de la Libertad</v>
      </c>
      <c r="C51" s="288">
        <f t="shared" ref="C51:N51" si="57">SUM(C52:C53)</f>
        <v>168856</v>
      </c>
      <c r="D51" s="320">
        <f t="shared" si="57"/>
        <v>0</v>
      </c>
      <c r="E51" s="320">
        <f t="shared" si="57"/>
        <v>0</v>
      </c>
      <c r="F51" s="320">
        <f t="shared" si="57"/>
        <v>168856</v>
      </c>
      <c r="G51" s="320">
        <f t="shared" si="57"/>
        <v>9601130</v>
      </c>
      <c r="H51" s="320">
        <f t="shared" si="57"/>
        <v>0</v>
      </c>
      <c r="I51" s="320">
        <f t="shared" si="57"/>
        <v>9601130</v>
      </c>
      <c r="J51" s="320">
        <f t="shared" si="57"/>
        <v>0</v>
      </c>
      <c r="K51" s="320">
        <f t="shared" si="57"/>
        <v>0</v>
      </c>
      <c r="L51" s="320">
        <f t="shared" si="57"/>
        <v>0</v>
      </c>
      <c r="M51" s="320">
        <f t="shared" si="57"/>
        <v>-9432274</v>
      </c>
      <c r="N51" s="289">
        <f t="shared" si="57"/>
        <v>168856</v>
      </c>
      <c r="O51" s="736"/>
      <c r="P51" s="288">
        <f>SUM(P52:P53)</f>
        <v>0</v>
      </c>
      <c r="Q51" s="289">
        <f>SUM(Q52:Q53)</f>
        <v>0</v>
      </c>
      <c r="R51" s="903"/>
      <c r="S51" s="311" t="str">
        <f>+IF(FEBRERO!S51=0,"",FEBRERO!S51)</f>
        <v>2.1.1.01.02.001</v>
      </c>
      <c r="T51" s="535" t="str">
        <f>+IF(FEBRERO!T51=0,"",FEBRERO!T51)</f>
        <v>Aportes Fondos Pensionales - recursos propios</v>
      </c>
      <c r="U51" s="301">
        <f>+ENERO!U51</f>
        <v>783822132</v>
      </c>
      <c r="V51" s="220">
        <f>FEBRERO!V51+MARZO!AL51</f>
        <v>0</v>
      </c>
      <c r="W51" s="220">
        <f>FEBRERO!W51+MARZO!AM51</f>
        <v>0</v>
      </c>
      <c r="X51" s="271">
        <f t="shared" si="50"/>
        <v>783822132</v>
      </c>
      <c r="Y51" s="270">
        <f>FEBRERO!AA51</f>
        <v>110052800</v>
      </c>
      <c r="Z51" s="208">
        <v>59885803</v>
      </c>
      <c r="AA51" s="269">
        <f t="shared" si="51"/>
        <v>169938603</v>
      </c>
      <c r="AB51" s="270">
        <f>FEBRERO!AD51</f>
        <v>110052800</v>
      </c>
      <c r="AC51" s="208">
        <v>59885803</v>
      </c>
      <c r="AD51" s="269">
        <f t="shared" si="52"/>
        <v>169938603</v>
      </c>
      <c r="AE51" s="270">
        <f>FEBRERO!AG51</f>
        <v>110052800</v>
      </c>
      <c r="AF51" s="208">
        <v>59885803</v>
      </c>
      <c r="AG51" s="269">
        <f t="shared" si="53"/>
        <v>169938603</v>
      </c>
      <c r="AH51" s="270">
        <f t="shared" si="54"/>
        <v>613883529</v>
      </c>
      <c r="AI51" s="220">
        <f t="shared" si="55"/>
        <v>613883529</v>
      </c>
      <c r="AJ51" s="269">
        <f t="shared" si="56"/>
        <v>613883529</v>
      </c>
      <c r="AK51" s="903"/>
      <c r="AL51" s="204">
        <v>0</v>
      </c>
      <c r="AM51" s="210">
        <v>0</v>
      </c>
    </row>
    <row r="52" spans="1:39" ht="24.75" customHeight="1">
      <c r="A52" s="202" t="str">
        <f>+IF(FEBRERO!A52=0,"",FEBRERO!A52)</f>
        <v>1.1.02.05.001.09.02.16</v>
      </c>
      <c r="B52" s="331" t="str">
        <f>+CONCATENATE("Vigencia ",INSTRUCCIONES!$F$3)</f>
        <v>Vigencia 2025</v>
      </c>
      <c r="C52" s="204">
        <f>+ENERO!C52</f>
        <v>168856</v>
      </c>
      <c r="D52" s="205">
        <f>FEBRERO!D52+MARZO!P52</f>
        <v>0</v>
      </c>
      <c r="E52" s="205">
        <f>FEBRERO!E52+MARZO!Q52</f>
        <v>0</v>
      </c>
      <c r="F52" s="205">
        <f>SUM(C52:E52)</f>
        <v>168856</v>
      </c>
      <c r="G52" s="205">
        <f>FEBRERO!I52</f>
        <v>9601130</v>
      </c>
      <c r="H52" s="208">
        <v>0</v>
      </c>
      <c r="I52" s="205">
        <f>SUM(G52:H52)</f>
        <v>9601130</v>
      </c>
      <c r="J52" s="205">
        <f>FEBRERO!L52</f>
        <v>0</v>
      </c>
      <c r="K52" s="208">
        <v>0</v>
      </c>
      <c r="L52" s="205">
        <f>SUM(J52:K52)</f>
        <v>0</v>
      </c>
      <c r="M52" s="205">
        <f>F52-I52</f>
        <v>-9432274</v>
      </c>
      <c r="N52" s="206">
        <f>F52-L52</f>
        <v>168856</v>
      </c>
      <c r="O52" s="736"/>
      <c r="P52" s="204">
        <v>0</v>
      </c>
      <c r="Q52" s="210">
        <v>0</v>
      </c>
      <c r="R52" s="903"/>
      <c r="S52" s="311" t="str">
        <f>+IF(FEBRERO!S52=0,"",FEBRERO!S52)</f>
        <v>2.1.1.01.02.003</v>
      </c>
      <c r="T52" s="535" t="str">
        <f>+IF(FEBRERO!T52=0,"",FEBRERO!T52)</f>
        <v>Aportes a Fondos de Cesantia - recursos propios</v>
      </c>
      <c r="U52" s="301">
        <f>+ENERO!U52</f>
        <v>609639436</v>
      </c>
      <c r="V52" s="220">
        <f>FEBRERO!V52+MARZO!AL52</f>
        <v>-30000000</v>
      </c>
      <c r="W52" s="220">
        <f>FEBRERO!W52+MARZO!AM52</f>
        <v>0</v>
      </c>
      <c r="X52" s="271">
        <f t="shared" si="50"/>
        <v>579639436</v>
      </c>
      <c r="Y52" s="270">
        <f>FEBRERO!AA52</f>
        <v>318700</v>
      </c>
      <c r="Z52" s="208">
        <v>7800000</v>
      </c>
      <c r="AA52" s="269">
        <f t="shared" si="51"/>
        <v>8118700</v>
      </c>
      <c r="AB52" s="270">
        <f>FEBRERO!AD52</f>
        <v>318700</v>
      </c>
      <c r="AC52" s="208">
        <v>7800000</v>
      </c>
      <c r="AD52" s="269">
        <f t="shared" si="52"/>
        <v>8118700</v>
      </c>
      <c r="AE52" s="270">
        <f>FEBRERO!AG52</f>
        <v>318700</v>
      </c>
      <c r="AF52" s="208">
        <v>7800000</v>
      </c>
      <c r="AG52" s="269">
        <f t="shared" si="53"/>
        <v>8118700</v>
      </c>
      <c r="AH52" s="270">
        <f t="shared" si="54"/>
        <v>571520736</v>
      </c>
      <c r="AI52" s="220">
        <f t="shared" si="55"/>
        <v>571520736</v>
      </c>
      <c r="AJ52" s="269">
        <f t="shared" si="56"/>
        <v>571520736</v>
      </c>
      <c r="AK52" s="903"/>
      <c r="AL52" s="204">
        <v>0</v>
      </c>
      <c r="AM52" s="210">
        <v>0</v>
      </c>
    </row>
    <row r="53" spans="1:39" ht="24.75" customHeight="1">
      <c r="A53" s="202" t="str">
        <f>+IF(FEBRERO!A53=0,"",FEBRERO!A53)</f>
        <v>1.1.02.05.001.09.02.16.99</v>
      </c>
      <c r="B53" s="331" t="str">
        <f>+IF(FEBRERO!B53=0,"",FEBRERO!B53)</f>
        <v>Vigencia Anterior</v>
      </c>
      <c r="C53" s="204">
        <f>+ENERO!C53</f>
        <v>0</v>
      </c>
      <c r="D53" s="205">
        <f>FEBRERO!D53+MARZO!P53</f>
        <v>0</v>
      </c>
      <c r="E53" s="205">
        <f>FEBRERO!E53+MARZO!Q53</f>
        <v>0</v>
      </c>
      <c r="F53" s="205">
        <f>SUM(C53:E53)</f>
        <v>0</v>
      </c>
      <c r="G53" s="205">
        <f>FEBRERO!I53</f>
        <v>0</v>
      </c>
      <c r="H53" s="208">
        <v>0</v>
      </c>
      <c r="I53" s="205">
        <f>SUM(G53:H53)</f>
        <v>0</v>
      </c>
      <c r="J53" s="205">
        <f>FEBRERO!L53</f>
        <v>0</v>
      </c>
      <c r="K53" s="208">
        <v>0</v>
      </c>
      <c r="L53" s="205">
        <f>SUM(J53:K53)</f>
        <v>0</v>
      </c>
      <c r="M53" s="205">
        <f>F53-I53</f>
        <v>0</v>
      </c>
      <c r="N53" s="206">
        <f>F53-L53</f>
        <v>0</v>
      </c>
      <c r="O53" s="736"/>
      <c r="P53" s="204">
        <v>0</v>
      </c>
      <c r="Q53" s="210">
        <v>0</v>
      </c>
      <c r="R53" s="903"/>
      <c r="S53" s="311" t="str">
        <f>+IF(FEBRERO!S53=0,"",FEBRERO!S53)</f>
        <v>2.1.1.01.02.005</v>
      </c>
      <c r="T53" s="535" t="str">
        <f>+IF(FEBRERO!T53=0,"",FEBRERO!T53)</f>
        <v>Aporte a ARL. - recursos propios</v>
      </c>
      <c r="U53" s="301">
        <f>+ENERO!U53</f>
        <v>159115892.79599997</v>
      </c>
      <c r="V53" s="220">
        <f>FEBRERO!V53+MARZO!AL53</f>
        <v>0</v>
      </c>
      <c r="W53" s="220">
        <f>FEBRERO!W53+MARZO!AM53</f>
        <v>0</v>
      </c>
      <c r="X53" s="271">
        <f t="shared" si="50"/>
        <v>159115892.79599997</v>
      </c>
      <c r="Y53" s="270">
        <f>FEBRERO!AA53</f>
        <v>15212900</v>
      </c>
      <c r="Z53" s="208">
        <v>8784200</v>
      </c>
      <c r="AA53" s="269">
        <f t="shared" si="51"/>
        <v>23997100</v>
      </c>
      <c r="AB53" s="270">
        <f>FEBRERO!AD53</f>
        <v>15212900</v>
      </c>
      <c r="AC53" s="208">
        <v>8784200</v>
      </c>
      <c r="AD53" s="269">
        <f t="shared" si="52"/>
        <v>23997100</v>
      </c>
      <c r="AE53" s="270">
        <f>FEBRERO!AG53</f>
        <v>15212900</v>
      </c>
      <c r="AF53" s="208">
        <v>8784200</v>
      </c>
      <c r="AG53" s="269">
        <f t="shared" si="53"/>
        <v>23997100</v>
      </c>
      <c r="AH53" s="270">
        <f t="shared" si="54"/>
        <v>135118792.79599997</v>
      </c>
      <c r="AI53" s="220">
        <f t="shared" si="55"/>
        <v>135118792.79599997</v>
      </c>
      <c r="AJ53" s="269">
        <f t="shared" si="56"/>
        <v>135118792.79599997</v>
      </c>
      <c r="AK53" s="903"/>
      <c r="AL53" s="204">
        <v>0</v>
      </c>
      <c r="AM53" s="210">
        <v>0</v>
      </c>
    </row>
    <row r="54" spans="1:39" ht="24.75" customHeight="1">
      <c r="A54" s="286" t="str">
        <f>+IF(FEBRERO!A54=0,"",FEBRERO!A54)</f>
        <v>1.1.02.05.001.09.02.17</v>
      </c>
      <c r="B54" s="319" t="str">
        <f>+IF(FEBRERO!B54=0,"",FEBRERO!B54)</f>
        <v>EMPRESAS MEDICINA PREPAGADA</v>
      </c>
      <c r="C54" s="288">
        <f t="shared" ref="C54:N54" si="58">SUM(C55:C56)</f>
        <v>968592.84788797423</v>
      </c>
      <c r="D54" s="320">
        <f t="shared" si="58"/>
        <v>0</v>
      </c>
      <c r="E54" s="320">
        <f t="shared" si="58"/>
        <v>0</v>
      </c>
      <c r="F54" s="320">
        <f t="shared" si="58"/>
        <v>968592.84788797423</v>
      </c>
      <c r="G54" s="320">
        <f t="shared" si="58"/>
        <v>12986455</v>
      </c>
      <c r="H54" s="320">
        <f t="shared" si="58"/>
        <v>86988</v>
      </c>
      <c r="I54" s="679">
        <f t="shared" si="58"/>
        <v>13073443</v>
      </c>
      <c r="J54" s="320">
        <f t="shared" si="58"/>
        <v>11142773</v>
      </c>
      <c r="K54" s="320">
        <f t="shared" si="58"/>
        <v>0</v>
      </c>
      <c r="L54" s="320">
        <f t="shared" si="58"/>
        <v>11142773</v>
      </c>
      <c r="M54" s="320">
        <f t="shared" si="58"/>
        <v>-12104850.152112026</v>
      </c>
      <c r="N54" s="289">
        <f t="shared" si="58"/>
        <v>-10174180.152112026</v>
      </c>
      <c r="O54" s="736"/>
      <c r="P54" s="288">
        <f>SUM(P55:P56)</f>
        <v>0</v>
      </c>
      <c r="Q54" s="289">
        <f>SUM(Q55:Q56)</f>
        <v>0</v>
      </c>
      <c r="R54" s="903"/>
      <c r="S54" s="311" t="str">
        <f>+IF(FEBRERO!S54=0,"",FEBRERO!S54)</f>
        <v>2.1.1.01.02.004</v>
      </c>
      <c r="T54" s="535" t="str">
        <f>+IF(FEBRERO!T54=0,"",FEBRERO!T54)</f>
        <v>Aporte a Caja Compensación Familiar</v>
      </c>
      <c r="U54" s="301">
        <f>+ENERO!U54</f>
        <v>261274044</v>
      </c>
      <c r="V54" s="220">
        <f>FEBRERO!V54+MARZO!AL54</f>
        <v>0</v>
      </c>
      <c r="W54" s="220">
        <f>FEBRERO!W54+MARZO!AM54</f>
        <v>0</v>
      </c>
      <c r="X54" s="271">
        <f t="shared" si="50"/>
        <v>261274044</v>
      </c>
      <c r="Y54" s="270">
        <f>FEBRERO!AA54</f>
        <v>37005100</v>
      </c>
      <c r="Z54" s="208">
        <v>19376600</v>
      </c>
      <c r="AA54" s="269">
        <f t="shared" si="51"/>
        <v>56381700</v>
      </c>
      <c r="AB54" s="270">
        <f>FEBRERO!AD54</f>
        <v>37005100</v>
      </c>
      <c r="AC54" s="208">
        <v>19376600</v>
      </c>
      <c r="AD54" s="269">
        <f t="shared" si="52"/>
        <v>56381700</v>
      </c>
      <c r="AE54" s="270">
        <f>FEBRERO!AG54</f>
        <v>37005100</v>
      </c>
      <c r="AF54" s="208">
        <v>19376600</v>
      </c>
      <c r="AG54" s="269">
        <f t="shared" si="53"/>
        <v>56381700</v>
      </c>
      <c r="AH54" s="270">
        <f t="shared" si="54"/>
        <v>204892344</v>
      </c>
      <c r="AI54" s="220">
        <f t="shared" si="55"/>
        <v>204892344</v>
      </c>
      <c r="AJ54" s="269">
        <f t="shared" si="56"/>
        <v>204892344</v>
      </c>
      <c r="AK54" s="903"/>
      <c r="AL54" s="204">
        <v>0</v>
      </c>
      <c r="AM54" s="210">
        <v>0</v>
      </c>
    </row>
    <row r="55" spans="1:39" ht="24.75" customHeight="1">
      <c r="A55" s="202" t="str">
        <f>+IF(FEBRERO!A55=0,"",FEBRERO!A55)</f>
        <v>1.1.02.05.001.09.02.17</v>
      </c>
      <c r="B55" s="331" t="str">
        <f>+CONCATENATE("Vigencia ",INSTRUCCIONES!$F$3)</f>
        <v>Vigencia 2025</v>
      </c>
      <c r="C55" s="204">
        <f>+ENERO!C55</f>
        <v>968592.84788797423</v>
      </c>
      <c r="D55" s="205">
        <f>FEBRERO!D55+MARZO!P55</f>
        <v>0</v>
      </c>
      <c r="E55" s="205">
        <f>FEBRERO!E55+MARZO!Q55</f>
        <v>0</v>
      </c>
      <c r="F55" s="205">
        <f>SUM(C55:E55)</f>
        <v>968592.84788797423</v>
      </c>
      <c r="G55" s="205">
        <f>FEBRERO!I55</f>
        <v>2645546</v>
      </c>
      <c r="H55" s="208">
        <v>86988</v>
      </c>
      <c r="I55" s="205">
        <f>SUM(G55:H55)</f>
        <v>2732534</v>
      </c>
      <c r="J55" s="205">
        <f>FEBRERO!L55</f>
        <v>801864</v>
      </c>
      <c r="K55" s="208">
        <v>0</v>
      </c>
      <c r="L55" s="205">
        <f>SUM(J55:K55)</f>
        <v>801864</v>
      </c>
      <c r="M55" s="205">
        <f>F55-I55</f>
        <v>-1763941.1521120258</v>
      </c>
      <c r="N55" s="206">
        <f>F55-L55</f>
        <v>166728.84788797423</v>
      </c>
      <c r="O55" s="736"/>
      <c r="P55" s="204">
        <v>0</v>
      </c>
      <c r="Q55" s="210">
        <v>0</v>
      </c>
      <c r="R55" s="903"/>
      <c r="S55" s="266" t="str">
        <f>+IF(FEBRERO!S55=0,"",FEBRERO!S55)</f>
        <v>2.1.1.01.02.003.99</v>
      </c>
      <c r="T55" s="534" t="str">
        <f>+IF(FEBRERO!T55=0,"",FEBRERO!T55)</f>
        <v>Vigencias Anteriores Aportes a cesantías</v>
      </c>
      <c r="U55" s="301">
        <f>+ENERO!U55</f>
        <v>502141089.6665011</v>
      </c>
      <c r="V55" s="220">
        <f>FEBRERO!V55+MARZO!AL55</f>
        <v>30000000</v>
      </c>
      <c r="W55" s="220">
        <f>FEBRERO!W55+MARZO!AM55</f>
        <v>0</v>
      </c>
      <c r="X55" s="271">
        <f t="shared" si="50"/>
        <v>532141089.6665011</v>
      </c>
      <c r="Y55" s="270">
        <f>FEBRERO!AA55</f>
        <v>522067978</v>
      </c>
      <c r="Z55" s="208">
        <v>0</v>
      </c>
      <c r="AA55" s="269">
        <f t="shared" si="51"/>
        <v>522067978</v>
      </c>
      <c r="AB55" s="270">
        <f>FEBRERO!AD55</f>
        <v>522067978</v>
      </c>
      <c r="AC55" s="208">
        <v>0</v>
      </c>
      <c r="AD55" s="269">
        <f t="shared" si="52"/>
        <v>522067978</v>
      </c>
      <c r="AE55" s="270">
        <f>FEBRERO!AG55</f>
        <v>522067978</v>
      </c>
      <c r="AF55" s="208">
        <v>0</v>
      </c>
      <c r="AG55" s="269">
        <f t="shared" si="53"/>
        <v>522067978</v>
      </c>
      <c r="AH55" s="270">
        <f t="shared" si="54"/>
        <v>10073111.666501105</v>
      </c>
      <c r="AI55" s="220">
        <f t="shared" si="55"/>
        <v>10073111.666501105</v>
      </c>
      <c r="AJ55" s="269">
        <f t="shared" si="56"/>
        <v>10073111.666501105</v>
      </c>
      <c r="AK55" s="903"/>
      <c r="AL55" s="204">
        <v>0</v>
      </c>
      <c r="AM55" s="210">
        <v>0</v>
      </c>
    </row>
    <row r="56" spans="1:39" ht="24.75" customHeight="1">
      <c r="A56" s="202" t="str">
        <f>+IF(FEBRERO!A56=0,"",FEBRERO!A56)</f>
        <v>1.1.02.05.001.09.02.17.99</v>
      </c>
      <c r="B56" s="331" t="str">
        <f>+IF(FEBRERO!B56=0,"",FEBRERO!B56)</f>
        <v>Vigencia Anterior</v>
      </c>
      <c r="C56" s="204">
        <f>+ENERO!C56</f>
        <v>0</v>
      </c>
      <c r="D56" s="205">
        <f>FEBRERO!D56+MARZO!P56</f>
        <v>0</v>
      </c>
      <c r="E56" s="205">
        <f>FEBRERO!E56+MARZO!Q56</f>
        <v>0</v>
      </c>
      <c r="F56" s="205">
        <f>SUM(C56:E56)</f>
        <v>0</v>
      </c>
      <c r="G56" s="205">
        <f>FEBRERO!I56</f>
        <v>10340909</v>
      </c>
      <c r="H56" s="208">
        <v>0</v>
      </c>
      <c r="I56" s="205">
        <f>SUM(G56:H56)</f>
        <v>10340909</v>
      </c>
      <c r="J56" s="205">
        <f>FEBRERO!L56</f>
        <v>10340909</v>
      </c>
      <c r="K56" s="208">
        <v>0</v>
      </c>
      <c r="L56" s="205">
        <f>SUM(J56:K56)</f>
        <v>10340909</v>
      </c>
      <c r="M56" s="1158">
        <f>F56-I56</f>
        <v>-10340909</v>
      </c>
      <c r="N56" s="1159">
        <f>F56-L56</f>
        <v>-10340909</v>
      </c>
      <c r="O56" s="736"/>
      <c r="P56" s="204">
        <v>0</v>
      </c>
      <c r="Q56" s="210">
        <v>0</v>
      </c>
      <c r="R56" s="903"/>
      <c r="S56" s="189">
        <f>+IF(FEBRERO!S56=0,"",FEBRERO!S56)</f>
        <v>10340904</v>
      </c>
      <c r="T56" s="488" t="str">
        <f>+IF(FEBRERO!T56=0,"",FEBRERO!T56)</f>
        <v/>
      </c>
      <c r="U56" s="193"/>
      <c r="V56" s="191"/>
      <c r="W56" s="191"/>
      <c r="X56" s="191"/>
      <c r="Y56" s="193"/>
      <c r="Z56" s="191"/>
      <c r="AA56" s="192"/>
      <c r="AB56" s="193"/>
      <c r="AC56" s="191"/>
      <c r="AD56" s="192"/>
      <c r="AE56" s="193"/>
      <c r="AF56" s="191"/>
      <c r="AG56" s="192"/>
      <c r="AH56" s="193"/>
      <c r="AI56" s="191"/>
      <c r="AJ56" s="192"/>
      <c r="AK56" s="907"/>
      <c r="AL56" s="370"/>
      <c r="AM56" s="371"/>
    </row>
    <row r="57" spans="1:39" ht="24.75" customHeight="1">
      <c r="A57" s="286" t="str">
        <f>+IF(FEBRERO!A57=0,"",FEBRERO!A57)</f>
        <v>1.1.02.05.001.09.02.09</v>
      </c>
      <c r="B57" s="319" t="str">
        <f>+IF(FEBRERO!B57=0,"",FEBRERO!B57)</f>
        <v>IPS PRIVADAS</v>
      </c>
      <c r="C57" s="288">
        <f t="shared" ref="C57:N57" si="59">SUM(C58:C59)</f>
        <v>8042608</v>
      </c>
      <c r="D57" s="320">
        <f t="shared" si="59"/>
        <v>0</v>
      </c>
      <c r="E57" s="320">
        <f t="shared" si="59"/>
        <v>0</v>
      </c>
      <c r="F57" s="320">
        <f t="shared" si="59"/>
        <v>8042608</v>
      </c>
      <c r="G57" s="320">
        <f t="shared" si="59"/>
        <v>0</v>
      </c>
      <c r="H57" s="320">
        <f t="shared" si="59"/>
        <v>0</v>
      </c>
      <c r="I57" s="320">
        <f t="shared" si="59"/>
        <v>0</v>
      </c>
      <c r="J57" s="320">
        <f t="shared" si="59"/>
        <v>0</v>
      </c>
      <c r="K57" s="320">
        <f t="shared" si="59"/>
        <v>0</v>
      </c>
      <c r="L57" s="320">
        <f t="shared" si="59"/>
        <v>0</v>
      </c>
      <c r="M57" s="320">
        <f t="shared" si="59"/>
        <v>8042608</v>
      </c>
      <c r="N57" s="289">
        <f t="shared" si="59"/>
        <v>8042608</v>
      </c>
      <c r="O57" s="736"/>
      <c r="P57" s="288">
        <f>SUM(P58:P59)</f>
        <v>0</v>
      </c>
      <c r="Q57" s="289">
        <f>SUM(Q58:Q59)</f>
        <v>0</v>
      </c>
      <c r="R57" s="903"/>
      <c r="S57" s="257">
        <f>+IF(FEBRERO!S57=0,"",FEBRERO!S57)</f>
        <v>1010400</v>
      </c>
      <c r="T57" s="532" t="str">
        <f>+IF(FEBRERO!T57=0,"",FEBRERO!T57)</f>
        <v>Contribuciones Inherentes nómina del Sector Publico</v>
      </c>
      <c r="U57" s="233">
        <f t="shared" ref="U57:AJ57" si="60">U58+U61</f>
        <v>326592555</v>
      </c>
      <c r="V57" s="231">
        <f t="shared" si="60"/>
        <v>0</v>
      </c>
      <c r="W57" s="231">
        <f t="shared" si="60"/>
        <v>0</v>
      </c>
      <c r="X57" s="234">
        <f t="shared" si="60"/>
        <v>326592555</v>
      </c>
      <c r="Y57" s="233">
        <f t="shared" si="60"/>
        <v>46264500</v>
      </c>
      <c r="Z57" s="231">
        <f t="shared" si="60"/>
        <v>24223300</v>
      </c>
      <c r="AA57" s="232">
        <f t="shared" si="60"/>
        <v>70487800</v>
      </c>
      <c r="AB57" s="233">
        <f t="shared" si="60"/>
        <v>46264500</v>
      </c>
      <c r="AC57" s="231">
        <f t="shared" si="60"/>
        <v>24223300</v>
      </c>
      <c r="AD57" s="232">
        <f t="shared" si="60"/>
        <v>70487800</v>
      </c>
      <c r="AE57" s="233">
        <f t="shared" si="60"/>
        <v>46264500</v>
      </c>
      <c r="AF57" s="231">
        <f t="shared" si="60"/>
        <v>24223300</v>
      </c>
      <c r="AG57" s="232">
        <f t="shared" si="60"/>
        <v>70487800</v>
      </c>
      <c r="AH57" s="233">
        <f t="shared" si="60"/>
        <v>256104755</v>
      </c>
      <c r="AI57" s="231">
        <f t="shared" si="60"/>
        <v>256104755</v>
      </c>
      <c r="AJ57" s="232">
        <f t="shared" si="60"/>
        <v>256104755</v>
      </c>
      <c r="AK57" s="903"/>
      <c r="AL57" s="233">
        <f>AL58+AL61</f>
        <v>0</v>
      </c>
      <c r="AM57" s="232">
        <f>AM58+AM61</f>
        <v>0</v>
      </c>
    </row>
    <row r="58" spans="1:39" ht="24.75" customHeight="1">
      <c r="A58" s="202" t="str">
        <f>+IF(FEBRERO!A58=0,"",FEBRERO!A58)</f>
        <v>1.1.02.05.001.09.02.09</v>
      </c>
      <c r="B58" s="331" t="str">
        <f>+CONCATENATE("Vigencia ",INSTRUCCIONES!$F$3)</f>
        <v>Vigencia 2025</v>
      </c>
      <c r="C58" s="204">
        <f>+ENERO!C58</f>
        <v>8042608</v>
      </c>
      <c r="D58" s="205">
        <f>FEBRERO!D58+MARZO!P58</f>
        <v>0</v>
      </c>
      <c r="E58" s="205">
        <f>FEBRERO!E58+MARZO!Q58</f>
        <v>0</v>
      </c>
      <c r="F58" s="205">
        <f>SUM(C58:E58)</f>
        <v>8042608</v>
      </c>
      <c r="G58" s="205">
        <f>FEBRERO!I58</f>
        <v>0</v>
      </c>
      <c r="H58" s="208">
        <v>0</v>
      </c>
      <c r="I58" s="205">
        <f>SUM(G58:H58)</f>
        <v>0</v>
      </c>
      <c r="J58" s="205">
        <f>FEBRERO!L58</f>
        <v>0</v>
      </c>
      <c r="K58" s="208">
        <v>0</v>
      </c>
      <c r="L58" s="205">
        <f>SUM(J58:K58)</f>
        <v>0</v>
      </c>
      <c r="M58" s="205">
        <f>F58-I58</f>
        <v>8042608</v>
      </c>
      <c r="N58" s="206">
        <f>F58-L58</f>
        <v>8042608</v>
      </c>
      <c r="O58" s="736"/>
      <c r="P58" s="204">
        <v>0</v>
      </c>
      <c r="Q58" s="210">
        <v>0</v>
      </c>
      <c r="R58" s="903"/>
      <c r="S58" s="266">
        <f>+IF(FEBRERO!S58=0,"",FEBRERO!S58)</f>
        <v>1010402</v>
      </c>
      <c r="T58" s="534" t="str">
        <f>+IF(FEBRERO!T58=0,"",FEBRERO!T58)</f>
        <v>Contribuciones - Otros</v>
      </c>
      <c r="U58" s="301">
        <f t="shared" ref="U58:AJ58" si="61">SUM(U59:U60)</f>
        <v>326592555</v>
      </c>
      <c r="V58" s="220">
        <f t="shared" si="61"/>
        <v>0</v>
      </c>
      <c r="W58" s="220">
        <f t="shared" si="61"/>
        <v>0</v>
      </c>
      <c r="X58" s="220">
        <f t="shared" si="61"/>
        <v>326592555</v>
      </c>
      <c r="Y58" s="270">
        <f t="shared" si="61"/>
        <v>46264500</v>
      </c>
      <c r="Z58" s="300">
        <f t="shared" si="61"/>
        <v>24223300</v>
      </c>
      <c r="AA58" s="269">
        <f t="shared" si="61"/>
        <v>70487800</v>
      </c>
      <c r="AB58" s="270">
        <f t="shared" si="61"/>
        <v>46264500</v>
      </c>
      <c r="AC58" s="300">
        <f t="shared" si="61"/>
        <v>24223300</v>
      </c>
      <c r="AD58" s="269">
        <f t="shared" si="61"/>
        <v>70487800</v>
      </c>
      <c r="AE58" s="270">
        <f t="shared" si="61"/>
        <v>46264500</v>
      </c>
      <c r="AF58" s="300">
        <f t="shared" si="61"/>
        <v>24223300</v>
      </c>
      <c r="AG58" s="269">
        <f t="shared" si="61"/>
        <v>70487800</v>
      </c>
      <c r="AH58" s="270">
        <f t="shared" si="61"/>
        <v>256104755</v>
      </c>
      <c r="AI58" s="220">
        <f t="shared" si="61"/>
        <v>256104755</v>
      </c>
      <c r="AJ58" s="269">
        <f t="shared" si="61"/>
        <v>256104755</v>
      </c>
      <c r="AK58" s="903"/>
      <c r="AL58" s="301">
        <f>SUM(AL59:AL60)</f>
        <v>0</v>
      </c>
      <c r="AM58" s="302">
        <f>SUM(AM59:AM60)</f>
        <v>0</v>
      </c>
    </row>
    <row r="59" spans="1:39" ht="24.75" customHeight="1">
      <c r="A59" s="202" t="str">
        <f>+IF(FEBRERO!A59=0,"",FEBRERO!A59)</f>
        <v>1.1.02.05.001.09.02.09.99</v>
      </c>
      <c r="B59" s="331" t="str">
        <f>+IF(FEBRERO!B59=0,"",FEBRERO!B59)</f>
        <v>Vigencia Anterior</v>
      </c>
      <c r="C59" s="204">
        <f>+ENERO!C59</f>
        <v>0</v>
      </c>
      <c r="D59" s="205">
        <f>FEBRERO!D59+MARZO!P59</f>
        <v>0</v>
      </c>
      <c r="E59" s="205">
        <f>FEBRERO!E59+MARZO!Q59</f>
        <v>0</v>
      </c>
      <c r="F59" s="205">
        <f>SUM(C59:E59)</f>
        <v>0</v>
      </c>
      <c r="G59" s="205">
        <f>FEBRERO!I59</f>
        <v>0</v>
      </c>
      <c r="H59" s="208"/>
      <c r="I59" s="205">
        <f>SUM(G59:H59)</f>
        <v>0</v>
      </c>
      <c r="J59" s="205">
        <f>FEBRERO!L59</f>
        <v>0</v>
      </c>
      <c r="K59" s="208"/>
      <c r="L59" s="205">
        <f>SUM(J59:K59)</f>
        <v>0</v>
      </c>
      <c r="M59" s="205">
        <f>F59-I59</f>
        <v>0</v>
      </c>
      <c r="N59" s="206">
        <f>F59-L59</f>
        <v>0</v>
      </c>
      <c r="O59" s="736"/>
      <c r="P59" s="204">
        <v>0</v>
      </c>
      <c r="Q59" s="210">
        <v>0</v>
      </c>
      <c r="R59" s="903"/>
      <c r="S59" s="311" t="str">
        <f>+IF(FEBRERO!S59=0,"",FEBRERO!S59)</f>
        <v>2.1.1.01.02.006</v>
      </c>
      <c r="T59" s="534" t="str">
        <f>+IF(FEBRERO!T59=0,"",FEBRERO!T59)</f>
        <v>I.C.B.F.</v>
      </c>
      <c r="U59" s="301">
        <f>+ENERO!U59</f>
        <v>195955533</v>
      </c>
      <c r="V59" s="220">
        <f>FEBRERO!V59+MARZO!AL59</f>
        <v>0</v>
      </c>
      <c r="W59" s="220">
        <f>FEBRERO!W59+MARZO!AM59</f>
        <v>0</v>
      </c>
      <c r="X59" s="271">
        <f>SUM(U59:W59)</f>
        <v>195955533</v>
      </c>
      <c r="Y59" s="270">
        <f>FEBRERO!AA59</f>
        <v>27756000</v>
      </c>
      <c r="Z59" s="208">
        <v>14532900</v>
      </c>
      <c r="AA59" s="269">
        <f>SUM(Y59:Z59)</f>
        <v>42288900</v>
      </c>
      <c r="AB59" s="270">
        <f>FEBRERO!AD59</f>
        <v>27756000</v>
      </c>
      <c r="AC59" s="208">
        <v>14532900</v>
      </c>
      <c r="AD59" s="269">
        <f>SUM(AB59:AC59)</f>
        <v>42288900</v>
      </c>
      <c r="AE59" s="270">
        <f>FEBRERO!AG59</f>
        <v>27756000</v>
      </c>
      <c r="AF59" s="208">
        <v>14532900</v>
      </c>
      <c r="AG59" s="269">
        <f>SUM(AE59:AF59)</f>
        <v>42288900</v>
      </c>
      <c r="AH59" s="270">
        <f>X59-AA59</f>
        <v>153666633</v>
      </c>
      <c r="AI59" s="220">
        <f>X59-AD59</f>
        <v>153666633</v>
      </c>
      <c r="AJ59" s="269">
        <f>X59-AG59</f>
        <v>153666633</v>
      </c>
      <c r="AK59" s="903"/>
      <c r="AL59" s="204">
        <v>0</v>
      </c>
      <c r="AM59" s="210">
        <v>0</v>
      </c>
    </row>
    <row r="60" spans="1:39" ht="24.75" customHeight="1">
      <c r="A60" s="286" t="str">
        <f>+IF(FEBRERO!A60=0,"",FEBRERO!A60)</f>
        <v>1.1.02.05.001.09.02.10</v>
      </c>
      <c r="B60" s="319" t="str">
        <f>+IF(FEBRERO!B60=0,"",FEBRERO!B60)</f>
        <v>IPS PUBLICAS</v>
      </c>
      <c r="C60" s="288">
        <f t="shared" ref="C60:N60" si="62">SUM(C61:C62)</f>
        <v>46623238</v>
      </c>
      <c r="D60" s="320">
        <f t="shared" si="62"/>
        <v>0</v>
      </c>
      <c r="E60" s="320">
        <f t="shared" si="62"/>
        <v>0</v>
      </c>
      <c r="F60" s="320">
        <f t="shared" si="62"/>
        <v>46623238</v>
      </c>
      <c r="G60" s="320">
        <f t="shared" si="62"/>
        <v>9453510</v>
      </c>
      <c r="H60" s="320">
        <f t="shared" si="62"/>
        <v>3742767</v>
      </c>
      <c r="I60" s="679">
        <f t="shared" si="62"/>
        <v>13196277</v>
      </c>
      <c r="J60" s="320">
        <f t="shared" si="62"/>
        <v>6148329</v>
      </c>
      <c r="K60" s="320">
        <f t="shared" si="62"/>
        <v>3654532</v>
      </c>
      <c r="L60" s="320">
        <f t="shared" si="62"/>
        <v>9802861</v>
      </c>
      <c r="M60" s="320">
        <f t="shared" si="62"/>
        <v>33426961</v>
      </c>
      <c r="N60" s="289">
        <f t="shared" si="62"/>
        <v>36820377</v>
      </c>
      <c r="O60" s="736"/>
      <c r="P60" s="288">
        <f>SUM(P61:P62)</f>
        <v>0</v>
      </c>
      <c r="Q60" s="289">
        <f>SUM(Q61:Q62)</f>
        <v>0</v>
      </c>
      <c r="R60" s="903"/>
      <c r="S60" s="311" t="str">
        <f>+IF(FEBRERO!S60=0,"",FEBRERO!S60)</f>
        <v>2.1.1.01.02.007</v>
      </c>
      <c r="T60" s="534" t="str">
        <f>+IF(FEBRERO!T60=0,"",FEBRERO!T60)</f>
        <v>SENA</v>
      </c>
      <c r="U60" s="301">
        <f>+ENERO!U60</f>
        <v>130637022</v>
      </c>
      <c r="V60" s="220">
        <f>FEBRERO!V60+MARZO!AL60</f>
        <v>0</v>
      </c>
      <c r="W60" s="220">
        <f>FEBRERO!W60+MARZO!AM60</f>
        <v>0</v>
      </c>
      <c r="X60" s="271">
        <f>SUM(U60:W60)</f>
        <v>130637022</v>
      </c>
      <c r="Y60" s="270">
        <f>FEBRERO!AA60</f>
        <v>18508500</v>
      </c>
      <c r="Z60" s="208">
        <v>9690400</v>
      </c>
      <c r="AA60" s="269">
        <f>SUM(Y60:Z60)</f>
        <v>28198900</v>
      </c>
      <c r="AB60" s="270">
        <f>FEBRERO!AD60</f>
        <v>18508500</v>
      </c>
      <c r="AC60" s="208">
        <v>9690400</v>
      </c>
      <c r="AD60" s="269">
        <f>SUM(AB60:AC60)</f>
        <v>28198900</v>
      </c>
      <c r="AE60" s="270">
        <f>FEBRERO!AG60</f>
        <v>18508500</v>
      </c>
      <c r="AF60" s="208">
        <v>9690400</v>
      </c>
      <c r="AG60" s="269">
        <f>SUM(AE60:AF60)</f>
        <v>28198900</v>
      </c>
      <c r="AH60" s="270">
        <f>X60-AA60</f>
        <v>102438122</v>
      </c>
      <c r="AI60" s="220">
        <f>X60-AD60</f>
        <v>102438122</v>
      </c>
      <c r="AJ60" s="269">
        <f>X60-AG60</f>
        <v>102438122</v>
      </c>
      <c r="AK60" s="903"/>
      <c r="AL60" s="204">
        <v>0</v>
      </c>
      <c r="AM60" s="210">
        <v>0</v>
      </c>
    </row>
    <row r="61" spans="1:39" ht="24.75" customHeight="1">
      <c r="A61" s="202" t="str">
        <f>+IF(FEBRERO!A61=0,"",FEBRERO!A61)</f>
        <v>1.1.02.05.001.09.02.10</v>
      </c>
      <c r="B61" s="331" t="str">
        <f>+CONCATENATE("Vigencia ",INSTRUCCIONES!$F$3)</f>
        <v>Vigencia 2025</v>
      </c>
      <c r="C61" s="204">
        <f>+ENERO!C61</f>
        <v>46623238</v>
      </c>
      <c r="D61" s="205">
        <f>FEBRERO!D61+MARZO!P61</f>
        <v>0</v>
      </c>
      <c r="E61" s="205">
        <f>FEBRERO!E61+MARZO!Q61</f>
        <v>0</v>
      </c>
      <c r="F61" s="205">
        <f>SUM(C61:E61)</f>
        <v>46623238</v>
      </c>
      <c r="G61" s="205">
        <f>FEBRERO!I61</f>
        <v>3305181</v>
      </c>
      <c r="H61" s="208">
        <v>88235</v>
      </c>
      <c r="I61" s="680">
        <f>SUM(G61:H61)</f>
        <v>3393416</v>
      </c>
      <c r="J61" s="205">
        <f>FEBRERO!L61</f>
        <v>0</v>
      </c>
      <c r="K61" s="208">
        <v>0</v>
      </c>
      <c r="L61" s="205">
        <f>SUM(J61:K61)</f>
        <v>0</v>
      </c>
      <c r="M61" s="205">
        <f>F61-I61</f>
        <v>43229822</v>
      </c>
      <c r="N61" s="206">
        <f>F61-L61</f>
        <v>46623238</v>
      </c>
      <c r="O61" s="736"/>
      <c r="P61" s="204">
        <v>0</v>
      </c>
      <c r="Q61" s="210">
        <v>0</v>
      </c>
      <c r="R61" s="903"/>
      <c r="S61" s="266">
        <f>+IF(FEBRERO!S61=0,"",FEBRERO!S61)</f>
        <v>1010499</v>
      </c>
      <c r="T61" s="534" t="str">
        <f>+IF(FEBRERO!T61=0,"",FEBRERO!T61)</f>
        <v>Vigencias Anteriores</v>
      </c>
      <c r="U61" s="301">
        <f>+ENERO!U61</f>
        <v>0</v>
      </c>
      <c r="V61" s="220">
        <f>FEBRERO!V61+MARZO!AL61</f>
        <v>0</v>
      </c>
      <c r="W61" s="220">
        <f>FEBRERO!W61+MARZO!AM61</f>
        <v>0</v>
      </c>
      <c r="X61" s="271">
        <f>SUM(U61:W61)</f>
        <v>0</v>
      </c>
      <c r="Y61" s="270">
        <f>FEBRERO!AA61</f>
        <v>0</v>
      </c>
      <c r="Z61" s="208">
        <v>0</v>
      </c>
      <c r="AA61" s="269">
        <f>SUM(Y61:Z61)</f>
        <v>0</v>
      </c>
      <c r="AB61" s="270">
        <f>FEBRERO!AD61</f>
        <v>0</v>
      </c>
      <c r="AC61" s="208">
        <v>0</v>
      </c>
      <c r="AD61" s="269">
        <f>SUM(AB61:AC61)</f>
        <v>0</v>
      </c>
      <c r="AE61" s="270">
        <f>FEBRERO!AG61</f>
        <v>0</v>
      </c>
      <c r="AF61" s="208">
        <v>0</v>
      </c>
      <c r="AG61" s="269">
        <f>SUM(AE61:AF61)</f>
        <v>0</v>
      </c>
      <c r="AH61" s="270">
        <f>X61-AA61</f>
        <v>0</v>
      </c>
      <c r="AI61" s="220">
        <f>X61-AD61</f>
        <v>0</v>
      </c>
      <c r="AJ61" s="269">
        <f>X61-AG61</f>
        <v>0</v>
      </c>
      <c r="AK61" s="903"/>
      <c r="AL61" s="204">
        <v>0</v>
      </c>
      <c r="AM61" s="210">
        <v>0</v>
      </c>
    </row>
    <row r="62" spans="1:39" ht="24.75" customHeight="1">
      <c r="A62" s="202" t="str">
        <f>+IF(FEBRERO!A62=0,"",FEBRERO!A62)</f>
        <v>1.1.02.05.001.09.02.10.99</v>
      </c>
      <c r="B62" s="331" t="str">
        <f>+IF(FEBRERO!B62=0,"",FEBRERO!B62)</f>
        <v>Vigencia Anterior</v>
      </c>
      <c r="C62" s="204">
        <f>+ENERO!C62</f>
        <v>0</v>
      </c>
      <c r="D62" s="205">
        <f>FEBRERO!D62+MARZO!P62</f>
        <v>0</v>
      </c>
      <c r="E62" s="205">
        <f>FEBRERO!E62+MARZO!Q62</f>
        <v>0</v>
      </c>
      <c r="F62" s="205">
        <f>SUM(C62:E62)</f>
        <v>0</v>
      </c>
      <c r="G62" s="205">
        <f>FEBRERO!I62</f>
        <v>6148329</v>
      </c>
      <c r="H62" s="208">
        <v>3654532</v>
      </c>
      <c r="I62" s="680">
        <f>SUM(G62:H62)</f>
        <v>9802861</v>
      </c>
      <c r="J62" s="205">
        <f>FEBRERO!L62</f>
        <v>6148329</v>
      </c>
      <c r="K62" s="208">
        <v>3654532</v>
      </c>
      <c r="L62" s="680">
        <f>SUM(J62:K62)</f>
        <v>9802861</v>
      </c>
      <c r="M62" s="1158">
        <f>F62-I62</f>
        <v>-9802861</v>
      </c>
      <c r="N62" s="1159">
        <f>F62-L62</f>
        <v>-9802861</v>
      </c>
      <c r="O62" s="736"/>
      <c r="P62" s="204">
        <v>0</v>
      </c>
      <c r="Q62" s="210">
        <v>0</v>
      </c>
      <c r="R62" s="903"/>
      <c r="S62" s="189">
        <f>+IF(FEBRERO!S62=0,"",FEBRERO!S62)</f>
        <v>1174808</v>
      </c>
      <c r="T62" s="488" t="str">
        <f>+IF(FEBRERO!T62=0,"",FEBRERO!T62)</f>
        <v/>
      </c>
      <c r="U62" s="193"/>
      <c r="V62" s="191"/>
      <c r="W62" s="191"/>
      <c r="X62" s="191"/>
      <c r="Y62" s="193"/>
      <c r="Z62" s="191"/>
      <c r="AA62" s="192"/>
      <c r="AB62" s="193"/>
      <c r="AC62" s="191"/>
      <c r="AD62" s="192"/>
      <c r="AE62" s="193"/>
      <c r="AF62" s="191"/>
      <c r="AG62" s="192"/>
      <c r="AH62" s="193"/>
      <c r="AI62" s="191"/>
      <c r="AJ62" s="192"/>
      <c r="AK62" s="907"/>
      <c r="AL62" s="370"/>
      <c r="AM62" s="371"/>
    </row>
    <row r="63" spans="1:39" ht="24.75" customHeight="1">
      <c r="A63" s="286" t="str">
        <f>+IF(FEBRERO!A63=0,"",FEBRERO!A63)</f>
        <v>1.1.02.05.001.09.02.90.01</v>
      </c>
      <c r="B63" s="319" t="str">
        <f>+IF(FEBRERO!B63=0,"",FEBRERO!B63)</f>
        <v>COMPAÑIAS DE SEGUROS  - ACCIDENTES DE TRANSITO (SOAT)</v>
      </c>
      <c r="C63" s="288">
        <f t="shared" ref="C63:N63" si="63">SUM(C64:C65)</f>
        <v>2461795617.04175</v>
      </c>
      <c r="D63" s="320">
        <f t="shared" si="63"/>
        <v>0</v>
      </c>
      <c r="E63" s="320">
        <f t="shared" si="63"/>
        <v>0</v>
      </c>
      <c r="F63" s="320">
        <f t="shared" si="63"/>
        <v>2461795617.04175</v>
      </c>
      <c r="G63" s="320">
        <f t="shared" si="63"/>
        <v>662931935</v>
      </c>
      <c r="H63" s="320">
        <f t="shared" si="63"/>
        <v>200644042</v>
      </c>
      <c r="I63" s="679">
        <f t="shared" si="63"/>
        <v>863575977</v>
      </c>
      <c r="J63" s="320">
        <f t="shared" si="63"/>
        <v>381157256</v>
      </c>
      <c r="K63" s="320">
        <f t="shared" si="63"/>
        <v>103791108</v>
      </c>
      <c r="L63" s="679">
        <f t="shared" si="63"/>
        <v>484948364</v>
      </c>
      <c r="M63" s="320">
        <f t="shared" si="63"/>
        <v>1598219640.04175</v>
      </c>
      <c r="N63" s="289">
        <f t="shared" si="63"/>
        <v>1976847253.04175</v>
      </c>
      <c r="O63" s="736"/>
      <c r="P63" s="288">
        <f>SUM(P64:P65)</f>
        <v>0</v>
      </c>
      <c r="Q63" s="289">
        <f>SUM(Q64:Q65)</f>
        <v>0</v>
      </c>
      <c r="R63" s="903"/>
      <c r="S63" s="228">
        <f>+IF(FEBRERO!S63=0,"",FEBRERO!S63)</f>
        <v>1020010</v>
      </c>
      <c r="T63" s="531" t="str">
        <f>+IF(FEBRERO!T63=0,"",FEBRERO!T63)</f>
        <v>Gastos de Operación</v>
      </c>
      <c r="U63" s="233">
        <f t="shared" ref="U63:AJ63" si="64">U65+U83+U90+U104</f>
        <v>64518803470</v>
      </c>
      <c r="V63" s="231">
        <f t="shared" si="64"/>
        <v>-73000000</v>
      </c>
      <c r="W63" s="231">
        <f t="shared" si="64"/>
        <v>0</v>
      </c>
      <c r="X63" s="234">
        <f t="shared" si="64"/>
        <v>64445803470</v>
      </c>
      <c r="Y63" s="233">
        <f t="shared" si="64"/>
        <v>39447075317</v>
      </c>
      <c r="Z63" s="231">
        <f t="shared" si="64"/>
        <v>4798448455</v>
      </c>
      <c r="AA63" s="232">
        <f t="shared" si="64"/>
        <v>44245523772</v>
      </c>
      <c r="AB63" s="233">
        <f t="shared" si="64"/>
        <v>17890278576</v>
      </c>
      <c r="AC63" s="231">
        <f t="shared" si="64"/>
        <v>8695668270</v>
      </c>
      <c r="AD63" s="232">
        <f t="shared" si="64"/>
        <v>26585946846</v>
      </c>
      <c r="AE63" s="233">
        <f t="shared" si="64"/>
        <v>9133395237</v>
      </c>
      <c r="AF63" s="231">
        <f t="shared" si="64"/>
        <v>4511518936</v>
      </c>
      <c r="AG63" s="232">
        <f t="shared" si="64"/>
        <v>13644914173</v>
      </c>
      <c r="AH63" s="233">
        <f t="shared" si="64"/>
        <v>20200279698</v>
      </c>
      <c r="AI63" s="231">
        <f t="shared" si="64"/>
        <v>37859856624</v>
      </c>
      <c r="AJ63" s="232">
        <f t="shared" si="64"/>
        <v>50800889297</v>
      </c>
      <c r="AK63" s="903"/>
      <c r="AL63" s="233">
        <f>AL65+AL83+AL90+AL104</f>
        <v>-373000000</v>
      </c>
      <c r="AM63" s="232">
        <f>AM65+AM83+AM90+AM104</f>
        <v>0</v>
      </c>
    </row>
    <row r="64" spans="1:39" ht="24.75" customHeight="1">
      <c r="A64" s="202" t="str">
        <f>+IF(FEBRERO!A64=0,"",FEBRERO!A64)</f>
        <v>1.1.02.05.001.09.02.90.01</v>
      </c>
      <c r="B64" s="331" t="str">
        <f>+CONCATENATE("Vigencia ",INSTRUCCIONES!$F$3)</f>
        <v>Vigencia 2025</v>
      </c>
      <c r="C64" s="204">
        <f>+ENERO!C64</f>
        <v>2137731076.9417498</v>
      </c>
      <c r="D64" s="205">
        <f>FEBRERO!D64+MARZO!P64</f>
        <v>0</v>
      </c>
      <c r="E64" s="205">
        <f>FEBRERO!E64+MARZO!Q64</f>
        <v>0</v>
      </c>
      <c r="F64" s="205">
        <f>SUM(C64:E64)</f>
        <v>2137731076.9417498</v>
      </c>
      <c r="G64" s="205">
        <f>FEBRERO!I64</f>
        <v>355530016</v>
      </c>
      <c r="H64" s="208">
        <v>194780905</v>
      </c>
      <c r="I64" s="680">
        <f>SUM(G64:H64)</f>
        <v>550310921</v>
      </c>
      <c r="J64" s="205">
        <f>FEBRERO!L64</f>
        <v>73755337</v>
      </c>
      <c r="K64" s="208">
        <v>97927971</v>
      </c>
      <c r="L64" s="680">
        <f>SUM(J64:K64)</f>
        <v>171683308</v>
      </c>
      <c r="M64" s="205">
        <f>F64-I64</f>
        <v>1587420155.9417498</v>
      </c>
      <c r="N64" s="206">
        <f>F64-L64</f>
        <v>1966047768.9417498</v>
      </c>
      <c r="O64" s="736"/>
      <c r="P64" s="204">
        <v>0</v>
      </c>
      <c r="Q64" s="210">
        <v>0</v>
      </c>
      <c r="R64" s="903"/>
      <c r="S64" s="189">
        <f>+IF(FEBRERO!S64=0,"",FEBRERO!S64)</f>
        <v>2290826</v>
      </c>
      <c r="T64" s="488" t="str">
        <f>+IF(FEBRERO!T64=0,"",FEBRERO!T64)</f>
        <v/>
      </c>
      <c r="U64" s="193"/>
      <c r="V64" s="191"/>
      <c r="W64" s="191"/>
      <c r="X64" s="191"/>
      <c r="Y64" s="193"/>
      <c r="Z64" s="191"/>
      <c r="AA64" s="192"/>
      <c r="AB64" s="193"/>
      <c r="AC64" s="191"/>
      <c r="AD64" s="192"/>
      <c r="AE64" s="193"/>
      <c r="AF64" s="191"/>
      <c r="AG64" s="192"/>
      <c r="AH64" s="193"/>
      <c r="AI64" s="191"/>
      <c r="AJ64" s="192"/>
      <c r="AK64" s="903"/>
      <c r="AL64" s="249"/>
      <c r="AM64" s="250"/>
    </row>
    <row r="65" spans="1:39" ht="24.75" customHeight="1">
      <c r="A65" s="202" t="str">
        <f>+IF(FEBRERO!A65=0,"",FEBRERO!A65)</f>
        <v>1.1.02.05.001.09.02.90.01.99</v>
      </c>
      <c r="B65" s="331" t="str">
        <f>+IF(FEBRERO!B65=0,"",FEBRERO!B65)</f>
        <v>Vigencia Anterior</v>
      </c>
      <c r="C65" s="204">
        <f>+ENERO!C65</f>
        <v>324064540.10000002</v>
      </c>
      <c r="D65" s="205">
        <f>FEBRERO!D65+MARZO!P65</f>
        <v>0</v>
      </c>
      <c r="E65" s="205">
        <f>FEBRERO!E65+MARZO!Q65</f>
        <v>0</v>
      </c>
      <c r="F65" s="205">
        <f>SUM(C65:E65)</f>
        <v>324064540.10000002</v>
      </c>
      <c r="G65" s="205">
        <f>FEBRERO!I65</f>
        <v>307401919</v>
      </c>
      <c r="H65" s="208">
        <v>5863137</v>
      </c>
      <c r="I65" s="680">
        <f>SUM(G65:H65)</f>
        <v>313265056</v>
      </c>
      <c r="J65" s="205">
        <f>FEBRERO!L65</f>
        <v>307401919</v>
      </c>
      <c r="K65" s="208">
        <v>5863137</v>
      </c>
      <c r="L65" s="680">
        <f>SUM(J65:K65)</f>
        <v>313265056</v>
      </c>
      <c r="M65" s="205">
        <f>F65-I65</f>
        <v>10799484.100000024</v>
      </c>
      <c r="N65" s="206">
        <f>F65-L65</f>
        <v>10799484.100000024</v>
      </c>
      <c r="O65" s="736"/>
      <c r="P65" s="204">
        <v>0</v>
      </c>
      <c r="Q65" s="210">
        <v>0</v>
      </c>
      <c r="R65" s="903"/>
      <c r="S65" s="257" t="str">
        <f>+IF(FEBRERO!S65=0,"",FEBRERO!S65)</f>
        <v>2.1.1.01.01-1</v>
      </c>
      <c r="T65" s="532" t="str">
        <f>+IF(FEBRERO!T65=0,"",FEBRERO!T65)</f>
        <v>Servicios Personales Asociados a Nómina</v>
      </c>
      <c r="U65" s="233">
        <f t="shared" ref="U65:AJ65" si="65">SUM(U66:U69)+U81</f>
        <v>0</v>
      </c>
      <c r="V65" s="231">
        <f t="shared" si="65"/>
        <v>0</v>
      </c>
      <c r="W65" s="231">
        <f t="shared" si="65"/>
        <v>0</v>
      </c>
      <c r="X65" s="234">
        <f t="shared" si="65"/>
        <v>0</v>
      </c>
      <c r="Y65" s="233">
        <f t="shared" si="65"/>
        <v>0</v>
      </c>
      <c r="Z65" s="231">
        <f t="shared" si="65"/>
        <v>0</v>
      </c>
      <c r="AA65" s="232">
        <f t="shared" si="65"/>
        <v>0</v>
      </c>
      <c r="AB65" s="233">
        <f t="shared" si="65"/>
        <v>0</v>
      </c>
      <c r="AC65" s="231">
        <f t="shared" si="65"/>
        <v>0</v>
      </c>
      <c r="AD65" s="232">
        <f t="shared" si="65"/>
        <v>0</v>
      </c>
      <c r="AE65" s="233">
        <f t="shared" si="65"/>
        <v>0</v>
      </c>
      <c r="AF65" s="231">
        <f t="shared" si="65"/>
        <v>0</v>
      </c>
      <c r="AG65" s="232">
        <f t="shared" si="65"/>
        <v>0</v>
      </c>
      <c r="AH65" s="233">
        <f t="shared" si="65"/>
        <v>0</v>
      </c>
      <c r="AI65" s="231">
        <f t="shared" si="65"/>
        <v>0</v>
      </c>
      <c r="AJ65" s="232">
        <f t="shared" si="65"/>
        <v>0</v>
      </c>
      <c r="AK65" s="903"/>
      <c r="AL65" s="233">
        <f>SUM(AL66:AL69)+AL81</f>
        <v>0</v>
      </c>
      <c r="AM65" s="232">
        <f>SUM(AM66:AM69)+AM81</f>
        <v>0</v>
      </c>
    </row>
    <row r="66" spans="1:39" ht="24.75" customHeight="1">
      <c r="A66" s="286" t="str">
        <f>+IF(FEBRERO!A66=0,"",FEBRERO!A66)</f>
        <v>1.1.02.05.001.09.02.18.01</v>
      </c>
      <c r="B66" s="319" t="str">
        <f>+IF(FEBRERO!B66=0,"",FEBRERO!B66)</f>
        <v xml:space="preserve">COMPAÑIAS DE SEGUROS  - PLANES DE SALUD </v>
      </c>
      <c r="C66" s="288">
        <f t="shared" ref="C66:N66" si="66">SUM(C67:C68)</f>
        <v>185631948</v>
      </c>
      <c r="D66" s="320">
        <f t="shared" si="66"/>
        <v>0</v>
      </c>
      <c r="E66" s="320">
        <f t="shared" si="66"/>
        <v>0</v>
      </c>
      <c r="F66" s="320">
        <f t="shared" si="66"/>
        <v>185631948</v>
      </c>
      <c r="G66" s="320">
        <f t="shared" si="66"/>
        <v>17742020</v>
      </c>
      <c r="H66" s="320">
        <f t="shared" si="66"/>
        <v>17836705</v>
      </c>
      <c r="I66" s="679">
        <f t="shared" si="66"/>
        <v>35578725</v>
      </c>
      <c r="J66" s="320">
        <f t="shared" si="66"/>
        <v>0</v>
      </c>
      <c r="K66" s="320">
        <f t="shared" si="66"/>
        <v>7302892</v>
      </c>
      <c r="L66" s="679">
        <f t="shared" si="66"/>
        <v>7302892</v>
      </c>
      <c r="M66" s="320">
        <f t="shared" si="66"/>
        <v>150053223</v>
      </c>
      <c r="N66" s="289">
        <f t="shared" si="66"/>
        <v>178329056</v>
      </c>
      <c r="O66" s="736"/>
      <c r="P66" s="288">
        <f>SUM(P67:P68)</f>
        <v>0</v>
      </c>
      <c r="Q66" s="289">
        <f>SUM(Q67:Q68)</f>
        <v>0</v>
      </c>
      <c r="R66" s="903"/>
      <c r="S66" s="266" t="str">
        <f>+IF(FEBRERO!S66=0,"",FEBRERO!S66)</f>
        <v>2.1.1.01.01.001.01-1</v>
      </c>
      <c r="T66" s="534" t="str">
        <f>+IF(FEBRERO!T66=0,"",FEBRERO!T66)</f>
        <v>Sueldos del Personal de nómina</v>
      </c>
      <c r="U66" s="301">
        <f>+ENERO!U66</f>
        <v>0</v>
      </c>
      <c r="V66" s="220">
        <f>FEBRERO!V66+MARZO!AL66</f>
        <v>0</v>
      </c>
      <c r="W66" s="220">
        <f>FEBRERO!W66+MARZO!AM66</f>
        <v>0</v>
      </c>
      <c r="X66" s="271">
        <f>SUM(U66:W66)</f>
        <v>0</v>
      </c>
      <c r="Y66" s="270">
        <f>FEBRERO!AA66</f>
        <v>0</v>
      </c>
      <c r="Z66" s="208">
        <v>0</v>
      </c>
      <c r="AA66" s="269">
        <f>SUM(Y66:Z66)</f>
        <v>0</v>
      </c>
      <c r="AB66" s="270">
        <f>FEBRERO!AD66</f>
        <v>0</v>
      </c>
      <c r="AC66" s="208">
        <v>0</v>
      </c>
      <c r="AD66" s="269">
        <f>SUM(AB66:AC66)</f>
        <v>0</v>
      </c>
      <c r="AE66" s="270">
        <f>FEBRERO!AG66</f>
        <v>0</v>
      </c>
      <c r="AF66" s="208">
        <v>0</v>
      </c>
      <c r="AG66" s="269">
        <f>SUM(AE66:AF66)</f>
        <v>0</v>
      </c>
      <c r="AH66" s="270">
        <f>X66-AA66</f>
        <v>0</v>
      </c>
      <c r="AI66" s="220">
        <f>X66-AD66</f>
        <v>0</v>
      </c>
      <c r="AJ66" s="269">
        <f>X66-AG66</f>
        <v>0</v>
      </c>
      <c r="AK66" s="903"/>
      <c r="AL66" s="204">
        <v>0</v>
      </c>
      <c r="AM66" s="210">
        <v>0</v>
      </c>
    </row>
    <row r="67" spans="1:39" ht="24.75" customHeight="1">
      <c r="A67" s="202" t="str">
        <f>+IF(FEBRERO!A67=0,"",FEBRERO!A67)</f>
        <v>1.1.02.05.001.09.02.18.01</v>
      </c>
      <c r="B67" s="331" t="str">
        <f>+CONCATENATE("Vigencia ",INSTRUCCIONES!$F$3)</f>
        <v>Vigencia 2025</v>
      </c>
      <c r="C67" s="204">
        <f>+ENERO!C67</f>
        <v>111911928</v>
      </c>
      <c r="D67" s="205">
        <f>FEBRERO!D67+MARZO!P67</f>
        <v>0</v>
      </c>
      <c r="E67" s="205">
        <f>FEBRERO!E67+MARZO!Q67</f>
        <v>0</v>
      </c>
      <c r="F67" s="205">
        <f>SUM(C67:E67)</f>
        <v>111911928</v>
      </c>
      <c r="G67" s="205">
        <f>FEBRERO!I67</f>
        <v>17742020</v>
      </c>
      <c r="H67" s="208">
        <v>10853896</v>
      </c>
      <c r="I67" s="680">
        <f>SUM(G67:H67)</f>
        <v>28595916</v>
      </c>
      <c r="J67" s="205">
        <f>FEBRERO!L67</f>
        <v>0</v>
      </c>
      <c r="K67" s="208">
        <v>320083</v>
      </c>
      <c r="L67" s="680">
        <f>SUM(J67:K67)</f>
        <v>320083</v>
      </c>
      <c r="M67" s="205">
        <f>F67-I67</f>
        <v>83316012</v>
      </c>
      <c r="N67" s="206">
        <f>F67-L67</f>
        <v>111591845</v>
      </c>
      <c r="O67" s="736"/>
      <c r="P67" s="204">
        <v>0</v>
      </c>
      <c r="Q67" s="210">
        <v>0</v>
      </c>
      <c r="R67" s="903"/>
      <c r="S67" s="266" t="str">
        <f>+IF(FEBRERO!S67=0,"",FEBRERO!S67)</f>
        <v>2.1.1.01.01.001.02-1</v>
      </c>
      <c r="T67" s="534" t="str">
        <f>+IF(FEBRERO!T67=0,"",FEBRERO!T67)</f>
        <v>Horas Extras,Dominic.,Festivos y Rec. Nocturnos</v>
      </c>
      <c r="U67" s="301">
        <f>+ENERO!U67</f>
        <v>0</v>
      </c>
      <c r="V67" s="220">
        <f>FEBRERO!V67+MARZO!AL67</f>
        <v>0</v>
      </c>
      <c r="W67" s="220">
        <f>FEBRERO!W67+MARZO!AM67</f>
        <v>0</v>
      </c>
      <c r="X67" s="271">
        <f>SUM(U67:W67)</f>
        <v>0</v>
      </c>
      <c r="Y67" s="270">
        <f>FEBRERO!AA67</f>
        <v>0</v>
      </c>
      <c r="Z67" s="208">
        <v>0</v>
      </c>
      <c r="AA67" s="269">
        <f>SUM(Y67:Z67)</f>
        <v>0</v>
      </c>
      <c r="AB67" s="270">
        <f>FEBRERO!AD67</f>
        <v>0</v>
      </c>
      <c r="AC67" s="208">
        <v>0</v>
      </c>
      <c r="AD67" s="269">
        <f>SUM(AB67:AC67)</f>
        <v>0</v>
      </c>
      <c r="AE67" s="270">
        <f>FEBRERO!AG67</f>
        <v>0</v>
      </c>
      <c r="AF67" s="208">
        <v>0</v>
      </c>
      <c r="AG67" s="269">
        <f>SUM(AE67:AF67)</f>
        <v>0</v>
      </c>
      <c r="AH67" s="270">
        <f>X67-AA67</f>
        <v>0</v>
      </c>
      <c r="AI67" s="220">
        <f>X67-AD67</f>
        <v>0</v>
      </c>
      <c r="AJ67" s="269">
        <f>X67-AG67</f>
        <v>0</v>
      </c>
      <c r="AK67" s="903"/>
      <c r="AL67" s="204">
        <v>0</v>
      </c>
      <c r="AM67" s="210">
        <v>0</v>
      </c>
    </row>
    <row r="68" spans="1:39" ht="24.75" customHeight="1">
      <c r="A68" s="202" t="str">
        <f>+IF(FEBRERO!A68=0,"",FEBRERO!A68)</f>
        <v>1.1.02.05.001.09.02.18.01.99</v>
      </c>
      <c r="B68" s="331" t="str">
        <f>+IF(FEBRERO!B68=0,"",FEBRERO!B68)</f>
        <v>Vigencia Anterior</v>
      </c>
      <c r="C68" s="204">
        <f>+ENERO!C68</f>
        <v>73720020</v>
      </c>
      <c r="D68" s="205">
        <f>FEBRERO!D68+MARZO!P68</f>
        <v>0</v>
      </c>
      <c r="E68" s="205">
        <f>FEBRERO!E68+MARZO!Q68</f>
        <v>0</v>
      </c>
      <c r="F68" s="205">
        <f>SUM(C68:E68)</f>
        <v>73720020</v>
      </c>
      <c r="G68" s="205">
        <f>FEBRERO!I68</f>
        <v>0</v>
      </c>
      <c r="H68" s="208">
        <v>6982809</v>
      </c>
      <c r="I68" s="680">
        <f>SUM(G68:H68)</f>
        <v>6982809</v>
      </c>
      <c r="J68" s="205">
        <f>FEBRERO!L68</f>
        <v>0</v>
      </c>
      <c r="K68" s="208">
        <v>6982809</v>
      </c>
      <c r="L68" s="680">
        <f>SUM(J68:K68)</f>
        <v>6982809</v>
      </c>
      <c r="M68" s="205">
        <f>F68-I68</f>
        <v>66737211</v>
      </c>
      <c r="N68" s="206">
        <f>F68-L68</f>
        <v>66737211</v>
      </c>
      <c r="O68" s="736"/>
      <c r="P68" s="204">
        <v>0</v>
      </c>
      <c r="Q68" s="210">
        <v>0</v>
      </c>
      <c r="R68" s="903"/>
      <c r="S68" s="266">
        <f>+IF(FEBRERO!S68=0,"",FEBRERO!S68)</f>
        <v>1010103</v>
      </c>
      <c r="T68" s="534" t="str">
        <f>+IF(FEBRERO!T68=0,"",FEBRERO!T68)</f>
        <v>Prima Técnica</v>
      </c>
      <c r="U68" s="301">
        <f>+ENERO!U68</f>
        <v>0</v>
      </c>
      <c r="V68" s="220">
        <f>FEBRERO!V68+MARZO!AL68</f>
        <v>0</v>
      </c>
      <c r="W68" s="220">
        <f>FEBRERO!W68+MARZO!AM68</f>
        <v>0</v>
      </c>
      <c r="X68" s="271">
        <f>SUM(U68:W68)</f>
        <v>0</v>
      </c>
      <c r="Y68" s="270">
        <f>FEBRERO!AA68</f>
        <v>0</v>
      </c>
      <c r="Z68" s="208">
        <v>0</v>
      </c>
      <c r="AA68" s="269">
        <f>SUM(Y68:Z68)</f>
        <v>0</v>
      </c>
      <c r="AB68" s="270">
        <f>FEBRERO!AD68</f>
        <v>0</v>
      </c>
      <c r="AC68" s="208">
        <v>0</v>
      </c>
      <c r="AD68" s="269">
        <f>SUM(AB68:AC68)</f>
        <v>0</v>
      </c>
      <c r="AE68" s="270">
        <f>FEBRERO!AG68</f>
        <v>0</v>
      </c>
      <c r="AF68" s="208">
        <v>0</v>
      </c>
      <c r="AG68" s="269">
        <f>SUM(AE68:AF68)</f>
        <v>0</v>
      </c>
      <c r="AH68" s="270">
        <f>X68-AA68</f>
        <v>0</v>
      </c>
      <c r="AI68" s="220">
        <f>X68-AD68</f>
        <v>0</v>
      </c>
      <c r="AJ68" s="269">
        <f>X68-AG68</f>
        <v>0</v>
      </c>
      <c r="AK68" s="903"/>
      <c r="AL68" s="204">
        <v>0</v>
      </c>
      <c r="AM68" s="210">
        <v>0</v>
      </c>
    </row>
    <row r="69" spans="1:39" ht="24.75" customHeight="1">
      <c r="A69" s="286" t="str">
        <f>+IF(FEBRERO!A69=0,"",FEBRERO!A69)</f>
        <v>1.1.02.05.001.09.02.90.02</v>
      </c>
      <c r="B69" s="319" t="str">
        <f>+IF(FEBRERO!B69=0,"",FEBRERO!B69)</f>
        <v>ENTIDADES DE REGIMEN ESPECIAL (Magisterio, Fuerza Pca.)</v>
      </c>
      <c r="C69" s="288">
        <f t="shared" ref="C69:N69" si="67">SUM(C70:C71)</f>
        <v>1378696551</v>
      </c>
      <c r="D69" s="320">
        <f t="shared" si="67"/>
        <v>0</v>
      </c>
      <c r="E69" s="320">
        <f t="shared" si="67"/>
        <v>0</v>
      </c>
      <c r="F69" s="320">
        <f t="shared" si="67"/>
        <v>1378696551</v>
      </c>
      <c r="G69" s="320">
        <f t="shared" si="67"/>
        <v>716324222</v>
      </c>
      <c r="H69" s="320">
        <f t="shared" si="67"/>
        <v>166147870</v>
      </c>
      <c r="I69" s="679">
        <f t="shared" si="67"/>
        <v>882472092</v>
      </c>
      <c r="J69" s="320">
        <f t="shared" si="67"/>
        <v>277569216</v>
      </c>
      <c r="K69" s="320">
        <f t="shared" si="67"/>
        <v>0</v>
      </c>
      <c r="L69" s="679">
        <f t="shared" si="67"/>
        <v>277569216</v>
      </c>
      <c r="M69" s="320">
        <f t="shared" si="67"/>
        <v>496224459</v>
      </c>
      <c r="N69" s="289">
        <f t="shared" si="67"/>
        <v>1101127335</v>
      </c>
      <c r="O69" s="736"/>
      <c r="P69" s="288">
        <f>SUM(P70:P71)</f>
        <v>0</v>
      </c>
      <c r="Q69" s="289">
        <f>SUM(Q70:Q71)</f>
        <v>0</v>
      </c>
      <c r="R69" s="903"/>
      <c r="S69" s="266">
        <f>+IF(FEBRERO!S69=0,"",FEBRERO!S69)</f>
        <v>1010104</v>
      </c>
      <c r="T69" s="534" t="str">
        <f>+IF(FEBRERO!T69=0,"",FEBRERO!T69)</f>
        <v>Otros</v>
      </c>
      <c r="U69" s="301">
        <f t="shared" ref="U69:AJ69" si="68">SUM(U70:U80)</f>
        <v>0</v>
      </c>
      <c r="V69" s="220">
        <f t="shared" si="68"/>
        <v>0</v>
      </c>
      <c r="W69" s="220">
        <f t="shared" si="68"/>
        <v>0</v>
      </c>
      <c r="X69" s="271">
        <f t="shared" si="68"/>
        <v>0</v>
      </c>
      <c r="Y69" s="270">
        <f t="shared" si="68"/>
        <v>0</v>
      </c>
      <c r="Z69" s="300">
        <f t="shared" si="68"/>
        <v>0</v>
      </c>
      <c r="AA69" s="269">
        <f t="shared" si="68"/>
        <v>0</v>
      </c>
      <c r="AB69" s="270">
        <f t="shared" si="68"/>
        <v>0</v>
      </c>
      <c r="AC69" s="300">
        <f t="shared" si="68"/>
        <v>0</v>
      </c>
      <c r="AD69" s="269">
        <f t="shared" si="68"/>
        <v>0</v>
      </c>
      <c r="AE69" s="270">
        <f t="shared" si="68"/>
        <v>0</v>
      </c>
      <c r="AF69" s="300">
        <f t="shared" si="68"/>
        <v>0</v>
      </c>
      <c r="AG69" s="269">
        <f t="shared" si="68"/>
        <v>0</v>
      </c>
      <c r="AH69" s="270">
        <f t="shared" si="68"/>
        <v>0</v>
      </c>
      <c r="AI69" s="220">
        <f t="shared" si="68"/>
        <v>0</v>
      </c>
      <c r="AJ69" s="269">
        <f t="shared" si="68"/>
        <v>0</v>
      </c>
      <c r="AK69" s="903"/>
      <c r="AL69" s="301">
        <f>SUM(AL70:AL80)</f>
        <v>0</v>
      </c>
      <c r="AM69" s="302">
        <f>SUM(AM70:AM80)</f>
        <v>0</v>
      </c>
    </row>
    <row r="70" spans="1:39" ht="24.75" customHeight="1">
      <c r="A70" s="202" t="str">
        <f>+IF(FEBRERO!A70=0,"",FEBRERO!A70)</f>
        <v>1.1.02.05.001.09.02.90.02</v>
      </c>
      <c r="B70" s="331" t="str">
        <f>+CONCATENATE("Vigencia ",INSTRUCCIONES!$F$3)</f>
        <v>Vigencia 2025</v>
      </c>
      <c r="C70" s="204">
        <f>+ENERO!C70</f>
        <v>898696551</v>
      </c>
      <c r="D70" s="205">
        <f>FEBRERO!D70+MARZO!P70</f>
        <v>0</v>
      </c>
      <c r="E70" s="205">
        <f>FEBRERO!E70+MARZO!Q70</f>
        <v>0</v>
      </c>
      <c r="F70" s="205">
        <f>SUM(C70:E70)</f>
        <v>898696551</v>
      </c>
      <c r="G70" s="205">
        <f>FEBRERO!I70</f>
        <v>444940951</v>
      </c>
      <c r="H70" s="208">
        <v>166147870</v>
      </c>
      <c r="I70" s="680">
        <f>SUM(G70:H70)</f>
        <v>611088821</v>
      </c>
      <c r="J70" s="205">
        <f>FEBRERO!L70</f>
        <v>6185945</v>
      </c>
      <c r="K70" s="208">
        <v>0</v>
      </c>
      <c r="L70" s="680">
        <f>SUM(J70:K70)</f>
        <v>6185945</v>
      </c>
      <c r="M70" s="205">
        <f>F70-I70</f>
        <v>287607730</v>
      </c>
      <c r="N70" s="206">
        <f>F70-L70</f>
        <v>892510606</v>
      </c>
      <c r="O70" s="736"/>
      <c r="P70" s="204">
        <v>0</v>
      </c>
      <c r="Q70" s="210">
        <v>0</v>
      </c>
      <c r="R70" s="903"/>
      <c r="S70" s="311" t="str">
        <f>+IF(FEBRERO!S70=0,"",FEBRERO!S70)</f>
        <v>2.1.1.01.01.001.08.01-1</v>
      </c>
      <c r="T70" s="535" t="str">
        <f>+IF(FEBRERO!T70=0,"",FEBRERO!T70)</f>
        <v xml:space="preserve">Prima de Navidad </v>
      </c>
      <c r="U70" s="301">
        <f>+ENERO!U70</f>
        <v>0</v>
      </c>
      <c r="V70" s="220">
        <f>FEBRERO!V70+MARZO!AL70</f>
        <v>0</v>
      </c>
      <c r="W70" s="220">
        <f>FEBRERO!W70+MARZO!AM70</f>
        <v>0</v>
      </c>
      <c r="X70" s="271">
        <f t="shared" ref="X70:X81" si="69">SUM(U70:W70)</f>
        <v>0</v>
      </c>
      <c r="Y70" s="270">
        <f>FEBRERO!AA70</f>
        <v>0</v>
      </c>
      <c r="Z70" s="208">
        <v>0</v>
      </c>
      <c r="AA70" s="269">
        <f t="shared" ref="AA70:AA81" si="70">SUM(Y70:Z70)</f>
        <v>0</v>
      </c>
      <c r="AB70" s="270">
        <f>FEBRERO!AD70</f>
        <v>0</v>
      </c>
      <c r="AC70" s="208">
        <v>0</v>
      </c>
      <c r="AD70" s="269">
        <f t="shared" ref="AD70:AD81" si="71">SUM(AB70:AC70)</f>
        <v>0</v>
      </c>
      <c r="AE70" s="270">
        <f>FEBRERO!AG70</f>
        <v>0</v>
      </c>
      <c r="AF70" s="208">
        <v>0</v>
      </c>
      <c r="AG70" s="269">
        <f t="shared" ref="AG70:AG81" si="72">SUM(AE70:AF70)</f>
        <v>0</v>
      </c>
      <c r="AH70" s="270">
        <f t="shared" ref="AH70:AH81" si="73">X70-AA70</f>
        <v>0</v>
      </c>
      <c r="AI70" s="220">
        <f t="shared" ref="AI70:AI81" si="74">X70-AD70</f>
        <v>0</v>
      </c>
      <c r="AJ70" s="269">
        <f t="shared" ref="AJ70:AJ81" si="75">X70-AG70</f>
        <v>0</v>
      </c>
      <c r="AK70" s="903"/>
      <c r="AL70" s="204">
        <v>0</v>
      </c>
      <c r="AM70" s="210">
        <v>0</v>
      </c>
    </row>
    <row r="71" spans="1:39" ht="24.75" customHeight="1">
      <c r="A71" s="202" t="str">
        <f>+IF(FEBRERO!A71=0,"",FEBRERO!A71)</f>
        <v>1.1.02.05.001.09.02.90.02.99</v>
      </c>
      <c r="B71" s="331" t="str">
        <f>+IF(FEBRERO!B71=0,"",FEBRERO!B71)</f>
        <v>Vigencia Anterior</v>
      </c>
      <c r="C71" s="204">
        <f>+ENERO!C71</f>
        <v>480000000</v>
      </c>
      <c r="D71" s="205">
        <f>FEBRERO!D71+MARZO!P71</f>
        <v>0</v>
      </c>
      <c r="E71" s="205">
        <f>FEBRERO!E71+MARZO!Q71</f>
        <v>0</v>
      </c>
      <c r="F71" s="205">
        <f>SUM(C71:E71)</f>
        <v>480000000</v>
      </c>
      <c r="G71" s="205">
        <f>FEBRERO!I71</f>
        <v>271383271</v>
      </c>
      <c r="H71" s="208">
        <v>0</v>
      </c>
      <c r="I71" s="680">
        <f>SUM(G71:H71)</f>
        <v>271383271</v>
      </c>
      <c r="J71" s="205">
        <f>FEBRERO!L71</f>
        <v>271383271</v>
      </c>
      <c r="K71" s="208">
        <v>0</v>
      </c>
      <c r="L71" s="680">
        <f>SUM(J71:K71)</f>
        <v>271383271</v>
      </c>
      <c r="M71" s="205">
        <f>F71-I71</f>
        <v>208616729</v>
      </c>
      <c r="N71" s="206">
        <f>F71-L71</f>
        <v>208616729</v>
      </c>
      <c r="O71" s="736"/>
      <c r="P71" s="204">
        <v>0</v>
      </c>
      <c r="Q71" s="210">
        <v>0</v>
      </c>
      <c r="R71" s="903"/>
      <c r="S71" s="311" t="str">
        <f>+IF(FEBRERO!S71=0,"",FEBRERO!S71)</f>
        <v>2.1.1.01.01.001.08.02-1</v>
      </c>
      <c r="T71" s="535" t="str">
        <f>+IF(FEBRERO!T71=0,"",FEBRERO!T71)</f>
        <v>Prima de Vacaciones</v>
      </c>
      <c r="U71" s="301">
        <f>+ENERO!U71</f>
        <v>0</v>
      </c>
      <c r="V71" s="220">
        <f>FEBRERO!V71+MARZO!AL71</f>
        <v>0</v>
      </c>
      <c r="W71" s="220">
        <f>FEBRERO!W71+MARZO!AM71</f>
        <v>0</v>
      </c>
      <c r="X71" s="271">
        <f t="shared" si="69"/>
        <v>0</v>
      </c>
      <c r="Y71" s="270">
        <f>FEBRERO!AA71</f>
        <v>0</v>
      </c>
      <c r="Z71" s="208">
        <v>0</v>
      </c>
      <c r="AA71" s="269">
        <f t="shared" si="70"/>
        <v>0</v>
      </c>
      <c r="AB71" s="270">
        <f>FEBRERO!AD71</f>
        <v>0</v>
      </c>
      <c r="AC71" s="208">
        <v>0</v>
      </c>
      <c r="AD71" s="269">
        <f t="shared" si="71"/>
        <v>0</v>
      </c>
      <c r="AE71" s="270">
        <f>FEBRERO!AG71</f>
        <v>0</v>
      </c>
      <c r="AF71" s="208">
        <v>0</v>
      </c>
      <c r="AG71" s="269">
        <f t="shared" si="72"/>
        <v>0</v>
      </c>
      <c r="AH71" s="270">
        <f t="shared" si="73"/>
        <v>0</v>
      </c>
      <c r="AI71" s="220">
        <f t="shared" si="74"/>
        <v>0</v>
      </c>
      <c r="AJ71" s="269">
        <f t="shared" si="75"/>
        <v>0</v>
      </c>
      <c r="AK71" s="903"/>
      <c r="AL71" s="204">
        <v>0</v>
      </c>
      <c r="AM71" s="210">
        <v>0</v>
      </c>
    </row>
    <row r="72" spans="1:39" ht="24.75" customHeight="1">
      <c r="A72" s="286" t="str">
        <f>+IF(FEBRERO!A72=0,"",FEBRERO!A72)</f>
        <v>1.1.02.05.001.09.02.06</v>
      </c>
      <c r="B72" s="319" t="str">
        <f>+IF(FEBRERO!B72=0,"",FEBRERO!B72)</f>
        <v>ADMINISTRADORAS DE RIESGOS LABORALES</v>
      </c>
      <c r="C72" s="288">
        <f t="shared" ref="C72:N72" si="76">SUM(C73:C74)</f>
        <v>374950682</v>
      </c>
      <c r="D72" s="320">
        <f t="shared" si="76"/>
        <v>0</v>
      </c>
      <c r="E72" s="320">
        <f t="shared" si="76"/>
        <v>0</v>
      </c>
      <c r="F72" s="320">
        <f t="shared" si="76"/>
        <v>374950682</v>
      </c>
      <c r="G72" s="320">
        <f t="shared" si="76"/>
        <v>97136232</v>
      </c>
      <c r="H72" s="320">
        <f t="shared" si="76"/>
        <v>31789706</v>
      </c>
      <c r="I72" s="679">
        <f t="shared" si="76"/>
        <v>128925938</v>
      </c>
      <c r="J72" s="320">
        <f t="shared" si="76"/>
        <v>78160971</v>
      </c>
      <c r="K72" s="320">
        <f t="shared" si="76"/>
        <v>13280196</v>
      </c>
      <c r="L72" s="679">
        <f t="shared" si="76"/>
        <v>91441167</v>
      </c>
      <c r="M72" s="320">
        <f t="shared" si="76"/>
        <v>246024744</v>
      </c>
      <c r="N72" s="289">
        <f t="shared" si="76"/>
        <v>283509515</v>
      </c>
      <c r="O72" s="736"/>
      <c r="P72" s="288">
        <f>SUM(P73:P74)</f>
        <v>0</v>
      </c>
      <c r="Q72" s="289">
        <f>SUM(Q73:Q74)</f>
        <v>0</v>
      </c>
      <c r="R72" s="903"/>
      <c r="S72" s="311" t="str">
        <f>+IF(FEBRERO!S72=0,"",FEBRERO!S72)</f>
        <v>2.1.1.01.01.001.07-1</v>
      </c>
      <c r="T72" s="535" t="str">
        <f>+IF(FEBRERO!T72=0,"",FEBRERO!T72)</f>
        <v>Bonificación  por servicios prestados</v>
      </c>
      <c r="U72" s="301">
        <f>+ENERO!U72</f>
        <v>0</v>
      </c>
      <c r="V72" s="220">
        <f>FEBRERO!V72+MARZO!AL72</f>
        <v>0</v>
      </c>
      <c r="W72" s="220">
        <f>FEBRERO!W72+MARZO!AM72</f>
        <v>0</v>
      </c>
      <c r="X72" s="271">
        <f t="shared" si="69"/>
        <v>0</v>
      </c>
      <c r="Y72" s="270">
        <f>FEBRERO!AA72</f>
        <v>0</v>
      </c>
      <c r="Z72" s="208">
        <v>0</v>
      </c>
      <c r="AA72" s="269">
        <f t="shared" si="70"/>
        <v>0</v>
      </c>
      <c r="AB72" s="270">
        <f>FEBRERO!AD72</f>
        <v>0</v>
      </c>
      <c r="AC72" s="208">
        <v>0</v>
      </c>
      <c r="AD72" s="269">
        <f t="shared" si="71"/>
        <v>0</v>
      </c>
      <c r="AE72" s="270">
        <f>FEBRERO!AG72</f>
        <v>0</v>
      </c>
      <c r="AF72" s="208">
        <v>0</v>
      </c>
      <c r="AG72" s="269">
        <f t="shared" si="72"/>
        <v>0</v>
      </c>
      <c r="AH72" s="270">
        <f t="shared" si="73"/>
        <v>0</v>
      </c>
      <c r="AI72" s="220">
        <f t="shared" si="74"/>
        <v>0</v>
      </c>
      <c r="AJ72" s="269">
        <f t="shared" si="75"/>
        <v>0</v>
      </c>
      <c r="AK72" s="903"/>
      <c r="AL72" s="204">
        <v>0</v>
      </c>
      <c r="AM72" s="210">
        <v>0</v>
      </c>
    </row>
    <row r="73" spans="1:39" ht="24.75" customHeight="1">
      <c r="A73" s="202" t="str">
        <f>+IF(FEBRERO!A73=0,"",FEBRERO!A73)</f>
        <v>1.1.02.05.001.09.02.06</v>
      </c>
      <c r="B73" s="331" t="str">
        <f>+CONCATENATE("Vigencia ",INSTRUCCIONES!$F$3)</f>
        <v>Vigencia 2025</v>
      </c>
      <c r="C73" s="204">
        <f>+ENERO!C73</f>
        <v>337999834</v>
      </c>
      <c r="D73" s="205">
        <f>FEBRERO!D73+MARZO!P73</f>
        <v>0</v>
      </c>
      <c r="E73" s="205">
        <f>FEBRERO!E73+MARZO!Q73</f>
        <v>0</v>
      </c>
      <c r="F73" s="205">
        <f>SUM(C73:E73)</f>
        <v>337999834</v>
      </c>
      <c r="G73" s="205">
        <f>FEBRERO!I73</f>
        <v>42369895</v>
      </c>
      <c r="H73" s="208">
        <v>30975005</v>
      </c>
      <c r="I73" s="680">
        <f>SUM(G73:H73)</f>
        <v>73344900</v>
      </c>
      <c r="J73" s="205">
        <f>FEBRERO!L73</f>
        <v>23394634</v>
      </c>
      <c r="K73" s="208">
        <v>12465495</v>
      </c>
      <c r="L73" s="680">
        <f>SUM(J73:K73)</f>
        <v>35860129</v>
      </c>
      <c r="M73" s="205">
        <f>F73-I73</f>
        <v>264654934</v>
      </c>
      <c r="N73" s="206">
        <f>F73-L73</f>
        <v>302139705</v>
      </c>
      <c r="O73" s="736"/>
      <c r="P73" s="204">
        <v>0</v>
      </c>
      <c r="Q73" s="210">
        <v>0</v>
      </c>
      <c r="R73" s="903"/>
      <c r="S73" s="311" t="str">
        <f>+IF(FEBRERO!S73=0,"",FEBRERO!S73)</f>
        <v>2.1.1.01.01.001.06-1</v>
      </c>
      <c r="T73" s="535" t="str">
        <f>+IF(FEBRERO!T73=0,"",FEBRERO!T73)</f>
        <v>Prima de Servicios</v>
      </c>
      <c r="U73" s="301">
        <f>+ENERO!U73</f>
        <v>0</v>
      </c>
      <c r="V73" s="220">
        <f>FEBRERO!V73+MARZO!AL73</f>
        <v>0</v>
      </c>
      <c r="W73" s="220">
        <f>FEBRERO!W73+MARZO!AM73</f>
        <v>0</v>
      </c>
      <c r="X73" s="271">
        <f t="shared" si="69"/>
        <v>0</v>
      </c>
      <c r="Y73" s="270">
        <f>FEBRERO!AA73</f>
        <v>0</v>
      </c>
      <c r="Z73" s="208">
        <v>0</v>
      </c>
      <c r="AA73" s="269">
        <f t="shared" si="70"/>
        <v>0</v>
      </c>
      <c r="AB73" s="270">
        <f>FEBRERO!AD73</f>
        <v>0</v>
      </c>
      <c r="AC73" s="208">
        <v>0</v>
      </c>
      <c r="AD73" s="269">
        <f t="shared" si="71"/>
        <v>0</v>
      </c>
      <c r="AE73" s="270">
        <f>FEBRERO!AG73</f>
        <v>0</v>
      </c>
      <c r="AF73" s="208">
        <v>0</v>
      </c>
      <c r="AG73" s="269">
        <f t="shared" si="72"/>
        <v>0</v>
      </c>
      <c r="AH73" s="270">
        <f t="shared" si="73"/>
        <v>0</v>
      </c>
      <c r="AI73" s="220">
        <f t="shared" si="74"/>
        <v>0</v>
      </c>
      <c r="AJ73" s="269">
        <f t="shared" si="75"/>
        <v>0</v>
      </c>
      <c r="AK73" s="903"/>
      <c r="AL73" s="204">
        <v>0</v>
      </c>
      <c r="AM73" s="210">
        <v>0</v>
      </c>
    </row>
    <row r="74" spans="1:39" ht="24.75" customHeight="1">
      <c r="A74" s="202" t="str">
        <f>+IF(FEBRERO!A74=0,"",FEBRERO!A74)</f>
        <v>1.1.02.05.001.09.02.06.99</v>
      </c>
      <c r="B74" s="331" t="str">
        <f>+IF(FEBRERO!B74=0,"",FEBRERO!B74)</f>
        <v>Vigencia Anterior</v>
      </c>
      <c r="C74" s="204">
        <f>+ENERO!C74</f>
        <v>36950848</v>
      </c>
      <c r="D74" s="205">
        <f>FEBRERO!D74+MARZO!P74</f>
        <v>0</v>
      </c>
      <c r="E74" s="205">
        <f>FEBRERO!E74+MARZO!Q74</f>
        <v>0</v>
      </c>
      <c r="F74" s="205">
        <f>SUM(C74:E74)</f>
        <v>36950848</v>
      </c>
      <c r="G74" s="205">
        <f>FEBRERO!I74</f>
        <v>54766337</v>
      </c>
      <c r="H74" s="208">
        <v>814701</v>
      </c>
      <c r="I74" s="680">
        <f>SUM(G74:H74)</f>
        <v>55581038</v>
      </c>
      <c r="J74" s="205">
        <f>FEBRERO!L74</f>
        <v>54766337</v>
      </c>
      <c r="K74" s="208">
        <v>814701</v>
      </c>
      <c r="L74" s="680">
        <f>SUM(J74:K74)</f>
        <v>55581038</v>
      </c>
      <c r="M74" s="1158">
        <f>F74-I74</f>
        <v>-18630190</v>
      </c>
      <c r="N74" s="1159">
        <f>F74-L74</f>
        <v>-18630190</v>
      </c>
      <c r="O74" s="736"/>
      <c r="P74" s="204">
        <v>0</v>
      </c>
      <c r="Q74" s="210">
        <v>0</v>
      </c>
      <c r="R74" s="903"/>
      <c r="S74" s="311" t="str">
        <f>+IF(FEBRERO!S74=0,"",FEBRERO!S74)</f>
        <v>1010104-5</v>
      </c>
      <c r="T74" s="535" t="str">
        <f>+IF(FEBRERO!T74=0,"",FEBRERO!T74)</f>
        <v>Bonificación Convencional</v>
      </c>
      <c r="U74" s="301">
        <f>+ENERO!U74</f>
        <v>0</v>
      </c>
      <c r="V74" s="220">
        <f>FEBRERO!V74+MARZO!AL74</f>
        <v>0</v>
      </c>
      <c r="W74" s="220">
        <f>FEBRERO!W74+MARZO!AM74</f>
        <v>0</v>
      </c>
      <c r="X74" s="271">
        <f t="shared" si="69"/>
        <v>0</v>
      </c>
      <c r="Y74" s="270">
        <f>FEBRERO!AA74</f>
        <v>0</v>
      </c>
      <c r="Z74" s="208">
        <v>0</v>
      </c>
      <c r="AA74" s="269">
        <f t="shared" si="70"/>
        <v>0</v>
      </c>
      <c r="AB74" s="270">
        <f>FEBRERO!AD74</f>
        <v>0</v>
      </c>
      <c r="AC74" s="208">
        <v>0</v>
      </c>
      <c r="AD74" s="269">
        <f t="shared" si="71"/>
        <v>0</v>
      </c>
      <c r="AE74" s="270">
        <f>FEBRERO!AG74</f>
        <v>0</v>
      </c>
      <c r="AF74" s="208">
        <v>0</v>
      </c>
      <c r="AG74" s="269">
        <f t="shared" si="72"/>
        <v>0</v>
      </c>
      <c r="AH74" s="270">
        <f t="shared" si="73"/>
        <v>0</v>
      </c>
      <c r="AI74" s="220">
        <f t="shared" si="74"/>
        <v>0</v>
      </c>
      <c r="AJ74" s="269">
        <f t="shared" si="75"/>
        <v>0</v>
      </c>
      <c r="AK74" s="903"/>
      <c r="AL74" s="204">
        <v>0</v>
      </c>
      <c r="AM74" s="210">
        <v>0</v>
      </c>
    </row>
    <row r="75" spans="1:39" ht="24.75" customHeight="1">
      <c r="A75" s="286" t="str">
        <f>+IF(FEBRERO!A75=0,"",FEBRERO!A75)</f>
        <v>1.1.02.05.001.09.02.07</v>
      </c>
      <c r="B75" s="319" t="str">
        <f>+IF(FEBRERO!B75=0,"",FEBRERO!B75)</f>
        <v>FUERZAS MILITARES</v>
      </c>
      <c r="C75" s="288">
        <f t="shared" ref="C75:N75" si="77">SUM(C76:C77)</f>
        <v>448721976</v>
      </c>
      <c r="D75" s="320">
        <f t="shared" si="77"/>
        <v>0</v>
      </c>
      <c r="E75" s="320">
        <f t="shared" si="77"/>
        <v>0</v>
      </c>
      <c r="F75" s="320">
        <f t="shared" si="77"/>
        <v>448721976</v>
      </c>
      <c r="G75" s="320">
        <f t="shared" si="77"/>
        <v>21890556</v>
      </c>
      <c r="H75" s="320">
        <f t="shared" si="77"/>
        <v>31976328</v>
      </c>
      <c r="I75" s="679">
        <f t="shared" si="77"/>
        <v>53866884</v>
      </c>
      <c r="J75" s="320">
        <f t="shared" si="77"/>
        <v>0</v>
      </c>
      <c r="K75" s="320">
        <f t="shared" si="77"/>
        <v>0</v>
      </c>
      <c r="L75" s="679">
        <f t="shared" si="77"/>
        <v>0</v>
      </c>
      <c r="M75" s="320">
        <f t="shared" si="77"/>
        <v>394855092</v>
      </c>
      <c r="N75" s="289">
        <f t="shared" si="77"/>
        <v>448721976</v>
      </c>
      <c r="O75" s="736"/>
      <c r="P75" s="288">
        <f>SUM(P76:P77)</f>
        <v>0</v>
      </c>
      <c r="Q75" s="289">
        <f>SUM(Q76:Q77)</f>
        <v>0</v>
      </c>
      <c r="R75" s="903"/>
      <c r="S75" s="311" t="str">
        <f>+IF(FEBRERO!S75=0,"",FEBRERO!S75)</f>
        <v>2.1.1.01.01.001.05-1</v>
      </c>
      <c r="T75" s="535" t="str">
        <f>+IF(FEBRERO!T75=0,"",FEBRERO!T75)</f>
        <v>Auxilio de Transporte</v>
      </c>
      <c r="U75" s="301">
        <f>+ENERO!U75</f>
        <v>0</v>
      </c>
      <c r="V75" s="220">
        <f>FEBRERO!V75+MARZO!AL75</f>
        <v>0</v>
      </c>
      <c r="W75" s="220">
        <f>FEBRERO!W75+MARZO!AM75</f>
        <v>0</v>
      </c>
      <c r="X75" s="271">
        <f t="shared" si="69"/>
        <v>0</v>
      </c>
      <c r="Y75" s="270">
        <f>FEBRERO!AA75</f>
        <v>0</v>
      </c>
      <c r="Z75" s="208">
        <v>0</v>
      </c>
      <c r="AA75" s="269">
        <f t="shared" si="70"/>
        <v>0</v>
      </c>
      <c r="AB75" s="270">
        <f>FEBRERO!AD75</f>
        <v>0</v>
      </c>
      <c r="AC75" s="208">
        <v>0</v>
      </c>
      <c r="AD75" s="269">
        <f t="shared" si="71"/>
        <v>0</v>
      </c>
      <c r="AE75" s="270">
        <f>FEBRERO!AG75</f>
        <v>0</v>
      </c>
      <c r="AF75" s="208">
        <v>0</v>
      </c>
      <c r="AG75" s="269">
        <f t="shared" si="72"/>
        <v>0</v>
      </c>
      <c r="AH75" s="270">
        <f t="shared" si="73"/>
        <v>0</v>
      </c>
      <c r="AI75" s="220">
        <f t="shared" si="74"/>
        <v>0</v>
      </c>
      <c r="AJ75" s="269">
        <f t="shared" si="75"/>
        <v>0</v>
      </c>
      <c r="AK75" s="903"/>
      <c r="AL75" s="204">
        <v>0</v>
      </c>
      <c r="AM75" s="210">
        <v>0</v>
      </c>
    </row>
    <row r="76" spans="1:39" ht="24.75" customHeight="1">
      <c r="A76" s="202" t="str">
        <f>+IF(FEBRERO!A76=0,"",FEBRERO!A76)</f>
        <v>1.1.02.05.001.09.02.07</v>
      </c>
      <c r="B76" s="331" t="str">
        <f>+CONCATENATE("Vigencia ",INSTRUCCIONES!$F$3)</f>
        <v>Vigencia 2025</v>
      </c>
      <c r="C76" s="204">
        <f>+ENERO!C76</f>
        <v>341067989</v>
      </c>
      <c r="D76" s="205">
        <f>FEBRERO!D76+MARZO!P76</f>
        <v>0</v>
      </c>
      <c r="E76" s="205">
        <f>FEBRERO!E76+MARZO!Q76</f>
        <v>0</v>
      </c>
      <c r="F76" s="205">
        <f>SUM(C76:E76)</f>
        <v>341067989</v>
      </c>
      <c r="G76" s="205">
        <f>FEBRERO!I76</f>
        <v>21890556</v>
      </c>
      <c r="H76" s="208">
        <v>31976328</v>
      </c>
      <c r="I76" s="680">
        <f>SUM(G76:H76)</f>
        <v>53866884</v>
      </c>
      <c r="J76" s="205">
        <f>FEBRERO!L76</f>
        <v>0</v>
      </c>
      <c r="K76" s="208">
        <v>0</v>
      </c>
      <c r="L76" s="680">
        <f>SUM(J76:K76)</f>
        <v>0</v>
      </c>
      <c r="M76" s="205">
        <f>F76-I76</f>
        <v>287201105</v>
      </c>
      <c r="N76" s="206">
        <f>F76-L76</f>
        <v>341067989</v>
      </c>
      <c r="O76" s="736"/>
      <c r="P76" s="204">
        <v>0</v>
      </c>
      <c r="Q76" s="210">
        <v>0</v>
      </c>
      <c r="R76" s="903"/>
      <c r="S76" s="311" t="str">
        <f>+IF(FEBRERO!S76=0,"",FEBRERO!S76)</f>
        <v>2.1.1.01.01.001.04-1</v>
      </c>
      <c r="T76" s="535" t="str">
        <f>+IF(FEBRERO!T76=0,"",FEBRERO!T76)</f>
        <v>Auxilio de Alimentación</v>
      </c>
      <c r="U76" s="301">
        <f>+ENERO!U76</f>
        <v>0</v>
      </c>
      <c r="V76" s="220">
        <f>FEBRERO!V76+MARZO!AL76</f>
        <v>0</v>
      </c>
      <c r="W76" s="220">
        <f>FEBRERO!W76+MARZO!AM76</f>
        <v>0</v>
      </c>
      <c r="X76" s="271">
        <f t="shared" si="69"/>
        <v>0</v>
      </c>
      <c r="Y76" s="270">
        <f>FEBRERO!AA76</f>
        <v>0</v>
      </c>
      <c r="Z76" s="208">
        <v>0</v>
      </c>
      <c r="AA76" s="269">
        <f t="shared" si="70"/>
        <v>0</v>
      </c>
      <c r="AB76" s="270">
        <f>FEBRERO!AD76</f>
        <v>0</v>
      </c>
      <c r="AC76" s="208">
        <v>0</v>
      </c>
      <c r="AD76" s="269">
        <f t="shared" si="71"/>
        <v>0</v>
      </c>
      <c r="AE76" s="270">
        <f>FEBRERO!AG76</f>
        <v>0</v>
      </c>
      <c r="AF76" s="208">
        <v>0</v>
      </c>
      <c r="AG76" s="269">
        <f t="shared" si="72"/>
        <v>0</v>
      </c>
      <c r="AH76" s="270">
        <f t="shared" si="73"/>
        <v>0</v>
      </c>
      <c r="AI76" s="220">
        <f t="shared" si="74"/>
        <v>0</v>
      </c>
      <c r="AJ76" s="269">
        <f t="shared" si="75"/>
        <v>0</v>
      </c>
      <c r="AK76" s="903"/>
      <c r="AL76" s="204">
        <v>0</v>
      </c>
      <c r="AM76" s="210">
        <v>0</v>
      </c>
    </row>
    <row r="77" spans="1:39" ht="24.75" customHeight="1">
      <c r="A77" s="202" t="str">
        <f>+IF(FEBRERO!A77=0,"",FEBRERO!A77)</f>
        <v>1.1.02.05.001.09.02.07.99</v>
      </c>
      <c r="B77" s="331" t="str">
        <f>+IF(FEBRERO!B77=0,"",FEBRERO!B77)</f>
        <v>Vigencia Anterior</v>
      </c>
      <c r="C77" s="204">
        <f>+ENERO!C77</f>
        <v>107653987</v>
      </c>
      <c r="D77" s="205">
        <f>FEBRERO!D77+MARZO!P77</f>
        <v>0</v>
      </c>
      <c r="E77" s="205">
        <f>FEBRERO!E77+MARZO!Q77</f>
        <v>0</v>
      </c>
      <c r="F77" s="205">
        <f>SUM(C77:E77)</f>
        <v>107653987</v>
      </c>
      <c r="G77" s="205">
        <f>FEBRERO!I77</f>
        <v>0</v>
      </c>
      <c r="H77" s="208">
        <v>0</v>
      </c>
      <c r="I77" s="680">
        <f>SUM(G77:H77)</f>
        <v>0</v>
      </c>
      <c r="J77" s="205">
        <f>FEBRERO!L77</f>
        <v>0</v>
      </c>
      <c r="K77" s="208">
        <v>0</v>
      </c>
      <c r="L77" s="680">
        <f>SUM(J77:K77)</f>
        <v>0</v>
      </c>
      <c r="M77" s="205">
        <f>F77-I77</f>
        <v>107653987</v>
      </c>
      <c r="N77" s="206">
        <f>F77-L77</f>
        <v>107653987</v>
      </c>
      <c r="O77" s="736"/>
      <c r="P77" s="204">
        <v>0</v>
      </c>
      <c r="Q77" s="210">
        <v>0</v>
      </c>
      <c r="R77" s="903"/>
      <c r="S77" s="311" t="str">
        <f>+IF(FEBRERO!S77=0,"",FEBRERO!S77)</f>
        <v>1010104-8</v>
      </c>
      <c r="T77" s="535" t="str">
        <f>+IF(FEBRERO!T77=0,"",FEBRERO!T77)</f>
        <v>Indemnizaciones por Vacaciones o Supresión de Cargos por Reestructuración</v>
      </c>
      <c r="U77" s="301">
        <f>+ENERO!U77</f>
        <v>0</v>
      </c>
      <c r="V77" s="220">
        <f>FEBRERO!V77+MARZO!AL77</f>
        <v>0</v>
      </c>
      <c r="W77" s="220">
        <f>FEBRERO!W77+MARZO!AM77</f>
        <v>0</v>
      </c>
      <c r="X77" s="271">
        <f t="shared" si="69"/>
        <v>0</v>
      </c>
      <c r="Y77" s="270">
        <f>FEBRERO!AA77</f>
        <v>0</v>
      </c>
      <c r="Z77" s="208">
        <v>0</v>
      </c>
      <c r="AA77" s="269">
        <f t="shared" si="70"/>
        <v>0</v>
      </c>
      <c r="AB77" s="270">
        <f>FEBRERO!AD77</f>
        <v>0</v>
      </c>
      <c r="AC77" s="208">
        <v>0</v>
      </c>
      <c r="AD77" s="269">
        <f t="shared" si="71"/>
        <v>0</v>
      </c>
      <c r="AE77" s="270">
        <f>FEBRERO!AG77</f>
        <v>0</v>
      </c>
      <c r="AF77" s="208">
        <v>0</v>
      </c>
      <c r="AG77" s="269">
        <f t="shared" si="72"/>
        <v>0</v>
      </c>
      <c r="AH77" s="270">
        <f t="shared" si="73"/>
        <v>0</v>
      </c>
      <c r="AI77" s="220">
        <f t="shared" si="74"/>
        <v>0</v>
      </c>
      <c r="AJ77" s="269">
        <f t="shared" si="75"/>
        <v>0</v>
      </c>
      <c r="AK77" s="903"/>
      <c r="AL77" s="204">
        <v>0</v>
      </c>
      <c r="AM77" s="210">
        <v>0</v>
      </c>
    </row>
    <row r="78" spans="1:39" ht="24.75" customHeight="1">
      <c r="A78" s="286" t="str">
        <f>+IF(FEBRERO!A78=0,"",FEBRERO!A78)</f>
        <v>1.1.02.05.001.09.02.13-1</v>
      </c>
      <c r="B78" s="319" t="str">
        <f>+IF(FEBRERO!B78=0,"",FEBRERO!B78)</f>
        <v>PARTICULARES   (Venta de Contado)</v>
      </c>
      <c r="C78" s="288">
        <f>SUM(C79:C80)</f>
        <v>681131551</v>
      </c>
      <c r="D78" s="320">
        <f>SUM(D79:D80)</f>
        <v>0</v>
      </c>
      <c r="E78" s="320">
        <f>SUM(E79:E80)</f>
        <v>0</v>
      </c>
      <c r="F78" s="320">
        <f>SUM(C78:E78)</f>
        <v>681131551</v>
      </c>
      <c r="G78" s="320">
        <f>SUM(G79:G80)</f>
        <v>100750100</v>
      </c>
      <c r="H78" s="320">
        <f>SUM(H79:H80)</f>
        <v>25241600</v>
      </c>
      <c r="I78" s="679">
        <f>SUM(G78:H78)</f>
        <v>125991700</v>
      </c>
      <c r="J78" s="320">
        <f>SUM(J79:J80)</f>
        <v>5898300</v>
      </c>
      <c r="K78" s="320">
        <f>SUM(K79:K80)</f>
        <v>2770900</v>
      </c>
      <c r="L78" s="679">
        <f>SUM(J78:K78)</f>
        <v>8669200</v>
      </c>
      <c r="M78" s="320">
        <f>F78-I78</f>
        <v>555139851</v>
      </c>
      <c r="N78" s="289">
        <f>F78-L78</f>
        <v>672462351</v>
      </c>
      <c r="O78" s="736"/>
      <c r="P78" s="288">
        <f>SUM(P79:P80)</f>
        <v>0</v>
      </c>
      <c r="Q78" s="289">
        <f>SUM(Q79:Q80)</f>
        <v>0</v>
      </c>
      <c r="R78" s="903"/>
      <c r="S78" s="311" t="str">
        <f>+IF(FEBRERO!S78=0,"",FEBRERO!S78)</f>
        <v>1010104-9</v>
      </c>
      <c r="T78" s="535" t="str">
        <f>+IF(FEBRERO!T78=0,"",FEBRERO!T78)</f>
        <v/>
      </c>
      <c r="U78" s="301">
        <f>+ENERO!U78</f>
        <v>0</v>
      </c>
      <c r="V78" s="220">
        <f>FEBRERO!V78+MARZO!AL78</f>
        <v>0</v>
      </c>
      <c r="W78" s="220">
        <f>FEBRERO!W78+MARZO!AM78</f>
        <v>0</v>
      </c>
      <c r="X78" s="271">
        <f t="shared" si="69"/>
        <v>0</v>
      </c>
      <c r="Y78" s="270">
        <f>FEBRERO!AA78</f>
        <v>0</v>
      </c>
      <c r="Z78" s="208">
        <v>0</v>
      </c>
      <c r="AA78" s="269">
        <f t="shared" si="70"/>
        <v>0</v>
      </c>
      <c r="AB78" s="270">
        <f>FEBRERO!AD78</f>
        <v>0</v>
      </c>
      <c r="AC78" s="208">
        <v>0</v>
      </c>
      <c r="AD78" s="269">
        <f t="shared" si="71"/>
        <v>0</v>
      </c>
      <c r="AE78" s="270">
        <f>FEBRERO!AG78</f>
        <v>0</v>
      </c>
      <c r="AF78" s="208">
        <v>0</v>
      </c>
      <c r="AG78" s="269">
        <f t="shared" si="72"/>
        <v>0</v>
      </c>
      <c r="AH78" s="270">
        <f t="shared" si="73"/>
        <v>0</v>
      </c>
      <c r="AI78" s="220">
        <f t="shared" si="74"/>
        <v>0</v>
      </c>
      <c r="AJ78" s="269">
        <f t="shared" si="75"/>
        <v>0</v>
      </c>
      <c r="AK78" s="903"/>
      <c r="AL78" s="204">
        <v>0</v>
      </c>
      <c r="AM78" s="210">
        <v>0</v>
      </c>
    </row>
    <row r="79" spans="1:39" ht="24.75" customHeight="1">
      <c r="A79" s="202" t="str">
        <f>+IF(FEBRERO!A79=0,"",FEBRERO!A79)</f>
        <v>1.1.02.05.001.09.02.13-1</v>
      </c>
      <c r="B79" s="331" t="str">
        <f>+CONCATENATE("Vigencia ",INSTRUCCIONES!$F$3)</f>
        <v>Vigencia 2025</v>
      </c>
      <c r="C79" s="204">
        <f>+ENERO!C79</f>
        <v>531131551</v>
      </c>
      <c r="D79" s="205">
        <f>FEBRERO!D79+MARZO!P79</f>
        <v>0</v>
      </c>
      <c r="E79" s="205">
        <f>FEBRERO!E79+MARZO!Q79</f>
        <v>0</v>
      </c>
      <c r="F79" s="205">
        <f>SUM(C79:E79)</f>
        <v>531131551</v>
      </c>
      <c r="G79" s="205">
        <f>FEBRERO!I79</f>
        <v>94851800</v>
      </c>
      <c r="H79" s="208">
        <v>22470700</v>
      </c>
      <c r="I79" s="205">
        <f>SUM(G79:H79)</f>
        <v>117322500</v>
      </c>
      <c r="J79" s="205">
        <f>FEBRERO!L79</f>
        <v>0</v>
      </c>
      <c r="K79" s="208">
        <v>0</v>
      </c>
      <c r="L79" s="680">
        <f>SUM(J79:K79)</f>
        <v>0</v>
      </c>
      <c r="M79" s="205">
        <f>F79-I79</f>
        <v>413809051</v>
      </c>
      <c r="N79" s="206">
        <f>F79-L79</f>
        <v>531131551</v>
      </c>
      <c r="O79" s="736"/>
      <c r="P79" s="204">
        <v>0</v>
      </c>
      <c r="Q79" s="210">
        <v>0</v>
      </c>
      <c r="R79" s="903"/>
      <c r="S79" s="311" t="str">
        <f>+IF(FEBRERO!S79=0,"",FEBRERO!S79)</f>
        <v>2.1.1.01.03.001.03-1</v>
      </c>
      <c r="T79" s="535" t="str">
        <f>+IF(FEBRERO!T79=0,"",FEBRERO!T79)</f>
        <v>Bonificación Especial por Recreación</v>
      </c>
      <c r="U79" s="301">
        <f>+ENERO!U79</f>
        <v>0</v>
      </c>
      <c r="V79" s="220">
        <f>FEBRERO!V79+MARZO!AL79</f>
        <v>0</v>
      </c>
      <c r="W79" s="220">
        <f>FEBRERO!W79+MARZO!AM79</f>
        <v>0</v>
      </c>
      <c r="X79" s="271">
        <f t="shared" si="69"/>
        <v>0</v>
      </c>
      <c r="Y79" s="270">
        <f>FEBRERO!AA79</f>
        <v>0</v>
      </c>
      <c r="Z79" s="208">
        <v>0</v>
      </c>
      <c r="AA79" s="269">
        <f t="shared" si="70"/>
        <v>0</v>
      </c>
      <c r="AB79" s="270">
        <f>FEBRERO!AD79</f>
        <v>0</v>
      </c>
      <c r="AC79" s="208">
        <v>0</v>
      </c>
      <c r="AD79" s="269">
        <f t="shared" si="71"/>
        <v>0</v>
      </c>
      <c r="AE79" s="270">
        <f>FEBRERO!AG79</f>
        <v>0</v>
      </c>
      <c r="AF79" s="208">
        <v>0</v>
      </c>
      <c r="AG79" s="269">
        <f t="shared" si="72"/>
        <v>0</v>
      </c>
      <c r="AH79" s="270">
        <f t="shared" si="73"/>
        <v>0</v>
      </c>
      <c r="AI79" s="220">
        <f t="shared" si="74"/>
        <v>0</v>
      </c>
      <c r="AJ79" s="269">
        <f t="shared" si="75"/>
        <v>0</v>
      </c>
      <c r="AK79" s="903"/>
      <c r="AL79" s="204">
        <v>0</v>
      </c>
      <c r="AM79" s="210">
        <v>0</v>
      </c>
    </row>
    <row r="80" spans="1:39" ht="24.75" customHeight="1">
      <c r="A80" s="202" t="str">
        <f>+IF(FEBRERO!A80=0,"",FEBRERO!A80)</f>
        <v>1.1.02.05.001.09.02.13.99-1</v>
      </c>
      <c r="B80" s="331" t="str">
        <f>+IF(FEBRERO!B80=0,"",FEBRERO!B80)</f>
        <v>Vigencia Anterior</v>
      </c>
      <c r="C80" s="204">
        <f>+ENERO!C80</f>
        <v>150000000</v>
      </c>
      <c r="D80" s="205">
        <f>FEBRERO!D80+MARZO!P80</f>
        <v>0</v>
      </c>
      <c r="E80" s="205">
        <f>FEBRERO!E80+MARZO!Q80</f>
        <v>0</v>
      </c>
      <c r="F80" s="205">
        <f>SUM(C80:E80)</f>
        <v>150000000</v>
      </c>
      <c r="G80" s="205">
        <f>FEBRERO!I80</f>
        <v>5898300</v>
      </c>
      <c r="H80" s="208">
        <v>2770900</v>
      </c>
      <c r="I80" s="205">
        <f>SUM(G80:H80)</f>
        <v>8669200</v>
      </c>
      <c r="J80" s="205">
        <f>FEBRERO!L80</f>
        <v>5898300</v>
      </c>
      <c r="K80" s="208">
        <v>2770900</v>
      </c>
      <c r="L80" s="680">
        <f>SUM(J80:K80)</f>
        <v>8669200</v>
      </c>
      <c r="M80" s="205">
        <f>F80-I80</f>
        <v>141330800</v>
      </c>
      <c r="N80" s="206">
        <f>F80-L80</f>
        <v>141330800</v>
      </c>
      <c r="O80" s="736"/>
      <c r="P80" s="204">
        <v>0</v>
      </c>
      <c r="Q80" s="210">
        <v>0</v>
      </c>
      <c r="R80" s="903"/>
      <c r="S80" s="311" t="str">
        <f>+IF(FEBRERO!S80=0,"",FEBRERO!S80)</f>
        <v>2.1.1.01.03.001.01-1</v>
      </c>
      <c r="T80" s="535" t="s">
        <v>545</v>
      </c>
      <c r="U80" s="301">
        <f>+ENERO!U80</f>
        <v>0</v>
      </c>
      <c r="V80" s="220">
        <f>FEBRERO!V80+MARZO!AL80</f>
        <v>0</v>
      </c>
      <c r="W80" s="220">
        <f>FEBRERO!W80+MARZO!AM80</f>
        <v>0</v>
      </c>
      <c r="X80" s="271">
        <f t="shared" si="69"/>
        <v>0</v>
      </c>
      <c r="Y80" s="270">
        <f>FEBRERO!AA80</f>
        <v>0</v>
      </c>
      <c r="Z80" s="208">
        <v>0</v>
      </c>
      <c r="AA80" s="269">
        <f t="shared" si="70"/>
        <v>0</v>
      </c>
      <c r="AB80" s="270">
        <f>FEBRERO!AD80</f>
        <v>0</v>
      </c>
      <c r="AC80" s="208">
        <v>0</v>
      </c>
      <c r="AD80" s="269">
        <f t="shared" si="71"/>
        <v>0</v>
      </c>
      <c r="AE80" s="270">
        <f>FEBRERO!AG80</f>
        <v>0</v>
      </c>
      <c r="AF80" s="208">
        <v>0</v>
      </c>
      <c r="AG80" s="269">
        <f t="shared" si="72"/>
        <v>0</v>
      </c>
      <c r="AH80" s="270">
        <f t="shared" si="73"/>
        <v>0</v>
      </c>
      <c r="AI80" s="220">
        <f t="shared" si="74"/>
        <v>0</v>
      </c>
      <c r="AJ80" s="269">
        <f t="shared" si="75"/>
        <v>0</v>
      </c>
      <c r="AK80" s="903"/>
      <c r="AL80" s="204">
        <v>0</v>
      </c>
      <c r="AM80" s="210">
        <v>0</v>
      </c>
    </row>
    <row r="81" spans="1:39" ht="24.75" customHeight="1">
      <c r="A81" s="286" t="str">
        <f>+IF(FEBRERO!A81=0,"",FEBRERO!A81)</f>
        <v>1.1.02.05.001.09.02.08</v>
      </c>
      <c r="B81" s="319" t="str">
        <f>+IF(FEBRERO!B81=0,"",FEBRERO!B81)</f>
        <v>POLICIA NACIONAL</v>
      </c>
      <c r="C81" s="288">
        <f>ENERO!C81</f>
        <v>386698320</v>
      </c>
      <c r="D81" s="320">
        <f t="shared" ref="D81:N81" si="78">SUM(D82:D83)</f>
        <v>0</v>
      </c>
      <c r="E81" s="320">
        <f t="shared" si="78"/>
        <v>0</v>
      </c>
      <c r="F81" s="320">
        <f t="shared" si="78"/>
        <v>386698320</v>
      </c>
      <c r="G81" s="320">
        <f t="shared" si="78"/>
        <v>102777978</v>
      </c>
      <c r="H81" s="320">
        <f t="shared" si="78"/>
        <v>32407984</v>
      </c>
      <c r="I81" s="320">
        <f t="shared" si="78"/>
        <v>135185962</v>
      </c>
      <c r="J81" s="320">
        <f t="shared" si="78"/>
        <v>49962701</v>
      </c>
      <c r="K81" s="320">
        <f t="shared" si="78"/>
        <v>863427</v>
      </c>
      <c r="L81" s="320">
        <f t="shared" si="78"/>
        <v>50826128</v>
      </c>
      <c r="M81" s="320">
        <f t="shared" si="78"/>
        <v>251512358</v>
      </c>
      <c r="N81" s="289">
        <f t="shared" si="78"/>
        <v>335872192</v>
      </c>
      <c r="O81" s="736"/>
      <c r="P81" s="288">
        <f>SUM(P82:P83)</f>
        <v>0</v>
      </c>
      <c r="Q81" s="289">
        <f>SUM(Q82:Q83)</f>
        <v>0</v>
      </c>
      <c r="R81" s="903"/>
      <c r="S81" s="266" t="str">
        <f>+IF(FEBRERO!S81=0,"",FEBRERO!S81)</f>
        <v>2.1.2.02.02.009.902.99</v>
      </c>
      <c r="T81" s="534" t="str">
        <f>+IF(FEBRERO!T81=0,"",FEBRERO!T81)</f>
        <v xml:space="preserve">Vigencia Anterior </v>
      </c>
      <c r="U81" s="301">
        <f>+ENERO!U81</f>
        <v>0</v>
      </c>
      <c r="V81" s="220">
        <f>FEBRERO!V81+MARZO!AL81</f>
        <v>0</v>
      </c>
      <c r="W81" s="220">
        <f>FEBRERO!W81+MARZO!AM81</f>
        <v>0</v>
      </c>
      <c r="X81" s="271">
        <f t="shared" si="69"/>
        <v>0</v>
      </c>
      <c r="Y81" s="270">
        <f>FEBRERO!AA81</f>
        <v>0</v>
      </c>
      <c r="Z81" s="208">
        <v>0</v>
      </c>
      <c r="AA81" s="269">
        <f t="shared" si="70"/>
        <v>0</v>
      </c>
      <c r="AB81" s="270">
        <f>FEBRERO!AD81</f>
        <v>0</v>
      </c>
      <c r="AC81" s="208">
        <v>0</v>
      </c>
      <c r="AD81" s="269">
        <f t="shared" si="71"/>
        <v>0</v>
      </c>
      <c r="AE81" s="270">
        <f>FEBRERO!AG81</f>
        <v>0</v>
      </c>
      <c r="AF81" s="208">
        <v>0</v>
      </c>
      <c r="AG81" s="269">
        <f t="shared" si="72"/>
        <v>0</v>
      </c>
      <c r="AH81" s="270">
        <f t="shared" si="73"/>
        <v>0</v>
      </c>
      <c r="AI81" s="220">
        <f t="shared" si="74"/>
        <v>0</v>
      </c>
      <c r="AJ81" s="269">
        <f t="shared" si="75"/>
        <v>0</v>
      </c>
      <c r="AK81" s="903"/>
      <c r="AL81" s="204">
        <v>0</v>
      </c>
      <c r="AM81" s="210">
        <v>0</v>
      </c>
    </row>
    <row r="82" spans="1:39" ht="24.75" customHeight="1">
      <c r="A82" s="202" t="str">
        <f>+IF(FEBRERO!A82=0,"",FEBRERO!A82)</f>
        <v>1.1.02.05.001.09.02.08</v>
      </c>
      <c r="B82" s="331" t="str">
        <f>+CONCATENATE("Vigencia ",INSTRUCCIONES!$F$3)</f>
        <v>Vigencia 2025</v>
      </c>
      <c r="C82" s="204">
        <f>+ENERO!C82</f>
        <v>376911385</v>
      </c>
      <c r="D82" s="205">
        <f>FEBRERO!D82+MARZO!P82</f>
        <v>0</v>
      </c>
      <c r="E82" s="205">
        <f>FEBRERO!E82+MARZO!Q82</f>
        <v>0</v>
      </c>
      <c r="F82" s="205">
        <f>SUM(C82:E82)</f>
        <v>376911385</v>
      </c>
      <c r="G82" s="205">
        <f>FEBRERO!I82</f>
        <v>52815277</v>
      </c>
      <c r="H82" s="208">
        <v>31544557</v>
      </c>
      <c r="I82" s="205">
        <f>SUM(G82:H82)</f>
        <v>84359834</v>
      </c>
      <c r="J82" s="205">
        <f>FEBRERO!L82</f>
        <v>0</v>
      </c>
      <c r="K82" s="208">
        <v>0</v>
      </c>
      <c r="L82" s="205">
        <f>SUM(J82:K82)</f>
        <v>0</v>
      </c>
      <c r="M82" s="205">
        <f>F82-I82</f>
        <v>292551551</v>
      </c>
      <c r="N82" s="206">
        <f>F82-L82</f>
        <v>376911385</v>
      </c>
      <c r="O82" s="736"/>
      <c r="P82" s="204">
        <v>0</v>
      </c>
      <c r="Q82" s="210">
        <v>0</v>
      </c>
      <c r="R82" s="903"/>
      <c r="S82" s="189" t="str">
        <f>+IF(FEBRERO!S82=0,"",FEBRERO!S82)</f>
        <v/>
      </c>
      <c r="T82" s="488" t="str">
        <f>+IF(FEBRERO!T82=0,"",FEBRERO!T82)</f>
        <v/>
      </c>
      <c r="U82" s="193"/>
      <c r="V82" s="191"/>
      <c r="W82" s="191"/>
      <c r="X82" s="191"/>
      <c r="Y82" s="193"/>
      <c r="Z82" s="191"/>
      <c r="AA82" s="192"/>
      <c r="AB82" s="193"/>
      <c r="AC82" s="191"/>
      <c r="AD82" s="192"/>
      <c r="AE82" s="193"/>
      <c r="AF82" s="191"/>
      <c r="AG82" s="192"/>
      <c r="AH82" s="193"/>
      <c r="AI82" s="191"/>
      <c r="AJ82" s="192"/>
      <c r="AK82" s="903"/>
      <c r="AL82" s="370"/>
      <c r="AM82" s="371"/>
    </row>
    <row r="83" spans="1:39" ht="24.75" customHeight="1">
      <c r="A83" s="202" t="str">
        <f>+IF(FEBRERO!A83=0,"",FEBRERO!A83)</f>
        <v>1.1.02.05.001.09.02.08,99</v>
      </c>
      <c r="B83" s="860" t="str">
        <f>+IF(FEBRERO!B83=0,"",FEBRERO!B83)</f>
        <v>Vigencia Anterior</v>
      </c>
      <c r="C83" s="242">
        <f>+ENERO!C83</f>
        <v>9786935</v>
      </c>
      <c r="D83" s="243">
        <f>FEBRERO!D83+MARZO!P83</f>
        <v>0</v>
      </c>
      <c r="E83" s="243">
        <f>FEBRERO!E83+MARZO!Q83</f>
        <v>0</v>
      </c>
      <c r="F83" s="243">
        <f>SUM(C83:E83)</f>
        <v>9786935</v>
      </c>
      <c r="G83" s="243">
        <f>FEBRERO!I83</f>
        <v>49962701</v>
      </c>
      <c r="H83" s="246">
        <v>863427</v>
      </c>
      <c r="I83" s="243">
        <f>SUM(G83:H83)</f>
        <v>50826128</v>
      </c>
      <c r="J83" s="243">
        <f>FEBRERO!L83</f>
        <v>49962701</v>
      </c>
      <c r="K83" s="246">
        <v>863427</v>
      </c>
      <c r="L83" s="243">
        <f>SUM(J83:K83)</f>
        <v>50826128</v>
      </c>
      <c r="M83" s="1161">
        <f>F83-I83</f>
        <v>-41039193</v>
      </c>
      <c r="N83" s="1162">
        <f>F83-L83</f>
        <v>-41039193</v>
      </c>
      <c r="O83" s="736"/>
      <c r="P83" s="204">
        <v>0</v>
      </c>
      <c r="Q83" s="210">
        <v>0</v>
      </c>
      <c r="R83" s="903"/>
      <c r="S83" s="257">
        <f>+IF(FEBRERO!S83=0,"",FEBRERO!S83)</f>
        <v>1020200</v>
      </c>
      <c r="T83" s="532" t="str">
        <f>+IF(FEBRERO!T83=0,"",FEBRERO!T83)</f>
        <v>Servicios Personales Indirectos</v>
      </c>
      <c r="U83" s="233">
        <f t="shared" ref="U83:AJ83" si="79">SUM(U84:U88)</f>
        <v>64518803470</v>
      </c>
      <c r="V83" s="231">
        <f t="shared" si="79"/>
        <v>-73000000</v>
      </c>
      <c r="W83" s="231">
        <f t="shared" si="79"/>
        <v>0</v>
      </c>
      <c r="X83" s="234">
        <f t="shared" si="79"/>
        <v>64445803470</v>
      </c>
      <c r="Y83" s="233">
        <f t="shared" si="79"/>
        <v>39447075317</v>
      </c>
      <c r="Z83" s="231">
        <f t="shared" si="79"/>
        <v>4798448455</v>
      </c>
      <c r="AA83" s="232">
        <f t="shared" si="79"/>
        <v>44245523772</v>
      </c>
      <c r="AB83" s="233">
        <f t="shared" si="79"/>
        <v>17890278576</v>
      </c>
      <c r="AC83" s="231">
        <f t="shared" si="79"/>
        <v>8695668270</v>
      </c>
      <c r="AD83" s="232">
        <f t="shared" si="79"/>
        <v>26585946846</v>
      </c>
      <c r="AE83" s="233">
        <f t="shared" si="79"/>
        <v>9133395237</v>
      </c>
      <c r="AF83" s="231">
        <f t="shared" si="79"/>
        <v>4511518936</v>
      </c>
      <c r="AG83" s="232">
        <f t="shared" si="79"/>
        <v>13644914173</v>
      </c>
      <c r="AH83" s="233">
        <f t="shared" si="79"/>
        <v>20200279698</v>
      </c>
      <c r="AI83" s="231">
        <f t="shared" si="79"/>
        <v>37859856624</v>
      </c>
      <c r="AJ83" s="232">
        <f t="shared" si="79"/>
        <v>50800889297</v>
      </c>
      <c r="AK83" s="903"/>
      <c r="AL83" s="233">
        <f>SUM(AL84:AL88)</f>
        <v>-373000000</v>
      </c>
      <c r="AM83" s="232">
        <f>SUM(AM84:AM88)</f>
        <v>0</v>
      </c>
    </row>
    <row r="84" spans="1:39" ht="24.75" customHeight="1">
      <c r="A84" s="861" t="str">
        <f>+IF(FEBRERO!A84=0,"",FEBRERO!A84)</f>
        <v/>
      </c>
      <c r="B84" s="862" t="str">
        <f>+IF(FEBRERO!B84=0,"",FEBRERO!B84)</f>
        <v/>
      </c>
      <c r="C84" s="736"/>
      <c r="D84" s="736"/>
      <c r="E84" s="736"/>
      <c r="F84" s="736"/>
      <c r="G84" s="736"/>
      <c r="H84" s="736"/>
      <c r="I84" s="736"/>
      <c r="J84" s="736"/>
      <c r="K84" s="736"/>
      <c r="L84" s="736"/>
      <c r="M84" s="736"/>
      <c r="N84" s="283"/>
      <c r="O84" s="369"/>
      <c r="P84" s="863"/>
      <c r="Q84" s="834"/>
      <c r="R84" s="903"/>
      <c r="S84" s="266" t="str">
        <f>+IF(FEBRERO!S84=0,"",FEBRERO!S84)</f>
        <v>2.1.2.02.02.009.902</v>
      </c>
      <c r="T84" s="534" t="str">
        <f>+IF(FEBRERO!T84=0,"",FEBRERO!T84)</f>
        <v>Servicios Personales (Personal Asistencial)</v>
      </c>
      <c r="U84" s="301">
        <f>+ENERO!U84</f>
        <v>55683487770</v>
      </c>
      <c r="V84" s="220">
        <f>FEBRERO!V84+MARZO!AL84</f>
        <v>-4585698533</v>
      </c>
      <c r="W84" s="220">
        <f>FEBRERO!W84+MARZO!AM84</f>
        <v>0</v>
      </c>
      <c r="X84" s="271">
        <f>SUM(U84:W84)</f>
        <v>51097789237</v>
      </c>
      <c r="Y84" s="270">
        <f>FEBRERO!AA84</f>
        <v>30313680080</v>
      </c>
      <c r="Z84" s="208">
        <v>682825822</v>
      </c>
      <c r="AA84" s="269">
        <f>SUM(Y84:Z84)</f>
        <v>30996505902</v>
      </c>
      <c r="AB84" s="270">
        <f>FEBRERO!AD84</f>
        <v>8756883339</v>
      </c>
      <c r="AC84" s="208">
        <v>4580045637</v>
      </c>
      <c r="AD84" s="269">
        <f>SUM(AB84:AC84)</f>
        <v>13336928976</v>
      </c>
      <c r="AE84" s="270">
        <f>FEBRERO!AG84</f>
        <v>0</v>
      </c>
      <c r="AF84" s="208">
        <v>395896303</v>
      </c>
      <c r="AG84" s="269">
        <f>SUM(AE84:AF84)</f>
        <v>395896303</v>
      </c>
      <c r="AH84" s="270">
        <f>X84-AA84</f>
        <v>20101283335</v>
      </c>
      <c r="AI84" s="220">
        <f>X84-AD84</f>
        <v>37760860261</v>
      </c>
      <c r="AJ84" s="269">
        <f>X84-AG84</f>
        <v>50701892934</v>
      </c>
      <c r="AK84" s="903"/>
      <c r="AL84" s="204">
        <v>-4585698533</v>
      </c>
      <c r="AM84" s="210">
        <v>0</v>
      </c>
    </row>
    <row r="85" spans="1:39" ht="24.75" customHeight="1">
      <c r="A85" s="381" t="str">
        <f>+IF(FEBRERO!A85=0,"",FEBRERO!A85)</f>
        <v>1.1.02.05.001.09.02.90</v>
      </c>
      <c r="B85" s="382" t="str">
        <f>+IF(FEBRERO!B85=0,"",FEBRERO!B85)</f>
        <v>Otras Ventas de Servicios de Salud</v>
      </c>
      <c r="C85" s="383">
        <f t="shared" ref="C85:N85" si="80">SUM(C86:C92)</f>
        <v>0</v>
      </c>
      <c r="D85" s="384">
        <f t="shared" si="80"/>
        <v>0</v>
      </c>
      <c r="E85" s="384">
        <f t="shared" si="80"/>
        <v>13867226030</v>
      </c>
      <c r="F85" s="384">
        <f t="shared" si="80"/>
        <v>13867226030</v>
      </c>
      <c r="G85" s="384">
        <f t="shared" si="80"/>
        <v>3242448494</v>
      </c>
      <c r="H85" s="384">
        <f t="shared" si="80"/>
        <v>2064469464</v>
      </c>
      <c r="I85" s="683">
        <f t="shared" si="80"/>
        <v>5306917958</v>
      </c>
      <c r="J85" s="384">
        <f t="shared" si="80"/>
        <v>465757563</v>
      </c>
      <c r="K85" s="384">
        <f t="shared" si="80"/>
        <v>1478126824</v>
      </c>
      <c r="L85" s="384">
        <f t="shared" si="80"/>
        <v>1943884387</v>
      </c>
      <c r="M85" s="384">
        <f t="shared" si="80"/>
        <v>8560308072</v>
      </c>
      <c r="N85" s="385">
        <f t="shared" si="80"/>
        <v>11923341643</v>
      </c>
      <c r="O85" s="736"/>
      <c r="P85" s="288">
        <f>SUM(P86:P92)</f>
        <v>0</v>
      </c>
      <c r="Q85" s="289">
        <f>SUM(Q86:Q92)</f>
        <v>0</v>
      </c>
      <c r="R85" s="903"/>
      <c r="S85" s="266" t="str">
        <f>+IF(FEBRERO!S85=0,"",FEBRERO!S85)</f>
        <v>1020200-2</v>
      </c>
      <c r="T85" s="534" t="str">
        <f>+IF(FEBRERO!T85=0,"",FEBRERO!T85)</f>
        <v>Personal Supernumerario</v>
      </c>
      <c r="U85" s="301">
        <f>+ENERO!U85</f>
        <v>0</v>
      </c>
      <c r="V85" s="220">
        <f>FEBRERO!V85+MARZO!AL85</f>
        <v>0</v>
      </c>
      <c r="W85" s="220">
        <f>FEBRERO!W85+MARZO!AM85</f>
        <v>0</v>
      </c>
      <c r="X85" s="271">
        <f>SUM(U85:W85)</f>
        <v>0</v>
      </c>
      <c r="Y85" s="270">
        <f>FEBRERO!AA85</f>
        <v>0</v>
      </c>
      <c r="Z85" s="208">
        <v>0</v>
      </c>
      <c r="AA85" s="269">
        <f>SUM(Y85:Z85)</f>
        <v>0</v>
      </c>
      <c r="AB85" s="270">
        <f>FEBRERO!AD85</f>
        <v>0</v>
      </c>
      <c r="AC85" s="208">
        <v>0</v>
      </c>
      <c r="AD85" s="269">
        <f>SUM(AB85:AC85)</f>
        <v>0</v>
      </c>
      <c r="AE85" s="270">
        <f>FEBRERO!AG85</f>
        <v>0</v>
      </c>
      <c r="AF85" s="208">
        <v>0</v>
      </c>
      <c r="AG85" s="269">
        <f>SUM(AE85:AF85)</f>
        <v>0</v>
      </c>
      <c r="AH85" s="270">
        <f>X85-AA85</f>
        <v>0</v>
      </c>
      <c r="AI85" s="220">
        <f>X85-AD85</f>
        <v>0</v>
      </c>
      <c r="AJ85" s="269">
        <f>X85-AG85</f>
        <v>0</v>
      </c>
      <c r="AK85" s="903"/>
      <c r="AL85" s="204">
        <v>0</v>
      </c>
      <c r="AM85" s="210">
        <v>0</v>
      </c>
    </row>
    <row r="86" spans="1:39" ht="24.75" customHeight="1">
      <c r="A86" s="386" t="str">
        <f>+IF(FEBRERO!A86=0,"",FEBRERO!A86)</f>
        <v>1.1.02.05.001.08</v>
      </c>
      <c r="B86" s="387" t="s">
        <v>680</v>
      </c>
      <c r="C86" s="864">
        <f>+ENERO!C86</f>
        <v>0</v>
      </c>
      <c r="D86" s="205">
        <f>FEBRERO!D86+MARZO!P86</f>
        <v>0</v>
      </c>
      <c r="E86" s="205">
        <f>FEBRERO!E86+MARZO!Q86</f>
        <v>0</v>
      </c>
      <c r="F86" s="205">
        <f t="shared" ref="F86:F92" si="81">SUM(C86:E86)</f>
        <v>0</v>
      </c>
      <c r="G86" s="205">
        <f>FEBRERO!I86</f>
        <v>0</v>
      </c>
      <c r="H86" s="208">
        <v>0</v>
      </c>
      <c r="I86" s="205">
        <f t="shared" ref="I86:I92" si="82">SUM(G86:H86)</f>
        <v>0</v>
      </c>
      <c r="J86" s="205">
        <f>FEBRERO!L86</f>
        <v>0</v>
      </c>
      <c r="K86" s="208">
        <v>0</v>
      </c>
      <c r="L86" s="205">
        <f t="shared" ref="L86:L92" si="83">SUM(J86:K86)</f>
        <v>0</v>
      </c>
      <c r="M86" s="205">
        <f t="shared" ref="M86:M92" si="84">F86-I86</f>
        <v>0</v>
      </c>
      <c r="N86" s="206">
        <f t="shared" ref="N86:N92" si="85">F86-L86</f>
        <v>0</v>
      </c>
      <c r="O86" s="736"/>
      <c r="P86" s="204">
        <v>0</v>
      </c>
      <c r="Q86" s="210">
        <v>0</v>
      </c>
      <c r="R86" s="903"/>
      <c r="S86" s="266" t="str">
        <f>+IF(FEBRERO!S86=0,"",FEBRERO!S86)</f>
        <v>1020200-3</v>
      </c>
      <c r="T86" s="534" t="str">
        <f>+IF(FEBRERO!T86=0,"",FEBRERO!T86)</f>
        <v>Otros Honorarios</v>
      </c>
      <c r="U86" s="301">
        <f>+ENERO!U86</f>
        <v>0</v>
      </c>
      <c r="V86" s="220">
        <f>FEBRERO!V86+MARZO!AL86</f>
        <v>0</v>
      </c>
      <c r="W86" s="220">
        <f>FEBRERO!W86+MARZO!AM86</f>
        <v>0</v>
      </c>
      <c r="X86" s="271">
        <f>SUM(U86:W86)</f>
        <v>0</v>
      </c>
      <c r="Y86" s="270">
        <f>FEBRERO!AA86</f>
        <v>0</v>
      </c>
      <c r="Z86" s="208">
        <v>0</v>
      </c>
      <c r="AA86" s="269">
        <f>SUM(Y86:Z86)</f>
        <v>0</v>
      </c>
      <c r="AB86" s="270">
        <f>FEBRERO!AD86</f>
        <v>0</v>
      </c>
      <c r="AC86" s="208">
        <v>0</v>
      </c>
      <c r="AD86" s="269">
        <f>SUM(AB86:AC86)</f>
        <v>0</v>
      </c>
      <c r="AE86" s="270">
        <f>FEBRERO!AG86</f>
        <v>0</v>
      </c>
      <c r="AF86" s="208">
        <v>0</v>
      </c>
      <c r="AG86" s="269">
        <f>SUM(AE86:AF86)</f>
        <v>0</v>
      </c>
      <c r="AH86" s="270">
        <f>X86-AA86</f>
        <v>0</v>
      </c>
      <c r="AI86" s="220">
        <f>X86-AD86</f>
        <v>0</v>
      </c>
      <c r="AJ86" s="269">
        <f>X86-AG86</f>
        <v>0</v>
      </c>
      <c r="AK86" s="903"/>
      <c r="AL86" s="204">
        <v>0</v>
      </c>
      <c r="AM86" s="210">
        <v>0</v>
      </c>
    </row>
    <row r="87" spans="1:39" ht="24.75" customHeight="1">
      <c r="A87" s="386">
        <f>+IF(FEBRERO!A87=0,"",FEBRERO!A87)</f>
        <v>1130202</v>
      </c>
      <c r="B87" s="387">
        <f>+IF(FEBRERO!B87=0,"",FEBRERO!B87)</f>
        <v>1130202</v>
      </c>
      <c r="C87" s="864">
        <f>+ENERO!C87</f>
        <v>0</v>
      </c>
      <c r="D87" s="205">
        <f>FEBRERO!D87+MARZO!P87</f>
        <v>0</v>
      </c>
      <c r="E87" s="205">
        <f>FEBRERO!E87+MARZO!Q87</f>
        <v>0</v>
      </c>
      <c r="F87" s="205">
        <f t="shared" si="81"/>
        <v>0</v>
      </c>
      <c r="G87" s="205">
        <f>FEBRERO!I87</f>
        <v>0</v>
      </c>
      <c r="H87" s="208">
        <v>0</v>
      </c>
      <c r="I87" s="205">
        <f t="shared" si="82"/>
        <v>0</v>
      </c>
      <c r="J87" s="205">
        <f>FEBRERO!L87</f>
        <v>0</v>
      </c>
      <c r="K87" s="208">
        <v>0</v>
      </c>
      <c r="L87" s="205">
        <f t="shared" si="83"/>
        <v>0</v>
      </c>
      <c r="M87" s="205">
        <f t="shared" si="84"/>
        <v>0</v>
      </c>
      <c r="N87" s="206">
        <f t="shared" si="85"/>
        <v>0</v>
      </c>
      <c r="O87" s="736"/>
      <c r="P87" s="204">
        <v>0</v>
      </c>
      <c r="Q87" s="210">
        <v>0</v>
      </c>
      <c r="R87" s="903"/>
      <c r="S87" s="266" t="str">
        <f>+IF(FEBRERO!S87=0,"",FEBRERO!S87)</f>
        <v>1020200-4</v>
      </c>
      <c r="T87" s="534" t="str">
        <f>+IF(FEBRERO!T87=0,"",FEBRERO!T87)</f>
        <v>Otros Honorarios</v>
      </c>
      <c r="U87" s="301">
        <f>+ENERO!U87</f>
        <v>0</v>
      </c>
      <c r="V87" s="220">
        <f>FEBRERO!V87+MARZO!AL87</f>
        <v>0</v>
      </c>
      <c r="W87" s="220">
        <f>FEBRERO!W87+MARZO!AM87</f>
        <v>0</v>
      </c>
      <c r="X87" s="271">
        <f>SUM(U87:W87)</f>
        <v>0</v>
      </c>
      <c r="Y87" s="270">
        <f>FEBRERO!AA87</f>
        <v>0</v>
      </c>
      <c r="Z87" s="208">
        <v>0</v>
      </c>
      <c r="AA87" s="269">
        <f>SUM(Y87:Z87)</f>
        <v>0</v>
      </c>
      <c r="AB87" s="270">
        <f>FEBRERO!AD87</f>
        <v>0</v>
      </c>
      <c r="AC87" s="208">
        <v>0</v>
      </c>
      <c r="AD87" s="269">
        <f>SUM(AB87:AC87)</f>
        <v>0</v>
      </c>
      <c r="AE87" s="270">
        <f>FEBRERO!AG87</f>
        <v>0</v>
      </c>
      <c r="AF87" s="208">
        <v>0</v>
      </c>
      <c r="AG87" s="269">
        <f>SUM(AE87:AF87)</f>
        <v>0</v>
      </c>
      <c r="AH87" s="270">
        <f>X87-AA87</f>
        <v>0</v>
      </c>
      <c r="AI87" s="220">
        <f>X87-AD87</f>
        <v>0</v>
      </c>
      <c r="AJ87" s="269">
        <f>X87-AG87</f>
        <v>0</v>
      </c>
      <c r="AK87" s="903"/>
      <c r="AL87" s="204">
        <v>0</v>
      </c>
      <c r="AM87" s="210">
        <v>0</v>
      </c>
    </row>
    <row r="88" spans="1:39" ht="24.75" customHeight="1">
      <c r="A88" s="386" t="str">
        <f>+IF(FEBRERO!A88=0,"",FEBRERO!A88)</f>
        <v>1.1.02.05.001.08</v>
      </c>
      <c r="B88" s="388" t="str">
        <f>+IF(FEBRERO!B88=0,"",FEBRERO!B88)</f>
        <v>Servicios Prestados a las empresas y servicios de produccion</v>
      </c>
      <c r="C88" s="864">
        <f>+ENERO!C88</f>
        <v>0</v>
      </c>
      <c r="D88" s="205">
        <f>FEBRERO!D88+MARZO!P88</f>
        <v>0</v>
      </c>
      <c r="E88" s="205">
        <f>FEBRERO!E88+MARZO!Q88</f>
        <v>1684010668</v>
      </c>
      <c r="F88" s="205">
        <f t="shared" si="81"/>
        <v>1684010668</v>
      </c>
      <c r="G88" s="205">
        <f>FEBRERO!I88</f>
        <v>187135881</v>
      </c>
      <c r="H88" s="208">
        <v>662949474</v>
      </c>
      <c r="I88" s="205">
        <f t="shared" si="82"/>
        <v>850085355</v>
      </c>
      <c r="J88" s="205">
        <f>FEBRERO!L88</f>
        <v>0</v>
      </c>
      <c r="K88" s="208">
        <v>646375737</v>
      </c>
      <c r="L88" s="680">
        <f t="shared" si="83"/>
        <v>646375737</v>
      </c>
      <c r="M88" s="205">
        <f t="shared" si="84"/>
        <v>833925313</v>
      </c>
      <c r="N88" s="206">
        <f t="shared" si="85"/>
        <v>1037634931</v>
      </c>
      <c r="O88" s="736"/>
      <c r="P88" s="204">
        <v>0</v>
      </c>
      <c r="Q88" s="210">
        <v>0</v>
      </c>
      <c r="R88" s="903"/>
      <c r="S88" s="266" t="str">
        <f>+IF(FEBRERO!S88=0,"",FEBRERO!S88)</f>
        <v>2.1.2.02.02.009.99.01</v>
      </c>
      <c r="T88" s="534" t="str">
        <f>+IF(FEBRERO!T88=0,"",FEBRERO!T88)</f>
        <v>Vigencia Anterior Servicios Personales</v>
      </c>
      <c r="U88" s="301">
        <f>+ENERO!U88</f>
        <v>8835315700</v>
      </c>
      <c r="V88" s="220">
        <f>FEBRERO!V88+MARZO!AL88</f>
        <v>4512698533</v>
      </c>
      <c r="W88" s="220">
        <f>FEBRERO!W88+MARZO!AM88</f>
        <v>0</v>
      </c>
      <c r="X88" s="271">
        <f>SUM(U88:W88)</f>
        <v>13348014233</v>
      </c>
      <c r="Y88" s="270">
        <f>FEBRERO!AA88</f>
        <v>9133395237</v>
      </c>
      <c r="Z88" s="208">
        <v>4115622633</v>
      </c>
      <c r="AA88" s="269">
        <f>SUM(Y88:Z88)</f>
        <v>13249017870</v>
      </c>
      <c r="AB88" s="270">
        <f>FEBRERO!AD88</f>
        <v>9133395237</v>
      </c>
      <c r="AC88" s="208">
        <v>4115622633</v>
      </c>
      <c r="AD88" s="269">
        <f>SUM(AB88:AC88)</f>
        <v>13249017870</v>
      </c>
      <c r="AE88" s="270">
        <f>FEBRERO!AG88</f>
        <v>9133395237</v>
      </c>
      <c r="AF88" s="208">
        <v>4115622633</v>
      </c>
      <c r="AG88" s="269">
        <f>SUM(AE88:AF88)</f>
        <v>13249017870</v>
      </c>
      <c r="AH88" s="270">
        <f>X88-AA88</f>
        <v>98996363</v>
      </c>
      <c r="AI88" s="220">
        <f>X88-AD88</f>
        <v>98996363</v>
      </c>
      <c r="AJ88" s="269">
        <f>X88-AG88</f>
        <v>98996363</v>
      </c>
      <c r="AK88" s="903"/>
      <c r="AL88" s="204">
        <v>4212698533</v>
      </c>
      <c r="AM88" s="210">
        <v>0</v>
      </c>
    </row>
    <row r="89" spans="1:39" ht="24.75" customHeight="1">
      <c r="A89" s="386" t="str">
        <f>+IF(FEBRERO!A89=0,"",FEBRERO!A89)</f>
        <v>1.1.02.05.001.09.02.90.04</v>
      </c>
      <c r="B89" s="388" t="str">
        <f>+IF(FEBRERO!B89=0,"",FEBRERO!B89)</f>
        <v>CONVENIOS CON EL DEPARTAMENTO LIGADOS A LA VENTA SERVICIOS</v>
      </c>
      <c r="C89" s="864">
        <f>+ENERO!C89</f>
        <v>0</v>
      </c>
      <c r="D89" s="205">
        <f>FEBRERO!D89+MARZO!P89</f>
        <v>0</v>
      </c>
      <c r="E89" s="205">
        <f>FEBRERO!E89+MARZO!Q89</f>
        <v>2520457839</v>
      </c>
      <c r="F89" s="205">
        <f t="shared" si="81"/>
        <v>2520457839</v>
      </c>
      <c r="G89" s="205">
        <f>FEBRERO!I89</f>
        <v>840152613</v>
      </c>
      <c r="H89" s="208">
        <v>0</v>
      </c>
      <c r="I89" s="205">
        <f t="shared" si="82"/>
        <v>840152613</v>
      </c>
      <c r="J89" s="205">
        <f>FEBRERO!L89</f>
        <v>0</v>
      </c>
      <c r="K89" s="208">
        <v>831751087</v>
      </c>
      <c r="L89" s="205">
        <f t="shared" si="83"/>
        <v>831751087</v>
      </c>
      <c r="M89" s="205">
        <f t="shared" si="84"/>
        <v>1680305226</v>
      </c>
      <c r="N89" s="206">
        <f t="shared" si="85"/>
        <v>1688706752</v>
      </c>
      <c r="O89" s="736"/>
      <c r="P89" s="204">
        <v>0</v>
      </c>
      <c r="Q89" s="210">
        <v>0</v>
      </c>
      <c r="R89" s="903"/>
      <c r="S89" s="189" t="str">
        <f>+IF(FEBRERO!S89=0,"",FEBRERO!S89)</f>
        <v/>
      </c>
      <c r="T89" s="488" t="str">
        <f>+IF(FEBRERO!T89=0,"",FEBRERO!T89)</f>
        <v/>
      </c>
      <c r="U89" s="193"/>
      <c r="V89" s="191"/>
      <c r="W89" s="191"/>
      <c r="X89" s="191"/>
      <c r="Y89" s="193"/>
      <c r="Z89" s="191"/>
      <c r="AA89" s="192"/>
      <c r="AB89" s="193"/>
      <c r="AC89" s="191"/>
      <c r="AD89" s="192"/>
      <c r="AE89" s="193"/>
      <c r="AF89" s="191"/>
      <c r="AG89" s="192"/>
      <c r="AH89" s="193"/>
      <c r="AI89" s="191"/>
      <c r="AJ89" s="192"/>
      <c r="AK89" s="903"/>
      <c r="AL89" s="370"/>
      <c r="AM89" s="371"/>
    </row>
    <row r="90" spans="1:39" ht="24.75" customHeight="1">
      <c r="A90" s="386" t="s">
        <v>780</v>
      </c>
      <c r="B90" s="388" t="str">
        <f>+IF(FEBRERO!B90=0,"",FEBRERO!B90)</f>
        <v xml:space="preserve">CONVENIOS CON EL MUNICIPIO LIGADOS A LA VENTA DE SERVICIOS </v>
      </c>
      <c r="C90" s="864">
        <f>+ENERO!C90</f>
        <v>0</v>
      </c>
      <c r="D90" s="205">
        <f>FEBRERO!D90+MARZO!P90</f>
        <v>0</v>
      </c>
      <c r="E90" s="205">
        <f>FEBRERO!E90+MARZO!Q90</f>
        <v>9662757523</v>
      </c>
      <c r="F90" s="205">
        <f t="shared" si="81"/>
        <v>9662757523</v>
      </c>
      <c r="G90" s="205">
        <f>FEBRERO!I90</f>
        <v>2215160000</v>
      </c>
      <c r="H90" s="208">
        <f>351520000+800000000+166666660+83333330</f>
        <v>1401519990</v>
      </c>
      <c r="I90" s="205">
        <f t="shared" si="82"/>
        <v>3616679990</v>
      </c>
      <c r="J90" s="205">
        <f>FEBRERO!L90</f>
        <v>465757563</v>
      </c>
      <c r="K90" s="208">
        <v>0</v>
      </c>
      <c r="L90" s="205">
        <f t="shared" si="83"/>
        <v>465757563</v>
      </c>
      <c r="M90" s="205">
        <f t="shared" si="84"/>
        <v>6046077533</v>
      </c>
      <c r="N90" s="206">
        <f t="shared" si="85"/>
        <v>9196999960</v>
      </c>
      <c r="O90" s="736"/>
      <c r="P90" s="204">
        <v>0</v>
      </c>
      <c r="Q90" s="210">
        <v>0</v>
      </c>
      <c r="R90" s="389"/>
      <c r="S90" s="257">
        <f>+IF(FEBRERO!S90=0,"",FEBRERO!S90)</f>
        <v>1020300</v>
      </c>
      <c r="T90" s="532" t="str">
        <f>+IF(FEBRERO!T90=0,"",FEBRERO!T90)</f>
        <v>Contribuciones Inherentes nómina al Sector Privado</v>
      </c>
      <c r="U90" s="233">
        <f t="shared" ref="U90:AJ90" si="86">U91+U96+U102</f>
        <v>0</v>
      </c>
      <c r="V90" s="231">
        <f t="shared" si="86"/>
        <v>0</v>
      </c>
      <c r="W90" s="231">
        <f t="shared" si="86"/>
        <v>0</v>
      </c>
      <c r="X90" s="234">
        <f t="shared" si="86"/>
        <v>0</v>
      </c>
      <c r="Y90" s="233">
        <f t="shared" si="86"/>
        <v>0</v>
      </c>
      <c r="Z90" s="231">
        <f t="shared" si="86"/>
        <v>0</v>
      </c>
      <c r="AA90" s="232">
        <f t="shared" si="86"/>
        <v>0</v>
      </c>
      <c r="AB90" s="233">
        <f t="shared" si="86"/>
        <v>0</v>
      </c>
      <c r="AC90" s="231">
        <f t="shared" si="86"/>
        <v>0</v>
      </c>
      <c r="AD90" s="232">
        <f t="shared" si="86"/>
        <v>0</v>
      </c>
      <c r="AE90" s="233">
        <f t="shared" si="86"/>
        <v>0</v>
      </c>
      <c r="AF90" s="231">
        <f t="shared" si="86"/>
        <v>0</v>
      </c>
      <c r="AG90" s="232">
        <f t="shared" si="86"/>
        <v>0</v>
      </c>
      <c r="AH90" s="233">
        <f t="shared" si="86"/>
        <v>0</v>
      </c>
      <c r="AI90" s="231">
        <f t="shared" si="86"/>
        <v>0</v>
      </c>
      <c r="AJ90" s="232">
        <f t="shared" si="86"/>
        <v>0</v>
      </c>
      <c r="AK90" s="903"/>
      <c r="AL90" s="233">
        <f>AL91+AL96+AL102</f>
        <v>0</v>
      </c>
      <c r="AM90" s="232">
        <f>AM91+AM96+AM102</f>
        <v>0</v>
      </c>
    </row>
    <row r="91" spans="1:39" ht="24.75" customHeight="1">
      <c r="A91" s="386">
        <f>+IF(FEBRERO!A91=0,"",FEBRERO!A91)</f>
        <v>1130206</v>
      </c>
      <c r="B91" s="388" t="str">
        <f>+IF(FEBRERO!B91=0,"",FEBRERO!B91)</f>
        <v>OTROS CONVENIOS LIGADOS A LA VENTA DE SERVICIOS</v>
      </c>
      <c r="C91" s="864">
        <f>+ENERO!C91</f>
        <v>0</v>
      </c>
      <c r="D91" s="205">
        <f>FEBRERO!D91+MARZO!P91</f>
        <v>0</v>
      </c>
      <c r="E91" s="205">
        <f>FEBRERO!E91+MARZO!Q91</f>
        <v>0</v>
      </c>
      <c r="F91" s="205">
        <f t="shared" si="81"/>
        <v>0</v>
      </c>
      <c r="G91" s="205">
        <f>FEBRERO!I91</f>
        <v>0</v>
      </c>
      <c r="H91" s="208">
        <v>0</v>
      </c>
      <c r="I91" s="205">
        <f t="shared" si="82"/>
        <v>0</v>
      </c>
      <c r="J91" s="205">
        <f>FEBRERO!L91</f>
        <v>0</v>
      </c>
      <c r="K91" s="208">
        <v>0</v>
      </c>
      <c r="L91" s="205">
        <f t="shared" si="83"/>
        <v>0</v>
      </c>
      <c r="M91" s="205">
        <f t="shared" si="84"/>
        <v>0</v>
      </c>
      <c r="N91" s="206">
        <f t="shared" si="85"/>
        <v>0</v>
      </c>
      <c r="O91" s="736"/>
      <c r="P91" s="204">
        <v>0</v>
      </c>
      <c r="Q91" s="210">
        <v>0</v>
      </c>
      <c r="R91" s="389"/>
      <c r="S91" s="266">
        <f>+IF(FEBRERO!S91=0,"",FEBRERO!S91)</f>
        <v>1020301</v>
      </c>
      <c r="T91" s="534" t="str">
        <f>+IF(FEBRERO!T91=0,"",FEBRERO!T91)</f>
        <v>Contribuciones - SGP - Aportes Patronales - Cuenta Maestra</v>
      </c>
      <c r="U91" s="301">
        <f t="shared" ref="U91:AJ91" si="87">SUM(U92:U95)</f>
        <v>0</v>
      </c>
      <c r="V91" s="220">
        <f t="shared" si="87"/>
        <v>0</v>
      </c>
      <c r="W91" s="220">
        <f t="shared" si="87"/>
        <v>0</v>
      </c>
      <c r="X91" s="271">
        <f t="shared" si="87"/>
        <v>0</v>
      </c>
      <c r="Y91" s="270">
        <f t="shared" si="87"/>
        <v>0</v>
      </c>
      <c r="Z91" s="300">
        <f t="shared" si="87"/>
        <v>0</v>
      </c>
      <c r="AA91" s="269">
        <f t="shared" si="87"/>
        <v>0</v>
      </c>
      <c r="AB91" s="270">
        <f t="shared" si="87"/>
        <v>0</v>
      </c>
      <c r="AC91" s="300">
        <f t="shared" si="87"/>
        <v>0</v>
      </c>
      <c r="AD91" s="269">
        <f t="shared" si="87"/>
        <v>0</v>
      </c>
      <c r="AE91" s="270">
        <f t="shared" si="87"/>
        <v>0</v>
      </c>
      <c r="AF91" s="300">
        <f t="shared" si="87"/>
        <v>0</v>
      </c>
      <c r="AG91" s="269">
        <f t="shared" si="87"/>
        <v>0</v>
      </c>
      <c r="AH91" s="270">
        <f t="shared" si="87"/>
        <v>0</v>
      </c>
      <c r="AI91" s="220">
        <f t="shared" si="87"/>
        <v>0</v>
      </c>
      <c r="AJ91" s="269">
        <f t="shared" si="87"/>
        <v>0</v>
      </c>
      <c r="AK91" s="903"/>
      <c r="AL91" s="301">
        <f>SUM(AL92:AL95)</f>
        <v>0</v>
      </c>
      <c r="AM91" s="302">
        <f>SUM(AM92:AM95)</f>
        <v>0</v>
      </c>
    </row>
    <row r="92" spans="1:39" ht="24.75" customHeight="1">
      <c r="A92" s="386" t="str">
        <f>+IF(FEBRERO!A92=0,"",FEBRERO!A92)</f>
        <v>1.1.02.05.001.09.02.90.05.99</v>
      </c>
      <c r="B92" s="390" t="str">
        <f>+IF(FEBRERO!B92=0,"",FEBRERO!B92)</f>
        <v>Vigencia Anterior de Otros Convenios de Salud Nacionales (vacunacion covid-19 agendamiento y aplicación)</v>
      </c>
      <c r="C92" s="391">
        <f>+ENERO!C92</f>
        <v>0</v>
      </c>
      <c r="D92" s="243">
        <f>FEBRERO!D92+MARZO!P92</f>
        <v>0</v>
      </c>
      <c r="E92" s="243">
        <f>FEBRERO!E92+MARZO!Q92</f>
        <v>0</v>
      </c>
      <c r="F92" s="243">
        <f t="shared" si="81"/>
        <v>0</v>
      </c>
      <c r="G92" s="243">
        <f>FEBRERO!I92</f>
        <v>0</v>
      </c>
      <c r="H92" s="246">
        <v>0</v>
      </c>
      <c r="I92" s="243">
        <f t="shared" si="82"/>
        <v>0</v>
      </c>
      <c r="J92" s="243">
        <f>FEBRERO!L92</f>
        <v>0</v>
      </c>
      <c r="K92" s="246">
        <v>0</v>
      </c>
      <c r="L92" s="243">
        <f t="shared" si="83"/>
        <v>0</v>
      </c>
      <c r="M92" s="243">
        <f t="shared" si="84"/>
        <v>0</v>
      </c>
      <c r="N92" s="244">
        <f t="shared" si="85"/>
        <v>0</v>
      </c>
      <c r="O92" s="736"/>
      <c r="P92" s="204">
        <v>0</v>
      </c>
      <c r="Q92" s="210">
        <v>0</v>
      </c>
      <c r="R92" s="389"/>
      <c r="S92" s="311" t="str">
        <f>+IF(FEBRERO!S92=0,"",FEBRERO!S92)</f>
        <v>1020301-1</v>
      </c>
      <c r="T92" s="535" t="str">
        <f>+IF(FEBRERO!T92=0,"",FEBRERO!T92)</f>
        <v>E.P.S. - Aportes cuenta maestra</v>
      </c>
      <c r="U92" s="301">
        <f>+ENERO!U92</f>
        <v>0</v>
      </c>
      <c r="V92" s="220">
        <f>FEBRERO!V92+MARZO!AL92</f>
        <v>0</v>
      </c>
      <c r="W92" s="220">
        <f>FEBRERO!W92+MARZO!AM92</f>
        <v>0</v>
      </c>
      <c r="X92" s="271">
        <f>SUM(U92:W92)</f>
        <v>0</v>
      </c>
      <c r="Y92" s="270">
        <f>FEBRERO!AA92</f>
        <v>0</v>
      </c>
      <c r="Z92" s="208">
        <v>0</v>
      </c>
      <c r="AA92" s="269">
        <f>SUM(Y92:Z92)</f>
        <v>0</v>
      </c>
      <c r="AB92" s="270">
        <f>FEBRERO!AD92</f>
        <v>0</v>
      </c>
      <c r="AC92" s="208">
        <v>0</v>
      </c>
      <c r="AD92" s="269">
        <f>SUM(AB92:AC92)</f>
        <v>0</v>
      </c>
      <c r="AE92" s="270">
        <f>FEBRERO!AG92</f>
        <v>0</v>
      </c>
      <c r="AF92" s="208">
        <v>0</v>
      </c>
      <c r="AG92" s="269">
        <f>SUM(AE92:AF92)</f>
        <v>0</v>
      </c>
      <c r="AH92" s="270">
        <f>X92-AA92</f>
        <v>0</v>
      </c>
      <c r="AI92" s="220">
        <f>X92-AD92</f>
        <v>0</v>
      </c>
      <c r="AJ92" s="269">
        <f>X92-AG92</f>
        <v>0</v>
      </c>
      <c r="AK92" s="903"/>
      <c r="AL92" s="204">
        <v>0</v>
      </c>
      <c r="AM92" s="210">
        <v>0</v>
      </c>
    </row>
    <row r="93" spans="1:39" ht="24.75" customHeight="1">
      <c r="A93" s="861" t="str">
        <f>+IF(FEBRERO!A93=0,"",FEBRERO!A93)</f>
        <v/>
      </c>
      <c r="B93" s="862" t="str">
        <f>+IF(FEBRERO!B93=0,"",FEBRERO!B93)</f>
        <v/>
      </c>
      <c r="C93" s="736"/>
      <c r="D93" s="736"/>
      <c r="E93" s="736"/>
      <c r="F93" s="736"/>
      <c r="G93" s="736"/>
      <c r="H93" s="736"/>
      <c r="I93" s="736"/>
      <c r="J93" s="736"/>
      <c r="K93" s="736"/>
      <c r="L93" s="736"/>
      <c r="M93" s="736"/>
      <c r="N93" s="283"/>
      <c r="O93" s="369"/>
      <c r="P93" s="863"/>
      <c r="Q93" s="834"/>
      <c r="R93" s="389"/>
      <c r="S93" s="311" t="str">
        <f>+IF(FEBRERO!S93=0,"",FEBRERO!S93)</f>
        <v>1020301-2</v>
      </c>
      <c r="T93" s="535" t="str">
        <f>+IF(FEBRERO!T93=0,"",FEBRERO!T93)</f>
        <v>Fondos pensionales - Aportes cuenta maestra</v>
      </c>
      <c r="U93" s="301">
        <f>+ENERO!U93</f>
        <v>0</v>
      </c>
      <c r="V93" s="220">
        <f>FEBRERO!V93+MARZO!AL93</f>
        <v>0</v>
      </c>
      <c r="W93" s="220">
        <f>FEBRERO!W93+MARZO!AM93</f>
        <v>0</v>
      </c>
      <c r="X93" s="271">
        <f>SUM(U93:W93)</f>
        <v>0</v>
      </c>
      <c r="Y93" s="270">
        <f>FEBRERO!AA93</f>
        <v>0</v>
      </c>
      <c r="Z93" s="208">
        <v>0</v>
      </c>
      <c r="AA93" s="269">
        <f>SUM(Y93:Z93)</f>
        <v>0</v>
      </c>
      <c r="AB93" s="270">
        <f>FEBRERO!AD93</f>
        <v>0</v>
      </c>
      <c r="AC93" s="208">
        <v>0</v>
      </c>
      <c r="AD93" s="269">
        <f>SUM(AB93:AC93)</f>
        <v>0</v>
      </c>
      <c r="AE93" s="270">
        <f>FEBRERO!AG93</f>
        <v>0</v>
      </c>
      <c r="AF93" s="208">
        <v>0</v>
      </c>
      <c r="AG93" s="269">
        <f>SUM(AE93:AF93)</f>
        <v>0</v>
      </c>
      <c r="AH93" s="270">
        <f>X93-AA93</f>
        <v>0</v>
      </c>
      <c r="AI93" s="220">
        <f>X93-AD93</f>
        <v>0</v>
      </c>
      <c r="AJ93" s="269">
        <f>X93-AG93</f>
        <v>0</v>
      </c>
      <c r="AK93" s="903"/>
      <c r="AL93" s="204">
        <v>0</v>
      </c>
      <c r="AM93" s="210">
        <v>0</v>
      </c>
    </row>
    <row r="94" spans="1:39" ht="37.5" customHeight="1">
      <c r="A94" s="392" t="str">
        <f>+IF(FEBRERO!A94=0,"",FEBRERO!A94)</f>
        <v>1.1.02.06.006.06</v>
      </c>
      <c r="B94" s="393" t="str">
        <f>+IF(FEBRERO!B94=0,"",FEBRERO!B94)</f>
        <v>Aportes (No ligados a la venta de servicios de salud)</v>
      </c>
      <c r="C94" s="383">
        <f t="shared" ref="C94:N94" si="88">SUM(C95:C102)</f>
        <v>650000000</v>
      </c>
      <c r="D94" s="384">
        <f t="shared" si="88"/>
        <v>0</v>
      </c>
      <c r="E94" s="384">
        <f t="shared" si="88"/>
        <v>0</v>
      </c>
      <c r="F94" s="384">
        <f t="shared" si="88"/>
        <v>650000000</v>
      </c>
      <c r="G94" s="384">
        <f t="shared" si="88"/>
        <v>0</v>
      </c>
      <c r="H94" s="384">
        <f t="shared" si="88"/>
        <v>0</v>
      </c>
      <c r="I94" s="384">
        <f t="shared" si="88"/>
        <v>0</v>
      </c>
      <c r="J94" s="384">
        <f t="shared" si="88"/>
        <v>0</v>
      </c>
      <c r="K94" s="384">
        <f t="shared" si="88"/>
        <v>0</v>
      </c>
      <c r="L94" s="384">
        <f t="shared" si="88"/>
        <v>0</v>
      </c>
      <c r="M94" s="384">
        <f t="shared" si="88"/>
        <v>650000000</v>
      </c>
      <c r="N94" s="385">
        <f t="shared" si="88"/>
        <v>650000000</v>
      </c>
      <c r="O94" s="736"/>
      <c r="P94" s="288">
        <f>SUM(P95:P102)</f>
        <v>0</v>
      </c>
      <c r="Q94" s="289">
        <f>SUM(Q95:Q102)</f>
        <v>0</v>
      </c>
      <c r="R94" s="389"/>
      <c r="S94" s="311" t="str">
        <f>+IF(FEBRERO!S94=0,"",FEBRERO!S94)</f>
        <v>1020301-3</v>
      </c>
      <c r="T94" s="535" t="str">
        <f>+IF(FEBRERO!T94=0,"",FEBRERO!T94)</f>
        <v>Fondos de cesantías - Aportes cuenta maestra</v>
      </c>
      <c r="U94" s="301">
        <f>+ENERO!U94</f>
        <v>0</v>
      </c>
      <c r="V94" s="220">
        <f>FEBRERO!V94+MARZO!AL94</f>
        <v>0</v>
      </c>
      <c r="W94" s="220">
        <f>FEBRERO!W94+MARZO!AM94</f>
        <v>0</v>
      </c>
      <c r="X94" s="271">
        <f>SUM(U94:W94)</f>
        <v>0</v>
      </c>
      <c r="Y94" s="270">
        <f>FEBRERO!AA94</f>
        <v>0</v>
      </c>
      <c r="Z94" s="208">
        <v>0</v>
      </c>
      <c r="AA94" s="269">
        <f>SUM(Y94:Z94)</f>
        <v>0</v>
      </c>
      <c r="AB94" s="270">
        <f>FEBRERO!AD94</f>
        <v>0</v>
      </c>
      <c r="AC94" s="208">
        <v>0</v>
      </c>
      <c r="AD94" s="269">
        <f>SUM(AB94:AC94)</f>
        <v>0</v>
      </c>
      <c r="AE94" s="270">
        <f>FEBRERO!AG94</f>
        <v>0</v>
      </c>
      <c r="AF94" s="208">
        <v>0</v>
      </c>
      <c r="AG94" s="269">
        <f>SUM(AE94:AF94)</f>
        <v>0</v>
      </c>
      <c r="AH94" s="270">
        <f>X94-AA94</f>
        <v>0</v>
      </c>
      <c r="AI94" s="220">
        <f>X94-AD94</f>
        <v>0</v>
      </c>
      <c r="AJ94" s="269">
        <f>X94-AG94</f>
        <v>0</v>
      </c>
      <c r="AK94" s="903"/>
      <c r="AL94" s="204">
        <v>0</v>
      </c>
      <c r="AM94" s="210">
        <v>0</v>
      </c>
    </row>
    <row r="95" spans="1:39" ht="24.75" customHeight="1">
      <c r="A95" s="394" t="str">
        <f>+IF(FEBRERO!A95=0,"",FEBRERO!A95)</f>
        <v>1.2.08.06.002</v>
      </c>
      <c r="B95" s="397" t="str">
        <f>+IF(FEBRERO!B95=0,"",FEBRERO!B95)</f>
        <v>Condicionadas a la adquisicion de un activo</v>
      </c>
      <c r="C95" s="864">
        <f>+ENERO!C95</f>
        <v>0</v>
      </c>
      <c r="D95" s="205">
        <f>FEBRERO!D95+MARZO!P95</f>
        <v>0</v>
      </c>
      <c r="E95" s="205">
        <f>FEBRERO!E95+MARZO!Q95</f>
        <v>0</v>
      </c>
      <c r="F95" s="205">
        <f t="shared" ref="F95:F102" si="89">SUM(C95:E95)</f>
        <v>0</v>
      </c>
      <c r="G95" s="205">
        <f>FEBRERO!I95</f>
        <v>0</v>
      </c>
      <c r="H95" s="208">
        <v>0</v>
      </c>
      <c r="I95" s="205">
        <f t="shared" ref="I95:I102" si="90">SUM(G95:H95)</f>
        <v>0</v>
      </c>
      <c r="J95" s="205">
        <f>FEBRERO!L95</f>
        <v>0</v>
      </c>
      <c r="K95" s="208">
        <v>0</v>
      </c>
      <c r="L95" s="205">
        <f t="shared" ref="L95:L102" si="91">SUM(J95:K95)</f>
        <v>0</v>
      </c>
      <c r="M95" s="205">
        <f t="shared" ref="M95:M102" si="92">F95-I95</f>
        <v>0</v>
      </c>
      <c r="N95" s="206">
        <f t="shared" ref="N95:N102" si="93">F95-L95</f>
        <v>0</v>
      </c>
      <c r="O95" s="736"/>
      <c r="P95" s="204">
        <v>0</v>
      </c>
      <c r="Q95" s="210">
        <v>0</v>
      </c>
      <c r="R95" s="389"/>
      <c r="S95" s="311" t="str">
        <f>+IF(FEBRERO!S95=0,"",FEBRERO!S95)</f>
        <v>1020301-4</v>
      </c>
      <c r="T95" s="535" t="str">
        <f>+IF(FEBRERO!T95=0,"",FEBRERO!T95)</f>
        <v>Riesgos laborales - Aportes cuenta maestra</v>
      </c>
      <c r="U95" s="301">
        <f>+ENERO!U95</f>
        <v>0</v>
      </c>
      <c r="V95" s="220">
        <f>FEBRERO!V95+MARZO!AL95</f>
        <v>0</v>
      </c>
      <c r="W95" s="220">
        <f>FEBRERO!W95+MARZO!AM95</f>
        <v>0</v>
      </c>
      <c r="X95" s="271">
        <f>SUM(U95:W95)</f>
        <v>0</v>
      </c>
      <c r="Y95" s="270">
        <f>FEBRERO!AA95</f>
        <v>0</v>
      </c>
      <c r="Z95" s="208">
        <v>0</v>
      </c>
      <c r="AA95" s="269">
        <f>SUM(Y95:Z95)</f>
        <v>0</v>
      </c>
      <c r="AB95" s="270">
        <f>FEBRERO!AD95</f>
        <v>0</v>
      </c>
      <c r="AC95" s="208">
        <v>0</v>
      </c>
      <c r="AD95" s="269">
        <f>SUM(AB95:AC95)</f>
        <v>0</v>
      </c>
      <c r="AE95" s="270">
        <f>FEBRERO!AG95</f>
        <v>0</v>
      </c>
      <c r="AF95" s="208">
        <v>0</v>
      </c>
      <c r="AG95" s="269">
        <f>SUM(AE95:AF95)</f>
        <v>0</v>
      </c>
      <c r="AH95" s="270">
        <f>X95-AA95</f>
        <v>0</v>
      </c>
      <c r="AI95" s="220">
        <f>X95-AD95</f>
        <v>0</v>
      </c>
      <c r="AJ95" s="269">
        <f>X95-AG95</f>
        <v>0</v>
      </c>
      <c r="AK95" s="903"/>
      <c r="AL95" s="204">
        <v>0</v>
      </c>
      <c r="AM95" s="210">
        <v>0</v>
      </c>
    </row>
    <row r="96" spans="1:39" ht="24.75" customHeight="1">
      <c r="A96" s="394" t="str">
        <f>+IF(FEBRERO!A96=0,"",FEBRERO!A96)</f>
        <v>1.1.02.06.007.02.08</v>
      </c>
      <c r="B96" s="397" t="str">
        <f>+IF(FEBRERO!B96=0,"",FEBRERO!B96)</f>
        <v>Aportes del Departamento - Subsidio a la Oferta</v>
      </c>
      <c r="C96" s="864">
        <f>+ENERO!C96</f>
        <v>0</v>
      </c>
      <c r="D96" s="205">
        <f>FEBRERO!D96+MARZO!P96</f>
        <v>0</v>
      </c>
      <c r="E96" s="205">
        <f>FEBRERO!E96+MARZO!Q96</f>
        <v>0</v>
      </c>
      <c r="F96" s="205">
        <f t="shared" si="89"/>
        <v>0</v>
      </c>
      <c r="G96" s="205">
        <f>FEBRERO!I96</f>
        <v>0</v>
      </c>
      <c r="H96" s="208">
        <v>0</v>
      </c>
      <c r="I96" s="205">
        <f t="shared" si="90"/>
        <v>0</v>
      </c>
      <c r="J96" s="205">
        <f>FEBRERO!L96</f>
        <v>0</v>
      </c>
      <c r="K96" s="208">
        <v>0</v>
      </c>
      <c r="L96" s="205">
        <f t="shared" si="91"/>
        <v>0</v>
      </c>
      <c r="M96" s="205">
        <f t="shared" si="92"/>
        <v>0</v>
      </c>
      <c r="N96" s="206">
        <f t="shared" si="93"/>
        <v>0</v>
      </c>
      <c r="O96" s="736"/>
      <c r="P96" s="204">
        <v>0</v>
      </c>
      <c r="Q96" s="210">
        <v>0</v>
      </c>
      <c r="R96" s="389"/>
      <c r="S96" s="266">
        <f>+IF(FEBRERO!S96=0,"",FEBRERO!S96)</f>
        <v>1020302</v>
      </c>
      <c r="T96" s="534" t="str">
        <f>+IF(FEBRERO!T96=0,"",FEBRERO!T96)</f>
        <v>Contribuciones - Otros</v>
      </c>
      <c r="U96" s="301">
        <f t="shared" ref="U96:AJ96" si="94">SUM(U97:U101)</f>
        <v>0</v>
      </c>
      <c r="V96" s="220">
        <f t="shared" si="94"/>
        <v>0</v>
      </c>
      <c r="W96" s="220">
        <f t="shared" si="94"/>
        <v>0</v>
      </c>
      <c r="X96" s="271">
        <f t="shared" si="94"/>
        <v>0</v>
      </c>
      <c r="Y96" s="270">
        <f t="shared" si="94"/>
        <v>0</v>
      </c>
      <c r="Z96" s="300">
        <f t="shared" si="94"/>
        <v>0</v>
      </c>
      <c r="AA96" s="269">
        <f t="shared" si="94"/>
        <v>0</v>
      </c>
      <c r="AB96" s="270">
        <f t="shared" si="94"/>
        <v>0</v>
      </c>
      <c r="AC96" s="300">
        <f t="shared" si="94"/>
        <v>0</v>
      </c>
      <c r="AD96" s="269">
        <f t="shared" si="94"/>
        <v>0</v>
      </c>
      <c r="AE96" s="270">
        <f t="shared" si="94"/>
        <v>0</v>
      </c>
      <c r="AF96" s="300">
        <f t="shared" si="94"/>
        <v>0</v>
      </c>
      <c r="AG96" s="269">
        <f t="shared" si="94"/>
        <v>0</v>
      </c>
      <c r="AH96" s="270">
        <f t="shared" si="94"/>
        <v>0</v>
      </c>
      <c r="AI96" s="220">
        <f t="shared" si="94"/>
        <v>0</v>
      </c>
      <c r="AJ96" s="269">
        <f t="shared" si="94"/>
        <v>0</v>
      </c>
      <c r="AK96" s="389"/>
      <c r="AL96" s="395">
        <f>SUM(AL97:AL101)</f>
        <v>0</v>
      </c>
      <c r="AM96" s="396">
        <f>SUM(AM97:AM101)</f>
        <v>0</v>
      </c>
    </row>
    <row r="97" spans="1:39" ht="24.75" customHeight="1">
      <c r="A97" s="394" t="str">
        <f>+IF(FEBRERO!A97=0,"",FEBRERO!A97)</f>
        <v>1.1.02.06.007.02.08</v>
      </c>
      <c r="B97" s="397" t="str">
        <f>+IF(FEBRERO!B97=0,"",FEBRERO!B97)</f>
        <v>Aportes del Municipio para fortalecimiento</v>
      </c>
      <c r="C97" s="864">
        <f>+ENERO!C97</f>
        <v>0</v>
      </c>
      <c r="D97" s="205">
        <f>FEBRERO!D97+MARZO!P97</f>
        <v>0</v>
      </c>
      <c r="E97" s="205">
        <f>FEBRERO!E97+MARZO!Q97</f>
        <v>0</v>
      </c>
      <c r="F97" s="205">
        <f t="shared" si="89"/>
        <v>0</v>
      </c>
      <c r="G97" s="205">
        <f>FEBRERO!I97</f>
        <v>0</v>
      </c>
      <c r="H97" s="208">
        <v>0</v>
      </c>
      <c r="I97" s="205">
        <f t="shared" si="90"/>
        <v>0</v>
      </c>
      <c r="J97" s="205">
        <f>FEBRERO!L97</f>
        <v>0</v>
      </c>
      <c r="K97" s="208">
        <v>0</v>
      </c>
      <c r="L97" s="205">
        <f t="shared" si="91"/>
        <v>0</v>
      </c>
      <c r="M97" s="205">
        <f t="shared" si="92"/>
        <v>0</v>
      </c>
      <c r="N97" s="206">
        <f t="shared" si="93"/>
        <v>0</v>
      </c>
      <c r="O97" s="736"/>
      <c r="P97" s="204">
        <v>0</v>
      </c>
      <c r="Q97" s="210">
        <v>0</v>
      </c>
      <c r="R97" s="389"/>
      <c r="S97" s="311" t="str">
        <f>+IF(FEBRERO!S97=0,"",FEBRERO!S97)</f>
        <v>2.1.1.01.02.002-1</v>
      </c>
      <c r="T97" s="535" t="str">
        <f>+IF(FEBRERO!T97=0,"",FEBRERO!T97)</f>
        <v>Aportes a E.P.S. - recursos propios</v>
      </c>
      <c r="U97" s="301">
        <f>+ENERO!U97</f>
        <v>0</v>
      </c>
      <c r="V97" s="220">
        <f>FEBRERO!V97+MARZO!AL97</f>
        <v>0</v>
      </c>
      <c r="W97" s="220">
        <f>FEBRERO!W97+MARZO!AM97</f>
        <v>0</v>
      </c>
      <c r="X97" s="271">
        <f t="shared" ref="X97:X102" si="95">SUM(U97:W97)</f>
        <v>0</v>
      </c>
      <c r="Y97" s="270">
        <f>FEBRERO!AA97</f>
        <v>0</v>
      </c>
      <c r="Z97" s="208">
        <v>0</v>
      </c>
      <c r="AA97" s="269">
        <f t="shared" ref="AA97:AA102" si="96">SUM(Y97:Z97)</f>
        <v>0</v>
      </c>
      <c r="AB97" s="270">
        <f>FEBRERO!AD97</f>
        <v>0</v>
      </c>
      <c r="AC97" s="208">
        <v>0</v>
      </c>
      <c r="AD97" s="269">
        <f t="shared" ref="AD97:AD102" si="97">SUM(AB97:AC97)</f>
        <v>0</v>
      </c>
      <c r="AE97" s="270">
        <f>FEBRERO!AG97</f>
        <v>0</v>
      </c>
      <c r="AF97" s="208">
        <v>0</v>
      </c>
      <c r="AG97" s="269">
        <f t="shared" ref="AG97:AG102" si="98">SUM(AE97:AF97)</f>
        <v>0</v>
      </c>
      <c r="AH97" s="270">
        <f t="shared" ref="AH97:AH102" si="99">X97-AA97</f>
        <v>0</v>
      </c>
      <c r="AI97" s="220">
        <f t="shared" ref="AI97:AI102" si="100">X97-AD97</f>
        <v>0</v>
      </c>
      <c r="AJ97" s="269">
        <f t="shared" ref="AJ97:AJ102" si="101">X97-AG97</f>
        <v>0</v>
      </c>
      <c r="AK97" s="389"/>
      <c r="AL97" s="204">
        <v>0</v>
      </c>
      <c r="AM97" s="210">
        <v>0</v>
      </c>
    </row>
    <row r="98" spans="1:39" ht="24.75" customHeight="1">
      <c r="A98" s="394" t="str">
        <f>+IF(FEBRERO!A98=0,"",FEBRERO!A98)</f>
        <v>1.1.02.06.007.02.08</v>
      </c>
      <c r="B98" s="397" t="str">
        <f>+IF(FEBRERO!B98=0,"",FEBRERO!B98)</f>
        <v>Transferencias para las Empresas Sociales del Estado</v>
      </c>
      <c r="C98" s="864">
        <f>+ENERO!C98</f>
        <v>0</v>
      </c>
      <c r="D98" s="205">
        <f>FEBRERO!D98+MARZO!P98</f>
        <v>0</v>
      </c>
      <c r="E98" s="205">
        <f>FEBRERO!E98+MARZO!Q98</f>
        <v>0</v>
      </c>
      <c r="F98" s="205">
        <f t="shared" si="89"/>
        <v>0</v>
      </c>
      <c r="G98" s="205">
        <f>FEBRERO!I98</f>
        <v>0</v>
      </c>
      <c r="H98" s="208"/>
      <c r="I98" s="205">
        <f t="shared" si="90"/>
        <v>0</v>
      </c>
      <c r="J98" s="205">
        <f>FEBRERO!L98</f>
        <v>0</v>
      </c>
      <c r="K98" s="208"/>
      <c r="L98" s="205">
        <f t="shared" si="91"/>
        <v>0</v>
      </c>
      <c r="M98" s="205">
        <f t="shared" si="92"/>
        <v>0</v>
      </c>
      <c r="N98" s="206">
        <f t="shared" si="93"/>
        <v>0</v>
      </c>
      <c r="O98" s="736"/>
      <c r="P98" s="204">
        <v>0</v>
      </c>
      <c r="Q98" s="210">
        <v>0</v>
      </c>
      <c r="R98" s="389"/>
      <c r="S98" s="311" t="str">
        <f>+IF(FEBRERO!S98=0,"",FEBRERO!S98)</f>
        <v>2.1.1.01.02.001-1</v>
      </c>
      <c r="T98" s="535" t="str">
        <f>+IF(FEBRERO!T98=0,"",FEBRERO!T98)</f>
        <v>Aportes Fondos Pensionales - recursos propios</v>
      </c>
      <c r="U98" s="301">
        <f>+ENERO!U98</f>
        <v>0</v>
      </c>
      <c r="V98" s="220">
        <f>FEBRERO!V98+MARZO!AL98</f>
        <v>0</v>
      </c>
      <c r="W98" s="220">
        <f>FEBRERO!W98+MARZO!AM98</f>
        <v>0</v>
      </c>
      <c r="X98" s="271">
        <f t="shared" si="95"/>
        <v>0</v>
      </c>
      <c r="Y98" s="270">
        <f>FEBRERO!AA98</f>
        <v>0</v>
      </c>
      <c r="Z98" s="208">
        <v>0</v>
      </c>
      <c r="AA98" s="269">
        <f t="shared" si="96"/>
        <v>0</v>
      </c>
      <c r="AB98" s="270">
        <f>FEBRERO!AD98</f>
        <v>0</v>
      </c>
      <c r="AC98" s="208">
        <v>0</v>
      </c>
      <c r="AD98" s="269">
        <f t="shared" si="97"/>
        <v>0</v>
      </c>
      <c r="AE98" s="270">
        <f>FEBRERO!AG98</f>
        <v>0</v>
      </c>
      <c r="AF98" s="208">
        <v>0</v>
      </c>
      <c r="AG98" s="269">
        <f t="shared" si="98"/>
        <v>0</v>
      </c>
      <c r="AH98" s="270">
        <f t="shared" si="99"/>
        <v>0</v>
      </c>
      <c r="AI98" s="220">
        <f t="shared" si="100"/>
        <v>0</v>
      </c>
      <c r="AJ98" s="269">
        <f t="shared" si="101"/>
        <v>0</v>
      </c>
      <c r="AK98" s="389"/>
      <c r="AL98" s="204">
        <v>0</v>
      </c>
      <c r="AM98" s="210">
        <v>0</v>
      </c>
    </row>
    <row r="99" spans="1:39" ht="24.75" customHeight="1">
      <c r="A99" s="394" t="str">
        <f>+IF(FEBRERO!A99=0,"",FEBRERO!A99)</f>
        <v>11303-5</v>
      </c>
      <c r="B99" s="397" t="str">
        <f>+IF(FEBRERO!B99=0,"",FEBRERO!B99)</f>
        <v>RECURSOS PARA PROGRAMA DE SANEAMIENTO FINANCIERO</v>
      </c>
      <c r="C99" s="864">
        <f>+ENERO!C99</f>
        <v>0</v>
      </c>
      <c r="D99" s="205">
        <f>FEBRERO!D99+MARZO!P99</f>
        <v>0</v>
      </c>
      <c r="E99" s="205">
        <f>FEBRERO!E99+MARZO!Q99</f>
        <v>0</v>
      </c>
      <c r="F99" s="205">
        <f t="shared" si="89"/>
        <v>0</v>
      </c>
      <c r="G99" s="205">
        <f>FEBRERO!I99</f>
        <v>0</v>
      </c>
      <c r="H99" s="208">
        <v>0</v>
      </c>
      <c r="I99" s="205">
        <f t="shared" si="90"/>
        <v>0</v>
      </c>
      <c r="J99" s="205">
        <f>FEBRERO!L99</f>
        <v>0</v>
      </c>
      <c r="K99" s="208">
        <v>0</v>
      </c>
      <c r="L99" s="205">
        <f t="shared" si="91"/>
        <v>0</v>
      </c>
      <c r="M99" s="205">
        <f t="shared" si="92"/>
        <v>0</v>
      </c>
      <c r="N99" s="206">
        <f t="shared" si="93"/>
        <v>0</v>
      </c>
      <c r="O99" s="736"/>
      <c r="P99" s="204">
        <v>0</v>
      </c>
      <c r="Q99" s="210">
        <v>0</v>
      </c>
      <c r="R99" s="389"/>
      <c r="S99" s="311" t="str">
        <f>+IF(FEBRERO!S99=0,"",FEBRERO!S99)</f>
        <v>2.1.1.01.02.003-1</v>
      </c>
      <c r="T99" s="535" t="str">
        <f>+IF(FEBRERO!T99=0,"",FEBRERO!T99)</f>
        <v>Aportes a Fondos de Cesantia - recursos propios</v>
      </c>
      <c r="U99" s="301">
        <f>+ENERO!U99</f>
        <v>0</v>
      </c>
      <c r="V99" s="220">
        <f>FEBRERO!V99+MARZO!AL99</f>
        <v>0</v>
      </c>
      <c r="W99" s="220">
        <f>FEBRERO!W99+MARZO!AM99</f>
        <v>0</v>
      </c>
      <c r="X99" s="271">
        <f t="shared" si="95"/>
        <v>0</v>
      </c>
      <c r="Y99" s="270">
        <f>FEBRERO!AA99</f>
        <v>0</v>
      </c>
      <c r="Z99" s="208">
        <v>0</v>
      </c>
      <c r="AA99" s="269">
        <f t="shared" si="96"/>
        <v>0</v>
      </c>
      <c r="AB99" s="270">
        <f>FEBRERO!AD99</f>
        <v>0</v>
      </c>
      <c r="AC99" s="208">
        <v>0</v>
      </c>
      <c r="AD99" s="269">
        <f t="shared" si="97"/>
        <v>0</v>
      </c>
      <c r="AE99" s="270">
        <f>FEBRERO!AG99</f>
        <v>0</v>
      </c>
      <c r="AF99" s="208">
        <v>0</v>
      </c>
      <c r="AG99" s="269">
        <f t="shared" si="98"/>
        <v>0</v>
      </c>
      <c r="AH99" s="270">
        <f t="shared" si="99"/>
        <v>0</v>
      </c>
      <c r="AI99" s="220">
        <f t="shared" si="100"/>
        <v>0</v>
      </c>
      <c r="AJ99" s="269">
        <f t="shared" si="101"/>
        <v>0</v>
      </c>
      <c r="AK99" s="389"/>
      <c r="AL99" s="204">
        <v>0</v>
      </c>
      <c r="AM99" s="210">
        <v>0</v>
      </c>
    </row>
    <row r="100" spans="1:39" ht="24.75" customHeight="1">
      <c r="A100" s="394" t="str">
        <f>+IF(FEBRERO!A100=0,"",FEBRERO!A100)</f>
        <v>1.1.02.06.006.07</v>
      </c>
      <c r="B100" s="397" t="str">
        <f>+IF(FEBRERO!B100=0,"",FEBRERO!B100)</f>
        <v>ESTAMPILLA PROHOSPITALES</v>
      </c>
      <c r="C100" s="864">
        <f>+ENERO!C100</f>
        <v>650000000</v>
      </c>
      <c r="D100" s="205">
        <f>FEBRERO!D100+MARZO!P100</f>
        <v>0</v>
      </c>
      <c r="E100" s="205">
        <f>FEBRERO!E100+MARZO!Q100</f>
        <v>0</v>
      </c>
      <c r="F100" s="205">
        <f t="shared" si="89"/>
        <v>650000000</v>
      </c>
      <c r="G100" s="205">
        <f>FEBRERO!I100</f>
        <v>0</v>
      </c>
      <c r="H100" s="208">
        <v>0</v>
      </c>
      <c r="I100" s="205">
        <f t="shared" si="90"/>
        <v>0</v>
      </c>
      <c r="J100" s="205">
        <f>FEBRERO!L100</f>
        <v>0</v>
      </c>
      <c r="K100" s="208">
        <v>0</v>
      </c>
      <c r="L100" s="205">
        <f t="shared" si="91"/>
        <v>0</v>
      </c>
      <c r="M100" s="205">
        <f t="shared" si="92"/>
        <v>650000000</v>
      </c>
      <c r="N100" s="206">
        <f t="shared" si="93"/>
        <v>650000000</v>
      </c>
      <c r="O100" s="736"/>
      <c r="P100" s="204">
        <v>0</v>
      </c>
      <c r="Q100" s="210">
        <v>0</v>
      </c>
      <c r="R100" s="903"/>
      <c r="S100" s="311" t="str">
        <f>+IF(FEBRERO!S100=0,"",FEBRERO!S100)</f>
        <v>2.1.1.01.02.005-1</v>
      </c>
      <c r="T100" s="535" t="str">
        <f>+IF(FEBRERO!T100=0,"",FEBRERO!T100)</f>
        <v>Aporte a ARL. - recursos propios</v>
      </c>
      <c r="U100" s="301">
        <f>+ENERO!U100</f>
        <v>0</v>
      </c>
      <c r="V100" s="220">
        <f>FEBRERO!V100+MARZO!AL100</f>
        <v>0</v>
      </c>
      <c r="W100" s="220">
        <f>FEBRERO!W100+MARZO!AM100</f>
        <v>0</v>
      </c>
      <c r="X100" s="271">
        <f t="shared" si="95"/>
        <v>0</v>
      </c>
      <c r="Y100" s="270">
        <f>FEBRERO!AA100</f>
        <v>0</v>
      </c>
      <c r="Z100" s="208">
        <v>0</v>
      </c>
      <c r="AA100" s="269">
        <f t="shared" si="96"/>
        <v>0</v>
      </c>
      <c r="AB100" s="270">
        <f>FEBRERO!AD100</f>
        <v>0</v>
      </c>
      <c r="AC100" s="208">
        <v>0</v>
      </c>
      <c r="AD100" s="269">
        <f t="shared" si="97"/>
        <v>0</v>
      </c>
      <c r="AE100" s="270">
        <f>FEBRERO!AG100</f>
        <v>0</v>
      </c>
      <c r="AF100" s="208">
        <v>0</v>
      </c>
      <c r="AG100" s="269">
        <f t="shared" si="98"/>
        <v>0</v>
      </c>
      <c r="AH100" s="270">
        <f t="shared" si="99"/>
        <v>0</v>
      </c>
      <c r="AI100" s="220">
        <f t="shared" si="100"/>
        <v>0</v>
      </c>
      <c r="AJ100" s="269">
        <f t="shared" si="101"/>
        <v>0</v>
      </c>
      <c r="AK100" s="389"/>
      <c r="AL100" s="204">
        <v>0</v>
      </c>
      <c r="AM100" s="210">
        <v>0</v>
      </c>
    </row>
    <row r="101" spans="1:39" ht="24.75" customHeight="1">
      <c r="A101" s="394" t="str">
        <f>+IF(FEBRERO!A101=0,"",FEBRERO!A101)</f>
        <v>11303-7</v>
      </c>
      <c r="B101" s="397" t="str">
        <f>+IF(FEBRERO!B101=0,"",FEBRERO!B101)</f>
        <v>SUBSIDIO A LA OFERTA (ART. 2.4.2.6 DECRETO 268 DE 2020)</v>
      </c>
      <c r="C101" s="864">
        <f>+ENERO!C101</f>
        <v>0</v>
      </c>
      <c r="D101" s="205">
        <f>FEBRERO!D101+MARZO!P101</f>
        <v>0</v>
      </c>
      <c r="E101" s="205">
        <f>FEBRERO!E101+MARZO!Q101</f>
        <v>0</v>
      </c>
      <c r="F101" s="205">
        <f t="shared" si="89"/>
        <v>0</v>
      </c>
      <c r="G101" s="205">
        <f>FEBRERO!I101</f>
        <v>0</v>
      </c>
      <c r="H101" s="208">
        <v>0</v>
      </c>
      <c r="I101" s="205">
        <f t="shared" si="90"/>
        <v>0</v>
      </c>
      <c r="J101" s="205">
        <f>FEBRERO!L101</f>
        <v>0</v>
      </c>
      <c r="K101" s="208">
        <v>0</v>
      </c>
      <c r="L101" s="205">
        <f t="shared" si="91"/>
        <v>0</v>
      </c>
      <c r="M101" s="205">
        <f t="shared" si="92"/>
        <v>0</v>
      </c>
      <c r="N101" s="206">
        <f t="shared" si="93"/>
        <v>0</v>
      </c>
      <c r="O101" s="736"/>
      <c r="P101" s="204">
        <v>0</v>
      </c>
      <c r="Q101" s="210">
        <v>0</v>
      </c>
      <c r="R101" s="903"/>
      <c r="S101" s="311" t="str">
        <f>+IF(FEBRERO!S101=0,"",FEBRERO!S101)</f>
        <v>2.1.1.01.02.004-1</v>
      </c>
      <c r="T101" s="535" t="str">
        <f>+IF(FEBRERO!T101=0,"",FEBRERO!T101)</f>
        <v>Aporte a Caja Compensación Familiar</v>
      </c>
      <c r="U101" s="301">
        <f>+ENERO!U101</f>
        <v>0</v>
      </c>
      <c r="V101" s="220">
        <f>FEBRERO!V101+MARZO!AL101</f>
        <v>0</v>
      </c>
      <c r="W101" s="220">
        <f>FEBRERO!W101+MARZO!AM101</f>
        <v>0</v>
      </c>
      <c r="X101" s="271">
        <f t="shared" si="95"/>
        <v>0</v>
      </c>
      <c r="Y101" s="270">
        <f>FEBRERO!AA101</f>
        <v>0</v>
      </c>
      <c r="Z101" s="208">
        <v>0</v>
      </c>
      <c r="AA101" s="269">
        <f t="shared" si="96"/>
        <v>0</v>
      </c>
      <c r="AB101" s="270">
        <f>FEBRERO!AD101</f>
        <v>0</v>
      </c>
      <c r="AC101" s="208">
        <v>0</v>
      </c>
      <c r="AD101" s="269">
        <f t="shared" si="97"/>
        <v>0</v>
      </c>
      <c r="AE101" s="270">
        <f>FEBRERO!AG101</f>
        <v>0</v>
      </c>
      <c r="AF101" s="208">
        <v>0</v>
      </c>
      <c r="AG101" s="269">
        <f t="shared" si="98"/>
        <v>0</v>
      </c>
      <c r="AH101" s="270">
        <f t="shared" si="99"/>
        <v>0</v>
      </c>
      <c r="AI101" s="220">
        <f t="shared" si="100"/>
        <v>0</v>
      </c>
      <c r="AJ101" s="269">
        <f t="shared" si="101"/>
        <v>0</v>
      </c>
      <c r="AK101" s="389"/>
      <c r="AL101" s="204">
        <v>0</v>
      </c>
      <c r="AM101" s="210">
        <v>0</v>
      </c>
    </row>
    <row r="102" spans="1:39" ht="24.75" customHeight="1">
      <c r="A102" s="394" t="str">
        <f>+IF(FEBRERO!A102=0,"",FEBRERO!A102)</f>
        <v>1.1.02.06.006.07.99</v>
      </c>
      <c r="B102" s="390" t="str">
        <f>+IF(FEBRERO!B102=0,"",FEBRERO!B102)</f>
        <v>Vigencia Anterior estampilla</v>
      </c>
      <c r="C102" s="391">
        <f>+ENERO!C102</f>
        <v>0</v>
      </c>
      <c r="D102" s="243">
        <f>FEBRERO!D102+MARZO!P102</f>
        <v>0</v>
      </c>
      <c r="E102" s="243">
        <f>FEBRERO!E102+MARZO!Q102</f>
        <v>0</v>
      </c>
      <c r="F102" s="243">
        <f t="shared" si="89"/>
        <v>0</v>
      </c>
      <c r="G102" s="243">
        <f>FEBRERO!I102</f>
        <v>0</v>
      </c>
      <c r="H102" s="246">
        <v>0</v>
      </c>
      <c r="I102" s="243">
        <f t="shared" si="90"/>
        <v>0</v>
      </c>
      <c r="J102" s="243">
        <f>FEBRERO!L102</f>
        <v>0</v>
      </c>
      <c r="K102" s="246">
        <v>0</v>
      </c>
      <c r="L102" s="243">
        <f t="shared" si="91"/>
        <v>0</v>
      </c>
      <c r="M102" s="243">
        <f t="shared" si="92"/>
        <v>0</v>
      </c>
      <c r="N102" s="244">
        <f t="shared" si="93"/>
        <v>0</v>
      </c>
      <c r="O102" s="736"/>
      <c r="P102" s="204">
        <v>0</v>
      </c>
      <c r="Q102" s="210">
        <v>0</v>
      </c>
      <c r="R102" s="903"/>
      <c r="S102" s="266">
        <f>+IF(FEBRERO!S102=0,"",FEBRERO!S102)</f>
        <v>1020399</v>
      </c>
      <c r="T102" s="534" t="str">
        <f>+IF(FEBRERO!T102=0,"",FEBRERO!T102)</f>
        <v>Vigencias Anteriores</v>
      </c>
      <c r="U102" s="301">
        <f>+ENERO!U102</f>
        <v>0</v>
      </c>
      <c r="V102" s="220">
        <f>FEBRERO!V102+MARZO!AL102</f>
        <v>0</v>
      </c>
      <c r="W102" s="220">
        <f>FEBRERO!W102+MARZO!AM102</f>
        <v>0</v>
      </c>
      <c r="X102" s="271">
        <f t="shared" si="95"/>
        <v>0</v>
      </c>
      <c r="Y102" s="270">
        <f>FEBRERO!AA102</f>
        <v>0</v>
      </c>
      <c r="Z102" s="208">
        <v>0</v>
      </c>
      <c r="AA102" s="269">
        <f t="shared" si="96"/>
        <v>0</v>
      </c>
      <c r="AB102" s="270">
        <f>FEBRERO!AD102</f>
        <v>0</v>
      </c>
      <c r="AC102" s="208">
        <v>0</v>
      </c>
      <c r="AD102" s="269">
        <f t="shared" si="97"/>
        <v>0</v>
      </c>
      <c r="AE102" s="270">
        <f>FEBRERO!AG102</f>
        <v>0</v>
      </c>
      <c r="AF102" s="208">
        <v>0</v>
      </c>
      <c r="AG102" s="269">
        <f t="shared" si="98"/>
        <v>0</v>
      </c>
      <c r="AH102" s="270">
        <f t="shared" si="99"/>
        <v>0</v>
      </c>
      <c r="AI102" s="220">
        <f t="shared" si="100"/>
        <v>0</v>
      </c>
      <c r="AJ102" s="269">
        <f t="shared" si="101"/>
        <v>0</v>
      </c>
      <c r="AK102" s="903"/>
      <c r="AL102" s="204">
        <v>0</v>
      </c>
      <c r="AM102" s="210">
        <v>0</v>
      </c>
    </row>
    <row r="103" spans="1:39" ht="24.75" customHeight="1">
      <c r="A103" s="398" t="str">
        <f>+IF(FEBRERO!A103=0,"",FEBRERO!A103)</f>
        <v/>
      </c>
      <c r="B103" s="399" t="str">
        <f>+IF(FEBRERO!B103=0,"",FEBRERO!B103)</f>
        <v/>
      </c>
      <c r="C103" s="865"/>
      <c r="D103" s="865"/>
      <c r="E103" s="865"/>
      <c r="F103" s="865"/>
      <c r="G103" s="865"/>
      <c r="H103" s="865"/>
      <c r="I103" s="865"/>
      <c r="J103" s="865"/>
      <c r="K103" s="865"/>
      <c r="L103" s="865"/>
      <c r="M103" s="865"/>
      <c r="N103" s="401"/>
      <c r="O103" s="736"/>
      <c r="P103" s="402"/>
      <c r="Q103" s="401"/>
      <c r="R103" s="903"/>
      <c r="S103" s="189" t="str">
        <f>+IF(FEBRERO!S103=0,"",FEBRERO!S103)</f>
        <v/>
      </c>
      <c r="T103" s="488" t="str">
        <f>+IF(FEBRERO!T103=0,"",FEBRERO!T103)</f>
        <v/>
      </c>
      <c r="U103" s="193"/>
      <c r="V103" s="191"/>
      <c r="W103" s="191"/>
      <c r="X103" s="191"/>
      <c r="Y103" s="193"/>
      <c r="Z103" s="191"/>
      <c r="AA103" s="192"/>
      <c r="AB103" s="193"/>
      <c r="AC103" s="191"/>
      <c r="AD103" s="192"/>
      <c r="AE103" s="193"/>
      <c r="AF103" s="191"/>
      <c r="AG103" s="192"/>
      <c r="AH103" s="193"/>
      <c r="AI103" s="191"/>
      <c r="AJ103" s="192"/>
      <c r="AK103" s="903"/>
      <c r="AL103" s="370"/>
      <c r="AM103" s="371"/>
    </row>
    <row r="104" spans="1:39" ht="24.75" customHeight="1">
      <c r="A104" s="392">
        <f>+IF(FEBRERO!A104=0,"",FEBRERO!A104)</f>
        <v>11304</v>
      </c>
      <c r="B104" s="393" t="str">
        <f>+IF(FEBRERO!B104=0,"",FEBRERO!B104)</f>
        <v>Otros ingresos corrientes</v>
      </c>
      <c r="C104" s="383">
        <f t="shared" ref="C104:N104" si="102">SUM(C105:C111)</f>
        <v>235000000</v>
      </c>
      <c r="D104" s="384">
        <f t="shared" si="102"/>
        <v>0</v>
      </c>
      <c r="E104" s="384">
        <f t="shared" si="102"/>
        <v>0</v>
      </c>
      <c r="F104" s="384">
        <f t="shared" si="102"/>
        <v>235000000</v>
      </c>
      <c r="G104" s="384">
        <f t="shared" si="102"/>
        <v>177466869</v>
      </c>
      <c r="H104" s="384">
        <f>SUM(H105:H111)</f>
        <v>-57649638</v>
      </c>
      <c r="I104" s="384">
        <f t="shared" si="102"/>
        <v>119817231</v>
      </c>
      <c r="J104" s="384">
        <f t="shared" si="102"/>
        <v>85197030</v>
      </c>
      <c r="K104" s="384">
        <f t="shared" si="102"/>
        <v>22575999</v>
      </c>
      <c r="L104" s="384">
        <f t="shared" si="102"/>
        <v>107773029</v>
      </c>
      <c r="M104" s="384">
        <f t="shared" si="102"/>
        <v>115182769</v>
      </c>
      <c r="N104" s="385">
        <f t="shared" si="102"/>
        <v>127226971</v>
      </c>
      <c r="O104" s="736"/>
      <c r="P104" s="288">
        <f>SUM(P105:P111)</f>
        <v>0</v>
      </c>
      <c r="Q104" s="289">
        <f>SUM(Q105:Q111)</f>
        <v>0</v>
      </c>
      <c r="R104" s="903"/>
      <c r="S104" s="257">
        <f>+IF(FEBRERO!S104=0,"",FEBRERO!S104)</f>
        <v>1020400</v>
      </c>
      <c r="T104" s="532" t="str">
        <f>+IF(FEBRERO!T104=0,"",FEBRERO!T104)</f>
        <v>Contribuciones Inherentes nómina del Sector Publico</v>
      </c>
      <c r="U104" s="233">
        <f t="shared" ref="U104:AJ104" si="103">U105+U108</f>
        <v>0</v>
      </c>
      <c r="V104" s="231">
        <f t="shared" si="103"/>
        <v>0</v>
      </c>
      <c r="W104" s="231">
        <f t="shared" si="103"/>
        <v>0</v>
      </c>
      <c r="X104" s="234">
        <f t="shared" si="103"/>
        <v>0</v>
      </c>
      <c r="Y104" s="233">
        <f t="shared" si="103"/>
        <v>0</v>
      </c>
      <c r="Z104" s="231">
        <f t="shared" si="103"/>
        <v>0</v>
      </c>
      <c r="AA104" s="232">
        <f t="shared" si="103"/>
        <v>0</v>
      </c>
      <c r="AB104" s="233">
        <f t="shared" si="103"/>
        <v>0</v>
      </c>
      <c r="AC104" s="231">
        <f t="shared" si="103"/>
        <v>0</v>
      </c>
      <c r="AD104" s="232">
        <f t="shared" si="103"/>
        <v>0</v>
      </c>
      <c r="AE104" s="233">
        <f t="shared" si="103"/>
        <v>0</v>
      </c>
      <c r="AF104" s="231">
        <f t="shared" si="103"/>
        <v>0</v>
      </c>
      <c r="AG104" s="232">
        <f t="shared" si="103"/>
        <v>0</v>
      </c>
      <c r="AH104" s="233">
        <f t="shared" si="103"/>
        <v>0</v>
      </c>
      <c r="AI104" s="231">
        <f t="shared" si="103"/>
        <v>0</v>
      </c>
      <c r="AJ104" s="232">
        <f t="shared" si="103"/>
        <v>0</v>
      </c>
      <c r="AK104" s="903"/>
      <c r="AL104" s="233">
        <f>AL105+AL108</f>
        <v>0</v>
      </c>
      <c r="AM104" s="232">
        <f>AM105+AM108</f>
        <v>0</v>
      </c>
    </row>
    <row r="105" spans="1:39" ht="48" customHeight="1">
      <c r="A105" s="394" t="str">
        <f>+IF(FEBRERO!A105=0,"",FEBRERO!A105)</f>
        <v>1.1.02.05.002.07</v>
      </c>
      <c r="B105" s="397" t="str">
        <f>+IF(FEBRERO!B105=0,"",FEBRERO!B105)</f>
        <v>Servicios financieros y servicios conexos, servicios inmobiliarios y servicios de leasing (ARRENDAMIENTOS)</v>
      </c>
      <c r="C105" s="864">
        <f>+ENERO!C105</f>
        <v>235000000</v>
      </c>
      <c r="D105" s="205">
        <f>FEBRERO!D105+MARZO!P105</f>
        <v>0</v>
      </c>
      <c r="E105" s="205">
        <f>FEBRERO!E105+MARZO!Q105</f>
        <v>0</v>
      </c>
      <c r="F105" s="205">
        <f t="shared" ref="F105:F111" si="104">SUM(C105:E105)</f>
        <v>235000000</v>
      </c>
      <c r="G105" s="205">
        <f>FEBRERO!I105</f>
        <v>52141971</v>
      </c>
      <c r="H105" s="208">
        <v>20713581</v>
      </c>
      <c r="I105" s="205">
        <f t="shared" ref="I105:I111" si="105">SUM(G105:H105)</f>
        <v>72855552</v>
      </c>
      <c r="J105" s="205">
        <f>FEBRERO!L105</f>
        <v>43205462</v>
      </c>
      <c r="K105" s="208">
        <v>17605888</v>
      </c>
      <c r="L105" s="205">
        <f t="shared" ref="L105:L111" si="106">SUM(J105:K105)</f>
        <v>60811350</v>
      </c>
      <c r="M105" s="205">
        <f t="shared" ref="M105:M111" si="107">F105-I105</f>
        <v>162144448</v>
      </c>
      <c r="N105" s="206">
        <f t="shared" ref="N105:N111" si="108">F105-L105</f>
        <v>174188650</v>
      </c>
      <c r="O105" s="736"/>
      <c r="P105" s="204">
        <v>0</v>
      </c>
      <c r="Q105" s="210">
        <v>0</v>
      </c>
      <c r="R105" s="903"/>
      <c r="S105" s="266">
        <f>+IF(FEBRERO!S105=0,"",FEBRERO!S105)</f>
        <v>1020402</v>
      </c>
      <c r="T105" s="534" t="str">
        <f>+IF(FEBRERO!T105=0,"",FEBRERO!T105)</f>
        <v>Contribuciones - Otros</v>
      </c>
      <c r="U105" s="301">
        <f t="shared" ref="U105:AJ105" si="109">SUM(U106:U107)</f>
        <v>0</v>
      </c>
      <c r="V105" s="220">
        <f t="shared" si="109"/>
        <v>0</v>
      </c>
      <c r="W105" s="220">
        <f t="shared" si="109"/>
        <v>0</v>
      </c>
      <c r="X105" s="271">
        <f t="shared" si="109"/>
        <v>0</v>
      </c>
      <c r="Y105" s="270">
        <f t="shared" si="109"/>
        <v>0</v>
      </c>
      <c r="Z105" s="300">
        <f t="shared" si="109"/>
        <v>0</v>
      </c>
      <c r="AA105" s="269">
        <f t="shared" si="109"/>
        <v>0</v>
      </c>
      <c r="AB105" s="270">
        <f t="shared" si="109"/>
        <v>0</v>
      </c>
      <c r="AC105" s="300">
        <f t="shared" si="109"/>
        <v>0</v>
      </c>
      <c r="AD105" s="269">
        <f t="shared" si="109"/>
        <v>0</v>
      </c>
      <c r="AE105" s="270">
        <f t="shared" si="109"/>
        <v>0</v>
      </c>
      <c r="AF105" s="300">
        <f t="shared" si="109"/>
        <v>0</v>
      </c>
      <c r="AG105" s="269">
        <f t="shared" si="109"/>
        <v>0</v>
      </c>
      <c r="AH105" s="270">
        <f t="shared" si="109"/>
        <v>0</v>
      </c>
      <c r="AI105" s="220">
        <f t="shared" si="109"/>
        <v>0</v>
      </c>
      <c r="AJ105" s="269">
        <f t="shared" si="109"/>
        <v>0</v>
      </c>
      <c r="AK105" s="907"/>
      <c r="AL105" s="301">
        <f>SUM(AL106:AL107)</f>
        <v>0</v>
      </c>
      <c r="AM105" s="302">
        <f>SUM(AM106:AM107)</f>
        <v>0</v>
      </c>
    </row>
    <row r="106" spans="1:39" ht="24.75" customHeight="1">
      <c r="A106" s="394">
        <f>+IF(FEBRERO!A106=0,"",FEBRERO!A106)</f>
        <v>1020402</v>
      </c>
      <c r="B106" s="403" t="str">
        <f>+IF(FEBRERO!B106=0,"",FEBRERO!B106)</f>
        <v/>
      </c>
      <c r="C106" s="864">
        <f>+ENERO!C106</f>
        <v>0</v>
      </c>
      <c r="D106" s="205">
        <f>FEBRERO!D106+MARZO!P106</f>
        <v>0</v>
      </c>
      <c r="E106" s="205">
        <f>FEBRERO!E106+MARZO!Q106</f>
        <v>0</v>
      </c>
      <c r="F106" s="205">
        <f t="shared" si="104"/>
        <v>0</v>
      </c>
      <c r="G106" s="205">
        <f>FEBRERO!I106</f>
        <v>83333330</v>
      </c>
      <c r="H106" s="208">
        <v>-83333330</v>
      </c>
      <c r="I106" s="205">
        <f t="shared" si="105"/>
        <v>0</v>
      </c>
      <c r="J106" s="205">
        <f>FEBRERO!L106</f>
        <v>0</v>
      </c>
      <c r="K106" s="208">
        <v>0</v>
      </c>
      <c r="L106" s="205">
        <f t="shared" si="106"/>
        <v>0</v>
      </c>
      <c r="M106" s="205">
        <f t="shared" si="107"/>
        <v>0</v>
      </c>
      <c r="N106" s="206">
        <f t="shared" si="108"/>
        <v>0</v>
      </c>
      <c r="O106" s="736"/>
      <c r="P106" s="204">
        <v>0</v>
      </c>
      <c r="Q106" s="210">
        <v>0</v>
      </c>
      <c r="R106" s="903"/>
      <c r="S106" s="311" t="str">
        <f>+IF(FEBRERO!S106=0,"",FEBRERO!S106)</f>
        <v>2.1.1.01.02.007-1</v>
      </c>
      <c r="T106" s="534" t="str">
        <f>+IF(FEBRERO!T106=0,"",FEBRERO!T106)</f>
        <v>S.E.N.A.</v>
      </c>
      <c r="U106" s="301">
        <f>+ENERO!U106</f>
        <v>0</v>
      </c>
      <c r="V106" s="220">
        <f>FEBRERO!V106+MARZO!AL106</f>
        <v>0</v>
      </c>
      <c r="W106" s="220">
        <f>FEBRERO!W106+MARZO!AM106</f>
        <v>0</v>
      </c>
      <c r="X106" s="271">
        <f>SUM(U106:W106)</f>
        <v>0</v>
      </c>
      <c r="Y106" s="270">
        <f>FEBRERO!AA106</f>
        <v>0</v>
      </c>
      <c r="Z106" s="208">
        <v>0</v>
      </c>
      <c r="AA106" s="269">
        <f>SUM(Y106:Z106)</f>
        <v>0</v>
      </c>
      <c r="AB106" s="270">
        <f>FEBRERO!AD106</f>
        <v>0</v>
      </c>
      <c r="AC106" s="208">
        <v>0</v>
      </c>
      <c r="AD106" s="269">
        <f>SUM(AB106:AC106)</f>
        <v>0</v>
      </c>
      <c r="AE106" s="270">
        <f>FEBRERO!AG106</f>
        <v>0</v>
      </c>
      <c r="AF106" s="208">
        <v>0</v>
      </c>
      <c r="AG106" s="269">
        <f>SUM(AE106:AF106)</f>
        <v>0</v>
      </c>
      <c r="AH106" s="270">
        <f>X106-AA106</f>
        <v>0</v>
      </c>
      <c r="AI106" s="220">
        <f>X106-AD106</f>
        <v>0</v>
      </c>
      <c r="AJ106" s="269">
        <f>X106-AG106</f>
        <v>0</v>
      </c>
      <c r="AK106" s="903"/>
      <c r="AL106" s="204">
        <v>0</v>
      </c>
      <c r="AM106" s="210">
        <v>0</v>
      </c>
    </row>
    <row r="107" spans="1:39" ht="24.75" customHeight="1">
      <c r="A107" s="394" t="str">
        <f>+IF(FEBRERO!A107=0,"",FEBRERO!A107)</f>
        <v/>
      </c>
      <c r="B107" s="397" t="str">
        <f>+IF(FEBRERO!B107=0,"",FEBRERO!B107)</f>
        <v/>
      </c>
      <c r="C107" s="864">
        <f>+ENERO!C107</f>
        <v>0</v>
      </c>
      <c r="D107" s="205">
        <f>FEBRERO!D107+MARZO!P107</f>
        <v>0</v>
      </c>
      <c r="E107" s="205">
        <f>FEBRERO!E107+MARZO!Q107</f>
        <v>0</v>
      </c>
      <c r="F107" s="205">
        <f t="shared" si="104"/>
        <v>0</v>
      </c>
      <c r="G107" s="205">
        <f>FEBRERO!I107</f>
        <v>0</v>
      </c>
      <c r="H107" s="208">
        <v>0</v>
      </c>
      <c r="I107" s="205">
        <f t="shared" si="105"/>
        <v>0</v>
      </c>
      <c r="J107" s="205">
        <f>FEBRERO!L107</f>
        <v>0</v>
      </c>
      <c r="K107" s="208">
        <v>0</v>
      </c>
      <c r="L107" s="205">
        <f t="shared" si="106"/>
        <v>0</v>
      </c>
      <c r="M107" s="205">
        <f t="shared" si="107"/>
        <v>0</v>
      </c>
      <c r="N107" s="206">
        <f t="shared" si="108"/>
        <v>0</v>
      </c>
      <c r="O107" s="736"/>
      <c r="P107" s="204">
        <v>0</v>
      </c>
      <c r="Q107" s="210">
        <v>0</v>
      </c>
      <c r="R107" s="903"/>
      <c r="S107" s="311" t="str">
        <f>+IF(FEBRERO!S107=0,"",FEBRERO!S107)</f>
        <v>2.1.1.01.02.006-1</v>
      </c>
      <c r="T107" s="534" t="str">
        <f>+IF(FEBRERO!T107=0,"",FEBRERO!T107)</f>
        <v>I.C.B.F.</v>
      </c>
      <c r="U107" s="301">
        <f>+ENERO!U107</f>
        <v>0</v>
      </c>
      <c r="V107" s="220">
        <f>FEBRERO!V107+MARZO!AL107</f>
        <v>0</v>
      </c>
      <c r="W107" s="220">
        <f>FEBRERO!W107+MARZO!AM107</f>
        <v>0</v>
      </c>
      <c r="X107" s="271">
        <f>SUM(U107:W107)</f>
        <v>0</v>
      </c>
      <c r="Y107" s="270">
        <f>FEBRERO!AA107</f>
        <v>0</v>
      </c>
      <c r="Z107" s="208">
        <v>0</v>
      </c>
      <c r="AA107" s="269">
        <f>SUM(Y107:Z107)</f>
        <v>0</v>
      </c>
      <c r="AB107" s="270">
        <f>FEBRERO!AD107</f>
        <v>0</v>
      </c>
      <c r="AC107" s="208">
        <v>0</v>
      </c>
      <c r="AD107" s="269">
        <f>SUM(AB107:AC107)</f>
        <v>0</v>
      </c>
      <c r="AE107" s="270">
        <f>FEBRERO!AG107</f>
        <v>0</v>
      </c>
      <c r="AF107" s="208">
        <v>0</v>
      </c>
      <c r="AG107" s="269">
        <f>SUM(AE107:AF107)</f>
        <v>0</v>
      </c>
      <c r="AH107" s="270">
        <f>X107-AA107</f>
        <v>0</v>
      </c>
      <c r="AI107" s="220">
        <f>X107-AD107</f>
        <v>0</v>
      </c>
      <c r="AJ107" s="269">
        <f>X107-AG107</f>
        <v>0</v>
      </c>
      <c r="AK107" s="903"/>
      <c r="AL107" s="204">
        <v>0</v>
      </c>
      <c r="AM107" s="210">
        <v>0</v>
      </c>
    </row>
    <row r="108" spans="1:39" ht="24.75" customHeight="1">
      <c r="A108" s="394" t="str">
        <f>+IF(FEBRERO!A108=0,"",FEBRERO!A108)</f>
        <v/>
      </c>
      <c r="B108" s="397" t="str">
        <f>+IF(FEBRERO!B108=0,"",FEBRERO!B108)</f>
        <v/>
      </c>
      <c r="C108" s="864">
        <f>+ENERO!C108</f>
        <v>0</v>
      </c>
      <c r="D108" s="205">
        <f>FEBRERO!D108+MARZO!P108</f>
        <v>0</v>
      </c>
      <c r="E108" s="205">
        <f>FEBRERO!E108+MARZO!Q108</f>
        <v>0</v>
      </c>
      <c r="F108" s="205">
        <f t="shared" si="104"/>
        <v>0</v>
      </c>
      <c r="G108" s="205">
        <f>FEBRERO!I108</f>
        <v>0</v>
      </c>
      <c r="H108" s="208">
        <v>0</v>
      </c>
      <c r="I108" s="205">
        <f t="shared" si="105"/>
        <v>0</v>
      </c>
      <c r="J108" s="205">
        <f>FEBRERO!L108</f>
        <v>0</v>
      </c>
      <c r="K108" s="208">
        <v>0</v>
      </c>
      <c r="L108" s="205">
        <f t="shared" si="106"/>
        <v>0</v>
      </c>
      <c r="M108" s="205">
        <f t="shared" si="107"/>
        <v>0</v>
      </c>
      <c r="N108" s="206">
        <f t="shared" si="108"/>
        <v>0</v>
      </c>
      <c r="O108" s="736"/>
      <c r="P108" s="204">
        <v>0</v>
      </c>
      <c r="Q108" s="210">
        <v>0</v>
      </c>
      <c r="R108" s="903"/>
      <c r="S108" s="266" t="str">
        <f>+IF(FEBRERO!S108=0,"",FEBRERO!S108)</f>
        <v>2.1.2.02.02.008.99.04</v>
      </c>
      <c r="T108" s="534" t="str">
        <f>+IF(FEBRERO!T108=0,"",FEBRERO!T108)</f>
        <v>Vigencias Anteriores Servicios personales administrativos</v>
      </c>
      <c r="U108" s="301">
        <f>+ENERO!U108</f>
        <v>0</v>
      </c>
      <c r="V108" s="220">
        <f>FEBRERO!V108+MARZO!AL108</f>
        <v>0</v>
      </c>
      <c r="W108" s="220">
        <f>FEBRERO!W108+MARZO!AM108</f>
        <v>0</v>
      </c>
      <c r="X108" s="271">
        <f>SUM(U108:W108)</f>
        <v>0</v>
      </c>
      <c r="Y108" s="270">
        <f>FEBRERO!AA108</f>
        <v>0</v>
      </c>
      <c r="Z108" s="208">
        <v>0</v>
      </c>
      <c r="AA108" s="269">
        <f>SUM(Y108:Z108)</f>
        <v>0</v>
      </c>
      <c r="AB108" s="270">
        <f>FEBRERO!AD108</f>
        <v>0</v>
      </c>
      <c r="AC108" s="208">
        <v>0</v>
      </c>
      <c r="AD108" s="269">
        <f>SUM(AB108:AC108)</f>
        <v>0</v>
      </c>
      <c r="AE108" s="270">
        <f>FEBRERO!AG108</f>
        <v>0</v>
      </c>
      <c r="AF108" s="208">
        <v>0</v>
      </c>
      <c r="AG108" s="269">
        <f>SUM(AE108:AF108)</f>
        <v>0</v>
      </c>
      <c r="AH108" s="270">
        <f>X108-AA108</f>
        <v>0</v>
      </c>
      <c r="AI108" s="220">
        <f>X108-AD108</f>
        <v>0</v>
      </c>
      <c r="AJ108" s="269">
        <f>X108-AG108</f>
        <v>0</v>
      </c>
      <c r="AK108" s="903"/>
      <c r="AL108" s="204">
        <v>0</v>
      </c>
      <c r="AM108" s="210">
        <v>0</v>
      </c>
    </row>
    <row r="109" spans="1:39" ht="24.75" customHeight="1">
      <c r="A109" s="394" t="str">
        <f>+IF(FEBRERO!A109=0,"",FEBRERO!A109)</f>
        <v>1.1.02.05.002.08</v>
      </c>
      <c r="B109" s="397" t="str">
        <f>+IF(FEBRERO!B109=0,"",FEBRERO!B109)</f>
        <v>Servicios prestados a las empresas y servicios de producción(APROVECHAMIENTOS)</v>
      </c>
      <c r="C109" s="864">
        <f>+ENERO!C109</f>
        <v>0</v>
      </c>
      <c r="D109" s="205">
        <f>FEBRERO!D109+MARZO!P109</f>
        <v>0</v>
      </c>
      <c r="E109" s="205">
        <f>FEBRERO!E109+MARZO!Q109</f>
        <v>0</v>
      </c>
      <c r="F109" s="205">
        <f t="shared" si="104"/>
        <v>0</v>
      </c>
      <c r="G109" s="205">
        <f>FEBRERO!I109</f>
        <v>23636039</v>
      </c>
      <c r="H109" s="208">
        <v>3588851</v>
      </c>
      <c r="I109" s="205">
        <f t="shared" si="105"/>
        <v>27224890</v>
      </c>
      <c r="J109" s="205">
        <f>FEBRERO!L109</f>
        <v>23636039</v>
      </c>
      <c r="K109" s="208">
        <f>3580351+8500</f>
        <v>3588851</v>
      </c>
      <c r="L109" s="205">
        <f t="shared" si="106"/>
        <v>27224890</v>
      </c>
      <c r="M109" s="1156">
        <f t="shared" si="107"/>
        <v>-27224890</v>
      </c>
      <c r="N109" s="979">
        <f t="shared" si="108"/>
        <v>-27224890</v>
      </c>
      <c r="O109" s="736"/>
      <c r="P109" s="204">
        <v>0</v>
      </c>
      <c r="Q109" s="210">
        <v>0</v>
      </c>
      <c r="R109" s="903"/>
      <c r="S109" s="189">
        <f>+IF(FEBRERO!S109=0,"",FEBRERO!S109)</f>
        <v>23625024</v>
      </c>
      <c r="T109" s="488" t="str">
        <f>+IF(FEBRERO!T109=0,"",FEBRERO!T109)</f>
        <v/>
      </c>
      <c r="U109" s="193"/>
      <c r="V109" s="191"/>
      <c r="W109" s="191"/>
      <c r="X109" s="191"/>
      <c r="Y109" s="193"/>
      <c r="Z109" s="191"/>
      <c r="AA109" s="192"/>
      <c r="AB109" s="193"/>
      <c r="AC109" s="191"/>
      <c r="AD109" s="192"/>
      <c r="AE109" s="193"/>
      <c r="AF109" s="191"/>
      <c r="AG109" s="192"/>
      <c r="AH109" s="193"/>
      <c r="AI109" s="191"/>
      <c r="AJ109" s="192"/>
      <c r="AK109" s="907"/>
      <c r="AL109" s="370"/>
      <c r="AM109" s="371"/>
    </row>
    <row r="110" spans="1:39" ht="24.75" customHeight="1">
      <c r="A110" s="394" t="str">
        <f>+IF(FEBRERO!A110=0,"",FEBRERO!A110)</f>
        <v>1.1.02.05.002.09</v>
      </c>
      <c r="B110" s="397" t="str">
        <f>+IF(FEBRERO!B110=0,"",FEBRERO!B110)</f>
        <v>Convenio Docencia Servicio</v>
      </c>
      <c r="C110" s="864">
        <f>+ENERO!C110</f>
        <v>0</v>
      </c>
      <c r="D110" s="205">
        <f>FEBRERO!D110+MARZO!P110</f>
        <v>0</v>
      </c>
      <c r="E110" s="205">
        <f>FEBRERO!E110+MARZO!Q110</f>
        <v>0</v>
      </c>
      <c r="F110" s="205">
        <f t="shared" si="104"/>
        <v>0</v>
      </c>
      <c r="G110" s="205">
        <f>FEBRERO!I110</f>
        <v>0</v>
      </c>
      <c r="H110" s="208">
        <v>0</v>
      </c>
      <c r="I110" s="205">
        <f t="shared" si="105"/>
        <v>0</v>
      </c>
      <c r="J110" s="205">
        <f>FEBRERO!L110</f>
        <v>0</v>
      </c>
      <c r="K110" s="208">
        <v>0</v>
      </c>
      <c r="L110" s="205">
        <f t="shared" si="106"/>
        <v>0</v>
      </c>
      <c r="M110" s="205">
        <f t="shared" si="107"/>
        <v>0</v>
      </c>
      <c r="N110" s="206">
        <f t="shared" si="108"/>
        <v>0</v>
      </c>
      <c r="O110" s="736"/>
      <c r="P110" s="204">
        <v>0</v>
      </c>
      <c r="Q110" s="210">
        <v>0</v>
      </c>
      <c r="R110" s="903"/>
      <c r="S110" s="228">
        <f>+IF(FEBRERO!S110=0,"",FEBRERO!S110)</f>
        <v>2000000</v>
      </c>
      <c r="T110" s="541" t="str">
        <f>+IF(FEBRERO!T110=0,"",FEBRERO!T110)</f>
        <v>GASTOS GENERALES</v>
      </c>
      <c r="U110" s="217">
        <f t="shared" ref="U110:AJ110" si="110">U112+U145</f>
        <v>21968169670.620834</v>
      </c>
      <c r="V110" s="406">
        <f t="shared" si="110"/>
        <v>-680999693</v>
      </c>
      <c r="W110" s="406">
        <f t="shared" si="110"/>
        <v>328694736</v>
      </c>
      <c r="X110" s="407">
        <f t="shared" si="110"/>
        <v>21615864713.620834</v>
      </c>
      <c r="Y110" s="217">
        <f t="shared" si="110"/>
        <v>10115177374</v>
      </c>
      <c r="Z110" s="406">
        <f t="shared" si="110"/>
        <v>1067207223</v>
      </c>
      <c r="AA110" s="218">
        <f t="shared" si="110"/>
        <v>11182384597</v>
      </c>
      <c r="AB110" s="217">
        <f t="shared" si="110"/>
        <v>4231280694</v>
      </c>
      <c r="AC110" s="406">
        <f t="shared" si="110"/>
        <v>1351944647</v>
      </c>
      <c r="AD110" s="218">
        <f t="shared" si="110"/>
        <v>5583225341</v>
      </c>
      <c r="AE110" s="217">
        <f t="shared" si="110"/>
        <v>1958456160</v>
      </c>
      <c r="AF110" s="406">
        <f t="shared" si="110"/>
        <v>909890097</v>
      </c>
      <c r="AG110" s="218">
        <f t="shared" si="110"/>
        <v>3029331938</v>
      </c>
      <c r="AH110" s="217">
        <f t="shared" si="110"/>
        <v>13026299448.843056</v>
      </c>
      <c r="AI110" s="406">
        <f t="shared" si="110"/>
        <v>18625458704.843056</v>
      </c>
      <c r="AJ110" s="218">
        <f t="shared" si="110"/>
        <v>21179352107.843056</v>
      </c>
      <c r="AK110" s="907"/>
      <c r="AL110" s="233">
        <f>AL112+AL145</f>
        <v>-410000000</v>
      </c>
      <c r="AM110" s="232">
        <f>AM112+AM145</f>
        <v>0</v>
      </c>
    </row>
    <row r="111" spans="1:39" ht="42" customHeight="1">
      <c r="A111" s="394" t="str">
        <f>+IF(FEBRERO!A111=0,"",FEBRERO!A111)</f>
        <v>1.1.02.05.002.07.99</v>
      </c>
      <c r="B111" s="408" t="str">
        <f>+IF(FEBRERO!B111=0,"",FEBRERO!B111)</f>
        <v>Vigencia anterior Servicios financieros y servicios conexos, servicios inmobiliarios y servicios de leasing (ARRENDAMIENTOS)</v>
      </c>
      <c r="C111" s="391">
        <f>+ENERO!C111</f>
        <v>0</v>
      </c>
      <c r="D111" s="243">
        <f>FEBRERO!D111+MARZO!P111</f>
        <v>0</v>
      </c>
      <c r="E111" s="243">
        <f>FEBRERO!E111+MARZO!Q111</f>
        <v>0</v>
      </c>
      <c r="F111" s="243">
        <f t="shared" si="104"/>
        <v>0</v>
      </c>
      <c r="G111" s="243">
        <f>FEBRERO!I111</f>
        <v>18355529</v>
      </c>
      <c r="H111" s="208">
        <v>1381260</v>
      </c>
      <c r="I111" s="243">
        <f t="shared" si="105"/>
        <v>19736789</v>
      </c>
      <c r="J111" s="243">
        <f>FEBRERO!L111</f>
        <v>18355529</v>
      </c>
      <c r="K111" s="246">
        <v>1381260</v>
      </c>
      <c r="L111" s="243">
        <f t="shared" si="106"/>
        <v>19736789</v>
      </c>
      <c r="M111" s="1157">
        <f t="shared" si="107"/>
        <v>-19736789</v>
      </c>
      <c r="N111" s="980">
        <f t="shared" si="108"/>
        <v>-19736789</v>
      </c>
      <c r="O111" s="736"/>
      <c r="P111" s="204">
        <v>0</v>
      </c>
      <c r="Q111" s="210">
        <v>0</v>
      </c>
      <c r="R111" s="903"/>
      <c r="S111" s="189">
        <f>+IF(FEBRERO!S111=0,"",FEBRERO!S111)</f>
        <v>18355520</v>
      </c>
      <c r="T111" s="488" t="str">
        <f>+IF(FEBRERO!T111=0,"",FEBRERO!T111)</f>
        <v/>
      </c>
      <c r="U111" s="193"/>
      <c r="V111" s="191"/>
      <c r="W111" s="191"/>
      <c r="X111" s="191"/>
      <c r="Y111" s="193"/>
      <c r="Z111" s="191"/>
      <c r="AA111" s="192"/>
      <c r="AB111" s="193"/>
      <c r="AC111" s="191"/>
      <c r="AD111" s="192"/>
      <c r="AE111" s="193"/>
      <c r="AF111" s="191"/>
      <c r="AG111" s="192"/>
      <c r="AH111" s="193"/>
      <c r="AI111" s="191"/>
      <c r="AJ111" s="192"/>
      <c r="AK111" s="903"/>
      <c r="AL111" s="194"/>
      <c r="AM111" s="195"/>
    </row>
    <row r="112" spans="1:39" ht="24.75" customHeight="1">
      <c r="A112" s="398">
        <f>+IF(FEBRERO!A112=0,"",FEBRERO!A112)</f>
        <v>18355520</v>
      </c>
      <c r="B112" s="399">
        <f>+IF(FEBRERO!B112=0,"",FEBRERO!B112)</f>
        <v>18355520</v>
      </c>
      <c r="C112" s="865"/>
      <c r="D112" s="865"/>
      <c r="E112" s="865"/>
      <c r="F112" s="865"/>
      <c r="G112" s="865"/>
      <c r="H112" s="865"/>
      <c r="I112" s="865"/>
      <c r="J112" s="865"/>
      <c r="K112" s="865"/>
      <c r="L112" s="865"/>
      <c r="M112" s="865"/>
      <c r="N112" s="401"/>
      <c r="O112" s="736"/>
      <c r="P112" s="402"/>
      <c r="Q112" s="401"/>
      <c r="R112" s="903"/>
      <c r="S112" s="228">
        <f>+IF(FEBRERO!S112=0,"",FEBRERO!S112)</f>
        <v>2010000</v>
      </c>
      <c r="T112" s="531" t="str">
        <f>+IF(FEBRERO!T112=0,"",FEBRERO!T112)</f>
        <v>Gastos de Administración</v>
      </c>
      <c r="U112" s="233">
        <f t="shared" ref="U112:AJ112" si="111">U114+U123+U141</f>
        <v>10075238362.444445</v>
      </c>
      <c r="V112" s="231">
        <f t="shared" si="111"/>
        <v>-680999693</v>
      </c>
      <c r="W112" s="231">
        <f t="shared" si="111"/>
        <v>169879991</v>
      </c>
      <c r="X112" s="234">
        <f t="shared" si="111"/>
        <v>9564118660.4444447</v>
      </c>
      <c r="Y112" s="233">
        <f t="shared" si="111"/>
        <v>4810219485</v>
      </c>
      <c r="Z112" s="231">
        <f t="shared" si="111"/>
        <v>517809313</v>
      </c>
      <c r="AA112" s="232">
        <f t="shared" si="111"/>
        <v>5328028798</v>
      </c>
      <c r="AB112" s="233">
        <f t="shared" si="111"/>
        <v>2262255962</v>
      </c>
      <c r="AC112" s="231">
        <f t="shared" si="111"/>
        <v>613866646</v>
      </c>
      <c r="AD112" s="232">
        <f t="shared" si="111"/>
        <v>2876122608</v>
      </c>
      <c r="AE112" s="233">
        <f t="shared" si="111"/>
        <v>1206056841</v>
      </c>
      <c r="AF112" s="231">
        <f t="shared" si="111"/>
        <v>607793787</v>
      </c>
      <c r="AG112" s="232">
        <f t="shared" si="111"/>
        <v>1813850628</v>
      </c>
      <c r="AH112" s="233">
        <f t="shared" si="111"/>
        <v>4236089862.4444442</v>
      </c>
      <c r="AI112" s="231">
        <f t="shared" si="111"/>
        <v>6687996052.4444447</v>
      </c>
      <c r="AJ112" s="232">
        <f t="shared" si="111"/>
        <v>7750268032.4444447</v>
      </c>
      <c r="AK112" s="903"/>
      <c r="AL112" s="233">
        <f>AL114+AL123+AL141</f>
        <v>-410000000</v>
      </c>
      <c r="AM112" s="232">
        <f>AM114+AM123+AM141</f>
        <v>0</v>
      </c>
    </row>
    <row r="113" spans="1:39" ht="24.75" customHeight="1">
      <c r="A113" s="123">
        <f>+IF(FEBRERO!A113=0,"",FEBRERO!A113)</f>
        <v>2000</v>
      </c>
      <c r="B113" s="265" t="str">
        <f>+IF(FEBRERO!B113=0,"",FEBRERO!B113)</f>
        <v>INGRESOS DE CAPITAL</v>
      </c>
      <c r="C113" s="409">
        <f t="shared" ref="C113:N113" si="112">SUM(C115:C124)</f>
        <v>0</v>
      </c>
      <c r="D113" s="410">
        <f t="shared" si="112"/>
        <v>0</v>
      </c>
      <c r="E113" s="410">
        <f t="shared" si="112"/>
        <v>0</v>
      </c>
      <c r="F113" s="410">
        <f t="shared" si="112"/>
        <v>0</v>
      </c>
      <c r="G113" s="410">
        <f t="shared" si="112"/>
        <v>0</v>
      </c>
      <c r="H113" s="410">
        <f t="shared" si="112"/>
        <v>0</v>
      </c>
      <c r="I113" s="410">
        <f t="shared" si="112"/>
        <v>0</v>
      </c>
      <c r="J113" s="410">
        <f t="shared" si="112"/>
        <v>0</v>
      </c>
      <c r="K113" s="410">
        <f t="shared" si="112"/>
        <v>0</v>
      </c>
      <c r="L113" s="410">
        <f t="shared" si="112"/>
        <v>0</v>
      </c>
      <c r="M113" s="410">
        <f t="shared" si="112"/>
        <v>0</v>
      </c>
      <c r="N113" s="866">
        <f t="shared" si="112"/>
        <v>0</v>
      </c>
      <c r="O113" s="369"/>
      <c r="P113" s="171">
        <f>SUM(P115:P124)</f>
        <v>0</v>
      </c>
      <c r="Q113" s="173">
        <f>SUM(Q115:Q124)</f>
        <v>0</v>
      </c>
      <c r="R113" s="903"/>
      <c r="S113" s="189">
        <f>+IF(FEBRERO!S113=0,"",FEBRERO!S113)</f>
        <v>2000</v>
      </c>
      <c r="T113" s="488" t="str">
        <f>+IF(FEBRERO!T113=0,"",FEBRERO!T113)</f>
        <v/>
      </c>
      <c r="U113" s="193"/>
      <c r="V113" s="191"/>
      <c r="W113" s="191"/>
      <c r="X113" s="191"/>
      <c r="Y113" s="193"/>
      <c r="Z113" s="191"/>
      <c r="AA113" s="192"/>
      <c r="AB113" s="193"/>
      <c r="AC113" s="191"/>
      <c r="AD113" s="192"/>
      <c r="AE113" s="193"/>
      <c r="AF113" s="191"/>
      <c r="AG113" s="192"/>
      <c r="AH113" s="193"/>
      <c r="AI113" s="191"/>
      <c r="AJ113" s="192"/>
      <c r="AK113" s="903"/>
      <c r="AL113" s="194"/>
      <c r="AM113" s="195"/>
    </row>
    <row r="114" spans="1:39" ht="24.75" customHeight="1">
      <c r="A114" s="398">
        <f>+IF(FEBRERO!A114=0,"",FEBRERO!A114)</f>
        <v>2000</v>
      </c>
      <c r="B114" s="399">
        <f>+IF(FEBRERO!B114=0,"",FEBRERO!B114)</f>
        <v>2000</v>
      </c>
      <c r="C114" s="865"/>
      <c r="D114" s="865"/>
      <c r="E114" s="865"/>
      <c r="F114" s="865"/>
      <c r="G114" s="865"/>
      <c r="H114" s="865"/>
      <c r="I114" s="865"/>
      <c r="J114" s="865"/>
      <c r="K114" s="865"/>
      <c r="L114" s="865"/>
      <c r="M114" s="865"/>
      <c r="N114" s="401"/>
      <c r="O114" s="736"/>
      <c r="P114" s="402"/>
      <c r="Q114" s="401"/>
      <c r="R114" s="903"/>
      <c r="S114" s="257">
        <f>+IF(FEBRERO!S114=0,"",FEBRERO!S114)</f>
        <v>2010100</v>
      </c>
      <c r="T114" s="532" t="str">
        <f>+IF(FEBRERO!T114=0,"",FEBRERO!T114)</f>
        <v>Adquisición de bienes</v>
      </c>
      <c r="U114" s="233">
        <f>SUM(U115:U121)</f>
        <v>1246863273.1666665</v>
      </c>
      <c r="V114" s="231">
        <f t="shared" ref="V114:AJ114" si="113">SUM(V115:V121)</f>
        <v>0</v>
      </c>
      <c r="W114" s="231">
        <f t="shared" si="113"/>
        <v>0</v>
      </c>
      <c r="X114" s="234">
        <f t="shared" si="113"/>
        <v>1246863273.1666665</v>
      </c>
      <c r="Y114" s="233">
        <f t="shared" si="113"/>
        <v>293478676</v>
      </c>
      <c r="Z114" s="231">
        <f t="shared" si="113"/>
        <v>21318963</v>
      </c>
      <c r="AA114" s="232">
        <f t="shared" si="113"/>
        <v>314797639</v>
      </c>
      <c r="AB114" s="233">
        <f t="shared" si="113"/>
        <v>217012441</v>
      </c>
      <c r="AC114" s="231">
        <f t="shared" si="113"/>
        <v>20850697</v>
      </c>
      <c r="AD114" s="232">
        <f t="shared" si="113"/>
        <v>237863138</v>
      </c>
      <c r="AE114" s="233">
        <f t="shared" si="113"/>
        <v>175162494</v>
      </c>
      <c r="AF114" s="231">
        <f t="shared" si="113"/>
        <v>4026883</v>
      </c>
      <c r="AG114" s="232">
        <f t="shared" si="113"/>
        <v>179189377</v>
      </c>
      <c r="AH114" s="233">
        <f t="shared" si="113"/>
        <v>932065634.16666663</v>
      </c>
      <c r="AI114" s="231">
        <f t="shared" si="113"/>
        <v>1009000135.1666666</v>
      </c>
      <c r="AJ114" s="232">
        <f t="shared" si="113"/>
        <v>1067673896.1666666</v>
      </c>
      <c r="AK114" s="903"/>
      <c r="AL114" s="233">
        <f>SUM(AL115:AL121)</f>
        <v>0</v>
      </c>
      <c r="AM114" s="232">
        <f>SUM(AM115:AM121)</f>
        <v>0</v>
      </c>
    </row>
    <row r="115" spans="1:39" ht="24.75" customHeight="1">
      <c r="A115" s="867">
        <f>+IF(FEBRERO!A115=0,"",FEBRERO!A115)</f>
        <v>2100</v>
      </c>
      <c r="B115" s="387" t="str">
        <f>+IF(FEBRERO!B115=0,"",FEBRERO!B115)</f>
        <v>CREDITO INTERNO</v>
      </c>
      <c r="C115" s="204">
        <f>+ENERO!C115</f>
        <v>0</v>
      </c>
      <c r="D115" s="413">
        <f>FEBRERO!D115+MARZO!P115</f>
        <v>0</v>
      </c>
      <c r="E115" s="413">
        <f>FEBRERO!E115+MARZO!Q115</f>
        <v>0</v>
      </c>
      <c r="F115" s="868">
        <f t="shared" ref="F115:F124" si="114">SUM(C115:E115)</f>
        <v>0</v>
      </c>
      <c r="G115" s="415">
        <f>FEBRERO!I115</f>
        <v>0</v>
      </c>
      <c r="H115" s="208">
        <v>0</v>
      </c>
      <c r="I115" s="868">
        <f t="shared" ref="I115:I124" si="115">SUM(G115:H115)</f>
        <v>0</v>
      </c>
      <c r="J115" s="415">
        <f>FEBRERO!L115</f>
        <v>0</v>
      </c>
      <c r="K115" s="208">
        <v>0</v>
      </c>
      <c r="L115" s="416">
        <f t="shared" ref="L115:L124" si="116">SUM(J115:K115)</f>
        <v>0</v>
      </c>
      <c r="M115" s="417">
        <f t="shared" ref="M115:M124" si="117">F115-I115</f>
        <v>0</v>
      </c>
      <c r="N115" s="416">
        <f t="shared" ref="N115:N124" si="118">F115-L115</f>
        <v>0</v>
      </c>
      <c r="O115" s="369"/>
      <c r="P115" s="204">
        <v>0</v>
      </c>
      <c r="Q115" s="210">
        <v>0</v>
      </c>
      <c r="R115" s="903"/>
      <c r="S115" s="266" t="str">
        <f>+IF(FEBRERO!S115=0,"",FEBRERO!S115)</f>
        <v>2.1.2.02.01.003.302</v>
      </c>
      <c r="T115" s="534" t="str">
        <f>+IF(FEBRERO!T115=0,"",FEBRERO!T115)</f>
        <v>Papeleria</v>
      </c>
      <c r="U115" s="301">
        <f>+ENERO!U115</f>
        <v>252782338.5</v>
      </c>
      <c r="V115" s="220">
        <f>FEBRERO!V115+MARZO!AL115</f>
        <v>0</v>
      </c>
      <c r="W115" s="220">
        <f>FEBRERO!W115+MARZO!AM115</f>
        <v>0</v>
      </c>
      <c r="X115" s="271">
        <f t="shared" ref="X115:X121" si="119">SUM(U115:W115)</f>
        <v>252782338.5</v>
      </c>
      <c r="Y115" s="270">
        <f>FEBRERO!AA115</f>
        <v>59767770</v>
      </c>
      <c r="Z115" s="208">
        <v>21318963</v>
      </c>
      <c r="AA115" s="269">
        <f t="shared" ref="AA115:AA121" si="120">SUM(Y115:Z115)</f>
        <v>81086733</v>
      </c>
      <c r="AB115" s="270">
        <f>FEBRERO!AD115</f>
        <v>36373081</v>
      </c>
      <c r="AC115" s="208">
        <v>17622226</v>
      </c>
      <c r="AD115" s="269">
        <f t="shared" ref="AD115:AD121" si="121">SUM(AB115:AC115)</f>
        <v>53995307</v>
      </c>
      <c r="AE115" s="270">
        <f>FEBRERO!AG115</f>
        <v>1451588</v>
      </c>
      <c r="AF115" s="208">
        <v>1862585</v>
      </c>
      <c r="AG115" s="269">
        <f t="shared" ref="AG115:AG121" si="122">SUM(AE115:AF115)</f>
        <v>3314173</v>
      </c>
      <c r="AH115" s="270">
        <f t="shared" ref="AH115:AH121" si="123">X115-AA115</f>
        <v>171695605.5</v>
      </c>
      <c r="AI115" s="220">
        <f t="shared" ref="AI115:AI121" si="124">X115-AD115</f>
        <v>198787031.5</v>
      </c>
      <c r="AJ115" s="269">
        <f t="shared" ref="AJ115:AJ121" si="125">X115-AG115</f>
        <v>249468165.5</v>
      </c>
      <c r="AK115" s="903"/>
      <c r="AL115" s="204">
        <v>0</v>
      </c>
      <c r="AM115" s="210">
        <v>0</v>
      </c>
    </row>
    <row r="116" spans="1:39" ht="24.75" customHeight="1">
      <c r="A116" s="867" t="str">
        <f>+IF(FEBRERO!A116=0,"",FEBRERO!A116)</f>
        <v>2100-1</v>
      </c>
      <c r="B116" s="388" t="str">
        <f>+IF(FEBRERO!B116=0,"",FEBRERO!B116)</f>
        <v>Vigencia Anterior</v>
      </c>
      <c r="C116" s="204">
        <f>+ENERO!C116</f>
        <v>0</v>
      </c>
      <c r="D116" s="413">
        <f>FEBRERO!D116+MARZO!P116</f>
        <v>0</v>
      </c>
      <c r="E116" s="413">
        <f>FEBRERO!E116+MARZO!Q116</f>
        <v>0</v>
      </c>
      <c r="F116" s="868">
        <f t="shared" si="114"/>
        <v>0</v>
      </c>
      <c r="G116" s="415">
        <f>FEBRERO!I116</f>
        <v>0</v>
      </c>
      <c r="H116" s="208">
        <v>0</v>
      </c>
      <c r="I116" s="868">
        <f t="shared" si="115"/>
        <v>0</v>
      </c>
      <c r="J116" s="415">
        <f>FEBRERO!L116</f>
        <v>0</v>
      </c>
      <c r="K116" s="208">
        <v>0</v>
      </c>
      <c r="L116" s="416">
        <f t="shared" si="116"/>
        <v>0</v>
      </c>
      <c r="M116" s="417">
        <f t="shared" si="117"/>
        <v>0</v>
      </c>
      <c r="N116" s="416">
        <f t="shared" si="118"/>
        <v>0</v>
      </c>
      <c r="O116" s="369"/>
      <c r="P116" s="204">
        <v>0</v>
      </c>
      <c r="Q116" s="210">
        <v>0</v>
      </c>
      <c r="R116" s="903"/>
      <c r="S116" s="266" t="str">
        <f>+IF(FEBRERO!S116=0,"",FEBRERO!S116)</f>
        <v>2.1.2.02.01.003.301</v>
      </c>
      <c r="T116" s="534" t="str">
        <f>+IF(FEBRERO!T116=0,"",FEBRERO!T116)</f>
        <v>Combustible</v>
      </c>
      <c r="U116" s="301">
        <f>+ENERO!U116</f>
        <v>77916666.666666657</v>
      </c>
      <c r="V116" s="220">
        <f>FEBRERO!V116+MARZO!AL116</f>
        <v>0</v>
      </c>
      <c r="W116" s="220">
        <f>FEBRERO!W116+MARZO!AM116</f>
        <v>0</v>
      </c>
      <c r="X116" s="271">
        <f t="shared" si="119"/>
        <v>77916666.666666657</v>
      </c>
      <c r="Y116" s="270">
        <f>FEBRERO!AA116</f>
        <v>60000000</v>
      </c>
      <c r="Z116" s="208">
        <v>0</v>
      </c>
      <c r="AA116" s="269">
        <f t="shared" si="120"/>
        <v>60000000</v>
      </c>
      <c r="AB116" s="270">
        <f>FEBRERO!AD116</f>
        <v>6928454</v>
      </c>
      <c r="AC116" s="208">
        <v>3228471</v>
      </c>
      <c r="AD116" s="269">
        <f t="shared" si="121"/>
        <v>10156925</v>
      </c>
      <c r="AE116" s="270">
        <f>FEBRERO!AG116</f>
        <v>0</v>
      </c>
      <c r="AF116" s="208">
        <v>2164298</v>
      </c>
      <c r="AG116" s="269">
        <f t="shared" si="122"/>
        <v>2164298</v>
      </c>
      <c r="AH116" s="270">
        <f t="shared" si="123"/>
        <v>17916666.666666657</v>
      </c>
      <c r="AI116" s="220">
        <f t="shared" si="124"/>
        <v>67759741.666666657</v>
      </c>
      <c r="AJ116" s="269">
        <f t="shared" si="125"/>
        <v>75752368.666666657</v>
      </c>
      <c r="AK116" s="903"/>
      <c r="AL116" s="204">
        <v>0</v>
      </c>
      <c r="AM116" s="210">
        <v>0</v>
      </c>
    </row>
    <row r="117" spans="1:39" ht="24.75" customHeight="1">
      <c r="A117" s="867">
        <f>+IF(FEBRERO!A117=0,"",FEBRERO!A117)</f>
        <v>2200</v>
      </c>
      <c r="B117" s="387" t="str">
        <f>+IF(FEBRERO!B117=0,"",FEBRERO!B117)</f>
        <v>CREDITO EXTERNO</v>
      </c>
      <c r="C117" s="204">
        <f>+ENERO!C117</f>
        <v>0</v>
      </c>
      <c r="D117" s="413">
        <f>FEBRERO!D117+MARZO!P117</f>
        <v>0</v>
      </c>
      <c r="E117" s="413">
        <f>FEBRERO!E117+MARZO!Q117</f>
        <v>0</v>
      </c>
      <c r="F117" s="868">
        <f t="shared" si="114"/>
        <v>0</v>
      </c>
      <c r="G117" s="415">
        <f>FEBRERO!I117</f>
        <v>0</v>
      </c>
      <c r="H117" s="208">
        <v>0</v>
      </c>
      <c r="I117" s="868">
        <f t="shared" si="115"/>
        <v>0</v>
      </c>
      <c r="J117" s="415">
        <f>FEBRERO!L117</f>
        <v>0</v>
      </c>
      <c r="K117" s="208">
        <v>0</v>
      </c>
      <c r="L117" s="416">
        <f t="shared" si="116"/>
        <v>0</v>
      </c>
      <c r="M117" s="417">
        <f t="shared" si="117"/>
        <v>0</v>
      </c>
      <c r="N117" s="416">
        <f t="shared" si="118"/>
        <v>0</v>
      </c>
      <c r="O117" s="369"/>
      <c r="P117" s="204">
        <v>0</v>
      </c>
      <c r="Q117" s="210">
        <v>0</v>
      </c>
      <c r="R117" s="903"/>
      <c r="S117" s="266" t="str">
        <f>+IF(FEBRERO!S117=0,"",FEBRERO!S117)</f>
        <v>2.1.3.07.02.031</v>
      </c>
      <c r="T117" s="534" t="str">
        <f>+IF(FEBRERO!T117=0,"",FEBRERO!T117)</f>
        <v>Programa de Salud Ocupacional</v>
      </c>
      <c r="U117" s="301">
        <f>+ENERO!U117</f>
        <v>20000000</v>
      </c>
      <c r="V117" s="220">
        <f>FEBRERO!V117+MARZO!AL117</f>
        <v>0</v>
      </c>
      <c r="W117" s="220">
        <f>FEBRERO!W117+MARZO!AM117</f>
        <v>0</v>
      </c>
      <c r="X117" s="271">
        <f t="shared" si="119"/>
        <v>20000000</v>
      </c>
      <c r="Y117" s="270">
        <f>FEBRERO!AA117</f>
        <v>0</v>
      </c>
      <c r="Z117" s="208">
        <v>0</v>
      </c>
      <c r="AA117" s="269">
        <f t="shared" si="120"/>
        <v>0</v>
      </c>
      <c r="AB117" s="270">
        <f>FEBRERO!AD117</f>
        <v>0</v>
      </c>
      <c r="AC117" s="208">
        <v>0</v>
      </c>
      <c r="AD117" s="269">
        <f t="shared" si="121"/>
        <v>0</v>
      </c>
      <c r="AE117" s="270">
        <f>FEBRERO!AG117</f>
        <v>0</v>
      </c>
      <c r="AF117" s="208">
        <v>0</v>
      </c>
      <c r="AG117" s="269">
        <f t="shared" si="122"/>
        <v>0</v>
      </c>
      <c r="AH117" s="270">
        <f t="shared" si="123"/>
        <v>20000000</v>
      </c>
      <c r="AI117" s="220">
        <f t="shared" si="124"/>
        <v>20000000</v>
      </c>
      <c r="AJ117" s="269">
        <f t="shared" si="125"/>
        <v>20000000</v>
      </c>
      <c r="AK117" s="903"/>
      <c r="AL117" s="204">
        <v>0</v>
      </c>
      <c r="AM117" s="210">
        <v>0</v>
      </c>
    </row>
    <row r="118" spans="1:39" ht="24.75" customHeight="1">
      <c r="A118" s="867" t="str">
        <f>+IF(FEBRERO!A118=0,"",FEBRERO!A118)</f>
        <v>2200-1</v>
      </c>
      <c r="B118" s="388" t="str">
        <f>+IF(FEBRERO!B118=0,"",FEBRERO!B118)</f>
        <v>Vigencia Anterior</v>
      </c>
      <c r="C118" s="204">
        <f>+ENERO!C118</f>
        <v>0</v>
      </c>
      <c r="D118" s="413">
        <f>FEBRERO!D118+MARZO!P118</f>
        <v>0</v>
      </c>
      <c r="E118" s="413">
        <f>FEBRERO!E118+MARZO!Q118</f>
        <v>0</v>
      </c>
      <c r="F118" s="868">
        <f t="shared" si="114"/>
        <v>0</v>
      </c>
      <c r="G118" s="415">
        <f>FEBRERO!I118</f>
        <v>0</v>
      </c>
      <c r="H118" s="208">
        <v>0</v>
      </c>
      <c r="I118" s="868">
        <f t="shared" si="115"/>
        <v>0</v>
      </c>
      <c r="J118" s="415">
        <f>FEBRERO!L118</f>
        <v>0</v>
      </c>
      <c r="K118" s="208">
        <v>0</v>
      </c>
      <c r="L118" s="416">
        <f t="shared" si="116"/>
        <v>0</v>
      </c>
      <c r="M118" s="417">
        <f t="shared" si="117"/>
        <v>0</v>
      </c>
      <c r="N118" s="416">
        <f t="shared" si="118"/>
        <v>0</v>
      </c>
      <c r="O118" s="369"/>
      <c r="P118" s="204">
        <v>0</v>
      </c>
      <c r="Q118" s="210">
        <v>0</v>
      </c>
      <c r="R118" s="903"/>
      <c r="S118" s="266" t="str">
        <f>+IF(FEBRERO!S118=0,"",FEBRERO!S118)</f>
        <v>2.1.2.02.01.003.307</v>
      </c>
      <c r="T118" s="534" t="str">
        <f>+IF(FEBRERO!T118=0,"",FEBRERO!T118)</f>
        <v>Mantenimiento - Bienes Ambiental y Sanitaria</v>
      </c>
      <c r="U118" s="301">
        <f>+ENERO!U118</f>
        <v>15180000</v>
      </c>
      <c r="V118" s="220">
        <f>FEBRERO!V118+MARZO!AL118</f>
        <v>0</v>
      </c>
      <c r="W118" s="220">
        <f>FEBRERO!W118+MARZO!AM118</f>
        <v>0</v>
      </c>
      <c r="X118" s="271">
        <f t="shared" si="119"/>
        <v>15180000</v>
      </c>
      <c r="Y118" s="270">
        <f>FEBRERO!AA118</f>
        <v>0</v>
      </c>
      <c r="Z118" s="208">
        <v>0</v>
      </c>
      <c r="AA118" s="269">
        <f t="shared" si="120"/>
        <v>0</v>
      </c>
      <c r="AB118" s="270">
        <f>FEBRERO!AD118</f>
        <v>0</v>
      </c>
      <c r="AC118" s="208">
        <v>0</v>
      </c>
      <c r="AD118" s="269">
        <f t="shared" si="121"/>
        <v>0</v>
      </c>
      <c r="AE118" s="270">
        <f>FEBRERO!AG118</f>
        <v>0</v>
      </c>
      <c r="AF118" s="208">
        <v>0</v>
      </c>
      <c r="AG118" s="269">
        <f t="shared" si="122"/>
        <v>0</v>
      </c>
      <c r="AH118" s="270">
        <f t="shared" si="123"/>
        <v>15180000</v>
      </c>
      <c r="AI118" s="220">
        <f t="shared" si="124"/>
        <v>15180000</v>
      </c>
      <c r="AJ118" s="269">
        <f t="shared" si="125"/>
        <v>15180000</v>
      </c>
      <c r="AK118" s="903"/>
      <c r="AL118" s="204">
        <v>0</v>
      </c>
      <c r="AM118" s="210">
        <v>0</v>
      </c>
    </row>
    <row r="119" spans="1:39" ht="24.75" customHeight="1">
      <c r="A119" s="867" t="str">
        <f>+IF(FEBRERO!A119=0,"",FEBRERO!A119)</f>
        <v>1.2.05.02</v>
      </c>
      <c r="B119" s="387" t="str">
        <f>+IF(FEBRERO!B119=0,"",FEBRERO!B119)</f>
        <v>Depositos (RENDIMIENTOS FINANCIEROS)</v>
      </c>
      <c r="C119" s="204">
        <f>+ENERO!C119</f>
        <v>0</v>
      </c>
      <c r="D119" s="413">
        <f>FEBRERO!D119+MARZO!P119</f>
        <v>0</v>
      </c>
      <c r="E119" s="413">
        <f>FEBRERO!E119+MARZO!Q119</f>
        <v>0</v>
      </c>
      <c r="F119" s="868">
        <f t="shared" si="114"/>
        <v>0</v>
      </c>
      <c r="G119" s="207">
        <f>FEBRERO!I119</f>
        <v>0</v>
      </c>
      <c r="H119" s="208">
        <v>0</v>
      </c>
      <c r="I119" s="419">
        <f t="shared" si="115"/>
        <v>0</v>
      </c>
      <c r="J119" s="207">
        <f>FEBRERO!L119</f>
        <v>0</v>
      </c>
      <c r="K119" s="208">
        <v>0</v>
      </c>
      <c r="L119" s="206">
        <f t="shared" si="116"/>
        <v>0</v>
      </c>
      <c r="M119" s="696">
        <f t="shared" si="117"/>
        <v>0</v>
      </c>
      <c r="N119" s="206">
        <f t="shared" si="118"/>
        <v>0</v>
      </c>
      <c r="O119" s="369"/>
      <c r="P119" s="204">
        <v>0</v>
      </c>
      <c r="Q119" s="210">
        <v>0</v>
      </c>
      <c r="R119" s="903"/>
      <c r="S119" s="266" t="str">
        <f>+IF(FEBRERO!S119=0,"",FEBRERO!S119)</f>
        <v>2.1.2.02.01.003.305</v>
      </c>
      <c r="T119" s="534" t="str">
        <f>+IF(FEBRERO!T119=0,"",FEBRERO!T119)</f>
        <v>Mantenimiento -  Partes, accesorios, herramientas</v>
      </c>
      <c r="U119" s="301">
        <f>+ENERO!U119</f>
        <v>0</v>
      </c>
      <c r="V119" s="220">
        <f>FEBRERO!V119+MARZO!AL119</f>
        <v>0</v>
      </c>
      <c r="W119" s="220">
        <f>FEBRERO!W119+MARZO!AM119</f>
        <v>0</v>
      </c>
      <c r="X119" s="271">
        <f t="shared" si="119"/>
        <v>0</v>
      </c>
      <c r="Y119" s="270">
        <f>FEBRERO!AA119</f>
        <v>0</v>
      </c>
      <c r="Z119" s="208">
        <v>0</v>
      </c>
      <c r="AA119" s="269">
        <f t="shared" si="120"/>
        <v>0</v>
      </c>
      <c r="AB119" s="270">
        <f>FEBRERO!AD119</f>
        <v>0</v>
      </c>
      <c r="AC119" s="208">
        <v>0</v>
      </c>
      <c r="AD119" s="269">
        <f t="shared" si="121"/>
        <v>0</v>
      </c>
      <c r="AE119" s="270">
        <f>FEBRERO!AG119</f>
        <v>0</v>
      </c>
      <c r="AF119" s="208">
        <v>0</v>
      </c>
      <c r="AG119" s="269">
        <f t="shared" si="122"/>
        <v>0</v>
      </c>
      <c r="AH119" s="270">
        <f t="shared" si="123"/>
        <v>0</v>
      </c>
      <c r="AI119" s="220">
        <f t="shared" si="124"/>
        <v>0</v>
      </c>
      <c r="AJ119" s="269">
        <f t="shared" si="125"/>
        <v>0</v>
      </c>
      <c r="AK119" s="903"/>
      <c r="AL119" s="204">
        <v>0</v>
      </c>
      <c r="AM119" s="210">
        <v>0</v>
      </c>
    </row>
    <row r="120" spans="1:39" ht="24.75" customHeight="1">
      <c r="A120" s="421">
        <f>+IF(FEBRERO!A120=0,"",FEBRERO!A120)</f>
        <v>2400</v>
      </c>
      <c r="B120" s="388" t="str">
        <f>+IF(FEBRERO!B120=0,"",FEBRERO!B120)</f>
        <v>VENTA DE ACTIVOS</v>
      </c>
      <c r="C120" s="204">
        <f>+ENERO!C120</f>
        <v>0</v>
      </c>
      <c r="D120" s="413">
        <f>FEBRERO!D120+MARZO!P120</f>
        <v>0</v>
      </c>
      <c r="E120" s="413">
        <f>FEBRERO!E120+MARZO!Q120</f>
        <v>0</v>
      </c>
      <c r="F120" s="868">
        <f t="shared" si="114"/>
        <v>0</v>
      </c>
      <c r="G120" s="207">
        <f>FEBRERO!I120</f>
        <v>0</v>
      </c>
      <c r="H120" s="208">
        <v>0</v>
      </c>
      <c r="I120" s="419">
        <f t="shared" si="115"/>
        <v>0</v>
      </c>
      <c r="J120" s="207">
        <f>FEBRERO!L120</f>
        <v>0</v>
      </c>
      <c r="K120" s="208">
        <v>0</v>
      </c>
      <c r="L120" s="206">
        <f t="shared" si="116"/>
        <v>0</v>
      </c>
      <c r="M120" s="696">
        <f t="shared" si="117"/>
        <v>0</v>
      </c>
      <c r="N120" s="206">
        <f t="shared" si="118"/>
        <v>0</v>
      </c>
      <c r="O120" s="736"/>
      <c r="P120" s="204">
        <v>0</v>
      </c>
      <c r="Q120" s="210">
        <v>0</v>
      </c>
      <c r="R120" s="903"/>
      <c r="S120" s="266" t="str">
        <f>+IF(FEBRERO!S120=0,"",FEBRERO!S120)</f>
        <v>2.1.2.02.01.003.308</v>
      </c>
      <c r="T120" s="534" t="str">
        <f>+IF(FEBRERO!T120=0,"",FEBRERO!T120)</f>
        <v>Mantenimiento - Bienes Adecuaciones locativas</v>
      </c>
      <c r="U120" s="301">
        <f>+ENERO!U120</f>
        <v>704984268</v>
      </c>
      <c r="V120" s="220">
        <f>FEBRERO!V120+MARZO!AL120</f>
        <v>0</v>
      </c>
      <c r="W120" s="220">
        <f>FEBRERO!W120+MARZO!AM120</f>
        <v>0</v>
      </c>
      <c r="X120" s="271">
        <f t="shared" si="119"/>
        <v>704984268</v>
      </c>
      <c r="Y120" s="270">
        <f>FEBRERO!AA120</f>
        <v>0</v>
      </c>
      <c r="Z120" s="208">
        <v>0</v>
      </c>
      <c r="AA120" s="269">
        <f t="shared" si="120"/>
        <v>0</v>
      </c>
      <c r="AB120" s="270">
        <f>FEBRERO!AD120</f>
        <v>0</v>
      </c>
      <c r="AC120" s="208">
        <v>0</v>
      </c>
      <c r="AD120" s="269">
        <f t="shared" si="121"/>
        <v>0</v>
      </c>
      <c r="AE120" s="270">
        <f>FEBRERO!AG120</f>
        <v>0</v>
      </c>
      <c r="AF120" s="208">
        <v>0</v>
      </c>
      <c r="AG120" s="269">
        <f t="shared" si="122"/>
        <v>0</v>
      </c>
      <c r="AH120" s="270">
        <f t="shared" si="123"/>
        <v>704984268</v>
      </c>
      <c r="AI120" s="220">
        <f t="shared" si="124"/>
        <v>704984268</v>
      </c>
      <c r="AJ120" s="269">
        <f t="shared" si="125"/>
        <v>704984268</v>
      </c>
      <c r="AK120" s="903"/>
      <c r="AL120" s="204">
        <v>0</v>
      </c>
      <c r="AM120" s="210">
        <v>0</v>
      </c>
    </row>
    <row r="121" spans="1:39" ht="24.75" customHeight="1">
      <c r="A121" s="421">
        <f>+IF(FEBRERO!A121=0,"",FEBRERO!A121)</f>
        <v>2500</v>
      </c>
      <c r="B121" s="388" t="str">
        <f>+IF(FEBRERO!B121=0,"",FEBRERO!B121)</f>
        <v>DONACIONES</v>
      </c>
      <c r="C121" s="204">
        <f>+ENERO!C121</f>
        <v>0</v>
      </c>
      <c r="D121" s="413">
        <f>FEBRERO!D121+MARZO!P121</f>
        <v>0</v>
      </c>
      <c r="E121" s="413">
        <f>FEBRERO!E121+MARZO!Q121</f>
        <v>0</v>
      </c>
      <c r="F121" s="868">
        <f t="shared" si="114"/>
        <v>0</v>
      </c>
      <c r="G121" s="207">
        <f>FEBRERO!I121</f>
        <v>0</v>
      </c>
      <c r="H121" s="208">
        <v>0</v>
      </c>
      <c r="I121" s="419">
        <f t="shared" si="115"/>
        <v>0</v>
      </c>
      <c r="J121" s="207">
        <f>FEBRERO!L121</f>
        <v>0</v>
      </c>
      <c r="K121" s="208">
        <v>0</v>
      </c>
      <c r="L121" s="206">
        <f t="shared" si="116"/>
        <v>0</v>
      </c>
      <c r="M121" s="696">
        <f t="shared" si="117"/>
        <v>0</v>
      </c>
      <c r="N121" s="206">
        <f t="shared" si="118"/>
        <v>0</v>
      </c>
      <c r="O121" s="736"/>
      <c r="P121" s="204">
        <v>0</v>
      </c>
      <c r="Q121" s="210">
        <v>0</v>
      </c>
      <c r="R121" s="903"/>
      <c r="S121" s="266" t="str">
        <f>+IF(FEBRERO!S121=0,"",FEBRERO!S121)</f>
        <v>2.1.2.02.02.008.99.02</v>
      </c>
      <c r="T121" s="534" t="str">
        <f>+IF(FEBRERO!T121=0,"",FEBRERO!T121)</f>
        <v>Vigencias Anteriores Vigilancia</v>
      </c>
      <c r="U121" s="301">
        <f>+ENERO!U121</f>
        <v>176000000</v>
      </c>
      <c r="V121" s="220">
        <f>FEBRERO!V121+MARZO!AL121</f>
        <v>0</v>
      </c>
      <c r="W121" s="220">
        <f>FEBRERO!W121+MARZO!AM121</f>
        <v>0</v>
      </c>
      <c r="X121" s="271">
        <f t="shared" si="119"/>
        <v>176000000</v>
      </c>
      <c r="Y121" s="270">
        <f>FEBRERO!AA121</f>
        <v>173710906</v>
      </c>
      <c r="Z121" s="208">
        <v>0</v>
      </c>
      <c r="AA121" s="269">
        <f t="shared" si="120"/>
        <v>173710906</v>
      </c>
      <c r="AB121" s="270">
        <f>FEBRERO!AD121</f>
        <v>173710906</v>
      </c>
      <c r="AC121" s="208">
        <v>0</v>
      </c>
      <c r="AD121" s="269">
        <f t="shared" si="121"/>
        <v>173710906</v>
      </c>
      <c r="AE121" s="270">
        <f>FEBRERO!AG121</f>
        <v>173710906</v>
      </c>
      <c r="AF121" s="208">
        <v>0</v>
      </c>
      <c r="AG121" s="269">
        <f t="shared" si="122"/>
        <v>173710906</v>
      </c>
      <c r="AH121" s="270">
        <f t="shared" si="123"/>
        <v>2289094</v>
      </c>
      <c r="AI121" s="220">
        <f t="shared" si="124"/>
        <v>2289094</v>
      </c>
      <c r="AJ121" s="269">
        <f t="shared" si="125"/>
        <v>2289094</v>
      </c>
      <c r="AK121" s="903"/>
      <c r="AL121" s="204">
        <v>0</v>
      </c>
      <c r="AM121" s="210">
        <v>0</v>
      </c>
    </row>
    <row r="122" spans="1:39" ht="24.75" customHeight="1">
      <c r="A122" s="421">
        <f>+IF(FEBRERO!A122=0,"",FEBRERO!A122)</f>
        <v>2600</v>
      </c>
      <c r="B122" s="388" t="str">
        <f>+IF(FEBRERO!B122=0,"",FEBRERO!B122)</f>
        <v>RECUPERACIÓN DE CARTERA (AÑO 2023 Y ANTERIORES)</v>
      </c>
      <c r="C122" s="204">
        <f>+ENERO!C122</f>
        <v>0</v>
      </c>
      <c r="D122" s="413">
        <f>FEBRERO!D122+MARZO!P122</f>
        <v>0</v>
      </c>
      <c r="E122" s="413">
        <f>FEBRERO!E122+MARZO!Q122</f>
        <v>0</v>
      </c>
      <c r="F122" s="868">
        <f t="shared" si="114"/>
        <v>0</v>
      </c>
      <c r="G122" s="207">
        <f>FEBRERO!I122</f>
        <v>0</v>
      </c>
      <c r="H122" s="208">
        <v>0</v>
      </c>
      <c r="I122" s="419">
        <f t="shared" si="115"/>
        <v>0</v>
      </c>
      <c r="J122" s="207">
        <f>FEBRERO!L122</f>
        <v>0</v>
      </c>
      <c r="K122" s="208">
        <v>0</v>
      </c>
      <c r="L122" s="206">
        <f t="shared" si="116"/>
        <v>0</v>
      </c>
      <c r="M122" s="696">
        <f t="shared" si="117"/>
        <v>0</v>
      </c>
      <c r="N122" s="206">
        <f t="shared" si="118"/>
        <v>0</v>
      </c>
      <c r="O122" s="736"/>
      <c r="P122" s="204">
        <v>0</v>
      </c>
      <c r="Q122" s="210">
        <v>0</v>
      </c>
      <c r="R122" s="903"/>
      <c r="S122" s="189" t="str">
        <f>+IF(FEBRERO!S122=0,"",FEBRERO!S122)</f>
        <v/>
      </c>
      <c r="T122" s="488" t="str">
        <f>+IF(FEBRERO!T122=0,"",FEBRERO!T122)</f>
        <v/>
      </c>
      <c r="U122" s="193"/>
      <c r="V122" s="191"/>
      <c r="W122" s="191"/>
      <c r="X122" s="191"/>
      <c r="Y122" s="193"/>
      <c r="Z122" s="191"/>
      <c r="AA122" s="192"/>
      <c r="AB122" s="193"/>
      <c r="AC122" s="191"/>
      <c r="AD122" s="192"/>
      <c r="AE122" s="193"/>
      <c r="AF122" s="191"/>
      <c r="AG122" s="192"/>
      <c r="AH122" s="193"/>
      <c r="AI122" s="191"/>
      <c r="AJ122" s="192"/>
      <c r="AK122" s="903"/>
      <c r="AL122" s="370"/>
      <c r="AM122" s="371"/>
    </row>
    <row r="123" spans="1:39" ht="24.75" customHeight="1">
      <c r="A123" s="421">
        <f>+IF(FEBRERO!A123=0,"",FEBRERO!A123)</f>
        <v>2700</v>
      </c>
      <c r="B123" s="388" t="str">
        <f>+IF(FEBRERO!B123=0,"",FEBRERO!B123)</f>
        <v>OTROS INGRESOS DE CAPITAL</v>
      </c>
      <c r="C123" s="204">
        <f>+ENERO!C123</f>
        <v>0</v>
      </c>
      <c r="D123" s="413">
        <f>FEBRERO!D123+MARZO!P123</f>
        <v>0</v>
      </c>
      <c r="E123" s="413">
        <f>FEBRERO!E123+MARZO!Q123</f>
        <v>0</v>
      </c>
      <c r="F123" s="868">
        <f t="shared" si="114"/>
        <v>0</v>
      </c>
      <c r="G123" s="207">
        <f>FEBRERO!I123</f>
        <v>0</v>
      </c>
      <c r="H123" s="208">
        <v>0</v>
      </c>
      <c r="I123" s="419">
        <f t="shared" si="115"/>
        <v>0</v>
      </c>
      <c r="J123" s="207">
        <f>FEBRERO!L123</f>
        <v>0</v>
      </c>
      <c r="K123" s="208">
        <v>0</v>
      </c>
      <c r="L123" s="206">
        <f t="shared" si="116"/>
        <v>0</v>
      </c>
      <c r="M123" s="696">
        <f t="shared" si="117"/>
        <v>0</v>
      </c>
      <c r="N123" s="206">
        <f t="shared" si="118"/>
        <v>0</v>
      </c>
      <c r="O123" s="736"/>
      <c r="P123" s="204">
        <v>0</v>
      </c>
      <c r="Q123" s="210">
        <v>0</v>
      </c>
      <c r="R123" s="903"/>
      <c r="S123" s="257">
        <f>+IF(FEBRERO!S123=0,"",FEBRERO!S123)</f>
        <v>2010200</v>
      </c>
      <c r="T123" s="532" t="str">
        <f>+IF(FEBRERO!T123=0,"",FEBRERO!T123)</f>
        <v>Adquisición de Servicios</v>
      </c>
      <c r="U123" s="233">
        <f>SUM(U124:U139)</f>
        <v>8280375089.2777777</v>
      </c>
      <c r="V123" s="231">
        <f t="shared" ref="V123:AJ123" si="126">SUM(V124:V139)</f>
        <v>-680999693</v>
      </c>
      <c r="W123" s="231">
        <f t="shared" si="126"/>
        <v>169879991</v>
      </c>
      <c r="X123" s="234">
        <f t="shared" si="126"/>
        <v>7769255387.2777777</v>
      </c>
      <c r="Y123" s="233">
        <f t="shared" si="126"/>
        <v>4507860749</v>
      </c>
      <c r="Z123" s="231">
        <f t="shared" si="126"/>
        <v>436225470</v>
      </c>
      <c r="AA123" s="232">
        <f t="shared" si="126"/>
        <v>4944086219</v>
      </c>
      <c r="AB123" s="233">
        <f t="shared" si="126"/>
        <v>2036363461</v>
      </c>
      <c r="AC123" s="231">
        <f t="shared" si="126"/>
        <v>532751069</v>
      </c>
      <c r="AD123" s="232">
        <f t="shared" si="126"/>
        <v>2569114530</v>
      </c>
      <c r="AE123" s="233">
        <f t="shared" si="126"/>
        <v>1022014287</v>
      </c>
      <c r="AF123" s="231">
        <f t="shared" si="126"/>
        <v>543502024</v>
      </c>
      <c r="AG123" s="232">
        <f t="shared" si="126"/>
        <v>1565516311</v>
      </c>
      <c r="AH123" s="233">
        <f t="shared" si="126"/>
        <v>2825169168.2777777</v>
      </c>
      <c r="AI123" s="231">
        <f t="shared" si="126"/>
        <v>5200140857.2777777</v>
      </c>
      <c r="AJ123" s="232">
        <f t="shared" si="126"/>
        <v>6203739076.2777777</v>
      </c>
      <c r="AK123" s="903"/>
      <c r="AL123" s="233">
        <f>SUM(AL124:AL139)</f>
        <v>-410000000</v>
      </c>
      <c r="AM123" s="232">
        <f>SUM(AM124:AM139)</f>
        <v>0</v>
      </c>
    </row>
    <row r="124" spans="1:39" ht="24.75" customHeight="1">
      <c r="A124" s="869">
        <f>+IF(FEBRERO!A124=0,"",FEBRERO!A124)</f>
        <v>2800</v>
      </c>
      <c r="B124" s="390" t="str">
        <f>+IF(FEBRERO!B124=0,"",FEBRERO!B124)</f>
        <v/>
      </c>
      <c r="C124" s="242">
        <f>+ENERO!C124</f>
        <v>0</v>
      </c>
      <c r="D124" s="429">
        <f>FEBRERO!D124+MARZO!P124</f>
        <v>0</v>
      </c>
      <c r="E124" s="429">
        <f>FEBRERO!E124+MARZO!Q124</f>
        <v>0</v>
      </c>
      <c r="F124" s="870">
        <f t="shared" si="114"/>
        <v>0</v>
      </c>
      <c r="G124" s="245">
        <f>FEBRERO!I124</f>
        <v>0</v>
      </c>
      <c r="H124" s="246">
        <v>0</v>
      </c>
      <c r="I124" s="431">
        <f t="shared" si="115"/>
        <v>0</v>
      </c>
      <c r="J124" s="245">
        <f>FEBRERO!L124</f>
        <v>0</v>
      </c>
      <c r="K124" s="246">
        <v>0</v>
      </c>
      <c r="L124" s="244">
        <f t="shared" si="116"/>
        <v>0</v>
      </c>
      <c r="M124" s="432">
        <f t="shared" si="117"/>
        <v>0</v>
      </c>
      <c r="N124" s="244">
        <f t="shared" si="118"/>
        <v>0</v>
      </c>
      <c r="O124" s="736"/>
      <c r="P124" s="242">
        <v>0</v>
      </c>
      <c r="Q124" s="248">
        <v>0</v>
      </c>
      <c r="R124" s="903"/>
      <c r="S124" s="266" t="str">
        <f>+IF(FEBRERO!S124=0,"",FEBRERO!S124)</f>
        <v>2.1.2.02.02.007.702</v>
      </c>
      <c r="T124" s="534" t="str">
        <f>+IF(FEBRERO!T124=0,"",FEBRERO!T124)</f>
        <v>Seguros</v>
      </c>
      <c r="U124" s="301">
        <f>+ENERO!U124</f>
        <v>1040000000</v>
      </c>
      <c r="V124" s="220">
        <f>FEBRERO!V124+MARZO!AL124</f>
        <v>0</v>
      </c>
      <c r="W124" s="220">
        <f>FEBRERO!W124+MARZO!AM124</f>
        <v>0</v>
      </c>
      <c r="X124" s="271">
        <f t="shared" ref="X124:X139" si="127">SUM(U124:W124)</f>
        <v>1040000000</v>
      </c>
      <c r="Y124" s="270">
        <f>FEBRERO!AA124</f>
        <v>875984321</v>
      </c>
      <c r="Z124" s="208">
        <v>1255160</v>
      </c>
      <c r="AA124" s="269">
        <f t="shared" ref="AA124:AA139" si="128">SUM(Y124:Z124)</f>
        <v>877239481</v>
      </c>
      <c r="AB124" s="270">
        <f>FEBRERO!AD124</f>
        <v>851637177</v>
      </c>
      <c r="AC124" s="208">
        <v>24830940</v>
      </c>
      <c r="AD124" s="269">
        <f t="shared" ref="AD124:AD139" si="129">SUM(AB124:AC124)</f>
        <v>876468117</v>
      </c>
      <c r="AE124" s="270">
        <f>FEBRERO!AG124</f>
        <v>273533936</v>
      </c>
      <c r="AF124" s="208">
        <v>272189036</v>
      </c>
      <c r="AG124" s="269">
        <f t="shared" ref="AG124:AG139" si="130">SUM(AE124:AF124)</f>
        <v>545722972</v>
      </c>
      <c r="AH124" s="270">
        <f t="shared" ref="AH124:AH139" si="131">X124-AA124</f>
        <v>162760519</v>
      </c>
      <c r="AI124" s="220">
        <f t="shared" ref="AI124:AI139" si="132">X124-AD124</f>
        <v>163531883</v>
      </c>
      <c r="AJ124" s="269">
        <f t="shared" ref="AJ124:AJ139" si="133">X124-AG124</f>
        <v>494277028</v>
      </c>
      <c r="AK124" s="903"/>
      <c r="AL124" s="204">
        <v>0</v>
      </c>
      <c r="AM124" s="210">
        <v>0</v>
      </c>
    </row>
    <row r="125" spans="1:39" ht="24.75" customHeight="1">
      <c r="A125" s="398"/>
      <c r="B125" s="399"/>
      <c r="C125" s="865"/>
      <c r="D125" s="865"/>
      <c r="E125" s="865"/>
      <c r="F125" s="865"/>
      <c r="G125" s="865"/>
      <c r="H125" s="865"/>
      <c r="I125" s="865"/>
      <c r="J125" s="865"/>
      <c r="K125" s="865"/>
      <c r="L125" s="865"/>
      <c r="M125" s="865"/>
      <c r="N125" s="401"/>
      <c r="O125" s="736"/>
      <c r="P125" s="402"/>
      <c r="Q125" s="401"/>
      <c r="R125" s="903"/>
      <c r="S125" s="266" t="str">
        <f>+IF(FEBRERO!S125=0,"",FEBRERO!S125)</f>
        <v>2.1.2.02.02.007.703</v>
      </c>
      <c r="T125" s="534" t="str">
        <f>+IF(FEBRERO!T125=0,"",FEBRERO!T125)</f>
        <v>Arrendamientos</v>
      </c>
      <c r="U125" s="301">
        <f>+ENERO!U125</f>
        <v>75000000</v>
      </c>
      <c r="V125" s="220">
        <f>FEBRERO!V125+MARZO!AL125</f>
        <v>10000000</v>
      </c>
      <c r="W125" s="220">
        <f>FEBRERO!W125+MARZO!AM125</f>
        <v>0</v>
      </c>
      <c r="X125" s="271">
        <f t="shared" si="127"/>
        <v>85000000</v>
      </c>
      <c r="Y125" s="270">
        <f>FEBRERO!AA125</f>
        <v>30000000</v>
      </c>
      <c r="Z125" s="208">
        <v>50000000</v>
      </c>
      <c r="AA125" s="269">
        <f>SUM(Y125:Z125)</f>
        <v>80000000</v>
      </c>
      <c r="AB125" s="270">
        <f>FEBRERO!AD125</f>
        <v>20000000</v>
      </c>
      <c r="AC125" s="208">
        <v>0</v>
      </c>
      <c r="AD125" s="269">
        <f t="shared" si="129"/>
        <v>20000000</v>
      </c>
      <c r="AE125" s="270">
        <f>FEBRERO!AG125</f>
        <v>10000000</v>
      </c>
      <c r="AF125" s="208">
        <v>0</v>
      </c>
      <c r="AG125" s="269">
        <f t="shared" si="130"/>
        <v>10000000</v>
      </c>
      <c r="AH125" s="270">
        <f t="shared" si="131"/>
        <v>5000000</v>
      </c>
      <c r="AI125" s="220">
        <f t="shared" si="132"/>
        <v>65000000</v>
      </c>
      <c r="AJ125" s="269">
        <f t="shared" si="133"/>
        <v>75000000</v>
      </c>
      <c r="AK125" s="903"/>
      <c r="AL125" s="204">
        <v>0</v>
      </c>
      <c r="AM125" s="210">
        <v>0</v>
      </c>
    </row>
    <row r="126" spans="1:39" ht="24.75" customHeight="1">
      <c r="A126" s="871" t="s">
        <v>278</v>
      </c>
      <c r="B126" s="872"/>
      <c r="C126" s="435">
        <f t="shared" ref="C126:N126" si="134">C8-C128</f>
        <v>138960268668.37653</v>
      </c>
      <c r="D126" s="435">
        <f t="shared" si="134"/>
        <v>0</v>
      </c>
      <c r="E126" s="435">
        <f t="shared" si="134"/>
        <v>15046703295</v>
      </c>
      <c r="F126" s="435">
        <f t="shared" si="134"/>
        <v>154006971963.37653</v>
      </c>
      <c r="G126" s="435">
        <f t="shared" si="134"/>
        <v>28636422384</v>
      </c>
      <c r="H126" s="435">
        <f t="shared" si="134"/>
        <v>14068882892</v>
      </c>
      <c r="I126" s="435">
        <f t="shared" si="134"/>
        <v>42686949747</v>
      </c>
      <c r="J126" s="435">
        <f t="shared" si="134"/>
        <v>2191721128</v>
      </c>
      <c r="K126" s="435">
        <f t="shared" si="134"/>
        <v>7072118896</v>
      </c>
      <c r="L126" s="435">
        <f t="shared" si="134"/>
        <v>9245484495</v>
      </c>
      <c r="M126" s="435">
        <f t="shared" si="134"/>
        <v>111300285427.37651</v>
      </c>
      <c r="N126" s="873">
        <f t="shared" si="134"/>
        <v>144741750679.3765</v>
      </c>
      <c r="O126" s="736"/>
      <c r="P126" s="437">
        <f>P8-P128</f>
        <v>0</v>
      </c>
      <c r="Q126" s="438">
        <f>Q8-Q128</f>
        <v>0</v>
      </c>
      <c r="R126" s="903"/>
      <c r="S126" s="266" t="str">
        <f>+IF(FEBRERO!S126=0,"",FEBRERO!S126)</f>
        <v>2.1.2.02.02.008.801</v>
      </c>
      <c r="T126" s="534" t="str">
        <f>+IF(FEBRERO!T126=0,"",FEBRERO!T126)</f>
        <v>Servicios Publicos (energia, Gas, Agua, Internet, Telefonia Fija y Movil)</v>
      </c>
      <c r="U126" s="301">
        <f>+ENERO!U126</f>
        <v>2804022659</v>
      </c>
      <c r="V126" s="220">
        <f>FEBRERO!V126+MARZO!AL126</f>
        <v>-180000000</v>
      </c>
      <c r="W126" s="220">
        <f>FEBRERO!W126+MARZO!AM126</f>
        <v>0</v>
      </c>
      <c r="X126" s="271">
        <f t="shared" si="127"/>
        <v>2624022659</v>
      </c>
      <c r="Y126" s="270">
        <f>FEBRERO!AA126</f>
        <v>320707721</v>
      </c>
      <c r="Z126" s="208">
        <v>246899287</v>
      </c>
      <c r="AA126" s="269">
        <f t="shared" si="128"/>
        <v>567607008</v>
      </c>
      <c r="AB126" s="270">
        <f>FEBRERO!AD126</f>
        <v>320707721</v>
      </c>
      <c r="AC126" s="208">
        <v>246050787</v>
      </c>
      <c r="AD126" s="269">
        <f t="shared" si="129"/>
        <v>566758508</v>
      </c>
      <c r="AE126" s="270">
        <f>FEBRERO!AG126</f>
        <v>268845157</v>
      </c>
      <c r="AF126" s="208">
        <v>252700776</v>
      </c>
      <c r="AG126" s="269">
        <f t="shared" si="130"/>
        <v>521545933</v>
      </c>
      <c r="AH126" s="270">
        <f t="shared" si="131"/>
        <v>2056415651</v>
      </c>
      <c r="AI126" s="220">
        <f t="shared" si="132"/>
        <v>2057264151</v>
      </c>
      <c r="AJ126" s="269">
        <f t="shared" si="133"/>
        <v>2102476726</v>
      </c>
      <c r="AK126" s="903"/>
      <c r="AL126" s="204">
        <v>-180000000</v>
      </c>
      <c r="AM126" s="210">
        <v>0</v>
      </c>
    </row>
    <row r="127" spans="1:39" ht="24.75" customHeight="1">
      <c r="A127" s="556"/>
      <c r="B127" s="399"/>
      <c r="C127" s="865"/>
      <c r="D127" s="865"/>
      <c r="E127" s="865"/>
      <c r="F127" s="865"/>
      <c r="G127" s="865"/>
      <c r="H127" s="865"/>
      <c r="I127" s="865"/>
      <c r="J127" s="865"/>
      <c r="K127" s="865"/>
      <c r="L127" s="865"/>
      <c r="M127" s="865"/>
      <c r="N127" s="401"/>
      <c r="O127" s="736"/>
      <c r="P127" s="402"/>
      <c r="Q127" s="401"/>
      <c r="R127" s="903"/>
      <c r="S127" s="266" t="str">
        <f>+IF(FEBRERO!S127=0,"",FEBRERO!S127)</f>
        <v>2.1.2.02.02.006.603</v>
      </c>
      <c r="T127" s="534" t="str">
        <f>+IF(FEBRERO!T127=0,"",FEBRERO!T127)</f>
        <v>Comunicaciones y Transportes</v>
      </c>
      <c r="U127" s="301">
        <f>+ENERO!U127</f>
        <v>341244561.11111116</v>
      </c>
      <c r="V127" s="220">
        <f>FEBRERO!V127+MARZO!AL127</f>
        <v>0</v>
      </c>
      <c r="W127" s="220">
        <f>FEBRERO!W127+MARZO!AM127</f>
        <v>0</v>
      </c>
      <c r="X127" s="271">
        <f t="shared" si="127"/>
        <v>341244561.11111116</v>
      </c>
      <c r="Y127" s="270">
        <f>FEBRERO!AA127</f>
        <v>76083200</v>
      </c>
      <c r="Z127" s="208">
        <v>135190900</v>
      </c>
      <c r="AA127" s="269">
        <f t="shared" si="128"/>
        <v>211274100</v>
      </c>
      <c r="AB127" s="270">
        <f>FEBRERO!AD127</f>
        <v>23062378</v>
      </c>
      <c r="AC127" s="208">
        <v>16423926</v>
      </c>
      <c r="AD127" s="269">
        <f t="shared" si="129"/>
        <v>39486304</v>
      </c>
      <c r="AE127" s="270">
        <f>FEBRERO!AG127</f>
        <v>9861100</v>
      </c>
      <c r="AF127" s="208">
        <v>9853500</v>
      </c>
      <c r="AG127" s="269">
        <f t="shared" si="130"/>
        <v>19714600</v>
      </c>
      <c r="AH127" s="270">
        <f t="shared" si="131"/>
        <v>129970461.11111116</v>
      </c>
      <c r="AI127" s="220">
        <f t="shared" si="132"/>
        <v>301758257.11111116</v>
      </c>
      <c r="AJ127" s="269">
        <f t="shared" si="133"/>
        <v>321529961.11111116</v>
      </c>
      <c r="AK127" s="903"/>
      <c r="AL127" s="204">
        <v>0</v>
      </c>
      <c r="AM127" s="210">
        <v>0</v>
      </c>
    </row>
    <row r="128" spans="1:39" ht="24.75" customHeight="1">
      <c r="A128" s="874" t="s">
        <v>280</v>
      </c>
      <c r="B128" s="875"/>
      <c r="C128" s="876">
        <f>SUM(C124+C111+C102+C92+C83+C80+C77+C74+C71+C68+C65+C62+C59+C56+C53+C50+C47+C44+C37+C34+C31+C27+C24)</f>
        <v>19182884469.099998</v>
      </c>
      <c r="D128" s="876">
        <f>SUMIF($B8:$B$122,$B$24,D8:D122)+D122</f>
        <v>0</v>
      </c>
      <c r="E128" s="876">
        <f>SUM(E124+E111+E102+E92+E83+E80+E77+E74+E71+E68+E65+E62+E59+E56+E53+E50+E47+E44+E37+E34+E31+E27+E24)</f>
        <v>0</v>
      </c>
      <c r="F128" s="876">
        <f>SUM(F124+F111+F102+F92+F83+F80+F77+F74+F71+F68+F65+F62+F59+F56+F53+F50+F47+F44+F37+F34+F31+F27+F24)</f>
        <v>19182884469.099998</v>
      </c>
      <c r="G128" s="876">
        <f>SUMIF($B8:$B$122,$B$24,G8:G122)+G122</f>
        <v>19707750881</v>
      </c>
      <c r="H128" s="876">
        <f>SUM(H124+H111+H102+H92+H83+H80+H77+H74+H71+H68+H65+H62+H59+H56+H53+H50+H47+H44+H37+H34+H31+H27+H24)</f>
        <v>5594421103</v>
      </c>
      <c r="I128" s="876">
        <f>SUM(I124+I111+I102+I92+I83+I80+I77+I74+I71+I68+I65+I62+I59+I56+I53+I50+I47+I44+I37+I34+I31+I27+I24)</f>
        <v>25320527513</v>
      </c>
      <c r="J128" s="876">
        <f>SUMIF($B8:$B$122,$B$24,J8:J122)+J1212</f>
        <v>19707750881</v>
      </c>
      <c r="K128" s="876">
        <f>SUM(K124+K111+K102+K92+K83+K80+K77+K74+K71+K68+K65+K62+K59+K56+K53+K50+K47+K44+K37+K34+K31+K27+K24)</f>
        <v>5594421103</v>
      </c>
      <c r="L128" s="876">
        <f>SUM(L124+L111+L102+L92+L83+L80+L77+L74+L71+L68+L65+L62+L59+L56+L53+L50+L47+L44+L37+L34+L31+L27+L24)</f>
        <v>25320527513</v>
      </c>
      <c r="M128" s="876">
        <f>SUMIF($B8:$B$122,$B$24,M8:M122)+M12</f>
        <v>-6117906254.8999996</v>
      </c>
      <c r="N128" s="442">
        <f>SUMIF($B8:$B$122,$B$24,N8:N122)+N122</f>
        <v>-6117906254.8999996</v>
      </c>
      <c r="O128" s="369"/>
      <c r="P128" s="876">
        <f>SUMIF($B8:$B$122,$B$24,P8:P122)+P122</f>
        <v>0</v>
      </c>
      <c r="Q128" s="877">
        <f>SUMIF($B8:$B$122,$B$24,Q8:Q122)+Q122</f>
        <v>0</v>
      </c>
      <c r="R128" s="903"/>
      <c r="S128" s="266" t="str">
        <f>+IF(FEBRERO!S128=0,"",FEBRERO!S128)</f>
        <v>2.1.2.02.02.006.604</v>
      </c>
      <c r="T128" s="534" t="str">
        <f>+IF(FEBRERO!T128=0,"",FEBRERO!T128)</f>
        <v>Impresos y Publicaciones</v>
      </c>
      <c r="U128" s="301">
        <f>+ENERO!U128</f>
        <v>327220927.08333331</v>
      </c>
      <c r="V128" s="220">
        <f>FEBRERO!V128+MARZO!AL128</f>
        <v>0</v>
      </c>
      <c r="W128" s="220">
        <f>FEBRERO!W128+MARZO!AM128</f>
        <v>0</v>
      </c>
      <c r="X128" s="271">
        <f t="shared" si="127"/>
        <v>327220927.08333331</v>
      </c>
      <c r="Y128" s="270">
        <f>FEBRERO!AA128</f>
        <v>216256100</v>
      </c>
      <c r="Z128" s="208">
        <v>0</v>
      </c>
      <c r="AA128" s="269">
        <f t="shared" si="128"/>
        <v>216256100</v>
      </c>
      <c r="AB128" s="270">
        <f>FEBRERO!AD128</f>
        <v>35271670</v>
      </c>
      <c r="AC128" s="208">
        <v>49632401</v>
      </c>
      <c r="AD128" s="269">
        <f t="shared" si="129"/>
        <v>84904071</v>
      </c>
      <c r="AE128" s="270">
        <f>FEBRERO!AG128</f>
        <v>560000</v>
      </c>
      <c r="AF128" s="208">
        <v>0</v>
      </c>
      <c r="AG128" s="269">
        <f t="shared" si="130"/>
        <v>560000</v>
      </c>
      <c r="AH128" s="270">
        <f t="shared" si="131"/>
        <v>110964827.08333331</v>
      </c>
      <c r="AI128" s="220">
        <f t="shared" si="132"/>
        <v>242316856.08333331</v>
      </c>
      <c r="AJ128" s="269">
        <f t="shared" si="133"/>
        <v>326660927.08333331</v>
      </c>
      <c r="AK128" s="903"/>
      <c r="AL128" s="204">
        <v>0</v>
      </c>
      <c r="AM128" s="210">
        <v>0</v>
      </c>
    </row>
    <row r="129" spans="1:39" ht="24.75" customHeight="1">
      <c r="A129" s="556"/>
      <c r="B129" s="399"/>
      <c r="C129" s="865"/>
      <c r="D129" s="865"/>
      <c r="E129" s="865"/>
      <c r="F129" s="865"/>
      <c r="G129" s="865"/>
      <c r="H129" s="865"/>
      <c r="I129" s="865"/>
      <c r="J129" s="865"/>
      <c r="K129" s="865"/>
      <c r="L129" s="865"/>
      <c r="M129" s="865"/>
      <c r="N129" s="401"/>
      <c r="O129" s="736"/>
      <c r="P129" s="402"/>
      <c r="Q129" s="401"/>
      <c r="R129" s="903"/>
      <c r="S129" s="266" t="str">
        <f>+IF(FEBRERO!S129=0,"",FEBRERO!S129)</f>
        <v>2.1.2.02.02.009.905</v>
      </c>
      <c r="T129" s="534" t="str">
        <f>+IF(FEBRERO!T129=0,"",FEBRERO!T129)</f>
        <v>Servicios de Capacitacion</v>
      </c>
      <c r="U129" s="301">
        <f>+ENERO!U129</f>
        <v>41029431.25</v>
      </c>
      <c r="V129" s="220">
        <f>FEBRERO!V129+MARZO!AL129</f>
        <v>0</v>
      </c>
      <c r="W129" s="220">
        <f>FEBRERO!W129+MARZO!AM129</f>
        <v>0</v>
      </c>
      <c r="X129" s="271">
        <f t="shared" si="127"/>
        <v>41029431.25</v>
      </c>
      <c r="Y129" s="270">
        <f>FEBRERO!AA129</f>
        <v>0</v>
      </c>
      <c r="Z129" s="208">
        <v>0</v>
      </c>
      <c r="AA129" s="269">
        <f t="shared" si="128"/>
        <v>0</v>
      </c>
      <c r="AB129" s="270">
        <f>FEBRERO!AD129</f>
        <v>0</v>
      </c>
      <c r="AC129" s="208">
        <v>0</v>
      </c>
      <c r="AD129" s="269">
        <f t="shared" si="129"/>
        <v>0</v>
      </c>
      <c r="AE129" s="270">
        <f>FEBRERO!AG129</f>
        <v>0</v>
      </c>
      <c r="AF129" s="208">
        <v>0</v>
      </c>
      <c r="AG129" s="269">
        <f t="shared" si="130"/>
        <v>0</v>
      </c>
      <c r="AH129" s="270">
        <f t="shared" si="131"/>
        <v>41029431.25</v>
      </c>
      <c r="AI129" s="220">
        <f t="shared" si="132"/>
        <v>41029431.25</v>
      </c>
      <c r="AJ129" s="269">
        <f t="shared" si="133"/>
        <v>41029431.25</v>
      </c>
      <c r="AK129" s="903"/>
      <c r="AL129" s="204">
        <v>0</v>
      </c>
      <c r="AM129" s="210">
        <v>0</v>
      </c>
    </row>
    <row r="130" spans="1:39" ht="24.75" customHeight="1">
      <c r="A130" s="878" t="s">
        <v>282</v>
      </c>
      <c r="B130" s="879"/>
      <c r="C130" s="446">
        <f t="shared" ref="C130:N130" si="135">C128+C126</f>
        <v>158143153137.47653</v>
      </c>
      <c r="D130" s="447">
        <f t="shared" si="135"/>
        <v>0</v>
      </c>
      <c r="E130" s="447">
        <f t="shared" si="135"/>
        <v>15046703295</v>
      </c>
      <c r="F130" s="448">
        <f t="shared" si="135"/>
        <v>173189856432.47653</v>
      </c>
      <c r="G130" s="446">
        <f t="shared" si="135"/>
        <v>48344173265</v>
      </c>
      <c r="H130" s="447">
        <f t="shared" si="135"/>
        <v>19663303995</v>
      </c>
      <c r="I130" s="448">
        <f t="shared" si="135"/>
        <v>68007477260</v>
      </c>
      <c r="J130" s="446">
        <f t="shared" si="135"/>
        <v>21899472009</v>
      </c>
      <c r="K130" s="447">
        <f t="shared" si="135"/>
        <v>12666539999</v>
      </c>
      <c r="L130" s="448">
        <f t="shared" si="135"/>
        <v>34566012008</v>
      </c>
      <c r="M130" s="446">
        <f t="shared" si="135"/>
        <v>105182379172.47652</v>
      </c>
      <c r="N130" s="448">
        <f t="shared" si="135"/>
        <v>138623844424.4765</v>
      </c>
      <c r="O130" s="736"/>
      <c r="P130" s="437">
        <f>P128+P126</f>
        <v>0</v>
      </c>
      <c r="Q130" s="438">
        <f>Q128+Q126</f>
        <v>0</v>
      </c>
      <c r="R130" s="903"/>
      <c r="S130" s="266" t="str">
        <f>+IF(FEBRERO!S130=0,"",FEBRERO!S130)</f>
        <v>2.1.2.02.02.008.804</v>
      </c>
      <c r="T130" s="534" t="str">
        <f>+IF(FEBRERO!T130=0,"",FEBRERO!T130)</f>
        <v xml:space="preserve">Vigilancia </v>
      </c>
      <c r="U130" s="301">
        <f>+ENERO!U130</f>
        <v>2929064955.833333</v>
      </c>
      <c r="V130" s="220">
        <f>FEBRERO!V130+MARZO!AL130</f>
        <v>-540000000</v>
      </c>
      <c r="W130" s="220">
        <f>FEBRERO!W130+MARZO!AM130</f>
        <v>0</v>
      </c>
      <c r="X130" s="271">
        <f t="shared" si="127"/>
        <v>2389064955.833333</v>
      </c>
      <c r="Y130" s="270">
        <f>FEBRERO!AA130</f>
        <v>2320627096</v>
      </c>
      <c r="Z130" s="208">
        <v>0</v>
      </c>
      <c r="AA130" s="269">
        <f t="shared" si="128"/>
        <v>2320627096</v>
      </c>
      <c r="AB130" s="270">
        <f>FEBRERO!AD130</f>
        <v>191317439</v>
      </c>
      <c r="AC130" s="208">
        <v>191284530</v>
      </c>
      <c r="AD130" s="269">
        <f t="shared" si="129"/>
        <v>382601969</v>
      </c>
      <c r="AE130" s="270">
        <f>FEBRERO!AG130</f>
        <v>191317439</v>
      </c>
      <c r="AF130" s="208">
        <v>0</v>
      </c>
      <c r="AG130" s="269">
        <f t="shared" si="130"/>
        <v>191317439</v>
      </c>
      <c r="AH130" s="270">
        <f t="shared" si="131"/>
        <v>68437859.833333015</v>
      </c>
      <c r="AI130" s="220">
        <f t="shared" si="132"/>
        <v>2006462986.833333</v>
      </c>
      <c r="AJ130" s="269">
        <f t="shared" si="133"/>
        <v>2197747516.833333</v>
      </c>
      <c r="AK130" s="903"/>
      <c r="AL130" s="204">
        <v>-230000000</v>
      </c>
      <c r="AM130" s="210">
        <v>0</v>
      </c>
    </row>
    <row r="131" spans="1:39" ht="24.75" customHeight="1">
      <c r="A131" s="912"/>
      <c r="B131" s="913"/>
      <c r="C131" s="736"/>
      <c r="D131" s="736"/>
      <c r="E131" s="736"/>
      <c r="F131" s="736"/>
      <c r="G131" s="736"/>
      <c r="H131" s="736"/>
      <c r="I131" s="736"/>
      <c r="J131" s="736"/>
      <c r="K131" s="736"/>
      <c r="L131" s="736"/>
      <c r="M131" s="736"/>
      <c r="N131" s="903"/>
      <c r="O131" s="736"/>
      <c r="P131" s="736"/>
      <c r="Q131" s="736"/>
      <c r="R131" s="903"/>
      <c r="S131" s="266" t="str">
        <f>+IF(FEBRERO!S131=0,"",FEBRERO!S131)</f>
        <v>2.1.2.02.02.009.908</v>
      </c>
      <c r="T131" s="534" t="str">
        <f>+IF(FEBRERO!T131=0,"",FEBRERO!T131)</f>
        <v>Bienestar Social</v>
      </c>
      <c r="U131" s="301">
        <f>+ENERO!U131</f>
        <v>326592555</v>
      </c>
      <c r="V131" s="220">
        <f>FEBRERO!V131+MARZO!AL131</f>
        <v>29000307</v>
      </c>
      <c r="W131" s="220">
        <f>FEBRERO!W131+MARZO!AM131</f>
        <v>169879991</v>
      </c>
      <c r="X131" s="271">
        <f t="shared" si="127"/>
        <v>525472853</v>
      </c>
      <c r="Y131" s="270">
        <f>FEBRERO!AA131</f>
        <v>433757876</v>
      </c>
      <c r="Z131" s="208">
        <v>1423500</v>
      </c>
      <c r="AA131" s="269">
        <f t="shared" si="128"/>
        <v>435181376</v>
      </c>
      <c r="AB131" s="270">
        <f>FEBRERO!AD131</f>
        <v>359922641</v>
      </c>
      <c r="AC131" s="208">
        <v>3071862</v>
      </c>
      <c r="AD131" s="269">
        <f t="shared" si="129"/>
        <v>362994503</v>
      </c>
      <c r="AE131" s="270">
        <f>FEBRERO!AG131</f>
        <v>33452220</v>
      </c>
      <c r="AF131" s="208">
        <v>8758712</v>
      </c>
      <c r="AG131" s="269">
        <f>SUM(AE131:AF131)</f>
        <v>42210932</v>
      </c>
      <c r="AH131" s="270">
        <f t="shared" si="131"/>
        <v>90291477</v>
      </c>
      <c r="AI131" s="220">
        <f t="shared" si="132"/>
        <v>162478350</v>
      </c>
      <c r="AJ131" s="269">
        <f t="shared" si="133"/>
        <v>483261921</v>
      </c>
      <c r="AK131" s="903"/>
      <c r="AL131" s="204">
        <v>0</v>
      </c>
      <c r="AM131" s="210">
        <v>0</v>
      </c>
    </row>
    <row r="132" spans="1:39" ht="24.75" customHeight="1">
      <c r="A132" s="912"/>
      <c r="B132" s="913"/>
      <c r="C132" s="736"/>
      <c r="D132" s="736"/>
      <c r="E132" s="736"/>
      <c r="F132" s="736"/>
      <c r="G132" s="736"/>
      <c r="H132" s="736"/>
      <c r="I132" s="736"/>
      <c r="J132" s="736"/>
      <c r="K132" s="736"/>
      <c r="L132" s="736"/>
      <c r="M132" s="736"/>
      <c r="N132" s="903"/>
      <c r="O132" s="736"/>
      <c r="P132" s="736"/>
      <c r="Q132" s="736"/>
      <c r="R132" s="903"/>
      <c r="S132" s="266" t="str">
        <f>+IF(FEBRERO!S132=0,"",FEBRERO!S132)</f>
        <v>2.1.2.02.02.010</v>
      </c>
      <c r="T132" s="534" t="str">
        <f>+IF(FEBRERO!T132=0,"",FEBRERO!T132)</f>
        <v>Viáticos de los funcionarios en comisión</v>
      </c>
      <c r="U132" s="301">
        <f>+ENERO!U132</f>
        <v>3000000</v>
      </c>
      <c r="V132" s="220">
        <f>FEBRERO!V132+MARZO!AL132</f>
        <v>0</v>
      </c>
      <c r="W132" s="220">
        <f>FEBRERO!W132+MARZO!AM132</f>
        <v>0</v>
      </c>
      <c r="X132" s="271">
        <f t="shared" si="127"/>
        <v>3000000</v>
      </c>
      <c r="Y132" s="270">
        <f>FEBRERO!AA132</f>
        <v>0</v>
      </c>
      <c r="Z132" s="208">
        <v>1456623</v>
      </c>
      <c r="AA132" s="269">
        <f>SUM(Y132:Z132)</f>
        <v>1456623</v>
      </c>
      <c r="AB132" s="270">
        <f>FEBRERO!AD132</f>
        <v>0</v>
      </c>
      <c r="AC132" s="208">
        <v>1456623</v>
      </c>
      <c r="AD132" s="269">
        <f t="shared" si="129"/>
        <v>1456623</v>
      </c>
      <c r="AE132" s="270">
        <f>FEBRERO!AG132</f>
        <v>0</v>
      </c>
      <c r="AF132" s="208">
        <v>0</v>
      </c>
      <c r="AG132" s="269">
        <f t="shared" si="130"/>
        <v>0</v>
      </c>
      <c r="AH132" s="270">
        <f t="shared" si="131"/>
        <v>1543377</v>
      </c>
      <c r="AI132" s="220">
        <f t="shared" si="132"/>
        <v>1543377</v>
      </c>
      <c r="AJ132" s="269">
        <f t="shared" si="133"/>
        <v>3000000</v>
      </c>
      <c r="AK132" s="903"/>
      <c r="AL132" s="204">
        <v>0</v>
      </c>
      <c r="AM132" s="210">
        <v>0</v>
      </c>
    </row>
    <row r="133" spans="1:39" ht="24.75" customHeight="1">
      <c r="A133" s="912"/>
      <c r="B133" s="913"/>
      <c r="C133" s="736"/>
      <c r="D133" s="736"/>
      <c r="E133" s="736"/>
      <c r="F133" s="736"/>
      <c r="G133" s="736"/>
      <c r="H133" s="736"/>
      <c r="I133" s="736"/>
      <c r="J133" s="736"/>
      <c r="K133" s="736"/>
      <c r="L133" s="736"/>
      <c r="M133" s="736"/>
      <c r="N133" s="1160">
        <f>N109+N111</f>
        <v>-46961679</v>
      </c>
      <c r="O133" s="736"/>
      <c r="P133" s="736"/>
      <c r="Q133" s="736"/>
      <c r="R133" s="903"/>
      <c r="S133" s="266" t="str">
        <f>+IF(FEBRERO!S133=0,"",FEBRERO!S133)</f>
        <v>2.1.2.02.02.009.903</v>
      </c>
      <c r="T133" s="534" t="str">
        <f>+IF(FEBRERO!T133=0,"",FEBRERO!T133)</f>
        <v>Servicios prestados por IPS</v>
      </c>
      <c r="U133" s="301">
        <f>+ENERO!U133</f>
        <v>5000000</v>
      </c>
      <c r="V133" s="220">
        <f>FEBRERO!V133+MARZO!AL133</f>
        <v>0</v>
      </c>
      <c r="W133" s="220">
        <f>FEBRERO!W133+MARZO!AM133</f>
        <v>0</v>
      </c>
      <c r="X133" s="271">
        <f t="shared" si="127"/>
        <v>5000000</v>
      </c>
      <c r="Y133" s="270">
        <f>FEBRERO!AA133</f>
        <v>0</v>
      </c>
      <c r="Z133" s="208">
        <v>0</v>
      </c>
      <c r="AA133" s="269">
        <f t="shared" si="128"/>
        <v>0</v>
      </c>
      <c r="AB133" s="270">
        <f>FEBRERO!AD133</f>
        <v>0</v>
      </c>
      <c r="AC133" s="208">
        <v>0</v>
      </c>
      <c r="AD133" s="269">
        <f t="shared" si="129"/>
        <v>0</v>
      </c>
      <c r="AE133" s="270">
        <f>FEBRERO!AG133</f>
        <v>0</v>
      </c>
      <c r="AF133" s="208">
        <v>0</v>
      </c>
      <c r="AG133" s="269">
        <f t="shared" si="130"/>
        <v>0</v>
      </c>
      <c r="AH133" s="270">
        <f t="shared" si="131"/>
        <v>5000000</v>
      </c>
      <c r="AI133" s="220">
        <f t="shared" si="132"/>
        <v>5000000</v>
      </c>
      <c r="AJ133" s="269">
        <f t="shared" si="133"/>
        <v>5000000</v>
      </c>
      <c r="AK133" s="903"/>
      <c r="AL133" s="204">
        <v>0</v>
      </c>
      <c r="AM133" s="210">
        <v>0</v>
      </c>
    </row>
    <row r="134" spans="1:39" ht="24.75" customHeight="1">
      <c r="A134" s="912"/>
      <c r="B134" s="913"/>
      <c r="C134" s="736"/>
      <c r="D134" s="736"/>
      <c r="E134" s="736"/>
      <c r="F134" s="736"/>
      <c r="G134" s="736"/>
      <c r="H134" s="736"/>
      <c r="I134" s="736"/>
      <c r="J134" s="736"/>
      <c r="K134" s="736"/>
      <c r="L134" s="736"/>
      <c r="M134" s="736"/>
      <c r="N134" s="903"/>
      <c r="O134" s="736"/>
      <c r="P134" s="736"/>
      <c r="Q134" s="736"/>
      <c r="R134" s="903"/>
      <c r="S134" s="266" t="str">
        <f>+IF(FEBRERO!S134=0,"",FEBRERO!S134)</f>
        <v>2010200-11</v>
      </c>
      <c r="T134" s="534" t="str">
        <f>+IF(FEBRERO!T134=0,"",FEBRERO!T134)</f>
        <v>Gastos Bancarios</v>
      </c>
      <c r="U134" s="301">
        <f>+ENERO!U134</f>
        <v>0</v>
      </c>
      <c r="V134" s="220">
        <f>FEBRERO!V134+MARZO!AL134</f>
        <v>0</v>
      </c>
      <c r="W134" s="220">
        <f>FEBRERO!W134+MARZO!AM134</f>
        <v>0</v>
      </c>
      <c r="X134" s="271">
        <f t="shared" si="127"/>
        <v>0</v>
      </c>
      <c r="Y134" s="270">
        <f>FEBRERO!AA134</f>
        <v>0</v>
      </c>
      <c r="Z134" s="208">
        <v>0</v>
      </c>
      <c r="AA134" s="269">
        <f t="shared" si="128"/>
        <v>0</v>
      </c>
      <c r="AB134" s="270">
        <f>FEBRERO!AD134</f>
        <v>0</v>
      </c>
      <c r="AC134" s="208">
        <v>0</v>
      </c>
      <c r="AD134" s="269">
        <f t="shared" si="129"/>
        <v>0</v>
      </c>
      <c r="AE134" s="270">
        <f>FEBRERO!AG134</f>
        <v>0</v>
      </c>
      <c r="AF134" s="208">
        <v>0</v>
      </c>
      <c r="AG134" s="269">
        <f t="shared" si="130"/>
        <v>0</v>
      </c>
      <c r="AH134" s="270">
        <f t="shared" si="131"/>
        <v>0</v>
      </c>
      <c r="AI134" s="220">
        <f t="shared" si="132"/>
        <v>0</v>
      </c>
      <c r="AJ134" s="269">
        <f t="shared" si="133"/>
        <v>0</v>
      </c>
      <c r="AK134" s="903"/>
      <c r="AL134" s="204">
        <v>0</v>
      </c>
      <c r="AM134" s="210">
        <v>0</v>
      </c>
    </row>
    <row r="135" spans="1:39" ht="24.75" customHeight="1">
      <c r="A135" s="912"/>
      <c r="B135" s="913"/>
      <c r="C135" s="736"/>
      <c r="D135" s="736"/>
      <c r="E135" s="736"/>
      <c r="F135" s="736"/>
      <c r="G135" s="736"/>
      <c r="H135" s="736"/>
      <c r="I135" s="736"/>
      <c r="J135" s="736"/>
      <c r="K135" s="736"/>
      <c r="L135" s="736"/>
      <c r="M135" s="736"/>
      <c r="N135" s="903"/>
      <c r="O135" s="736"/>
      <c r="P135" s="736"/>
      <c r="Q135" s="736"/>
      <c r="R135" s="903"/>
      <c r="S135" s="266" t="str">
        <f>+IF(FEBRERO!S135=0,"",FEBRERO!S135)</f>
        <v>2.1.2.02.02.009.909</v>
      </c>
      <c r="T135" s="534" t="str">
        <f>+IF(FEBRERO!T135=0,"",FEBRERO!T135)</f>
        <v>Convenio Docencia Servicios</v>
      </c>
      <c r="U135" s="301">
        <f>+ENERO!U135</f>
        <v>20000000</v>
      </c>
      <c r="V135" s="220">
        <f>FEBRERO!V135+MARZO!AL135</f>
        <v>0</v>
      </c>
      <c r="W135" s="220">
        <f>FEBRERO!W135+MARZO!AM135</f>
        <v>0</v>
      </c>
      <c r="X135" s="271">
        <f t="shared" si="127"/>
        <v>20000000</v>
      </c>
      <c r="Y135" s="270">
        <f>FEBRERO!AA135</f>
        <v>0</v>
      </c>
      <c r="Z135" s="208">
        <v>0</v>
      </c>
      <c r="AA135" s="269">
        <f t="shared" si="128"/>
        <v>0</v>
      </c>
      <c r="AB135" s="270">
        <f>FEBRERO!AD135</f>
        <v>0</v>
      </c>
      <c r="AC135" s="208">
        <v>0</v>
      </c>
      <c r="AD135" s="269">
        <f t="shared" si="129"/>
        <v>0</v>
      </c>
      <c r="AE135" s="270">
        <f>FEBRERO!AG135</f>
        <v>0</v>
      </c>
      <c r="AF135" s="208">
        <v>0</v>
      </c>
      <c r="AG135" s="269">
        <f t="shared" si="130"/>
        <v>0</v>
      </c>
      <c r="AH135" s="270">
        <f t="shared" si="131"/>
        <v>20000000</v>
      </c>
      <c r="AI135" s="220">
        <f t="shared" si="132"/>
        <v>20000000</v>
      </c>
      <c r="AJ135" s="269">
        <f t="shared" si="133"/>
        <v>20000000</v>
      </c>
      <c r="AK135" s="903"/>
      <c r="AL135" s="204">
        <v>0</v>
      </c>
      <c r="AM135" s="210">
        <v>0</v>
      </c>
    </row>
    <row r="136" spans="1:39" ht="24.75" customHeight="1">
      <c r="A136" s="912"/>
      <c r="B136" s="913"/>
      <c r="C136" s="736"/>
      <c r="D136" s="736"/>
      <c r="E136" s="736"/>
      <c r="F136" s="736"/>
      <c r="G136" s="736"/>
      <c r="H136" s="736"/>
      <c r="I136" s="736"/>
      <c r="J136" s="736"/>
      <c r="K136" s="736"/>
      <c r="L136" s="736"/>
      <c r="M136" s="736"/>
      <c r="N136" s="903"/>
      <c r="O136" s="736"/>
      <c r="P136" s="736"/>
      <c r="Q136" s="736"/>
      <c r="R136" s="903"/>
      <c r="S136" s="266" t="str">
        <f>+IF(FEBRERO!S136=0,"",FEBRERO!S136)</f>
        <v>2.1.2.02.02.008.809</v>
      </c>
      <c r="T136" s="534" t="str">
        <f>+IF(FEBRERO!T136=0,"",FEBRERO!T136)</f>
        <v>Publicidad</v>
      </c>
      <c r="U136" s="301">
        <f>+ENERO!U136</f>
        <v>0</v>
      </c>
      <c r="V136" s="220">
        <f>FEBRERO!V136+MARZO!AL136</f>
        <v>0</v>
      </c>
      <c r="W136" s="220">
        <f>FEBRERO!W136+MARZO!AM136</f>
        <v>0</v>
      </c>
      <c r="X136" s="271">
        <f t="shared" si="127"/>
        <v>0</v>
      </c>
      <c r="Y136" s="270">
        <f>FEBRERO!AA136</f>
        <v>0</v>
      </c>
      <c r="Z136" s="208">
        <v>0</v>
      </c>
      <c r="AA136" s="269">
        <f t="shared" si="128"/>
        <v>0</v>
      </c>
      <c r="AB136" s="270">
        <f>FEBRERO!AD136</f>
        <v>0</v>
      </c>
      <c r="AC136" s="208">
        <v>0</v>
      </c>
      <c r="AD136" s="269">
        <f t="shared" si="129"/>
        <v>0</v>
      </c>
      <c r="AE136" s="270">
        <f>FEBRERO!AG136</f>
        <v>0</v>
      </c>
      <c r="AF136" s="208">
        <v>0</v>
      </c>
      <c r="AG136" s="269">
        <f t="shared" si="130"/>
        <v>0</v>
      </c>
      <c r="AH136" s="270">
        <f t="shared" si="131"/>
        <v>0</v>
      </c>
      <c r="AI136" s="220">
        <f t="shared" si="132"/>
        <v>0</v>
      </c>
      <c r="AJ136" s="269">
        <f t="shared" si="133"/>
        <v>0</v>
      </c>
      <c r="AK136" s="903"/>
      <c r="AL136" s="204">
        <v>0</v>
      </c>
      <c r="AM136" s="210">
        <v>0</v>
      </c>
    </row>
    <row r="137" spans="1:39" ht="24.75" customHeight="1">
      <c r="A137" s="912"/>
      <c r="B137" s="913"/>
      <c r="C137" s="736"/>
      <c r="D137" s="736"/>
      <c r="E137" s="736"/>
      <c r="F137" s="736"/>
      <c r="G137" s="736"/>
      <c r="H137" s="736"/>
      <c r="I137" s="736"/>
      <c r="J137" s="736"/>
      <c r="K137" s="736"/>
      <c r="L137" s="736"/>
      <c r="M137" s="736"/>
      <c r="N137" s="903"/>
      <c r="O137" s="736"/>
      <c r="P137" s="736"/>
      <c r="Q137" s="736"/>
      <c r="R137" s="903"/>
      <c r="S137" s="266" t="str">
        <f>+IF(FEBRERO!S137=0,"",FEBRERO!S137)</f>
        <v/>
      </c>
      <c r="T137" s="534" t="str">
        <f>+IF(FEBRERO!T137=0,"",FEBRERO!T137)</f>
        <v/>
      </c>
      <c r="U137" s="301">
        <f>+ENERO!U137</f>
        <v>0</v>
      </c>
      <c r="V137" s="220">
        <f>FEBRERO!V137+MARZO!AL137</f>
        <v>0</v>
      </c>
      <c r="W137" s="220">
        <f>FEBRERO!W137+MARZO!AM137</f>
        <v>0</v>
      </c>
      <c r="X137" s="271">
        <f t="shared" si="127"/>
        <v>0</v>
      </c>
      <c r="Y137" s="270">
        <f>FEBRERO!AA137</f>
        <v>0</v>
      </c>
      <c r="Z137" s="208">
        <v>0</v>
      </c>
      <c r="AA137" s="269">
        <f t="shared" si="128"/>
        <v>0</v>
      </c>
      <c r="AB137" s="270">
        <f>FEBRERO!AD137</f>
        <v>0</v>
      </c>
      <c r="AC137" s="208">
        <v>0</v>
      </c>
      <c r="AD137" s="269">
        <f t="shared" si="129"/>
        <v>0</v>
      </c>
      <c r="AE137" s="270">
        <f>FEBRERO!AG137</f>
        <v>0</v>
      </c>
      <c r="AF137" s="208">
        <v>0</v>
      </c>
      <c r="AG137" s="269">
        <f t="shared" si="130"/>
        <v>0</v>
      </c>
      <c r="AH137" s="270">
        <f t="shared" si="131"/>
        <v>0</v>
      </c>
      <c r="AI137" s="220">
        <f t="shared" si="132"/>
        <v>0</v>
      </c>
      <c r="AJ137" s="269">
        <f t="shared" si="133"/>
        <v>0</v>
      </c>
      <c r="AK137" s="903"/>
      <c r="AL137" s="204">
        <v>0</v>
      </c>
      <c r="AM137" s="210">
        <v>0</v>
      </c>
    </row>
    <row r="138" spans="1:39" ht="24.75" customHeight="1">
      <c r="A138" s="912"/>
      <c r="B138" s="913"/>
      <c r="C138" s="736"/>
      <c r="D138" s="736"/>
      <c r="E138" s="736"/>
      <c r="F138" s="736"/>
      <c r="G138" s="736"/>
      <c r="H138" s="736"/>
      <c r="I138" s="736"/>
      <c r="J138" s="736"/>
      <c r="K138" s="736"/>
      <c r="L138" s="736"/>
      <c r="M138" s="736"/>
      <c r="N138" s="903"/>
      <c r="O138" s="736"/>
      <c r="P138" s="736"/>
      <c r="Q138" s="736"/>
      <c r="R138" s="903"/>
      <c r="S138" s="266" t="str">
        <f>+IF(FEBRERO!S138=0,"",FEBRERO!S138)</f>
        <v/>
      </c>
      <c r="T138" s="534" t="str">
        <f>+IF(FEBRERO!T138=0,"",FEBRERO!T138)</f>
        <v/>
      </c>
      <c r="U138" s="301">
        <f>+ENERO!U138</f>
        <v>0</v>
      </c>
      <c r="V138" s="220">
        <f>FEBRERO!V138+MARZO!AL138</f>
        <v>0</v>
      </c>
      <c r="W138" s="220">
        <f>FEBRERO!W138+MARZO!AM138</f>
        <v>0</v>
      </c>
      <c r="X138" s="271">
        <f t="shared" si="127"/>
        <v>0</v>
      </c>
      <c r="Y138" s="270">
        <f>FEBRERO!AA138</f>
        <v>0</v>
      </c>
      <c r="Z138" s="208">
        <v>0</v>
      </c>
      <c r="AA138" s="269">
        <f t="shared" si="128"/>
        <v>0</v>
      </c>
      <c r="AB138" s="270">
        <f>FEBRERO!AD138</f>
        <v>0</v>
      </c>
      <c r="AC138" s="208">
        <v>0</v>
      </c>
      <c r="AD138" s="269">
        <f t="shared" si="129"/>
        <v>0</v>
      </c>
      <c r="AE138" s="270">
        <f>FEBRERO!AG138</f>
        <v>0</v>
      </c>
      <c r="AF138" s="208">
        <v>0</v>
      </c>
      <c r="AG138" s="269">
        <f t="shared" si="130"/>
        <v>0</v>
      </c>
      <c r="AH138" s="270">
        <f t="shared" si="131"/>
        <v>0</v>
      </c>
      <c r="AI138" s="220">
        <f t="shared" si="132"/>
        <v>0</v>
      </c>
      <c r="AJ138" s="269">
        <f t="shared" si="133"/>
        <v>0</v>
      </c>
      <c r="AK138" s="903"/>
      <c r="AL138" s="204">
        <v>0</v>
      </c>
      <c r="AM138" s="210">
        <v>0</v>
      </c>
    </row>
    <row r="139" spans="1:39" ht="24.75" customHeight="1">
      <c r="A139" s="912"/>
      <c r="B139" s="913"/>
      <c r="C139" s="736"/>
      <c r="D139" s="736"/>
      <c r="E139" s="736"/>
      <c r="F139" s="736"/>
      <c r="G139" s="736"/>
      <c r="H139" s="736"/>
      <c r="I139" s="736"/>
      <c r="J139" s="736"/>
      <c r="K139" s="736"/>
      <c r="L139" s="736"/>
      <c r="M139" s="736"/>
      <c r="N139" s="903"/>
      <c r="O139" s="736"/>
      <c r="P139" s="736"/>
      <c r="Q139" s="736"/>
      <c r="R139" s="903"/>
      <c r="S139" s="266" t="str">
        <f>+IF(FEBRERO!S139=0,"",FEBRERO!S139)</f>
        <v>2.1.2.02.02.008.99.01</v>
      </c>
      <c r="T139" s="534" t="str">
        <f>+IF(FEBRERO!T139=0,"",FEBRERO!T139)</f>
        <v xml:space="preserve">Vigencias Anteriores Serv.Publicos </v>
      </c>
      <c r="U139" s="301">
        <f>+ENERO!U139</f>
        <v>368200000</v>
      </c>
      <c r="V139" s="220">
        <f>FEBRERO!V139+MARZO!AL139</f>
        <v>0</v>
      </c>
      <c r="W139" s="220">
        <f>FEBRERO!W139+MARZO!AM139</f>
        <v>0</v>
      </c>
      <c r="X139" s="271">
        <f t="shared" si="127"/>
        <v>368200000</v>
      </c>
      <c r="Y139" s="270">
        <f>FEBRERO!AA139</f>
        <v>234444435</v>
      </c>
      <c r="Z139" s="208">
        <v>0</v>
      </c>
      <c r="AA139" s="269">
        <f t="shared" si="128"/>
        <v>234444435</v>
      </c>
      <c r="AB139" s="270">
        <f>FEBRERO!AD139</f>
        <v>234444435</v>
      </c>
      <c r="AC139" s="208">
        <v>0</v>
      </c>
      <c r="AD139" s="269">
        <f t="shared" si="129"/>
        <v>234444435</v>
      </c>
      <c r="AE139" s="270">
        <f>FEBRERO!AG139</f>
        <v>234444435</v>
      </c>
      <c r="AF139" s="208">
        <v>0</v>
      </c>
      <c r="AG139" s="269">
        <f t="shared" si="130"/>
        <v>234444435</v>
      </c>
      <c r="AH139" s="270">
        <f t="shared" si="131"/>
        <v>133755565</v>
      </c>
      <c r="AI139" s="220">
        <f t="shared" si="132"/>
        <v>133755565</v>
      </c>
      <c r="AJ139" s="269">
        <f t="shared" si="133"/>
        <v>133755565</v>
      </c>
      <c r="AK139" s="903"/>
      <c r="AL139" s="204">
        <v>0</v>
      </c>
      <c r="AM139" s="210">
        <v>0</v>
      </c>
    </row>
    <row r="140" spans="1:39" ht="24.75" customHeight="1">
      <c r="A140" s="912"/>
      <c r="B140" s="913"/>
      <c r="C140" s="736"/>
      <c r="D140" s="736"/>
      <c r="E140" s="736"/>
      <c r="F140" s="736"/>
      <c r="G140" s="736"/>
      <c r="H140" s="736"/>
      <c r="I140" s="736"/>
      <c r="J140" s="736"/>
      <c r="K140" s="736"/>
      <c r="L140" s="736"/>
      <c r="M140" s="736"/>
      <c r="N140" s="903"/>
      <c r="O140" s="736"/>
      <c r="P140" s="736"/>
      <c r="Q140" s="736"/>
      <c r="R140" s="903"/>
      <c r="S140" s="189">
        <f>+IF(FEBRERO!S140=0,"",FEBRERO!S140)</f>
        <v>233459072</v>
      </c>
      <c r="T140" s="488" t="str">
        <f>+IF(FEBRERO!T140=0,"",FEBRERO!T140)</f>
        <v/>
      </c>
      <c r="U140" s="193"/>
      <c r="V140" s="191"/>
      <c r="W140" s="191"/>
      <c r="X140" s="191"/>
      <c r="Y140" s="193"/>
      <c r="Z140" s="191"/>
      <c r="AA140" s="192"/>
      <c r="AB140" s="193"/>
      <c r="AC140" s="191"/>
      <c r="AD140" s="192"/>
      <c r="AE140" s="193"/>
      <c r="AF140" s="191"/>
      <c r="AG140" s="192"/>
      <c r="AH140" s="193"/>
      <c r="AI140" s="191"/>
      <c r="AJ140" s="192"/>
      <c r="AK140" s="907"/>
      <c r="AL140" s="370"/>
      <c r="AM140" s="371"/>
    </row>
    <row r="141" spans="1:39" ht="24.75" customHeight="1">
      <c r="A141" s="912"/>
      <c r="B141" s="913"/>
      <c r="C141" s="736"/>
      <c r="D141" s="736"/>
      <c r="E141" s="736"/>
      <c r="F141" s="736"/>
      <c r="G141" s="736"/>
      <c r="H141" s="736"/>
      <c r="I141" s="736"/>
      <c r="J141" s="736"/>
      <c r="K141" s="736"/>
      <c r="L141" s="736"/>
      <c r="M141" s="736"/>
      <c r="N141" s="903"/>
      <c r="O141" s="736"/>
      <c r="P141" s="736"/>
      <c r="Q141" s="736"/>
      <c r="R141" s="903"/>
      <c r="S141" s="257" t="str">
        <f>+IF(FEBRERO!S141=0,"",FEBRERO!S141)</f>
        <v>2.1.8.01</v>
      </c>
      <c r="T141" s="532" t="str">
        <f>+IF(FEBRERO!T141=0,"",FEBRERO!T141)</f>
        <v>Impuestos y Multas</v>
      </c>
      <c r="U141" s="233">
        <f t="shared" ref="U141:AJ141" si="136">U142+U143</f>
        <v>548000000</v>
      </c>
      <c r="V141" s="231">
        <f t="shared" si="136"/>
        <v>0</v>
      </c>
      <c r="W141" s="231">
        <f t="shared" si="136"/>
        <v>0</v>
      </c>
      <c r="X141" s="234">
        <f t="shared" si="136"/>
        <v>548000000</v>
      </c>
      <c r="Y141" s="233">
        <f t="shared" si="136"/>
        <v>8880060</v>
      </c>
      <c r="Z141" s="231">
        <f t="shared" si="136"/>
        <v>60264880</v>
      </c>
      <c r="AA141" s="232">
        <f t="shared" si="136"/>
        <v>69144940</v>
      </c>
      <c r="AB141" s="233">
        <f t="shared" si="136"/>
        <v>8880060</v>
      </c>
      <c r="AC141" s="231">
        <f t="shared" si="136"/>
        <v>60264880</v>
      </c>
      <c r="AD141" s="232">
        <f t="shared" si="136"/>
        <v>69144940</v>
      </c>
      <c r="AE141" s="233">
        <f t="shared" si="136"/>
        <v>8880060</v>
      </c>
      <c r="AF141" s="231">
        <f t="shared" si="136"/>
        <v>60264880</v>
      </c>
      <c r="AG141" s="232">
        <f t="shared" si="136"/>
        <v>69144940</v>
      </c>
      <c r="AH141" s="233">
        <f t="shared" si="136"/>
        <v>478855060</v>
      </c>
      <c r="AI141" s="231">
        <f t="shared" si="136"/>
        <v>478855060</v>
      </c>
      <c r="AJ141" s="232">
        <f t="shared" si="136"/>
        <v>478855060</v>
      </c>
      <c r="AK141" s="907"/>
      <c r="AL141" s="233">
        <f>AL142+AL143</f>
        <v>0</v>
      </c>
      <c r="AM141" s="232">
        <f>AM142+AM143</f>
        <v>0</v>
      </c>
    </row>
    <row r="142" spans="1:39" ht="24.75" customHeight="1">
      <c r="A142" s="912"/>
      <c r="B142" s="913"/>
      <c r="C142" s="736"/>
      <c r="D142" s="736"/>
      <c r="E142" s="736"/>
      <c r="F142" s="736"/>
      <c r="G142" s="736"/>
      <c r="H142" s="736"/>
      <c r="I142" s="736"/>
      <c r="J142" s="736"/>
      <c r="K142" s="736"/>
      <c r="L142" s="736"/>
      <c r="M142" s="736"/>
      <c r="N142" s="903"/>
      <c r="O142" s="736"/>
      <c r="P142" s="736"/>
      <c r="Q142" s="736"/>
      <c r="R142" s="903"/>
      <c r="S142" s="266" t="str">
        <f>+IF(FEBRERO!S142=0,"",FEBRERO!S142)</f>
        <v>2.1.8.01.52</v>
      </c>
      <c r="T142" s="534" t="str">
        <f>+IF(FEBRERO!T142=0,"",FEBRERO!T142)</f>
        <v>Impuestos (Predial, Vehiculos, Otros)</v>
      </c>
      <c r="U142" s="301">
        <f>+ENERO!U142</f>
        <v>148000000</v>
      </c>
      <c r="V142" s="220">
        <f>FEBRERO!V142+MARZO!AL142</f>
        <v>0</v>
      </c>
      <c r="W142" s="220">
        <f>FEBRERO!W142+MARZO!AM142</f>
        <v>0</v>
      </c>
      <c r="X142" s="271">
        <f>SUM(U142:W142)</f>
        <v>148000000</v>
      </c>
      <c r="Y142" s="270">
        <f>FEBRERO!AA142</f>
        <v>0</v>
      </c>
      <c r="Z142" s="208">
        <v>0</v>
      </c>
      <c r="AA142" s="269">
        <f>SUM(Y142:Z142)</f>
        <v>0</v>
      </c>
      <c r="AB142" s="270">
        <f>FEBRERO!AD142</f>
        <v>0</v>
      </c>
      <c r="AC142" s="208">
        <v>0</v>
      </c>
      <c r="AD142" s="269">
        <f>SUM(AB142:AC142)</f>
        <v>0</v>
      </c>
      <c r="AE142" s="270">
        <f>FEBRERO!AG142</f>
        <v>0</v>
      </c>
      <c r="AF142" s="208">
        <v>0</v>
      </c>
      <c r="AG142" s="269">
        <f>SUM(AE142:AF142)</f>
        <v>0</v>
      </c>
      <c r="AH142" s="270">
        <f>X142-AA142</f>
        <v>148000000</v>
      </c>
      <c r="AI142" s="220">
        <f>X142-AD142</f>
        <v>148000000</v>
      </c>
      <c r="AJ142" s="269">
        <f>X142-AG142</f>
        <v>148000000</v>
      </c>
      <c r="AK142" s="903"/>
      <c r="AL142" s="204">
        <v>0</v>
      </c>
      <c r="AM142" s="210">
        <v>0</v>
      </c>
    </row>
    <row r="143" spans="1:39" ht="24.75" customHeight="1">
      <c r="A143" s="912"/>
      <c r="B143" s="913"/>
      <c r="C143" s="736"/>
      <c r="D143" s="736"/>
      <c r="E143" s="736"/>
      <c r="F143" s="736"/>
      <c r="G143" s="736"/>
      <c r="H143" s="736"/>
      <c r="I143" s="736"/>
      <c r="J143" s="736"/>
      <c r="K143" s="736"/>
      <c r="L143" s="736"/>
      <c r="M143" s="736"/>
      <c r="N143" s="903"/>
      <c r="O143" s="736"/>
      <c r="P143" s="736"/>
      <c r="Q143" s="736"/>
      <c r="R143" s="903"/>
      <c r="S143" s="266" t="str">
        <f>+IF(FEBRERO!S143=0,"",FEBRERO!S143)</f>
        <v>2.1.8.01.54</v>
      </c>
      <c r="T143" s="534" t="str">
        <f>+IF(FEBRERO!T143=0,"",FEBRERO!T143)</f>
        <v>Impuesto de Industria y comercio</v>
      </c>
      <c r="U143" s="301">
        <f>+ENERO!U143</f>
        <v>400000000</v>
      </c>
      <c r="V143" s="220">
        <f>FEBRERO!V143+MARZO!AL143</f>
        <v>0</v>
      </c>
      <c r="W143" s="220">
        <f>FEBRERO!W143+MARZO!AM143</f>
        <v>0</v>
      </c>
      <c r="X143" s="271">
        <f>SUM(U143:W143)</f>
        <v>400000000</v>
      </c>
      <c r="Y143" s="270">
        <f>FEBRERO!AA143</f>
        <v>8880060</v>
      </c>
      <c r="Z143" s="208">
        <v>60264880</v>
      </c>
      <c r="AA143" s="269">
        <f>SUM(Y143:Z143)</f>
        <v>69144940</v>
      </c>
      <c r="AB143" s="270">
        <f>FEBRERO!AD143</f>
        <v>8880060</v>
      </c>
      <c r="AC143" s="208">
        <v>60264880</v>
      </c>
      <c r="AD143" s="269">
        <f>SUM(AB143:AC143)</f>
        <v>69144940</v>
      </c>
      <c r="AE143" s="270">
        <f>FEBRERO!AG143</f>
        <v>8880060</v>
      </c>
      <c r="AF143" s="208">
        <v>60264880</v>
      </c>
      <c r="AG143" s="269">
        <f>SUM(AE143:AF143)</f>
        <v>69144940</v>
      </c>
      <c r="AH143" s="270">
        <f>X143-AA143</f>
        <v>330855060</v>
      </c>
      <c r="AI143" s="220">
        <f>X143-AD143</f>
        <v>330855060</v>
      </c>
      <c r="AJ143" s="269">
        <f>X143-AG143</f>
        <v>330855060</v>
      </c>
      <c r="AK143" s="903"/>
      <c r="AL143" s="204">
        <v>0</v>
      </c>
      <c r="AM143" s="210">
        <v>0</v>
      </c>
    </row>
    <row r="144" spans="1:39" ht="24.75" customHeight="1">
      <c r="A144" s="912"/>
      <c r="B144" s="913"/>
      <c r="C144" s="736"/>
      <c r="D144" s="736"/>
      <c r="E144" s="736"/>
      <c r="F144" s="736"/>
      <c r="G144" s="736"/>
      <c r="H144" s="736"/>
      <c r="I144" s="736"/>
      <c r="J144" s="736"/>
      <c r="K144" s="736"/>
      <c r="L144" s="736"/>
      <c r="M144" s="736"/>
      <c r="N144" s="903"/>
      <c r="O144" s="736"/>
      <c r="P144" s="736"/>
      <c r="Q144" s="736"/>
      <c r="R144" s="903"/>
      <c r="S144" s="189">
        <f>+IF(FEBRERO!S144=0,"",FEBRERO!S144)</f>
        <v>8880056</v>
      </c>
      <c r="T144" s="488" t="str">
        <f>+IF(FEBRERO!T144=0,"",FEBRERO!T144)</f>
        <v/>
      </c>
      <c r="U144" s="193"/>
      <c r="V144" s="191"/>
      <c r="W144" s="191"/>
      <c r="X144" s="191"/>
      <c r="Y144" s="193"/>
      <c r="Z144" s="191"/>
      <c r="AA144" s="192"/>
      <c r="AB144" s="193"/>
      <c r="AC144" s="191"/>
      <c r="AD144" s="192"/>
      <c r="AE144" s="193"/>
      <c r="AF144" s="191"/>
      <c r="AG144" s="192"/>
      <c r="AH144" s="193"/>
      <c r="AI144" s="191"/>
      <c r="AJ144" s="192"/>
      <c r="AK144" s="903"/>
      <c r="AL144" s="370"/>
      <c r="AM144" s="371"/>
    </row>
    <row r="145" spans="19:39" ht="24.75" customHeight="1">
      <c r="S145" s="228">
        <f>+IF(FEBRERO!S145=0,"",FEBRERO!S145)</f>
        <v>2020010</v>
      </c>
      <c r="T145" s="531" t="str">
        <f>+IF(FEBRERO!T145=0,"",FEBRERO!T145)</f>
        <v>Gastos de Operación</v>
      </c>
      <c r="U145" s="233">
        <f t="shared" ref="U145:AJ145" si="137">U147+U155</f>
        <v>11892931308.176388</v>
      </c>
      <c r="V145" s="231">
        <f t="shared" si="137"/>
        <v>0</v>
      </c>
      <c r="W145" s="231">
        <f t="shared" si="137"/>
        <v>158814745</v>
      </c>
      <c r="X145" s="234">
        <f t="shared" si="137"/>
        <v>12051746053.176388</v>
      </c>
      <c r="Y145" s="233">
        <f t="shared" si="137"/>
        <v>5304957889</v>
      </c>
      <c r="Z145" s="231">
        <f t="shared" si="137"/>
        <v>549397910</v>
      </c>
      <c r="AA145" s="232">
        <f t="shared" si="137"/>
        <v>5854355799</v>
      </c>
      <c r="AB145" s="233">
        <f t="shared" si="137"/>
        <v>1969024732</v>
      </c>
      <c r="AC145" s="231">
        <f t="shared" si="137"/>
        <v>738078001</v>
      </c>
      <c r="AD145" s="232">
        <f t="shared" si="137"/>
        <v>2707102733</v>
      </c>
      <c r="AE145" s="233">
        <f t="shared" si="137"/>
        <v>752399319</v>
      </c>
      <c r="AF145" s="231">
        <f t="shared" si="137"/>
        <v>302096310</v>
      </c>
      <c r="AG145" s="232">
        <f t="shared" si="137"/>
        <v>1215481310</v>
      </c>
      <c r="AH145" s="233">
        <f t="shared" si="137"/>
        <v>8790209586.3986111</v>
      </c>
      <c r="AI145" s="231">
        <f t="shared" si="137"/>
        <v>11937462652.398611</v>
      </c>
      <c r="AJ145" s="232">
        <f t="shared" si="137"/>
        <v>13429084075.398611</v>
      </c>
      <c r="AK145" s="907"/>
      <c r="AL145" s="233">
        <f>AL147+AL155</f>
        <v>0</v>
      </c>
      <c r="AM145" s="232">
        <f>AM147+AM155</f>
        <v>0</v>
      </c>
    </row>
    <row r="146" spans="19:39" ht="24.75" customHeight="1">
      <c r="S146" s="311">
        <f>+IF(FEBRERO!S146=0,"",FEBRERO!S146)</f>
        <v>2020010</v>
      </c>
      <c r="T146" s="535" t="str">
        <f>+IF(FEBRERO!T146=0,"",FEBRERO!T146)</f>
        <v/>
      </c>
      <c r="U146" s="270"/>
      <c r="V146" s="220"/>
      <c r="W146" s="220"/>
      <c r="X146" s="271"/>
      <c r="Y146" s="270"/>
      <c r="Z146" s="220"/>
      <c r="AA146" s="269"/>
      <c r="AB146" s="270"/>
      <c r="AC146" s="220"/>
      <c r="AD146" s="269"/>
      <c r="AE146" s="270"/>
      <c r="AF146" s="220"/>
      <c r="AG146" s="269"/>
      <c r="AH146" s="270"/>
      <c r="AI146" s="220"/>
      <c r="AJ146" s="269"/>
      <c r="AK146" s="903"/>
      <c r="AL146" s="370"/>
      <c r="AM146" s="371"/>
    </row>
    <row r="147" spans="19:39" ht="24.75" customHeight="1">
      <c r="S147" s="257" t="str">
        <f>+IF(FEBRERO!S147=0,"",FEBRERO!S147)</f>
        <v>2.1.2</v>
      </c>
      <c r="T147" s="532" t="str">
        <f>+IF(FEBRERO!T147=0,"",FEBRERO!T147)</f>
        <v>Adquisición de bienes</v>
      </c>
      <c r="U147" s="233">
        <f t="shared" ref="U147:AJ147" si="138">SUM(U148:U149)+U153</f>
        <v>3776193053.9541664</v>
      </c>
      <c r="V147" s="231">
        <f t="shared" si="138"/>
        <v>0</v>
      </c>
      <c r="W147" s="231">
        <f t="shared" si="138"/>
        <v>0</v>
      </c>
      <c r="X147" s="234">
        <f t="shared" si="138"/>
        <v>3776193053.9541664</v>
      </c>
      <c r="Y147" s="233">
        <f t="shared" si="138"/>
        <v>1071373507</v>
      </c>
      <c r="Z147" s="231">
        <f t="shared" si="138"/>
        <v>179275501</v>
      </c>
      <c r="AA147" s="232">
        <f t="shared" si="138"/>
        <v>1250649008</v>
      </c>
      <c r="AB147" s="233">
        <f t="shared" si="138"/>
        <v>582101169</v>
      </c>
      <c r="AC147" s="231">
        <f t="shared" si="138"/>
        <v>234107493</v>
      </c>
      <c r="AD147" s="232">
        <f t="shared" si="138"/>
        <v>816208662</v>
      </c>
      <c r="AE147" s="233">
        <f t="shared" si="138"/>
        <v>258718749</v>
      </c>
      <c r="AF147" s="231">
        <f t="shared" si="138"/>
        <v>48271804</v>
      </c>
      <c r="AG147" s="232">
        <f t="shared" si="138"/>
        <v>306990553</v>
      </c>
      <c r="AH147" s="233">
        <f t="shared" si="138"/>
        <v>2525544045.9541664</v>
      </c>
      <c r="AI147" s="231">
        <f t="shared" si="138"/>
        <v>2959984391.9541664</v>
      </c>
      <c r="AJ147" s="232">
        <f t="shared" si="138"/>
        <v>3469202500.9541664</v>
      </c>
      <c r="AK147" s="903"/>
      <c r="AL147" s="233">
        <f>SUM(AL148:AL149)+AL153</f>
        <v>0</v>
      </c>
      <c r="AM147" s="232">
        <f>SUM(AM148:AM149)+AM153</f>
        <v>0</v>
      </c>
    </row>
    <row r="148" spans="19:39" ht="24.75" customHeight="1">
      <c r="S148" s="266" t="str">
        <f>+IF(FEBRERO!S148=0,"",FEBRERO!S148)</f>
        <v>2.1.2.02.01.003.305</v>
      </c>
      <c r="T148" s="534" t="str">
        <f>+IF(FEBRERO!T148=0,"",FEBRERO!T148)</f>
        <v>Mantenimiento -  Partes, accesorios, herramientas</v>
      </c>
      <c r="U148" s="301">
        <f>+ENERO!U148</f>
        <v>2090969100</v>
      </c>
      <c r="V148" s="220">
        <f>FEBRERO!V148+MARZO!AL148</f>
        <v>0</v>
      </c>
      <c r="W148" s="220">
        <f>FEBRERO!W148+MARZO!AM148</f>
        <v>0</v>
      </c>
      <c r="X148" s="271">
        <f>SUM(U148:W148)</f>
        <v>2090969100</v>
      </c>
      <c r="Y148" s="270">
        <f>FEBRERO!AA148</f>
        <v>326837421</v>
      </c>
      <c r="Z148" s="208">
        <v>46354529</v>
      </c>
      <c r="AA148" s="269">
        <f>SUM(Y148:Z148)</f>
        <v>373191950</v>
      </c>
      <c r="AB148" s="270">
        <f>FEBRERO!AD148</f>
        <v>152584247</v>
      </c>
      <c r="AC148" s="208">
        <v>76626748</v>
      </c>
      <c r="AD148" s="269">
        <f>SUM(AB148:AC148)</f>
        <v>229210995</v>
      </c>
      <c r="AE148" s="270">
        <f>FEBRERO!AG148</f>
        <v>2056973</v>
      </c>
      <c r="AF148" s="208">
        <v>2039173</v>
      </c>
      <c r="AG148" s="269">
        <f>SUM(AE148:AF148)</f>
        <v>4096146</v>
      </c>
      <c r="AH148" s="270">
        <f>X148-AA148</f>
        <v>1717777150</v>
      </c>
      <c r="AI148" s="220">
        <f>X148-AD148</f>
        <v>1861758105</v>
      </c>
      <c r="AJ148" s="269">
        <f>X148-AG148</f>
        <v>2086872954</v>
      </c>
      <c r="AK148" s="903"/>
      <c r="AL148" s="204">
        <v>0</v>
      </c>
      <c r="AM148" s="210">
        <v>0</v>
      </c>
    </row>
    <row r="149" spans="19:39" ht="24.75" customHeight="1">
      <c r="S149" s="266">
        <f>+IF(FEBRERO!S149=0,"",FEBRERO!S149)</f>
        <v>2020102</v>
      </c>
      <c r="T149" s="534" t="str">
        <f>+IF(FEBRERO!T149=0,"",FEBRERO!T149)</f>
        <v>Otros</v>
      </c>
      <c r="U149" s="301">
        <f t="shared" ref="U149:AJ149" si="139">SUM(U150:U152)</f>
        <v>1232308696.9541667</v>
      </c>
      <c r="V149" s="220">
        <f t="shared" si="139"/>
        <v>0</v>
      </c>
      <c r="W149" s="220">
        <f t="shared" si="139"/>
        <v>0</v>
      </c>
      <c r="X149" s="271">
        <f>SUM(X150:X152)</f>
        <v>1232308696.9541667</v>
      </c>
      <c r="Y149" s="270">
        <f t="shared" si="139"/>
        <v>487927310</v>
      </c>
      <c r="Z149" s="300">
        <f t="shared" si="139"/>
        <v>87561062</v>
      </c>
      <c r="AA149" s="269">
        <f t="shared" si="139"/>
        <v>575488372</v>
      </c>
      <c r="AB149" s="270">
        <f t="shared" si="139"/>
        <v>172908146</v>
      </c>
      <c r="AC149" s="300">
        <f t="shared" si="139"/>
        <v>112120835</v>
      </c>
      <c r="AD149" s="269">
        <f t="shared" si="139"/>
        <v>285028981</v>
      </c>
      <c r="AE149" s="270">
        <f t="shared" si="139"/>
        <v>53000</v>
      </c>
      <c r="AF149" s="300">
        <f t="shared" si="139"/>
        <v>872721</v>
      </c>
      <c r="AG149" s="269">
        <f t="shared" si="139"/>
        <v>925721</v>
      </c>
      <c r="AH149" s="270">
        <f t="shared" si="139"/>
        <v>656820324.95416665</v>
      </c>
      <c r="AI149" s="220">
        <f t="shared" si="139"/>
        <v>947279715.95416665</v>
      </c>
      <c r="AJ149" s="269">
        <f t="shared" si="139"/>
        <v>1231382975.9541667</v>
      </c>
      <c r="AK149" s="903"/>
      <c r="AL149" s="301">
        <f>SUM(AL150:AL152)</f>
        <v>0</v>
      </c>
      <c r="AM149" s="302">
        <f>SUM(AM150:AM152)</f>
        <v>0</v>
      </c>
    </row>
    <row r="150" spans="19:39" ht="24.75" customHeight="1">
      <c r="S150" s="311" t="str">
        <f>+IF(FEBRERO!S150=0,"",FEBRERO!S150)</f>
        <v>2.1.2.02.01.002,001</v>
      </c>
      <c r="T150" s="534" t="str">
        <f>+IF(FEBRERO!T150=0,"",FEBRERO!T150)</f>
        <v>Roperia</v>
      </c>
      <c r="U150" s="301">
        <f>+ENERO!U150</f>
        <v>300724825</v>
      </c>
      <c r="V150" s="220">
        <f>FEBRERO!V150+MARZO!AL150</f>
        <v>0</v>
      </c>
      <c r="W150" s="220">
        <f>FEBRERO!W150+MARZO!AM150</f>
        <v>0</v>
      </c>
      <c r="X150" s="271">
        <f>SUM(U150:W150)</f>
        <v>300724825</v>
      </c>
      <c r="Y150" s="270">
        <f>FEBRERO!AA150</f>
        <v>177455180</v>
      </c>
      <c r="Z150" s="208">
        <v>0</v>
      </c>
      <c r="AA150" s="269">
        <f>SUM(Y150:Z150)</f>
        <v>177455180</v>
      </c>
      <c r="AB150" s="270">
        <f>FEBRERO!AD150</f>
        <v>0</v>
      </c>
      <c r="AC150" s="208">
        <v>0</v>
      </c>
      <c r="AD150" s="269">
        <f>SUM(AB150:AC150)</f>
        <v>0</v>
      </c>
      <c r="AE150" s="270">
        <f>FEBRERO!AG150</f>
        <v>0</v>
      </c>
      <c r="AF150" s="208">
        <v>0</v>
      </c>
      <c r="AG150" s="269">
        <f>SUM(AE150:AF150)</f>
        <v>0</v>
      </c>
      <c r="AH150" s="270">
        <f>X150-AA150</f>
        <v>123269645</v>
      </c>
      <c r="AI150" s="220">
        <f>X150-AD150</f>
        <v>300724825</v>
      </c>
      <c r="AJ150" s="269">
        <f>X150-AG150</f>
        <v>300724825</v>
      </c>
      <c r="AK150" s="903"/>
      <c r="AL150" s="204">
        <v>0</v>
      </c>
      <c r="AM150" s="210">
        <v>0</v>
      </c>
    </row>
    <row r="151" spans="19:39" ht="24.75" customHeight="1">
      <c r="S151" s="311" t="str">
        <f>+IF(FEBRERO!S151=0,"",FEBRERO!S151)</f>
        <v>2.1.2.02.01.003.303</v>
      </c>
      <c r="T151" s="534" t="str">
        <f>+IF(FEBRERO!T151=0,"",FEBRERO!T151)</f>
        <v>Elementos de Aseo</v>
      </c>
      <c r="U151" s="301">
        <f>+ENERO!U151</f>
        <v>684513688.9375</v>
      </c>
      <c r="V151" s="220">
        <f>FEBRERO!V151+MARZO!AL151</f>
        <v>0</v>
      </c>
      <c r="W151" s="220">
        <f>FEBRERO!W151+MARZO!AM151</f>
        <v>0</v>
      </c>
      <c r="X151" s="271">
        <f>SUM(U151:W151)</f>
        <v>684513688.9375</v>
      </c>
      <c r="Y151" s="270">
        <f>FEBRERO!AA151</f>
        <v>167040675</v>
      </c>
      <c r="Z151" s="208">
        <v>56730870</v>
      </c>
      <c r="AA151" s="269">
        <f>SUM(Y151:Z151)</f>
        <v>223771545</v>
      </c>
      <c r="AB151" s="270">
        <f>FEBRERO!AD151</f>
        <v>115670605</v>
      </c>
      <c r="AC151" s="208">
        <v>49313941</v>
      </c>
      <c r="AD151" s="269">
        <f>SUM(AB151:AC151)</f>
        <v>164984546</v>
      </c>
      <c r="AE151" s="270">
        <f>FEBRERO!AG151</f>
        <v>0</v>
      </c>
      <c r="AF151" s="208">
        <v>669350</v>
      </c>
      <c r="AG151" s="269">
        <f>SUM(AE151:AF151)</f>
        <v>669350</v>
      </c>
      <c r="AH151" s="270">
        <f>X151-AA151</f>
        <v>460742143.9375</v>
      </c>
      <c r="AI151" s="220">
        <f>X151-AD151</f>
        <v>519529142.9375</v>
      </c>
      <c r="AJ151" s="269">
        <f>X151-AG151</f>
        <v>683844338.9375</v>
      </c>
      <c r="AK151" s="903"/>
      <c r="AL151" s="204">
        <v>0</v>
      </c>
      <c r="AM151" s="210">
        <v>0</v>
      </c>
    </row>
    <row r="152" spans="19:39" ht="24.75" customHeight="1">
      <c r="S152" s="311" t="str">
        <f>+IF(FEBRERO!S152=0,"",FEBRERO!S152)</f>
        <v>2.1.2.02.01.003.304</v>
      </c>
      <c r="T152" s="534" t="str">
        <f>+IF(FEBRERO!T152=0,"",FEBRERO!T152)</f>
        <v xml:space="preserve">Insumos hospitalarios </v>
      </c>
      <c r="U152" s="301">
        <f>+ENERO!U152</f>
        <v>247070183.01666665</v>
      </c>
      <c r="V152" s="220">
        <f>FEBRERO!V152+MARZO!AL152</f>
        <v>0</v>
      </c>
      <c r="W152" s="220">
        <f>FEBRERO!W152+MARZO!AM152</f>
        <v>0</v>
      </c>
      <c r="X152" s="271">
        <f>SUM(U152:W152)</f>
        <v>247070183.01666665</v>
      </c>
      <c r="Y152" s="270">
        <f>FEBRERO!AA152</f>
        <v>143431455</v>
      </c>
      <c r="Z152" s="208">
        <v>30830192</v>
      </c>
      <c r="AA152" s="269">
        <f>SUM(Y152:Z152)</f>
        <v>174261647</v>
      </c>
      <c r="AB152" s="270">
        <f>FEBRERO!AD152</f>
        <v>57237541</v>
      </c>
      <c r="AC152" s="208">
        <v>62806894</v>
      </c>
      <c r="AD152" s="269">
        <f>SUM(AB152:AC152)</f>
        <v>120044435</v>
      </c>
      <c r="AE152" s="270">
        <f>FEBRERO!AG152</f>
        <v>53000</v>
      </c>
      <c r="AF152" s="208">
        <v>203371</v>
      </c>
      <c r="AG152" s="269">
        <f>SUM(AE152:AF152)</f>
        <v>256371</v>
      </c>
      <c r="AH152" s="270">
        <f>X152-AA152</f>
        <v>72808536.016666651</v>
      </c>
      <c r="AI152" s="220">
        <f>X152-AD152</f>
        <v>127025748.01666665</v>
      </c>
      <c r="AJ152" s="269">
        <f>X152-AG152</f>
        <v>246813812.01666665</v>
      </c>
      <c r="AK152" s="903"/>
      <c r="AL152" s="204">
        <v>0</v>
      </c>
      <c r="AM152" s="210">
        <v>0</v>
      </c>
    </row>
    <row r="153" spans="19:39" ht="24.75" customHeight="1">
      <c r="S153" s="266" t="str">
        <f>+IF(FEBRERO!S153=0,"",FEBRERO!S153)</f>
        <v>2.1.2.02.01.003.99</v>
      </c>
      <c r="T153" s="534" t="str">
        <f>+IF(FEBRERO!T153=0,"",FEBRERO!T153)</f>
        <v>Vigencia anterior Mantenimiento - Partes,Accesorios, Herramientas.</v>
      </c>
      <c r="U153" s="301">
        <f>+ENERO!U153</f>
        <v>452915257</v>
      </c>
      <c r="V153" s="220">
        <f>FEBRERO!V153+MARZO!AL153</f>
        <v>0</v>
      </c>
      <c r="W153" s="220">
        <f>FEBRERO!W153+MARZO!AM153</f>
        <v>0</v>
      </c>
      <c r="X153" s="271">
        <f>SUM(U153:W153)</f>
        <v>452915257</v>
      </c>
      <c r="Y153" s="270">
        <f>FEBRERO!AA153</f>
        <v>256608776</v>
      </c>
      <c r="Z153" s="208">
        <v>45359910</v>
      </c>
      <c r="AA153" s="269">
        <f>SUM(Y153:Z153)</f>
        <v>301968686</v>
      </c>
      <c r="AB153" s="270">
        <f>FEBRERO!AD153</f>
        <v>256608776</v>
      </c>
      <c r="AC153" s="208">
        <v>45359910</v>
      </c>
      <c r="AD153" s="269">
        <f>SUM(AB153:AC153)</f>
        <v>301968686</v>
      </c>
      <c r="AE153" s="270">
        <f>FEBRERO!AG153</f>
        <v>256608776</v>
      </c>
      <c r="AF153" s="208">
        <v>45359910</v>
      </c>
      <c r="AG153" s="269">
        <f>SUM(AE153:AF153)</f>
        <v>301968686</v>
      </c>
      <c r="AH153" s="270">
        <f>X153-AA153</f>
        <v>150946571</v>
      </c>
      <c r="AI153" s="220">
        <f>X153-AD153</f>
        <v>150946571</v>
      </c>
      <c r="AJ153" s="269">
        <f>X153-AG153</f>
        <v>150946571</v>
      </c>
      <c r="AK153" s="903"/>
      <c r="AL153" s="204">
        <v>0</v>
      </c>
      <c r="AM153" s="210">
        <v>0</v>
      </c>
    </row>
    <row r="154" spans="19:39" ht="24.75" customHeight="1">
      <c r="S154" s="189">
        <f>+IF(FEBRERO!S154=0,"",FEBRERO!S154)</f>
        <v>203715328</v>
      </c>
      <c r="T154" s="488" t="str">
        <f>+IF(FEBRERO!T154=0,"",FEBRERO!T154)</f>
        <v/>
      </c>
      <c r="U154" s="193"/>
      <c r="V154" s="191"/>
      <c r="W154" s="191"/>
      <c r="X154" s="191"/>
      <c r="Y154" s="193"/>
      <c r="Z154" s="191"/>
      <c r="AA154" s="192"/>
      <c r="AB154" s="193"/>
      <c r="AC154" s="191"/>
      <c r="AD154" s="192"/>
      <c r="AE154" s="193"/>
      <c r="AF154" s="191"/>
      <c r="AG154" s="192"/>
      <c r="AH154" s="193"/>
      <c r="AI154" s="191"/>
      <c r="AJ154" s="192"/>
      <c r="AK154" s="903"/>
      <c r="AL154" s="370"/>
      <c r="AM154" s="371"/>
    </row>
    <row r="155" spans="19:39" ht="24.75" customHeight="1">
      <c r="S155" s="645" t="s">
        <v>601</v>
      </c>
      <c r="T155" s="1115" t="s">
        <v>276</v>
      </c>
      <c r="U155" s="233">
        <f>SUM(U156:U157)+U167</f>
        <v>8116738254.2222223</v>
      </c>
      <c r="V155" s="231">
        <f>SUM(V156:V157)+V167</f>
        <v>0</v>
      </c>
      <c r="W155" s="231">
        <f>SUM(W156:W157)+W167</f>
        <v>158814745</v>
      </c>
      <c r="X155" s="232">
        <f>SUM(X156:X157)+X167</f>
        <v>8275552999.2222223</v>
      </c>
      <c r="Y155" s="233">
        <f t="shared" ref="Y155:AJ155" si="140">SUM(Y156:Y157)+Y167</f>
        <v>4233584382</v>
      </c>
      <c r="Z155" s="231">
        <f t="shared" si="140"/>
        <v>370122409</v>
      </c>
      <c r="AA155" s="232">
        <f t="shared" si="140"/>
        <v>4603706791</v>
      </c>
      <c r="AB155" s="233">
        <f t="shared" si="140"/>
        <v>1386923563</v>
      </c>
      <c r="AC155" s="231">
        <f t="shared" si="140"/>
        <v>503970508</v>
      </c>
      <c r="AD155" s="232">
        <f t="shared" si="140"/>
        <v>1890894071</v>
      </c>
      <c r="AE155" s="233">
        <f t="shared" si="140"/>
        <v>493680570</v>
      </c>
      <c r="AF155" s="231">
        <f t="shared" si="140"/>
        <v>253824506</v>
      </c>
      <c r="AG155" s="232">
        <f t="shared" si="140"/>
        <v>908490757</v>
      </c>
      <c r="AH155" s="233">
        <f t="shared" si="140"/>
        <v>6264665540.4444447</v>
      </c>
      <c r="AI155" s="231">
        <f t="shared" si="140"/>
        <v>8977478260.4444447</v>
      </c>
      <c r="AJ155" s="232">
        <f t="shared" si="140"/>
        <v>9959881574.4444447</v>
      </c>
      <c r="AK155" s="903"/>
      <c r="AL155" s="233">
        <f>SUM(AL156:AL157)+AL167</f>
        <v>0</v>
      </c>
      <c r="AM155" s="232">
        <f>SUM(AM156:AM157)+AM167</f>
        <v>0</v>
      </c>
    </row>
    <row r="156" spans="19:39" ht="24.75" customHeight="1">
      <c r="S156" s="706" t="s">
        <v>707</v>
      </c>
      <c r="T156" s="635" t="s">
        <v>712</v>
      </c>
      <c r="U156" s="301">
        <f>+ENERO!U156</f>
        <v>17133955</v>
      </c>
      <c r="V156" s="220">
        <f>FEBRERO!V156+MARZO!AL156</f>
        <v>0</v>
      </c>
      <c r="W156" s="220">
        <f>FEBRERO!W156+MARZO!AM156</f>
        <v>0</v>
      </c>
      <c r="X156" s="271">
        <f>SUM(U156:W156)</f>
        <v>17133955</v>
      </c>
      <c r="Y156" s="270">
        <f>FEBRERO!AA156</f>
        <v>15819256</v>
      </c>
      <c r="Z156" s="208">
        <v>0</v>
      </c>
      <c r="AA156" s="269">
        <f>SUM(Y156:Z156)</f>
        <v>15819256</v>
      </c>
      <c r="AB156" s="270">
        <f>FEBRERO!AD156</f>
        <v>4516041</v>
      </c>
      <c r="AC156" s="208">
        <v>6058433</v>
      </c>
      <c r="AD156" s="269">
        <f>SUM(AB156:AC156)</f>
        <v>10574474</v>
      </c>
      <c r="AE156" s="270">
        <f>FEBRERO!AG156</f>
        <v>0</v>
      </c>
      <c r="AF156" s="208">
        <v>204304</v>
      </c>
      <c r="AG156" s="269">
        <f>SUM(AE156:AF156)</f>
        <v>204304</v>
      </c>
      <c r="AH156" s="270">
        <f>X156-AA156</f>
        <v>1314699</v>
      </c>
      <c r="AI156" s="220">
        <f>X156-AD156</f>
        <v>6559481</v>
      </c>
      <c r="AJ156" s="269">
        <f>X156-AG156</f>
        <v>16929651</v>
      </c>
      <c r="AK156" s="903"/>
      <c r="AL156" s="204">
        <v>0</v>
      </c>
      <c r="AM156" s="210">
        <v>0</v>
      </c>
    </row>
    <row r="157" spans="19:39" ht="24.75" customHeight="1">
      <c r="S157" s="266">
        <v>2020202</v>
      </c>
      <c r="T157" s="534" t="s">
        <v>146</v>
      </c>
      <c r="U157" s="233">
        <f>SUM(U158:U166)</f>
        <v>5665599712</v>
      </c>
      <c r="V157" s="884">
        <f>SUM(V158:V167)</f>
        <v>0</v>
      </c>
      <c r="W157" s="233">
        <f>SUM(W158:W166)</f>
        <v>0</v>
      </c>
      <c r="X157" s="233">
        <f>SUM(X158:X166)</f>
        <v>5665599712</v>
      </c>
      <c r="Y157" s="301">
        <f>SUM(Y158:Y167)</f>
        <v>3975541001</v>
      </c>
      <c r="Z157" s="884">
        <f>SUM(Z158:Z167)</f>
        <v>209106528</v>
      </c>
      <c r="AA157" s="269">
        <f>SUM(Y157:Z157)</f>
        <v>4184647529</v>
      </c>
      <c r="AB157" s="301">
        <f t="shared" ref="AB157:AJ157" si="141">SUM(AB158:AB167)</f>
        <v>1140183397</v>
      </c>
      <c r="AC157" s="884">
        <f t="shared" si="141"/>
        <v>336896194</v>
      </c>
      <c r="AD157" s="250">
        <f t="shared" si="141"/>
        <v>1477079591</v>
      </c>
      <c r="AE157" s="301">
        <f t="shared" si="141"/>
        <v>251456445</v>
      </c>
      <c r="AF157" s="884">
        <f>SUM(AF158:AF166)</f>
        <v>92634521</v>
      </c>
      <c r="AG157" s="250">
        <f t="shared" si="141"/>
        <v>505076647</v>
      </c>
      <c r="AH157" s="301">
        <f t="shared" si="141"/>
        <v>4073771515.2222223</v>
      </c>
      <c r="AI157" s="884">
        <f t="shared" si="141"/>
        <v>6781339453.2222223</v>
      </c>
      <c r="AJ157" s="250">
        <f t="shared" si="141"/>
        <v>7753342397.2222223</v>
      </c>
      <c r="AK157" s="907"/>
      <c r="AL157" s="301">
        <f>SUM(AL158:AL167)</f>
        <v>0</v>
      </c>
      <c r="AM157" s="302">
        <f>SUM(AM158:AM167)</f>
        <v>0</v>
      </c>
    </row>
    <row r="158" spans="19:39" ht="24.75" customHeight="1">
      <c r="S158" s="706" t="s">
        <v>609</v>
      </c>
      <c r="T158" s="635" t="s">
        <v>709</v>
      </c>
      <c r="U158" s="301">
        <f>+ENERO!U158</f>
        <v>0</v>
      </c>
      <c r="V158" s="220">
        <f>FEBRERO!V157+MARZO!AL158</f>
        <v>0</v>
      </c>
      <c r="W158" s="220">
        <f>FEBRERO!W157+MARZO!AM158</f>
        <v>0</v>
      </c>
      <c r="X158" s="271">
        <f>SUM(U158:W158)</f>
        <v>0</v>
      </c>
      <c r="Y158" s="270">
        <f>FEBRERO!AA157</f>
        <v>1866658438</v>
      </c>
      <c r="Z158" s="208">
        <v>0</v>
      </c>
      <c r="AA158" s="269">
        <f>SUM(Y158:Z158)</f>
        <v>1866658438</v>
      </c>
      <c r="AB158" s="270">
        <f>FEBRERO!AD157</f>
        <v>448979636</v>
      </c>
      <c r="AC158" s="208">
        <v>0</v>
      </c>
      <c r="AD158" s="269">
        <f>SUM(AB158:AC158)</f>
        <v>448979636</v>
      </c>
      <c r="AE158" s="270">
        <f>FEBRERO!AG157</f>
        <v>4616160</v>
      </c>
      <c r="AF158" s="208">
        <v>0</v>
      </c>
      <c r="AG158" s="269">
        <f>SUM(AE158:AF158)</f>
        <v>4616160</v>
      </c>
      <c r="AH158" s="270">
        <f>X158-AA158</f>
        <v>-1866658438</v>
      </c>
      <c r="AI158" s="220">
        <f>X158-AD158</f>
        <v>-448979636</v>
      </c>
      <c r="AJ158" s="269">
        <f>X158-AG158</f>
        <v>-4616160</v>
      </c>
      <c r="AK158" s="903"/>
      <c r="AL158" s="204">
        <v>0</v>
      </c>
      <c r="AM158" s="210">
        <v>0</v>
      </c>
    </row>
    <row r="159" spans="19:39" ht="24.75" customHeight="1">
      <c r="S159" s="706" t="s">
        <v>714</v>
      </c>
      <c r="T159" s="635" t="s">
        <v>713</v>
      </c>
      <c r="U159" s="301">
        <f>+ENERO!U159</f>
        <v>476117296</v>
      </c>
      <c r="V159" s="220">
        <f>FEBRERO!V158+MARZO!AL159</f>
        <v>0</v>
      </c>
      <c r="W159" s="220">
        <f>FEBRERO!W158+MARZO!AM159</f>
        <v>0</v>
      </c>
      <c r="X159" s="271">
        <f t="shared" ref="X159:X167" si="142">SUM(U159:W159)</f>
        <v>476117296</v>
      </c>
      <c r="Y159" s="270">
        <f>FEBRERO!AA158</f>
        <v>0</v>
      </c>
      <c r="Z159" s="208">
        <v>0</v>
      </c>
      <c r="AA159" s="269">
        <f t="shared" ref="AA159:AA166" si="143">SUM(Y159:Z159)</f>
        <v>0</v>
      </c>
      <c r="AB159" s="270">
        <f>FEBRERO!AD158</f>
        <v>0</v>
      </c>
      <c r="AC159" s="208">
        <v>0</v>
      </c>
      <c r="AD159" s="269">
        <f t="shared" ref="AD159:AD166" si="144">SUM(AB159:AC159)</f>
        <v>0</v>
      </c>
      <c r="AE159" s="270">
        <f>FEBRERO!AG158</f>
        <v>0</v>
      </c>
      <c r="AF159" s="208">
        <v>0</v>
      </c>
      <c r="AG159" s="269">
        <f t="shared" ref="AG159:AG166" si="145">SUM(AE159:AF159)</f>
        <v>0</v>
      </c>
      <c r="AH159" s="270">
        <f t="shared" ref="AH159:AH166" si="146">X159-AA159</f>
        <v>476117296</v>
      </c>
      <c r="AI159" s="220">
        <f t="shared" ref="AI159:AI166" si="147">X159-AD159</f>
        <v>476117296</v>
      </c>
      <c r="AJ159" s="269">
        <f t="shared" ref="AJ159:AJ166" si="148">X159-AG159</f>
        <v>476117296</v>
      </c>
      <c r="AK159" s="903"/>
      <c r="AL159" s="204">
        <v>0</v>
      </c>
      <c r="AM159" s="210">
        <v>0</v>
      </c>
    </row>
    <row r="160" spans="19:39" ht="24.75" customHeight="1">
      <c r="S160" s="706" t="s">
        <v>605</v>
      </c>
      <c r="T160" s="635" t="s">
        <v>710</v>
      </c>
      <c r="U160" s="301">
        <f>+ENERO!U160</f>
        <v>415609981</v>
      </c>
      <c r="V160" s="220">
        <f>FEBRERO!V159+MARZO!AL160</f>
        <v>0</v>
      </c>
      <c r="W160" s="220">
        <f>FEBRERO!W159+MARZO!AM160</f>
        <v>0</v>
      </c>
      <c r="X160" s="271">
        <f>SUM(U160:W160)</f>
        <v>415609981</v>
      </c>
      <c r="Y160" s="270">
        <f>FEBRERO!AA159</f>
        <v>8000000</v>
      </c>
      <c r="Z160" s="208">
        <v>0</v>
      </c>
      <c r="AA160" s="269">
        <f t="shared" si="143"/>
        <v>8000000</v>
      </c>
      <c r="AB160" s="270">
        <f>FEBRERO!AD159</f>
        <v>1834000</v>
      </c>
      <c r="AC160" s="208">
        <v>737248</v>
      </c>
      <c r="AD160" s="269">
        <f t="shared" si="144"/>
        <v>2571248</v>
      </c>
      <c r="AE160" s="270">
        <f>FEBRERO!AG159</f>
        <v>795000</v>
      </c>
      <c r="AF160" s="208">
        <v>1039000</v>
      </c>
      <c r="AG160" s="269">
        <f t="shared" si="145"/>
        <v>1834000</v>
      </c>
      <c r="AH160" s="270">
        <f t="shared" si="146"/>
        <v>407609981</v>
      </c>
      <c r="AI160" s="220">
        <f t="shared" si="147"/>
        <v>413038733</v>
      </c>
      <c r="AJ160" s="269">
        <f t="shared" si="148"/>
        <v>413775981</v>
      </c>
      <c r="AK160" s="903"/>
      <c r="AL160" s="204">
        <v>0</v>
      </c>
      <c r="AM160" s="210">
        <v>0</v>
      </c>
    </row>
    <row r="161" spans="19:39" ht="24.75" customHeight="1">
      <c r="S161" s="706" t="s">
        <v>737</v>
      </c>
      <c r="T161" s="707" t="s">
        <v>719</v>
      </c>
      <c r="U161" s="301">
        <f>+ENERO!U161</f>
        <v>220500000</v>
      </c>
      <c r="V161" s="220">
        <f>FEBRERO!V160+MARZO!AL161</f>
        <v>0</v>
      </c>
      <c r="W161" s="220">
        <f>FEBRERO!W160+MARZO!AM161</f>
        <v>0</v>
      </c>
      <c r="X161" s="271">
        <f t="shared" si="142"/>
        <v>220500000</v>
      </c>
      <c r="Y161" s="270">
        <f>FEBRERO!AA160</f>
        <v>167797732</v>
      </c>
      <c r="Z161" s="208">
        <v>0</v>
      </c>
      <c r="AA161" s="269">
        <f t="shared" si="143"/>
        <v>167797732</v>
      </c>
      <c r="AB161" s="270">
        <f>FEBRERO!AD160</f>
        <v>36817430</v>
      </c>
      <c r="AC161" s="208">
        <v>17267340</v>
      </c>
      <c r="AD161" s="269">
        <f t="shared" si="144"/>
        <v>54084770</v>
      </c>
      <c r="AE161" s="270">
        <f>FEBRERO!AG160</f>
        <v>0</v>
      </c>
      <c r="AF161" s="208">
        <v>0</v>
      </c>
      <c r="AG161" s="269">
        <f t="shared" si="145"/>
        <v>0</v>
      </c>
      <c r="AH161" s="270">
        <f t="shared" si="146"/>
        <v>52702268</v>
      </c>
      <c r="AI161" s="220">
        <f t="shared" si="147"/>
        <v>166415230</v>
      </c>
      <c r="AJ161" s="269">
        <f t="shared" si="148"/>
        <v>220500000</v>
      </c>
      <c r="AK161" s="903"/>
      <c r="AL161" s="204">
        <v>0</v>
      </c>
      <c r="AM161" s="210">
        <v>0</v>
      </c>
    </row>
    <row r="162" spans="19:39" ht="24.75" customHeight="1">
      <c r="S162" s="706" t="s">
        <v>602</v>
      </c>
      <c r="T162" s="707" t="s">
        <v>720</v>
      </c>
      <c r="U162" s="301">
        <f>+ENERO!U162</f>
        <v>144394707</v>
      </c>
      <c r="V162" s="220">
        <f>FEBRERO!V161+MARZO!AL162</f>
        <v>0</v>
      </c>
      <c r="W162" s="220">
        <f>FEBRERO!W161+MARZO!AM162</f>
        <v>0</v>
      </c>
      <c r="X162" s="271">
        <f t="shared" si="142"/>
        <v>144394707</v>
      </c>
      <c r="Y162" s="270">
        <f>FEBRERO!AA161</f>
        <v>31535631</v>
      </c>
      <c r="Z162" s="208">
        <v>0</v>
      </c>
      <c r="AA162" s="269">
        <f t="shared" si="143"/>
        <v>31535631</v>
      </c>
      <c r="AB162" s="270">
        <f>FEBRERO!AD161</f>
        <v>31535631</v>
      </c>
      <c r="AC162" s="208">
        <v>0</v>
      </c>
      <c r="AD162" s="269">
        <f t="shared" si="144"/>
        <v>31535631</v>
      </c>
      <c r="AE162" s="270">
        <f>FEBRERO!AG161</f>
        <v>0</v>
      </c>
      <c r="AF162" s="208">
        <v>0</v>
      </c>
      <c r="AG162" s="269">
        <f t="shared" si="145"/>
        <v>0</v>
      </c>
      <c r="AH162" s="270">
        <f t="shared" si="146"/>
        <v>112859076</v>
      </c>
      <c r="AI162" s="220">
        <f t="shared" si="147"/>
        <v>112859076</v>
      </c>
      <c r="AJ162" s="269">
        <f t="shared" si="148"/>
        <v>144394707</v>
      </c>
      <c r="AK162" s="903"/>
      <c r="AL162" s="204">
        <v>0</v>
      </c>
      <c r="AM162" s="210">
        <v>0</v>
      </c>
    </row>
    <row r="163" spans="19:39" ht="24.75" customHeight="1">
      <c r="S163" s="706" t="s">
        <v>603</v>
      </c>
      <c r="T163" s="707" t="s">
        <v>738</v>
      </c>
      <c r="U163" s="301">
        <f>+ENERO!U163</f>
        <v>4141233251</v>
      </c>
      <c r="V163" s="220">
        <f>FEBRERO!V162+MARZO!AL163</f>
        <v>0</v>
      </c>
      <c r="W163" s="220">
        <f>FEBRERO!W162+MARZO!AM163</f>
        <v>0</v>
      </c>
      <c r="X163" s="271">
        <f t="shared" si="142"/>
        <v>4141233251</v>
      </c>
      <c r="Y163" s="270">
        <f>FEBRERO!AA162</f>
        <v>104424880</v>
      </c>
      <c r="Z163" s="208">
        <v>0</v>
      </c>
      <c r="AA163" s="269">
        <f t="shared" si="143"/>
        <v>104424880</v>
      </c>
      <c r="AB163" s="270">
        <f>FEBRERO!AD162</f>
        <v>0</v>
      </c>
      <c r="AC163" s="208">
        <v>0</v>
      </c>
      <c r="AD163" s="269">
        <f t="shared" si="144"/>
        <v>0</v>
      </c>
      <c r="AE163" s="270">
        <f>FEBRERO!AG162</f>
        <v>0</v>
      </c>
      <c r="AF163" s="208">
        <v>0</v>
      </c>
      <c r="AG163" s="269">
        <f t="shared" si="145"/>
        <v>0</v>
      </c>
      <c r="AH163" s="270">
        <f t="shared" si="146"/>
        <v>4036808371</v>
      </c>
      <c r="AI163" s="220">
        <f t="shared" si="147"/>
        <v>4141233251</v>
      </c>
      <c r="AJ163" s="269">
        <f t="shared" si="148"/>
        <v>4141233251</v>
      </c>
      <c r="AK163" s="903"/>
      <c r="AL163" s="204">
        <v>0</v>
      </c>
      <c r="AM163" s="210">
        <v>0</v>
      </c>
    </row>
    <row r="164" spans="19:39" ht="24.75" customHeight="1">
      <c r="S164" s="706" t="s">
        <v>604</v>
      </c>
      <c r="T164" s="707" t="s">
        <v>721</v>
      </c>
      <c r="U164" s="301">
        <f>+ENERO!U164</f>
        <v>267744477</v>
      </c>
      <c r="V164" s="220">
        <f>FEBRERO!V163+MARZO!AL164</f>
        <v>0</v>
      </c>
      <c r="W164" s="220">
        <f>FEBRERO!W163+MARZO!AM164</f>
        <v>0</v>
      </c>
      <c r="X164" s="271">
        <f t="shared" si="142"/>
        <v>267744477</v>
      </c>
      <c r="Y164" s="270">
        <f>FEBRERO!AA163</f>
        <v>1381650195</v>
      </c>
      <c r="Z164" s="208">
        <v>48090647</v>
      </c>
      <c r="AA164" s="269">
        <f t="shared" si="143"/>
        <v>1429740842</v>
      </c>
      <c r="AB164" s="270">
        <f>FEBRERO!AD163</f>
        <v>363042585</v>
      </c>
      <c r="AC164" s="208">
        <v>147700003</v>
      </c>
      <c r="AD164" s="269">
        <f t="shared" si="144"/>
        <v>510742588</v>
      </c>
      <c r="AE164" s="270">
        <f>FEBRERO!AG163</f>
        <v>3821160</v>
      </c>
      <c r="AF164" s="208">
        <v>91595521</v>
      </c>
      <c r="AG164" s="269">
        <f t="shared" si="145"/>
        <v>95416681</v>
      </c>
      <c r="AH164" s="270">
        <f t="shared" si="146"/>
        <v>-1161996365</v>
      </c>
      <c r="AI164" s="220">
        <f t="shared" si="147"/>
        <v>-242998111</v>
      </c>
      <c r="AJ164" s="269">
        <f t="shared" si="148"/>
        <v>172327796</v>
      </c>
      <c r="AK164" s="903"/>
      <c r="AL164" s="204">
        <v>0</v>
      </c>
      <c r="AM164" s="210">
        <v>0</v>
      </c>
    </row>
    <row r="165" spans="19:39" ht="24.75" customHeight="1">
      <c r="S165" s="633" t="s">
        <v>647</v>
      </c>
      <c r="T165" s="635" t="s">
        <v>648</v>
      </c>
      <c r="U165" s="301">
        <f>+ENERO!U165</f>
        <v>0</v>
      </c>
      <c r="V165" s="220">
        <f>FEBRERO!V164+MARZO!AL165</f>
        <v>0</v>
      </c>
      <c r="W165" s="220">
        <f>FEBRERO!W164+MARZO!AM165</f>
        <v>0</v>
      </c>
      <c r="X165" s="271">
        <f t="shared" si="142"/>
        <v>0</v>
      </c>
      <c r="Y165" s="270">
        <f>FEBRERO!AA164</f>
        <v>173250000</v>
      </c>
      <c r="Z165" s="208">
        <v>0</v>
      </c>
      <c r="AA165" s="269">
        <f t="shared" si="143"/>
        <v>173250000</v>
      </c>
      <c r="AB165" s="270">
        <f>FEBRERO!AD164</f>
        <v>15749990</v>
      </c>
      <c r="AC165" s="208">
        <v>10175722</v>
      </c>
      <c r="AD165" s="269">
        <f t="shared" si="144"/>
        <v>25925712</v>
      </c>
      <c r="AE165" s="270">
        <f>FEBRERO!AG164</f>
        <v>0</v>
      </c>
      <c r="AF165" s="208">
        <v>0</v>
      </c>
      <c r="AG165" s="269">
        <f t="shared" si="145"/>
        <v>0</v>
      </c>
      <c r="AH165" s="270">
        <f t="shared" si="146"/>
        <v>-173250000</v>
      </c>
      <c r="AI165" s="220">
        <f t="shared" si="147"/>
        <v>-25925712</v>
      </c>
      <c r="AJ165" s="269">
        <f t="shared" si="148"/>
        <v>0</v>
      </c>
      <c r="AK165" s="903"/>
      <c r="AL165" s="204">
        <v>0</v>
      </c>
      <c r="AM165" s="210">
        <v>0</v>
      </c>
    </row>
    <row r="166" spans="19:39" ht="24.75" customHeight="1">
      <c r="S166" s="633" t="s">
        <v>608</v>
      </c>
      <c r="T166" s="635" t="s">
        <v>711</v>
      </c>
      <c r="U166" s="301">
        <f>+ENERO!U166</f>
        <v>0</v>
      </c>
      <c r="V166" s="220">
        <f>FEBRERO!V165+MARZO!AL166</f>
        <v>0</v>
      </c>
      <c r="W166" s="220">
        <f>FEBRERO!W165+MARZO!AM166</f>
        <v>0</v>
      </c>
      <c r="X166" s="271">
        <f t="shared" si="142"/>
        <v>0</v>
      </c>
      <c r="Y166" s="270">
        <f>FEBRERO!AA165</f>
        <v>0</v>
      </c>
      <c r="Z166" s="208">
        <v>0</v>
      </c>
      <c r="AA166" s="269">
        <f t="shared" si="143"/>
        <v>0</v>
      </c>
      <c r="AB166" s="270">
        <f>FEBRERO!AD165</f>
        <v>0</v>
      </c>
      <c r="AC166" s="208">
        <v>0</v>
      </c>
      <c r="AD166" s="269">
        <f t="shared" si="144"/>
        <v>0</v>
      </c>
      <c r="AE166" s="270">
        <f>FEBRERO!AG165</f>
        <v>0</v>
      </c>
      <c r="AF166" s="208">
        <v>0</v>
      </c>
      <c r="AG166" s="269">
        <f t="shared" si="145"/>
        <v>0</v>
      </c>
      <c r="AH166" s="270">
        <f t="shared" si="146"/>
        <v>0</v>
      </c>
      <c r="AI166" s="220">
        <f t="shared" si="147"/>
        <v>0</v>
      </c>
      <c r="AJ166" s="269">
        <f t="shared" si="148"/>
        <v>0</v>
      </c>
      <c r="AK166" s="903"/>
      <c r="AL166" s="204">
        <v>0</v>
      </c>
      <c r="AM166" s="210">
        <v>0</v>
      </c>
    </row>
    <row r="167" spans="19:39" ht="24.75" customHeight="1">
      <c r="S167" s="633" t="s">
        <v>739</v>
      </c>
      <c r="T167" s="534" t="s">
        <v>740</v>
      </c>
      <c r="U167" s="301">
        <f>+ENERO!U167</f>
        <v>2434004587.2222223</v>
      </c>
      <c r="V167" s="220">
        <f>FEBRERO!V166+MARZO!AL167</f>
        <v>0</v>
      </c>
      <c r="W167" s="220">
        <f>FEBRERO!W167+MARZO!AM167</f>
        <v>158814745</v>
      </c>
      <c r="X167" s="271">
        <f t="shared" si="142"/>
        <v>2592819332.2222223</v>
      </c>
      <c r="Y167" s="270">
        <f>FEBRERO!AA167</f>
        <v>242224125</v>
      </c>
      <c r="Z167" s="208">
        <v>161015881</v>
      </c>
      <c r="AA167" s="269">
        <f>SUM(Y167:Z167)</f>
        <v>403240006</v>
      </c>
      <c r="AB167" s="270">
        <f>FEBRERO!AD167</f>
        <v>242224125</v>
      </c>
      <c r="AC167" s="208">
        <v>161015881</v>
      </c>
      <c r="AD167" s="269">
        <f>SUM(AB167:AC167)</f>
        <v>403240006</v>
      </c>
      <c r="AE167" s="270">
        <f>FEBRERO!AG167</f>
        <v>242224125</v>
      </c>
      <c r="AF167" s="208">
        <v>160985681</v>
      </c>
      <c r="AG167" s="269">
        <f>SUM(AE167:AF167)</f>
        <v>403209806</v>
      </c>
      <c r="AH167" s="270">
        <f>X167-AA167</f>
        <v>2189579326.2222223</v>
      </c>
      <c r="AI167" s="220">
        <f>X167-AD167</f>
        <v>2189579326.2222223</v>
      </c>
      <c r="AJ167" s="269">
        <f>X167-AG167</f>
        <v>2189609526.2222223</v>
      </c>
      <c r="AK167" s="903"/>
      <c r="AL167" s="204">
        <v>0</v>
      </c>
      <c r="AM167" s="210">
        <v>0</v>
      </c>
    </row>
    <row r="168" spans="19:39" ht="24.75" customHeight="1">
      <c r="T168" s="488" t="str">
        <f>+IF(FEBRERO!T168=0,"",FEBRERO!T168)</f>
        <v/>
      </c>
      <c r="U168" s="193"/>
      <c r="V168" s="191"/>
      <c r="W168" s="191"/>
      <c r="X168" s="191"/>
      <c r="Y168" s="193"/>
      <c r="Z168" s="191"/>
      <c r="AA168" s="192"/>
      <c r="AB168" s="193"/>
      <c r="AC168" s="191"/>
      <c r="AD168" s="192"/>
      <c r="AE168" s="193"/>
      <c r="AF168" s="191"/>
      <c r="AG168" s="192"/>
      <c r="AH168" s="193"/>
      <c r="AI168" s="191"/>
      <c r="AJ168" s="192"/>
      <c r="AK168" s="903"/>
      <c r="AL168" s="370"/>
      <c r="AM168" s="371"/>
    </row>
    <row r="169" spans="19:39" ht="24.75" customHeight="1">
      <c r="S169" s="228">
        <f>+IF(FEBRERO!S169=0,"",FEBRERO!S169)</f>
        <v>3000000</v>
      </c>
      <c r="T169" s="541" t="str">
        <f>+IF(FEBRERO!T169=0,"",FEBRERO!T169)</f>
        <v>TRANSFERENCIAS CORRIENTES</v>
      </c>
      <c r="U169" s="217">
        <f t="shared" ref="U169:AJ169" si="149">U171+U175+U184</f>
        <v>2193060585</v>
      </c>
      <c r="V169" s="406">
        <f t="shared" si="149"/>
        <v>0</v>
      </c>
      <c r="W169" s="406">
        <f t="shared" si="149"/>
        <v>0</v>
      </c>
      <c r="X169" s="407">
        <f t="shared" si="149"/>
        <v>2193060585</v>
      </c>
      <c r="Y169" s="217">
        <f t="shared" si="149"/>
        <v>506807800</v>
      </c>
      <c r="Z169" s="406">
        <f t="shared" si="149"/>
        <v>64199036</v>
      </c>
      <c r="AA169" s="218">
        <f t="shared" si="149"/>
        <v>571006836</v>
      </c>
      <c r="AB169" s="217">
        <f t="shared" si="149"/>
        <v>506807800</v>
      </c>
      <c r="AC169" s="406">
        <f t="shared" si="149"/>
        <v>64199036</v>
      </c>
      <c r="AD169" s="218">
        <f t="shared" si="149"/>
        <v>571006836</v>
      </c>
      <c r="AE169" s="217">
        <f t="shared" si="149"/>
        <v>390660151</v>
      </c>
      <c r="AF169" s="406">
        <f t="shared" si="149"/>
        <v>75890883</v>
      </c>
      <c r="AG169" s="218">
        <f t="shared" si="149"/>
        <v>466551034</v>
      </c>
      <c r="AH169" s="217">
        <f t="shared" si="149"/>
        <v>1622053749</v>
      </c>
      <c r="AI169" s="406">
        <f t="shared" si="149"/>
        <v>1622053749</v>
      </c>
      <c r="AJ169" s="218">
        <f t="shared" si="149"/>
        <v>1726509551</v>
      </c>
      <c r="AK169" s="903"/>
      <c r="AL169" s="233">
        <f>AL171+AL175+AL184</f>
        <v>0</v>
      </c>
      <c r="AM169" s="232">
        <f>AM171+AM175+AM184</f>
        <v>0</v>
      </c>
    </row>
    <row r="170" spans="19:39" ht="24.75" customHeight="1">
      <c r="S170" s="189">
        <f>+IF(FEBRERO!S170=0,"",FEBRERO!S170)</f>
        <v>3000000</v>
      </c>
      <c r="T170" s="488" t="str">
        <f>+IF(FEBRERO!T170=0,"",FEBRERO!T170)</f>
        <v/>
      </c>
      <c r="U170" s="193"/>
      <c r="V170" s="191"/>
      <c r="W170" s="191"/>
      <c r="X170" s="191"/>
      <c r="Y170" s="193"/>
      <c r="Z170" s="191"/>
      <c r="AA170" s="192"/>
      <c r="AB170" s="193"/>
      <c r="AC170" s="191"/>
      <c r="AD170" s="192"/>
      <c r="AE170" s="193"/>
      <c r="AF170" s="191"/>
      <c r="AG170" s="192"/>
      <c r="AH170" s="193"/>
      <c r="AI170" s="191"/>
      <c r="AJ170" s="192"/>
      <c r="AK170" s="903"/>
      <c r="AL170" s="370"/>
      <c r="AM170" s="371"/>
    </row>
    <row r="171" spans="19:39" ht="24.75" customHeight="1">
      <c r="S171" s="257">
        <f>+IF(FEBRERO!S171=0,"",FEBRERO!S171)</f>
        <v>3100000</v>
      </c>
      <c r="T171" s="532" t="str">
        <f>+IF(FEBRERO!T171=0,"",FEBRERO!T171)</f>
        <v>Transferencias al Sector Público</v>
      </c>
      <c r="U171" s="233">
        <f t="shared" ref="U171:AJ171" si="150">SUM(U172:U173)</f>
        <v>570000000</v>
      </c>
      <c r="V171" s="231">
        <f t="shared" si="150"/>
        <v>0</v>
      </c>
      <c r="W171" s="231">
        <f t="shared" si="150"/>
        <v>0</v>
      </c>
      <c r="X171" s="234">
        <f t="shared" si="150"/>
        <v>570000000</v>
      </c>
      <c r="Y171" s="233">
        <f t="shared" si="150"/>
        <v>170390819</v>
      </c>
      <c r="Z171" s="231">
        <f t="shared" si="150"/>
        <v>23295482</v>
      </c>
      <c r="AA171" s="232">
        <f t="shared" si="150"/>
        <v>193686301</v>
      </c>
      <c r="AB171" s="233">
        <f t="shared" si="150"/>
        <v>170390819</v>
      </c>
      <c r="AC171" s="231">
        <f t="shared" si="150"/>
        <v>23295482</v>
      </c>
      <c r="AD171" s="232">
        <f t="shared" si="150"/>
        <v>193686301</v>
      </c>
      <c r="AE171" s="233">
        <f t="shared" si="150"/>
        <v>60459873</v>
      </c>
      <c r="AF171" s="231">
        <f t="shared" si="150"/>
        <v>35510032</v>
      </c>
      <c r="AG171" s="232">
        <f t="shared" si="150"/>
        <v>95969905</v>
      </c>
      <c r="AH171" s="233">
        <f t="shared" si="150"/>
        <v>376313699</v>
      </c>
      <c r="AI171" s="231">
        <f t="shared" si="150"/>
        <v>376313699</v>
      </c>
      <c r="AJ171" s="232">
        <f t="shared" si="150"/>
        <v>474030095</v>
      </c>
      <c r="AK171" s="903"/>
      <c r="AL171" s="233">
        <f>SUM(AL172:AL173)</f>
        <v>0</v>
      </c>
      <c r="AM171" s="232">
        <f>SUM(AM172:AM173)</f>
        <v>0</v>
      </c>
    </row>
    <row r="172" spans="19:39" ht="24.75" customHeight="1">
      <c r="S172" s="266" t="str">
        <f>+IF(FEBRERO!S172=0,"",FEBRERO!S172)</f>
        <v>2.1.8.04.01</v>
      </c>
      <c r="T172" s="534" t="str">
        <f>+IF(FEBRERO!T172=0,"",FEBRERO!T172)</f>
        <v>Cuotas de fiscalizacion y auditaje</v>
      </c>
      <c r="U172" s="301">
        <f>+ENERO!U172</f>
        <v>170000000</v>
      </c>
      <c r="V172" s="220">
        <f>FEBRERO!V172+MARZO!AL172</f>
        <v>0</v>
      </c>
      <c r="W172" s="220">
        <f>FEBRERO!W172+MARZO!AM172</f>
        <v>0</v>
      </c>
      <c r="X172" s="271">
        <f>SUM(U172:W172)</f>
        <v>170000000</v>
      </c>
      <c r="Y172" s="270">
        <f>FEBRERO!AA172</f>
        <v>122145496</v>
      </c>
      <c r="Z172" s="208">
        <v>0</v>
      </c>
      <c r="AA172" s="269">
        <f>SUM(Y172:Z172)</f>
        <v>122145496</v>
      </c>
      <c r="AB172" s="270">
        <f>FEBRERO!AD172</f>
        <v>122145496</v>
      </c>
      <c r="AC172" s="208">
        <v>0</v>
      </c>
      <c r="AD172" s="269">
        <f>SUM(AB172:AC172)</f>
        <v>122145496</v>
      </c>
      <c r="AE172" s="270">
        <f>FEBRERO!AG172</f>
        <v>12214550</v>
      </c>
      <c r="AF172" s="208">
        <v>12214550</v>
      </c>
      <c r="AG172" s="269">
        <f>SUM(AE172:AF172)</f>
        <v>24429100</v>
      </c>
      <c r="AH172" s="270">
        <f>X172-AA172</f>
        <v>47854504</v>
      </c>
      <c r="AI172" s="220">
        <f>X172-AD172</f>
        <v>47854504</v>
      </c>
      <c r="AJ172" s="269">
        <f>X172-AG172</f>
        <v>145570900</v>
      </c>
      <c r="AK172" s="903"/>
      <c r="AL172" s="204">
        <v>0</v>
      </c>
      <c r="AM172" s="210">
        <v>0</v>
      </c>
    </row>
    <row r="173" spans="19:39" ht="24.75" customHeight="1">
      <c r="S173" s="266" t="str">
        <f>+IF(FEBRERO!S173=0,"",FEBRERO!S173)</f>
        <v>2.1.8.02</v>
      </c>
      <c r="T173" s="534" t="str">
        <f>+IF(FEBRERO!T173=0,"",FEBRERO!T173)</f>
        <v>Acuerdo de estampillas</v>
      </c>
      <c r="U173" s="301">
        <f>+ENERO!U173</f>
        <v>400000000</v>
      </c>
      <c r="V173" s="220">
        <f>FEBRERO!V173+MARZO!AL173</f>
        <v>0</v>
      </c>
      <c r="W173" s="220">
        <f>FEBRERO!W173+MARZO!AM173</f>
        <v>0</v>
      </c>
      <c r="X173" s="271">
        <f>SUM(U173:W173)</f>
        <v>400000000</v>
      </c>
      <c r="Y173" s="270">
        <f>FEBRERO!AA173</f>
        <v>48245323</v>
      </c>
      <c r="Z173" s="208">
        <v>23295482</v>
      </c>
      <c r="AA173" s="269">
        <f>SUM(Y173:Z173)</f>
        <v>71540805</v>
      </c>
      <c r="AB173" s="270">
        <f>FEBRERO!AD173</f>
        <v>48245323</v>
      </c>
      <c r="AC173" s="208">
        <v>23295482</v>
      </c>
      <c r="AD173" s="269">
        <f>SUM(AB173:AC173)</f>
        <v>71540805</v>
      </c>
      <c r="AE173" s="270">
        <f>FEBRERO!AG173</f>
        <v>48245323</v>
      </c>
      <c r="AF173" s="208">
        <v>23295482</v>
      </c>
      <c r="AG173" s="269">
        <f>SUM(AE173:AF173)</f>
        <v>71540805</v>
      </c>
      <c r="AH173" s="270">
        <f>X173-AA173</f>
        <v>328459195</v>
      </c>
      <c r="AI173" s="220">
        <f>X173-AD173</f>
        <v>328459195</v>
      </c>
      <c r="AJ173" s="269">
        <f>X173-AG173</f>
        <v>328459195</v>
      </c>
      <c r="AK173" s="903"/>
      <c r="AL173" s="204">
        <v>0</v>
      </c>
      <c r="AM173" s="210">
        <v>0</v>
      </c>
    </row>
    <row r="174" spans="19:39" ht="24.75" customHeight="1">
      <c r="S174" s="189">
        <f>+IF(FEBRERO!S174=0,"",FEBRERO!S174)</f>
        <v>23007296</v>
      </c>
      <c r="T174" s="488" t="str">
        <f>+IF(FEBRERO!T174=0,"",FEBRERO!T174)</f>
        <v/>
      </c>
      <c r="U174" s="193"/>
      <c r="V174" s="191"/>
      <c r="W174" s="191"/>
      <c r="X174" s="191"/>
      <c r="Y174" s="193"/>
      <c r="Z174" s="191"/>
      <c r="AA174" s="192"/>
      <c r="AB174" s="193"/>
      <c r="AC174" s="191"/>
      <c r="AD174" s="192"/>
      <c r="AE174" s="193"/>
      <c r="AF174" s="191"/>
      <c r="AG174" s="192"/>
      <c r="AH174" s="193"/>
      <c r="AI174" s="191"/>
      <c r="AJ174" s="192"/>
      <c r="AK174" s="907"/>
      <c r="AL174" s="370"/>
      <c r="AM174" s="371"/>
    </row>
    <row r="175" spans="19:39" ht="24.75" customHeight="1">
      <c r="S175" s="257">
        <f>+IF(FEBRERO!S175=0,"",FEBRERO!S175)</f>
        <v>320000</v>
      </c>
      <c r="T175" s="532" t="str">
        <f>+IF(FEBRERO!T175=0,"",FEBRERO!T175)</f>
        <v>Transf. Previsión y Seguridad Social</v>
      </c>
      <c r="U175" s="233">
        <f t="shared" ref="U175:AJ175" si="151">SUM(U176:U182)</f>
        <v>310000000</v>
      </c>
      <c r="V175" s="231">
        <f t="shared" si="151"/>
        <v>0</v>
      </c>
      <c r="W175" s="231">
        <f t="shared" si="151"/>
        <v>0</v>
      </c>
      <c r="X175" s="234">
        <f t="shared" si="151"/>
        <v>310000000</v>
      </c>
      <c r="Y175" s="233">
        <f t="shared" si="151"/>
        <v>166735434</v>
      </c>
      <c r="Z175" s="231">
        <f t="shared" si="151"/>
        <v>548783</v>
      </c>
      <c r="AA175" s="232">
        <f t="shared" si="151"/>
        <v>167284217</v>
      </c>
      <c r="AB175" s="233">
        <f t="shared" si="151"/>
        <v>166735434</v>
      </c>
      <c r="AC175" s="231">
        <f t="shared" si="151"/>
        <v>548783</v>
      </c>
      <c r="AD175" s="232">
        <f t="shared" si="151"/>
        <v>167284217</v>
      </c>
      <c r="AE175" s="233">
        <f t="shared" si="151"/>
        <v>166735434</v>
      </c>
      <c r="AF175" s="231">
        <f t="shared" si="151"/>
        <v>548783</v>
      </c>
      <c r="AG175" s="232">
        <f t="shared" si="151"/>
        <v>167284217</v>
      </c>
      <c r="AH175" s="233">
        <f t="shared" si="151"/>
        <v>142715783</v>
      </c>
      <c r="AI175" s="231">
        <f t="shared" si="151"/>
        <v>142715783</v>
      </c>
      <c r="AJ175" s="232">
        <f t="shared" si="151"/>
        <v>142715783</v>
      </c>
      <c r="AK175" s="903"/>
      <c r="AL175" s="233">
        <f>SUM(AL176:AL182)</f>
        <v>0</v>
      </c>
      <c r="AM175" s="232">
        <f>SUM(AM176:AM182)</f>
        <v>0</v>
      </c>
    </row>
    <row r="176" spans="19:39" ht="24.75" customHeight="1">
      <c r="S176" s="266">
        <f>+IF(FEBRERO!S176=0,"",FEBRERO!S176)</f>
        <v>3200100</v>
      </c>
      <c r="T176" s="534" t="str">
        <f>+IF(FEBRERO!T176=0,"",FEBRERO!T176)</f>
        <v>Pensiones y Jubilaciones (Pago Directo)</v>
      </c>
      <c r="U176" s="301">
        <f>+ENERO!U176</f>
        <v>0</v>
      </c>
      <c r="V176" s="220">
        <f>FEBRERO!V176+MARZO!AL176</f>
        <v>0</v>
      </c>
      <c r="W176" s="220">
        <f>FEBRERO!W176+MARZO!AM176</f>
        <v>0</v>
      </c>
      <c r="X176" s="271">
        <f t="shared" ref="X176:X182" si="152">SUM(U176:W176)</f>
        <v>0</v>
      </c>
      <c r="Y176" s="270">
        <f>FEBRERO!AA176</f>
        <v>0</v>
      </c>
      <c r="Z176" s="208">
        <v>0</v>
      </c>
      <c r="AA176" s="269">
        <f t="shared" ref="AA176:AA182" si="153">SUM(Y176:Z176)</f>
        <v>0</v>
      </c>
      <c r="AB176" s="270">
        <f>FEBRERO!AD176</f>
        <v>0</v>
      </c>
      <c r="AC176" s="208">
        <v>0</v>
      </c>
      <c r="AD176" s="269">
        <f t="shared" ref="AD176:AD182" si="154">SUM(AB176:AC176)</f>
        <v>0</v>
      </c>
      <c r="AE176" s="270">
        <f>FEBRERO!AG176</f>
        <v>0</v>
      </c>
      <c r="AF176" s="208">
        <v>0</v>
      </c>
      <c r="AG176" s="269">
        <f t="shared" ref="AG176:AG182" si="155">SUM(AE176:AF176)</f>
        <v>0</v>
      </c>
      <c r="AH176" s="270">
        <f t="shared" ref="AH176:AH182" si="156">X176-AA176</f>
        <v>0</v>
      </c>
      <c r="AI176" s="220">
        <f t="shared" ref="AI176:AI182" si="157">X176-AD176</f>
        <v>0</v>
      </c>
      <c r="AJ176" s="269">
        <f t="shared" ref="AJ176:AJ182" si="158">X176-AG176</f>
        <v>0</v>
      </c>
      <c r="AK176" s="903"/>
      <c r="AL176" s="204">
        <v>0</v>
      </c>
      <c r="AM176" s="210">
        <v>0</v>
      </c>
    </row>
    <row r="177" spans="19:39" ht="24.75" customHeight="1">
      <c r="S177" s="266">
        <f>+IF(FEBRERO!S177=0,"",FEBRERO!S177)</f>
        <v>3200200</v>
      </c>
      <c r="T177" s="534" t="str">
        <f>+IF(FEBRERO!T177=0,"",FEBRERO!T177)</f>
        <v>Cesantías Pago Directo (Pago Directo)</v>
      </c>
      <c r="U177" s="301">
        <f>+ENERO!U177</f>
        <v>0</v>
      </c>
      <c r="V177" s="220">
        <f>FEBRERO!V177+MARZO!AL177</f>
        <v>0</v>
      </c>
      <c r="W177" s="220">
        <f>FEBRERO!W177+MARZO!AM177</f>
        <v>0</v>
      </c>
      <c r="X177" s="271">
        <f t="shared" si="152"/>
        <v>0</v>
      </c>
      <c r="Y177" s="270">
        <f>FEBRERO!AA177</f>
        <v>0</v>
      </c>
      <c r="Z177" s="208">
        <v>0</v>
      </c>
      <c r="AA177" s="269">
        <f t="shared" si="153"/>
        <v>0</v>
      </c>
      <c r="AB177" s="270">
        <f>FEBRERO!AD177</f>
        <v>0</v>
      </c>
      <c r="AC177" s="208">
        <v>0</v>
      </c>
      <c r="AD177" s="269">
        <f t="shared" si="154"/>
        <v>0</v>
      </c>
      <c r="AE177" s="270">
        <f>FEBRERO!AG177</f>
        <v>0</v>
      </c>
      <c r="AF177" s="208">
        <v>0</v>
      </c>
      <c r="AG177" s="269">
        <f t="shared" si="155"/>
        <v>0</v>
      </c>
      <c r="AH177" s="270">
        <f t="shared" si="156"/>
        <v>0</v>
      </c>
      <c r="AI177" s="220">
        <f t="shared" si="157"/>
        <v>0</v>
      </c>
      <c r="AJ177" s="269">
        <f t="shared" si="158"/>
        <v>0</v>
      </c>
      <c r="AK177" s="903"/>
      <c r="AL177" s="204">
        <v>0</v>
      </c>
      <c r="AM177" s="210">
        <v>0</v>
      </c>
    </row>
    <row r="178" spans="19:39" ht="24.75" customHeight="1">
      <c r="S178" s="266" t="str">
        <f>+IF(FEBRERO!S178=0,"",FEBRERO!S178)</f>
        <v>2.1.3.07.02.002.02</v>
      </c>
      <c r="T178" s="534" t="str">
        <f>+IF(FEBRERO!T178=0,"",FEBRERO!T178)</f>
        <v>Cuotas partes pensionales a cargo de la entidad ( de pensiones)</v>
      </c>
      <c r="U178" s="301">
        <f>+ENERO!U178</f>
        <v>10000000</v>
      </c>
      <c r="V178" s="220">
        <f>FEBRERO!V178+MARZO!AL178</f>
        <v>0</v>
      </c>
      <c r="W178" s="220">
        <f>FEBRERO!W178+MARZO!AM178</f>
        <v>0</v>
      </c>
      <c r="X178" s="271">
        <f t="shared" si="152"/>
        <v>10000000</v>
      </c>
      <c r="Y178" s="270">
        <f>FEBRERO!AA178</f>
        <v>2074434</v>
      </c>
      <c r="Z178" s="208">
        <v>548783</v>
      </c>
      <c r="AA178" s="269">
        <f t="shared" si="153"/>
        <v>2623217</v>
      </c>
      <c r="AB178" s="270">
        <f>FEBRERO!AD178</f>
        <v>2074434</v>
      </c>
      <c r="AC178" s="208">
        <v>548783</v>
      </c>
      <c r="AD178" s="269">
        <f t="shared" si="154"/>
        <v>2623217</v>
      </c>
      <c r="AE178" s="270">
        <f>FEBRERO!AG178</f>
        <v>2074434</v>
      </c>
      <c r="AF178" s="208">
        <v>548783</v>
      </c>
      <c r="AG178" s="269">
        <f t="shared" si="155"/>
        <v>2623217</v>
      </c>
      <c r="AH178" s="270">
        <f t="shared" si="156"/>
        <v>7376783</v>
      </c>
      <c r="AI178" s="220">
        <f t="shared" si="157"/>
        <v>7376783</v>
      </c>
      <c r="AJ178" s="269">
        <f t="shared" si="158"/>
        <v>7376783</v>
      </c>
      <c r="AK178" s="903"/>
      <c r="AL178" s="204">
        <v>0</v>
      </c>
      <c r="AM178" s="210">
        <v>0</v>
      </c>
    </row>
    <row r="179" spans="19:39" ht="24.75" customHeight="1">
      <c r="S179" s="266" t="str">
        <f>+IF(FEBRERO!S179=0,"",FEBRERO!S179)</f>
        <v>2.1.3.07.02.003.02</v>
      </c>
      <c r="T179" s="534" t="str">
        <f>+IF(FEBRERO!T179=0,"",FEBRERO!T179)</f>
        <v>Bonos pensionales a cargo de la entidad ( de pensiones)</v>
      </c>
      <c r="U179" s="301">
        <f>+ENERO!U179</f>
        <v>300000000</v>
      </c>
      <c r="V179" s="220">
        <f>FEBRERO!V179+MARZO!AL179</f>
        <v>0</v>
      </c>
      <c r="W179" s="220">
        <f>FEBRERO!W179+MARZO!AM179</f>
        <v>0</v>
      </c>
      <c r="X179" s="271">
        <f t="shared" si="152"/>
        <v>300000000</v>
      </c>
      <c r="Y179" s="270">
        <f>FEBRERO!AA179</f>
        <v>164661000</v>
      </c>
      <c r="Z179" s="208">
        <v>0</v>
      </c>
      <c r="AA179" s="269">
        <f t="shared" si="153"/>
        <v>164661000</v>
      </c>
      <c r="AB179" s="270">
        <f>FEBRERO!AD179</f>
        <v>164661000</v>
      </c>
      <c r="AC179" s="208">
        <v>0</v>
      </c>
      <c r="AD179" s="269">
        <f t="shared" si="154"/>
        <v>164661000</v>
      </c>
      <c r="AE179" s="270">
        <f>FEBRERO!AG179</f>
        <v>164661000</v>
      </c>
      <c r="AF179" s="208">
        <v>0</v>
      </c>
      <c r="AG179" s="269">
        <f t="shared" si="155"/>
        <v>164661000</v>
      </c>
      <c r="AH179" s="270">
        <f t="shared" si="156"/>
        <v>135339000</v>
      </c>
      <c r="AI179" s="220">
        <f t="shared" si="157"/>
        <v>135339000</v>
      </c>
      <c r="AJ179" s="269">
        <f t="shared" si="158"/>
        <v>135339000</v>
      </c>
      <c r="AK179" s="903"/>
      <c r="AL179" s="204">
        <v>0</v>
      </c>
      <c r="AM179" s="210">
        <v>0</v>
      </c>
    </row>
    <row r="180" spans="19:39" ht="24.75" customHeight="1">
      <c r="S180" s="266">
        <f>+IF(FEBRERO!S180=0,"",FEBRERO!S180)</f>
        <v>3200500</v>
      </c>
      <c r="T180" s="534" t="str">
        <f>+IF(FEBRERO!T180=0,"",FEBRERO!T180)</f>
        <v/>
      </c>
      <c r="U180" s="301">
        <f>+ENERO!U180</f>
        <v>0</v>
      </c>
      <c r="V180" s="220">
        <f>FEBRERO!V180+MARZO!AL180</f>
        <v>0</v>
      </c>
      <c r="W180" s="220">
        <f>FEBRERO!W180+MARZO!AM180</f>
        <v>0</v>
      </c>
      <c r="X180" s="271">
        <f t="shared" si="152"/>
        <v>0</v>
      </c>
      <c r="Y180" s="270">
        <f>FEBRERO!AA180</f>
        <v>0</v>
      </c>
      <c r="Z180" s="208">
        <v>0</v>
      </c>
      <c r="AA180" s="269">
        <f t="shared" si="153"/>
        <v>0</v>
      </c>
      <c r="AB180" s="270">
        <f>FEBRERO!AD180</f>
        <v>0</v>
      </c>
      <c r="AC180" s="208">
        <v>0</v>
      </c>
      <c r="AD180" s="269">
        <f t="shared" si="154"/>
        <v>0</v>
      </c>
      <c r="AE180" s="270">
        <f>FEBRERO!AG180</f>
        <v>0</v>
      </c>
      <c r="AF180" s="208">
        <v>0</v>
      </c>
      <c r="AG180" s="269">
        <f t="shared" si="155"/>
        <v>0</v>
      </c>
      <c r="AH180" s="270">
        <f t="shared" si="156"/>
        <v>0</v>
      </c>
      <c r="AI180" s="220">
        <f t="shared" si="157"/>
        <v>0</v>
      </c>
      <c r="AJ180" s="269">
        <f t="shared" si="158"/>
        <v>0</v>
      </c>
      <c r="AK180" s="903"/>
      <c r="AL180" s="204">
        <v>0</v>
      </c>
      <c r="AM180" s="210">
        <v>0</v>
      </c>
    </row>
    <row r="181" spans="19:39" ht="24.75" customHeight="1">
      <c r="S181" s="266">
        <f>+IF(FEBRERO!S181=0,"",FEBRERO!S181)</f>
        <v>3200600</v>
      </c>
      <c r="T181" s="534" t="str">
        <f>+IF(FEBRERO!T181=0,"",FEBRERO!T181)</f>
        <v/>
      </c>
      <c r="U181" s="301">
        <f>+ENERO!U181</f>
        <v>0</v>
      </c>
      <c r="V181" s="220">
        <f>FEBRERO!V181+MARZO!AL181</f>
        <v>0</v>
      </c>
      <c r="W181" s="220">
        <f>FEBRERO!W181+MARZO!AM181</f>
        <v>0</v>
      </c>
      <c r="X181" s="271">
        <f t="shared" si="152"/>
        <v>0</v>
      </c>
      <c r="Y181" s="270">
        <f>FEBRERO!AA181</f>
        <v>0</v>
      </c>
      <c r="Z181" s="208">
        <v>0</v>
      </c>
      <c r="AA181" s="269">
        <f t="shared" si="153"/>
        <v>0</v>
      </c>
      <c r="AB181" s="270">
        <f>FEBRERO!AD181</f>
        <v>0</v>
      </c>
      <c r="AC181" s="208">
        <v>0</v>
      </c>
      <c r="AD181" s="269">
        <f t="shared" si="154"/>
        <v>0</v>
      </c>
      <c r="AE181" s="270">
        <f>FEBRERO!AG181</f>
        <v>0</v>
      </c>
      <c r="AF181" s="208">
        <v>0</v>
      </c>
      <c r="AG181" s="269">
        <f t="shared" si="155"/>
        <v>0</v>
      </c>
      <c r="AH181" s="270">
        <f t="shared" si="156"/>
        <v>0</v>
      </c>
      <c r="AI181" s="220">
        <f t="shared" si="157"/>
        <v>0</v>
      </c>
      <c r="AJ181" s="269">
        <f t="shared" si="158"/>
        <v>0</v>
      </c>
      <c r="AK181" s="903"/>
      <c r="AL181" s="204">
        <v>0</v>
      </c>
      <c r="AM181" s="210">
        <v>0</v>
      </c>
    </row>
    <row r="182" spans="19:39" ht="24.75" customHeight="1">
      <c r="S182" s="266" t="str">
        <f>+IF(FEBRERO!S182=0,"",FEBRERO!S182)</f>
        <v>2.1.7.01.01</v>
      </c>
      <c r="T182" s="534" t="str">
        <f>+IF(FEBRERO!T182=0,"",FEBRERO!T182)</f>
        <v>Vigencias Anteriores Cesantias</v>
      </c>
      <c r="U182" s="301">
        <f>+ENERO!U182</f>
        <v>0</v>
      </c>
      <c r="V182" s="220">
        <f>FEBRERO!V182+MARZO!AL182</f>
        <v>0</v>
      </c>
      <c r="W182" s="220">
        <f>FEBRERO!W182+MARZO!AM182</f>
        <v>0</v>
      </c>
      <c r="X182" s="271">
        <f t="shared" si="152"/>
        <v>0</v>
      </c>
      <c r="Y182" s="270">
        <f>FEBRERO!AA182</f>
        <v>0</v>
      </c>
      <c r="Z182" s="208">
        <v>0</v>
      </c>
      <c r="AA182" s="269">
        <f t="shared" si="153"/>
        <v>0</v>
      </c>
      <c r="AB182" s="270">
        <f>FEBRERO!AD182</f>
        <v>0</v>
      </c>
      <c r="AC182" s="208">
        <v>0</v>
      </c>
      <c r="AD182" s="269">
        <f t="shared" si="154"/>
        <v>0</v>
      </c>
      <c r="AE182" s="270">
        <f>FEBRERO!AG182</f>
        <v>0</v>
      </c>
      <c r="AF182" s="208">
        <v>0</v>
      </c>
      <c r="AG182" s="269">
        <f t="shared" si="155"/>
        <v>0</v>
      </c>
      <c r="AH182" s="270">
        <f t="shared" si="156"/>
        <v>0</v>
      </c>
      <c r="AI182" s="220">
        <f t="shared" si="157"/>
        <v>0</v>
      </c>
      <c r="AJ182" s="269">
        <f t="shared" si="158"/>
        <v>0</v>
      </c>
      <c r="AK182" s="903"/>
      <c r="AL182" s="204">
        <v>0</v>
      </c>
      <c r="AM182" s="210">
        <v>0</v>
      </c>
    </row>
    <row r="183" spans="19:39" ht="24.75" customHeight="1">
      <c r="S183" s="189" t="str">
        <f>+IF(FEBRERO!S183=0,"",FEBRERO!S183)</f>
        <v/>
      </c>
      <c r="T183" s="488" t="str">
        <f>+IF(FEBRERO!T183=0,"",FEBRERO!T183)</f>
        <v/>
      </c>
      <c r="U183" s="193"/>
      <c r="V183" s="191"/>
      <c r="W183" s="191"/>
      <c r="X183" s="191"/>
      <c r="Y183" s="193"/>
      <c r="Z183" s="191"/>
      <c r="AA183" s="192"/>
      <c r="AB183" s="193"/>
      <c r="AC183" s="191"/>
      <c r="AD183" s="192"/>
      <c r="AE183" s="193"/>
      <c r="AF183" s="191"/>
      <c r="AG183" s="192"/>
      <c r="AH183" s="193"/>
      <c r="AI183" s="191"/>
      <c r="AJ183" s="192"/>
      <c r="AK183" s="903"/>
      <c r="AL183" s="370"/>
      <c r="AM183" s="371"/>
    </row>
    <row r="184" spans="19:39" ht="24.75" customHeight="1">
      <c r="S184" s="257">
        <f>+IF(FEBRERO!S184=0,"",FEBRERO!S184)</f>
        <v>3300000</v>
      </c>
      <c r="T184" s="532" t="str">
        <f>+IF(FEBRERO!T184=0,"",FEBRERO!T184)</f>
        <v>Otras Transferencias</v>
      </c>
      <c r="U184" s="233">
        <f t="shared" ref="U184:AJ184" si="159">U185+U186+U191</f>
        <v>1313060585</v>
      </c>
      <c r="V184" s="231">
        <f t="shared" si="159"/>
        <v>0</v>
      </c>
      <c r="W184" s="231">
        <f t="shared" si="159"/>
        <v>0</v>
      </c>
      <c r="X184" s="234">
        <f t="shared" si="159"/>
        <v>1313060585</v>
      </c>
      <c r="Y184" s="233">
        <f t="shared" si="159"/>
        <v>169681547</v>
      </c>
      <c r="Z184" s="231">
        <f t="shared" si="159"/>
        <v>40354771</v>
      </c>
      <c r="AA184" s="232">
        <f t="shared" si="159"/>
        <v>210036318</v>
      </c>
      <c r="AB184" s="233">
        <f t="shared" si="159"/>
        <v>169681547</v>
      </c>
      <c r="AC184" s="231">
        <f t="shared" si="159"/>
        <v>40354771</v>
      </c>
      <c r="AD184" s="232">
        <f t="shared" si="159"/>
        <v>210036318</v>
      </c>
      <c r="AE184" s="233">
        <f t="shared" si="159"/>
        <v>163464844</v>
      </c>
      <c r="AF184" s="231">
        <f t="shared" si="159"/>
        <v>39832068</v>
      </c>
      <c r="AG184" s="232">
        <f t="shared" si="159"/>
        <v>203296912</v>
      </c>
      <c r="AH184" s="233">
        <f t="shared" si="159"/>
        <v>1103024267</v>
      </c>
      <c r="AI184" s="231">
        <f t="shared" si="159"/>
        <v>1103024267</v>
      </c>
      <c r="AJ184" s="232">
        <f t="shared" si="159"/>
        <v>1109763673</v>
      </c>
      <c r="AK184" s="903"/>
      <c r="AL184" s="233">
        <f>AL185+AL186+AL191</f>
        <v>0</v>
      </c>
      <c r="AM184" s="232">
        <f>AM185+AM186+AM191</f>
        <v>0</v>
      </c>
    </row>
    <row r="185" spans="19:39" ht="24.75" customHeight="1">
      <c r="S185" s="266" t="str">
        <f>+IF(FEBRERO!S185=0,"",FEBRERO!S185)</f>
        <v>2.1.3.13.01.001</v>
      </c>
      <c r="T185" s="534" t="str">
        <f>+IF(FEBRERO!T185=0,"",FEBRERO!T185)</f>
        <v>Sentencias</v>
      </c>
      <c r="U185" s="301">
        <f>+ENERO!U185</f>
        <v>800000000</v>
      </c>
      <c r="V185" s="220">
        <f>FEBRERO!V185+MARZO!AL185</f>
        <v>-350000000</v>
      </c>
      <c r="W185" s="220">
        <f>FEBRERO!W185+MARZO!AM185</f>
        <v>0</v>
      </c>
      <c r="X185" s="271">
        <f>SUM(U185:W185)</f>
        <v>450000000</v>
      </c>
      <c r="Y185" s="270">
        <f>FEBRERO!AA185</f>
        <v>0</v>
      </c>
      <c r="Z185" s="208">
        <v>0</v>
      </c>
      <c r="AA185" s="269">
        <f>SUM(Y185:Z185)</f>
        <v>0</v>
      </c>
      <c r="AB185" s="270">
        <f>FEBRERO!AD185</f>
        <v>0</v>
      </c>
      <c r="AC185" s="208">
        <v>0</v>
      </c>
      <c r="AD185" s="269">
        <f>SUM(AB185:AC185)</f>
        <v>0</v>
      </c>
      <c r="AE185" s="270">
        <f>FEBRERO!AG185</f>
        <v>0</v>
      </c>
      <c r="AF185" s="208">
        <v>0</v>
      </c>
      <c r="AG185" s="269">
        <f>SUM(AE185:AF185)</f>
        <v>0</v>
      </c>
      <c r="AH185" s="270">
        <f>X185-AA185</f>
        <v>450000000</v>
      </c>
      <c r="AI185" s="220">
        <f>X185-AD185</f>
        <v>450000000</v>
      </c>
      <c r="AJ185" s="269">
        <f>X185-AG185</f>
        <v>450000000</v>
      </c>
      <c r="AK185" s="903"/>
      <c r="AL185" s="204">
        <v>0</v>
      </c>
      <c r="AM185" s="210">
        <v>0</v>
      </c>
    </row>
    <row r="186" spans="19:39" ht="24.75" customHeight="1">
      <c r="S186" s="266">
        <f>+IF(FEBRERO!S186=0,"",FEBRERO!S186)</f>
        <v>3300200</v>
      </c>
      <c r="T186" s="534" t="str">
        <f>+IF(FEBRERO!T186=0,"",FEBRERO!T186)</f>
        <v>Destinatarios de otras transferencias</v>
      </c>
      <c r="U186" s="301">
        <f t="shared" ref="U186:AJ186" si="160">SUM(U187:U190)</f>
        <v>463060585</v>
      </c>
      <c r="V186" s="220">
        <f t="shared" si="160"/>
        <v>0</v>
      </c>
      <c r="W186" s="220">
        <f t="shared" si="160"/>
        <v>0</v>
      </c>
      <c r="X186" s="271">
        <f t="shared" si="160"/>
        <v>463060585</v>
      </c>
      <c r="Y186" s="270">
        <f t="shared" si="160"/>
        <v>6739406</v>
      </c>
      <c r="Z186" s="300">
        <f t="shared" si="160"/>
        <v>522703</v>
      </c>
      <c r="AA186" s="269">
        <f t="shared" si="160"/>
        <v>7262109</v>
      </c>
      <c r="AB186" s="270">
        <f t="shared" si="160"/>
        <v>6739406</v>
      </c>
      <c r="AC186" s="300">
        <f t="shared" si="160"/>
        <v>522703</v>
      </c>
      <c r="AD186" s="269">
        <f t="shared" si="160"/>
        <v>7262109</v>
      </c>
      <c r="AE186" s="270">
        <f t="shared" si="160"/>
        <v>522703</v>
      </c>
      <c r="AF186" s="300">
        <f t="shared" si="160"/>
        <v>0</v>
      </c>
      <c r="AG186" s="269">
        <f t="shared" si="160"/>
        <v>522703</v>
      </c>
      <c r="AH186" s="270">
        <f t="shared" si="160"/>
        <v>455798476</v>
      </c>
      <c r="AI186" s="220">
        <f t="shared" si="160"/>
        <v>455798476</v>
      </c>
      <c r="AJ186" s="269">
        <f t="shared" si="160"/>
        <v>462537882</v>
      </c>
      <c r="AK186" s="903"/>
      <c r="AL186" s="301">
        <f>SUM(AL187:AL190)</f>
        <v>0</v>
      </c>
      <c r="AM186" s="302">
        <f>SUM(AM187:AM190)</f>
        <v>0</v>
      </c>
    </row>
    <row r="187" spans="19:39" ht="24.75" customHeight="1">
      <c r="S187" s="311" t="str">
        <f>+IF(FEBRERO!S187=0,"",FEBRERO!S187)</f>
        <v>2.1.2.02.02.009.907</v>
      </c>
      <c r="T187" s="534" t="str">
        <f>+IF(FEBRERO!T187=0,"",FEBRERO!T187)</f>
        <v>Cuota de Afiliación o sostenimiento (COHAN, AESA, OTROS)</v>
      </c>
      <c r="U187" s="301">
        <f>+ENERO!U187</f>
        <v>13060585</v>
      </c>
      <c r="V187" s="220">
        <f>FEBRERO!V187+MARZO!AL187</f>
        <v>0</v>
      </c>
      <c r="W187" s="220">
        <f>FEBRERO!W187+MARZO!AM187</f>
        <v>0</v>
      </c>
      <c r="X187" s="271">
        <f>SUM(U187:W187)</f>
        <v>13060585</v>
      </c>
      <c r="Y187" s="270">
        <f>FEBRERO!AA187</f>
        <v>6739406</v>
      </c>
      <c r="Z187" s="208">
        <v>522703</v>
      </c>
      <c r="AA187" s="269">
        <f>SUM(Y187:Z187)</f>
        <v>7262109</v>
      </c>
      <c r="AB187" s="270">
        <f>FEBRERO!AD187</f>
        <v>6739406</v>
      </c>
      <c r="AC187" s="208">
        <v>522703</v>
      </c>
      <c r="AD187" s="269">
        <f>SUM(AB187:AC187)</f>
        <v>7262109</v>
      </c>
      <c r="AE187" s="270">
        <f>FEBRERO!AG187</f>
        <v>522703</v>
      </c>
      <c r="AF187" s="208">
        <v>0</v>
      </c>
      <c r="AG187" s="269">
        <f>SUM(AE187:AF187)</f>
        <v>522703</v>
      </c>
      <c r="AH187" s="270">
        <f>X187-AA187</f>
        <v>5798476</v>
      </c>
      <c r="AI187" s="220">
        <f>X187-AD187</f>
        <v>5798476</v>
      </c>
      <c r="AJ187" s="269">
        <f>X187-AG187</f>
        <v>12537882</v>
      </c>
      <c r="AK187" s="903"/>
      <c r="AL187" s="204">
        <v>0</v>
      </c>
      <c r="AM187" s="210">
        <v>0</v>
      </c>
    </row>
    <row r="188" spans="19:39" ht="24.75" customHeight="1">
      <c r="S188" s="311" t="str">
        <f>+IF(FEBRERO!S188=0,"",FEBRERO!S188)</f>
        <v>2.1.8.04.07</v>
      </c>
      <c r="T188" s="534" t="str">
        <f>+IF(FEBRERO!T188=0,"",FEBRERO!T188)</f>
        <v>Conciliaciones</v>
      </c>
      <c r="U188" s="301">
        <f>+ENERO!U188</f>
        <v>300000000</v>
      </c>
      <c r="V188" s="220">
        <f>FEBRERO!V188+MARZO!AL188</f>
        <v>0</v>
      </c>
      <c r="W188" s="220">
        <f>FEBRERO!W188+MARZO!AM188</f>
        <v>0</v>
      </c>
      <c r="X188" s="271">
        <f>SUM(U188:W188)</f>
        <v>300000000</v>
      </c>
      <c r="Y188" s="270">
        <f>FEBRERO!AA188</f>
        <v>0</v>
      </c>
      <c r="Z188" s="208">
        <v>0</v>
      </c>
      <c r="AA188" s="269">
        <f>SUM(Y188:Z188)</f>
        <v>0</v>
      </c>
      <c r="AB188" s="270">
        <f>FEBRERO!AD188</f>
        <v>0</v>
      </c>
      <c r="AC188" s="208">
        <v>0</v>
      </c>
      <c r="AD188" s="269">
        <f>SUM(AB188:AC188)</f>
        <v>0</v>
      </c>
      <c r="AE188" s="270">
        <f>FEBRERO!AG188</f>
        <v>0</v>
      </c>
      <c r="AF188" s="208">
        <v>0</v>
      </c>
      <c r="AG188" s="269">
        <f>SUM(AE188:AF188)</f>
        <v>0</v>
      </c>
      <c r="AH188" s="270">
        <f>X188-AA188</f>
        <v>300000000</v>
      </c>
      <c r="AI188" s="220">
        <f>X188-AD188</f>
        <v>300000000</v>
      </c>
      <c r="AJ188" s="269">
        <f>X188-AG188</f>
        <v>300000000</v>
      </c>
      <c r="AK188" s="903"/>
      <c r="AL188" s="204">
        <v>0</v>
      </c>
      <c r="AM188" s="210">
        <v>0</v>
      </c>
    </row>
    <row r="189" spans="19:39" ht="24.75" customHeight="1">
      <c r="S189" s="311" t="str">
        <f>+IF(FEBRERO!S189=0,"",FEBRERO!S189)</f>
        <v>2.1.8.05.01</v>
      </c>
      <c r="T189" s="534" t="str">
        <f>+IF(FEBRERO!T189=0,"",FEBRERO!T189)</f>
        <v>Multas y sanciones</v>
      </c>
      <c r="U189" s="301">
        <v>0</v>
      </c>
      <c r="V189" s="220">
        <f>FEBRERO!V189+MARZO!AL189</f>
        <v>0</v>
      </c>
      <c r="W189" s="220">
        <f>FEBRERO!W189+MARZO!AM189</f>
        <v>0</v>
      </c>
      <c r="X189" s="271">
        <f>SUM(U189:W189)</f>
        <v>0</v>
      </c>
      <c r="Y189" s="270">
        <f>FEBRERO!AA189</f>
        <v>0</v>
      </c>
      <c r="Z189" s="208">
        <v>0</v>
      </c>
      <c r="AA189" s="269">
        <f>SUM(Y189:Z189)</f>
        <v>0</v>
      </c>
      <c r="AB189" s="270">
        <f>FEBRERO!AD189</f>
        <v>0</v>
      </c>
      <c r="AC189" s="208">
        <v>0</v>
      </c>
      <c r="AD189" s="269">
        <f>SUM(AB189:AC189)</f>
        <v>0</v>
      </c>
      <c r="AE189" s="270">
        <f>FEBRERO!AG189</f>
        <v>0</v>
      </c>
      <c r="AF189" s="208">
        <v>0</v>
      </c>
      <c r="AG189" s="269">
        <f>SUM(AE189:AF189)</f>
        <v>0</v>
      </c>
      <c r="AH189" s="270">
        <f>X189-AA189</f>
        <v>0</v>
      </c>
      <c r="AI189" s="220">
        <f>X189-AD189</f>
        <v>0</v>
      </c>
      <c r="AJ189" s="269">
        <f>X189-AG189</f>
        <v>0</v>
      </c>
      <c r="AK189" s="903"/>
      <c r="AL189" s="204"/>
      <c r="AM189" s="210"/>
    </row>
    <row r="190" spans="19:39" ht="24.75" customHeight="1">
      <c r="S190" s="311" t="str">
        <f>+IF(FEBRERO!S190=0,"",FEBRERO!S190)</f>
        <v>2.1.8.04.07</v>
      </c>
      <c r="T190" s="534" t="str">
        <f>+IF(FEBRERO!T190=0,"",FEBRERO!T190)</f>
        <v>Cuotas de auditaje supersalud</v>
      </c>
      <c r="U190" s="301">
        <f>+ENERO!U190</f>
        <v>150000000</v>
      </c>
      <c r="V190" s="220">
        <f>FEBRERO!V190+MARZO!AL190</f>
        <v>0</v>
      </c>
      <c r="W190" s="220">
        <f>FEBRERO!W190+MARZO!AM190</f>
        <v>0</v>
      </c>
      <c r="X190" s="271">
        <f>SUM(U190:W190)</f>
        <v>150000000</v>
      </c>
      <c r="Y190" s="270">
        <f>FEBRERO!AA190</f>
        <v>0</v>
      </c>
      <c r="Z190" s="208">
        <v>0</v>
      </c>
      <c r="AA190" s="269">
        <f>SUM(Y190:Z190)</f>
        <v>0</v>
      </c>
      <c r="AB190" s="270">
        <f>FEBRERO!AD190</f>
        <v>0</v>
      </c>
      <c r="AC190" s="208">
        <v>0</v>
      </c>
      <c r="AD190" s="269">
        <f>SUM(AB190:AC190)</f>
        <v>0</v>
      </c>
      <c r="AE190" s="270">
        <f>FEBRERO!AG190</f>
        <v>0</v>
      </c>
      <c r="AF190" s="208">
        <v>0</v>
      </c>
      <c r="AG190" s="269">
        <f>SUM(AE190:AF190)</f>
        <v>0</v>
      </c>
      <c r="AH190" s="270">
        <f>X190-AA190</f>
        <v>150000000</v>
      </c>
      <c r="AI190" s="220">
        <f>X190-AD190</f>
        <v>150000000</v>
      </c>
      <c r="AJ190" s="269">
        <f>X190-AG190</f>
        <v>150000000</v>
      </c>
      <c r="AK190" s="903"/>
      <c r="AL190" s="204">
        <v>0</v>
      </c>
      <c r="AM190" s="210">
        <v>0</v>
      </c>
    </row>
    <row r="191" spans="19:39" ht="24.75" customHeight="1">
      <c r="S191" s="266" t="str">
        <f>+IF(FEBRERO!S191=0,"",FEBRERO!S191)</f>
        <v>2.1.3.13.01.002.99</v>
      </c>
      <c r="T191" s="534" t="str">
        <f>+IF(FEBRERO!T191=0,"",FEBRERO!T191)</f>
        <v>Vigencias Anteriores Conciliaciones</v>
      </c>
      <c r="U191" s="301">
        <f>+ENERO!U191</f>
        <v>50000000</v>
      </c>
      <c r="V191" s="220">
        <f>FEBRERO!V191+MARZO!AL191</f>
        <v>350000000</v>
      </c>
      <c r="W191" s="220">
        <f>FEBRERO!W191+MARZO!AM191</f>
        <v>0</v>
      </c>
      <c r="X191" s="271">
        <f>SUM(U191:W191)</f>
        <v>400000000</v>
      </c>
      <c r="Y191" s="270">
        <f>FEBRERO!AA191</f>
        <v>162942141</v>
      </c>
      <c r="Z191" s="208">
        <v>39832068</v>
      </c>
      <c r="AA191" s="269">
        <f>SUM(Y191:Z191)</f>
        <v>202774209</v>
      </c>
      <c r="AB191" s="270">
        <f>FEBRERO!AD191</f>
        <v>162942141</v>
      </c>
      <c r="AC191" s="208">
        <v>39832068</v>
      </c>
      <c r="AD191" s="269">
        <f>SUM(AB191:AC191)</f>
        <v>202774209</v>
      </c>
      <c r="AE191" s="270">
        <f>FEBRERO!AG191</f>
        <v>162942141</v>
      </c>
      <c r="AF191" s="208">
        <v>39832068</v>
      </c>
      <c r="AG191" s="269">
        <f>SUM(AE191:AF191)</f>
        <v>202774209</v>
      </c>
      <c r="AH191" s="270">
        <f>X191-AA191</f>
        <v>197225791</v>
      </c>
      <c r="AI191" s="220">
        <f>X191-AD191</f>
        <v>197225791</v>
      </c>
      <c r="AJ191" s="269">
        <f>X191-AG191</f>
        <v>197225791</v>
      </c>
      <c r="AK191" s="903"/>
      <c r="AL191" s="204">
        <v>0</v>
      </c>
      <c r="AM191" s="210">
        <v>0</v>
      </c>
    </row>
    <row r="192" spans="19:39" ht="24.75" customHeight="1">
      <c r="S192" s="189" t="str">
        <f>+IF(FEBRERO!S194=0,"",FEBRERO!S194)</f>
        <v/>
      </c>
      <c r="T192" s="488" t="str">
        <f>+IF(FEBRERO!T194=0,"",FEBRERO!T194)</f>
        <v/>
      </c>
      <c r="U192" s="193"/>
      <c r="V192" s="191"/>
      <c r="W192" s="191"/>
      <c r="X192" s="191"/>
      <c r="Y192" s="193"/>
      <c r="Z192" s="191"/>
      <c r="AA192" s="192"/>
      <c r="AB192" s="193"/>
      <c r="AC192" s="191"/>
      <c r="AD192" s="192"/>
      <c r="AE192" s="193"/>
      <c r="AF192" s="191"/>
      <c r="AG192" s="192"/>
      <c r="AH192" s="193"/>
      <c r="AI192" s="191"/>
      <c r="AJ192" s="192"/>
      <c r="AK192" s="903"/>
      <c r="AL192" s="370"/>
      <c r="AM192" s="371"/>
    </row>
    <row r="193" spans="19:39" ht="31.5" customHeight="1">
      <c r="S193" s="462" t="s">
        <v>294</v>
      </c>
      <c r="T193" s="463" t="s">
        <v>295</v>
      </c>
      <c r="U193" s="882">
        <f t="shared" ref="U193:AJ193" si="161">U195+U209</f>
        <v>42375190113.666664</v>
      </c>
      <c r="V193" s="406">
        <f t="shared" si="161"/>
        <v>0</v>
      </c>
      <c r="W193" s="406">
        <f t="shared" si="161"/>
        <v>400000000</v>
      </c>
      <c r="X193" s="218">
        <f t="shared" si="161"/>
        <v>42775190113.666664</v>
      </c>
      <c r="Y193" s="217">
        <f t="shared" si="161"/>
        <v>19074438737</v>
      </c>
      <c r="Z193" s="406">
        <f t="shared" si="161"/>
        <v>7602449758</v>
      </c>
      <c r="AA193" s="218">
        <f t="shared" si="161"/>
        <v>26676888495</v>
      </c>
      <c r="AB193" s="882">
        <f t="shared" si="161"/>
        <v>10539765594</v>
      </c>
      <c r="AC193" s="406">
        <f t="shared" si="161"/>
        <v>6220230493</v>
      </c>
      <c r="AD193" s="407">
        <f t="shared" si="161"/>
        <v>16759996087</v>
      </c>
      <c r="AE193" s="217">
        <f t="shared" si="161"/>
        <v>4476644718</v>
      </c>
      <c r="AF193" s="406">
        <f t="shared" si="161"/>
        <v>3224879526</v>
      </c>
      <c r="AG193" s="218">
        <f t="shared" si="161"/>
        <v>7701524244</v>
      </c>
      <c r="AH193" s="217">
        <f t="shared" si="161"/>
        <v>16098301618.666666</v>
      </c>
      <c r="AI193" s="406">
        <f t="shared" si="161"/>
        <v>26015194026.666664</v>
      </c>
      <c r="AJ193" s="218">
        <f t="shared" si="161"/>
        <v>35073665869.666664</v>
      </c>
      <c r="AK193" s="903"/>
      <c r="AL193" s="217">
        <f>AL195+AL209</f>
        <v>0</v>
      </c>
      <c r="AM193" s="218">
        <f>AM195+AM209</f>
        <v>0</v>
      </c>
    </row>
    <row r="194" spans="19:39" ht="24.75" customHeight="1">
      <c r="S194" s="189"/>
      <c r="T194" s="488"/>
      <c r="U194" s="193"/>
      <c r="V194" s="191"/>
      <c r="W194" s="191"/>
      <c r="X194" s="191"/>
      <c r="Y194" s="193"/>
      <c r="Z194" s="191"/>
      <c r="AA194" s="192"/>
      <c r="AB194" s="193"/>
      <c r="AC194" s="191"/>
      <c r="AD194" s="192"/>
      <c r="AE194" s="193"/>
      <c r="AF194" s="191"/>
      <c r="AG194" s="192"/>
      <c r="AH194" s="193"/>
      <c r="AI194" s="191"/>
      <c r="AJ194" s="192"/>
      <c r="AK194" s="903"/>
      <c r="AL194" s="370"/>
      <c r="AM194" s="371"/>
    </row>
    <row r="195" spans="19:39" ht="24.75" customHeight="1">
      <c r="S195" s="228" t="str">
        <f>+IF(FEBRERO!S195=0,"",FEBRERO!S195)</f>
        <v>2.4</v>
      </c>
      <c r="T195" s="541" t="str">
        <f>+IF(FEBRERO!T195=0,"",FEBRERO!T195)</f>
        <v>GASTOS  DEOPERACIÓN COMERCIAL</v>
      </c>
      <c r="U195" s="217">
        <f t="shared" ref="U195:AJ195" si="162">U196</f>
        <v>40172190113.666664</v>
      </c>
      <c r="V195" s="406">
        <f t="shared" si="162"/>
        <v>-1093559635</v>
      </c>
      <c r="W195" s="406">
        <f t="shared" si="162"/>
        <v>400000000</v>
      </c>
      <c r="X195" s="407">
        <f t="shared" si="162"/>
        <v>39478630478.666664</v>
      </c>
      <c r="Y195" s="217">
        <f t="shared" si="162"/>
        <v>16972166153</v>
      </c>
      <c r="Z195" s="406">
        <f t="shared" si="162"/>
        <v>6590569929</v>
      </c>
      <c r="AA195" s="218">
        <f t="shared" si="162"/>
        <v>23562736082</v>
      </c>
      <c r="AB195" s="217">
        <f t="shared" si="162"/>
        <v>8437493010</v>
      </c>
      <c r="AC195" s="406">
        <f t="shared" si="162"/>
        <v>5208350664</v>
      </c>
      <c r="AD195" s="218">
        <f t="shared" si="162"/>
        <v>13645843674</v>
      </c>
      <c r="AE195" s="217">
        <f t="shared" si="162"/>
        <v>2374372134</v>
      </c>
      <c r="AF195" s="406">
        <f t="shared" si="162"/>
        <v>2212999697</v>
      </c>
      <c r="AG195" s="218">
        <f t="shared" si="162"/>
        <v>4587371831</v>
      </c>
      <c r="AH195" s="217">
        <f t="shared" si="162"/>
        <v>15915894396.666666</v>
      </c>
      <c r="AI195" s="406">
        <f t="shared" si="162"/>
        <v>25832786804.666664</v>
      </c>
      <c r="AJ195" s="218">
        <f t="shared" si="162"/>
        <v>34891258647.666664</v>
      </c>
      <c r="AK195" s="903"/>
      <c r="AL195" s="233">
        <f>AL196</f>
        <v>-598000000</v>
      </c>
      <c r="AM195" s="232">
        <f>AM196</f>
        <v>0</v>
      </c>
    </row>
    <row r="196" spans="19:39" ht="24.75" customHeight="1">
      <c r="S196" s="257" t="str">
        <f>+IF(FEBRERO!S196=0,"",FEBRERO!S196)</f>
        <v>2.4.5</v>
      </c>
      <c r="T196" s="532" t="str">
        <f>+IF(FEBRERO!T196=0,"",FEBRERO!T196)</f>
        <v>GASTOS DE COMERCIALIZACIÓN Y PRODUCCIÓN</v>
      </c>
      <c r="U196" s="233">
        <f t="shared" ref="U196:AJ196" si="163">U197+U205+U207</f>
        <v>40172190113.666664</v>
      </c>
      <c r="V196" s="231">
        <f t="shared" si="163"/>
        <v>-1093559635</v>
      </c>
      <c r="W196" s="231">
        <f t="shared" si="163"/>
        <v>400000000</v>
      </c>
      <c r="X196" s="234">
        <f t="shared" si="163"/>
        <v>39478630478.666664</v>
      </c>
      <c r="Y196" s="233">
        <f t="shared" si="163"/>
        <v>16972166153</v>
      </c>
      <c r="Z196" s="231">
        <f t="shared" si="163"/>
        <v>6590569929</v>
      </c>
      <c r="AA196" s="232">
        <f t="shared" si="163"/>
        <v>23562736082</v>
      </c>
      <c r="AB196" s="233">
        <f t="shared" si="163"/>
        <v>8437493010</v>
      </c>
      <c r="AC196" s="231">
        <f t="shared" si="163"/>
        <v>5208350664</v>
      </c>
      <c r="AD196" s="232">
        <f t="shared" si="163"/>
        <v>13645843674</v>
      </c>
      <c r="AE196" s="233">
        <f t="shared" si="163"/>
        <v>2374372134</v>
      </c>
      <c r="AF196" s="231">
        <f t="shared" si="163"/>
        <v>2212999697</v>
      </c>
      <c r="AG196" s="232">
        <f t="shared" si="163"/>
        <v>4587371831</v>
      </c>
      <c r="AH196" s="233">
        <f t="shared" si="163"/>
        <v>15915894396.666666</v>
      </c>
      <c r="AI196" s="231">
        <f t="shared" si="163"/>
        <v>25832786804.666664</v>
      </c>
      <c r="AJ196" s="232">
        <f t="shared" si="163"/>
        <v>34891258647.666664</v>
      </c>
      <c r="AK196" s="907"/>
      <c r="AL196" s="233">
        <f>AL197+AL205+AL207</f>
        <v>-598000000</v>
      </c>
      <c r="AM196" s="232">
        <f>AM197+AM205+AM207</f>
        <v>0</v>
      </c>
    </row>
    <row r="197" spans="19:39" ht="24.75" customHeight="1">
      <c r="S197" s="266" t="str">
        <f>+IF(FEBRERO!S197=0,"",FEBRERO!S197)</f>
        <v>2.4.5.01</v>
      </c>
      <c r="T197" s="534" t="str">
        <f>+IF(FEBRERO!T197=0,"",FEBRERO!T197)</f>
        <v>Materiales y suministros</v>
      </c>
      <c r="U197" s="301">
        <f t="shared" ref="U197:AJ197" si="164">SUM(U198:U204)</f>
        <v>28648709150.333332</v>
      </c>
      <c r="V197" s="220">
        <f t="shared" si="164"/>
        <v>-495559635</v>
      </c>
      <c r="W197" s="220">
        <f t="shared" si="164"/>
        <v>400000000</v>
      </c>
      <c r="X197" s="271">
        <f t="shared" si="164"/>
        <v>28553149515.333332</v>
      </c>
      <c r="Y197" s="270">
        <f t="shared" si="164"/>
        <v>11100014813</v>
      </c>
      <c r="Z197" s="300">
        <f t="shared" si="164"/>
        <v>5740206469</v>
      </c>
      <c r="AA197" s="269">
        <f t="shared" si="164"/>
        <v>16840221282</v>
      </c>
      <c r="AB197" s="270">
        <f t="shared" si="164"/>
        <v>6143191793</v>
      </c>
      <c r="AC197" s="300">
        <f t="shared" si="164"/>
        <v>3230481517</v>
      </c>
      <c r="AD197" s="269">
        <f t="shared" si="164"/>
        <v>9373673310</v>
      </c>
      <c r="AE197" s="270">
        <f t="shared" si="164"/>
        <v>80070919</v>
      </c>
      <c r="AF197" s="300">
        <f t="shared" si="164"/>
        <v>864272340</v>
      </c>
      <c r="AG197" s="269">
        <f t="shared" si="164"/>
        <v>944343259</v>
      </c>
      <c r="AH197" s="270">
        <f t="shared" si="164"/>
        <v>11712928233.333332</v>
      </c>
      <c r="AI197" s="220">
        <f t="shared" si="164"/>
        <v>19179476205.333332</v>
      </c>
      <c r="AJ197" s="269">
        <f t="shared" si="164"/>
        <v>27608806256.333332</v>
      </c>
      <c r="AK197" s="903"/>
      <c r="AL197" s="301">
        <f>SUM(AL198:AL204)</f>
        <v>0</v>
      </c>
      <c r="AM197" s="302">
        <f>SUM(AM198:AM204)</f>
        <v>0</v>
      </c>
    </row>
    <row r="198" spans="19:39" ht="24.75" customHeight="1">
      <c r="S198" s="311" t="str">
        <f>+IF(FEBRERO!S198=0,"",FEBRERO!S198)</f>
        <v>2.4.5.01.03.301</v>
      </c>
      <c r="T198" s="535" t="str">
        <f>+IF(FEBRERO!T198=0,"",FEBRERO!T198)</f>
        <v>Medicamentos</v>
      </c>
      <c r="U198" s="301">
        <f>+ENERO!U198</f>
        <v>7396066391.666666</v>
      </c>
      <c r="V198" s="220">
        <f>FEBRERO!V198+MARZO!AL198</f>
        <v>0</v>
      </c>
      <c r="W198" s="220">
        <f>FEBRERO!W198+MARZO!AM198</f>
        <v>0</v>
      </c>
      <c r="X198" s="271">
        <f t="shared" ref="X198:X204" si="165">SUM(U198:W198)</f>
        <v>7396066391.666666</v>
      </c>
      <c r="Y198" s="270">
        <f>FEBRERO!AA198</f>
        <v>2341035017</v>
      </c>
      <c r="Z198" s="208">
        <v>1100953095</v>
      </c>
      <c r="AA198" s="269">
        <f t="shared" ref="AA198:AA204" si="166">SUM(Y198:Z198)</f>
        <v>3441988112</v>
      </c>
      <c r="AB198" s="270">
        <f>FEBRERO!AD198</f>
        <v>1391969505</v>
      </c>
      <c r="AC198" s="208">
        <v>831410852</v>
      </c>
      <c r="AD198" s="269">
        <f t="shared" ref="AD198:AD204" si="167">SUM(AB198:AC198)</f>
        <v>2223380357</v>
      </c>
      <c r="AE198" s="270">
        <f>FEBRERO!AG198</f>
        <v>3369000</v>
      </c>
      <c r="AF198" s="208">
        <v>270688821</v>
      </c>
      <c r="AG198" s="269">
        <f t="shared" ref="AG198:AG204" si="168">SUM(AE198:AF198)</f>
        <v>274057821</v>
      </c>
      <c r="AH198" s="270">
        <f t="shared" ref="AH198:AH204" si="169">X198-AA198</f>
        <v>3954078279.666666</v>
      </c>
      <c r="AI198" s="220">
        <f t="shared" ref="AI198:AI204" si="170">X198-AD198</f>
        <v>5172686034.666666</v>
      </c>
      <c r="AJ198" s="269">
        <f t="shared" ref="AJ198:AJ204" si="171">X198-AG198</f>
        <v>7122008570.666666</v>
      </c>
      <c r="AK198" s="903"/>
      <c r="AL198" s="204">
        <v>0</v>
      </c>
      <c r="AM198" s="210">
        <v>0</v>
      </c>
    </row>
    <row r="199" spans="19:39" ht="24.75" customHeight="1">
      <c r="S199" s="311" t="str">
        <f>+IF(FEBRERO!S199=0,"",FEBRERO!S199)</f>
        <v>2.4.5.01.03.302</v>
      </c>
      <c r="T199" s="535" t="str">
        <f>+IF(FEBRERO!T199=0,"",FEBRERO!T199)</f>
        <v>Material Médico Quirúrgico</v>
      </c>
      <c r="U199" s="301">
        <f>+ENERO!U199</f>
        <v>6198007399.166666</v>
      </c>
      <c r="V199" s="220">
        <f>FEBRERO!V199+MARZO!AL199</f>
        <v>0</v>
      </c>
      <c r="W199" s="220">
        <f>FEBRERO!W199+MARZO!AM199</f>
        <v>200000000</v>
      </c>
      <c r="X199" s="271">
        <f t="shared" si="165"/>
        <v>6398007399.166666</v>
      </c>
      <c r="Y199" s="270">
        <f>FEBRERO!AA199</f>
        <v>2486443796</v>
      </c>
      <c r="Z199" s="208">
        <v>900263644</v>
      </c>
      <c r="AA199" s="269">
        <f t="shared" si="166"/>
        <v>3386707440</v>
      </c>
      <c r="AB199" s="270">
        <f>FEBRERO!AD199</f>
        <v>1927474186</v>
      </c>
      <c r="AC199" s="208">
        <v>879651157</v>
      </c>
      <c r="AD199" s="269">
        <f t="shared" si="167"/>
        <v>2807125343</v>
      </c>
      <c r="AE199" s="270">
        <f>FEBRERO!AG199</f>
        <v>94724</v>
      </c>
      <c r="AF199" s="208">
        <v>538557287</v>
      </c>
      <c r="AG199" s="269">
        <f t="shared" si="168"/>
        <v>538652011</v>
      </c>
      <c r="AH199" s="270">
        <f t="shared" si="169"/>
        <v>3011299959.166666</v>
      </c>
      <c r="AI199" s="220">
        <f t="shared" si="170"/>
        <v>3590882056.166666</v>
      </c>
      <c r="AJ199" s="269">
        <f t="shared" si="171"/>
        <v>5859355388.166666</v>
      </c>
      <c r="AK199" s="903"/>
      <c r="AL199" s="204">
        <v>0</v>
      </c>
      <c r="AM199" s="210">
        <v>0</v>
      </c>
    </row>
    <row r="200" spans="19:39" ht="24.75" customHeight="1">
      <c r="S200" s="311" t="str">
        <f>+IF(FEBRERO!S200=0,"",FEBRERO!S200)</f>
        <v>2.4.5.01.03.303</v>
      </c>
      <c r="T200" s="535" t="str">
        <f>+IF(FEBRERO!T200=0,"",FEBRERO!T200)</f>
        <v>Material de Laboratorio</v>
      </c>
      <c r="U200" s="301">
        <f>+ENERO!U200</f>
        <v>2001528195</v>
      </c>
      <c r="V200" s="220">
        <f>FEBRERO!V200+MARZO!AL200</f>
        <v>0</v>
      </c>
      <c r="W200" s="220">
        <f>FEBRERO!W200+MARZO!AM200</f>
        <v>200000000</v>
      </c>
      <c r="X200" s="271">
        <f t="shared" si="165"/>
        <v>2201528195</v>
      </c>
      <c r="Y200" s="270">
        <f>FEBRERO!AA200</f>
        <v>990435050</v>
      </c>
      <c r="Z200" s="208">
        <v>79035411</v>
      </c>
      <c r="AA200" s="269">
        <f t="shared" si="166"/>
        <v>1069470461</v>
      </c>
      <c r="AB200" s="270">
        <f>FEBRERO!AD200</f>
        <v>556330145</v>
      </c>
      <c r="AC200" s="208">
        <v>256204923</v>
      </c>
      <c r="AD200" s="269">
        <f>SUM(AB200:AC200)</f>
        <v>812535068</v>
      </c>
      <c r="AE200" s="270">
        <f>FEBRERO!AG200</f>
        <v>76607195</v>
      </c>
      <c r="AF200" s="208">
        <v>16485360</v>
      </c>
      <c r="AG200" s="269">
        <f t="shared" si="168"/>
        <v>93092555</v>
      </c>
      <c r="AH200" s="270">
        <f t="shared" si="169"/>
        <v>1132057734</v>
      </c>
      <c r="AI200" s="220">
        <f t="shared" si="170"/>
        <v>1388993127</v>
      </c>
      <c r="AJ200" s="269">
        <f t="shared" si="171"/>
        <v>2108435640</v>
      </c>
      <c r="AK200" s="903"/>
      <c r="AL200" s="204">
        <v>0</v>
      </c>
      <c r="AM200" s="210">
        <v>0</v>
      </c>
    </row>
    <row r="201" spans="19:39" ht="24.75" customHeight="1">
      <c r="S201" s="311" t="str">
        <f>+IF(FEBRERO!S201=0,"",FEBRERO!S201)</f>
        <v>2.4.5.02.09.901</v>
      </c>
      <c r="T201" s="535" t="str">
        <f>+IF(FEBRERO!T201=0,"",FEBRERO!T201)</f>
        <v xml:space="preserve">Servicio de Lavandería </v>
      </c>
      <c r="U201" s="301">
        <f>+ENERO!U201</f>
        <v>758333333.33333325</v>
      </c>
      <c r="V201" s="220">
        <f>FEBRERO!V201+MARZO!AL201</f>
        <v>0</v>
      </c>
      <c r="W201" s="220">
        <f>FEBRERO!W201+MARZO!AM201</f>
        <v>0</v>
      </c>
      <c r="X201" s="271">
        <f t="shared" si="165"/>
        <v>758333333.33333325</v>
      </c>
      <c r="Y201" s="270">
        <f>FEBRERO!AA201</f>
        <v>559900950</v>
      </c>
      <c r="Z201" s="208">
        <v>0</v>
      </c>
      <c r="AA201" s="269">
        <f t="shared" si="166"/>
        <v>559900950</v>
      </c>
      <c r="AB201" s="270">
        <f>FEBRERO!AD201</f>
        <v>195598188</v>
      </c>
      <c r="AC201" s="208">
        <v>102083192</v>
      </c>
      <c r="AD201" s="269">
        <f t="shared" si="167"/>
        <v>297681380</v>
      </c>
      <c r="AE201" s="270">
        <f>FEBRERO!AG201</f>
        <v>0</v>
      </c>
      <c r="AF201" s="208">
        <v>0</v>
      </c>
      <c r="AG201" s="269">
        <f t="shared" si="168"/>
        <v>0</v>
      </c>
      <c r="AH201" s="270">
        <f t="shared" si="169"/>
        <v>198432383.33333325</v>
      </c>
      <c r="AI201" s="220">
        <f t="shared" si="170"/>
        <v>460651953.33333325</v>
      </c>
      <c r="AJ201" s="269">
        <f t="shared" si="171"/>
        <v>758333333.33333325</v>
      </c>
      <c r="AK201" s="903"/>
      <c r="AL201" s="204">
        <v>0</v>
      </c>
      <c r="AM201" s="210">
        <v>0</v>
      </c>
    </row>
    <row r="202" spans="19:39" ht="24.75" customHeight="1">
      <c r="S202" s="311" t="str">
        <f>+IF(FEBRERO!S202=0,"",FEBRERO!S202)</f>
        <v>2.4.5.02.09.902</v>
      </c>
      <c r="T202" s="535" t="str">
        <f>+IF(FEBRERO!T202=0,"",FEBRERO!T202)</f>
        <v>Servicios de esterilización</v>
      </c>
      <c r="U202" s="301">
        <f>+ENERO!U202</f>
        <v>166666666.66666666</v>
      </c>
      <c r="V202" s="220">
        <f>FEBRERO!V202+MARZO!AL202</f>
        <v>0</v>
      </c>
      <c r="W202" s="220">
        <f>FEBRERO!W202+MARZO!AM202</f>
        <v>0</v>
      </c>
      <c r="X202" s="271">
        <f t="shared" si="165"/>
        <v>166666666.66666666</v>
      </c>
      <c r="Y202" s="270">
        <f>FEBRERO!AA202</f>
        <v>109200000</v>
      </c>
      <c r="Z202" s="208">
        <v>0</v>
      </c>
      <c r="AA202" s="269">
        <f t="shared" si="166"/>
        <v>109200000</v>
      </c>
      <c r="AB202" s="270">
        <f>FEBRERO!AD202</f>
        <v>14482318</v>
      </c>
      <c r="AC202" s="208">
        <v>5330219</v>
      </c>
      <c r="AD202" s="269">
        <f t="shared" si="167"/>
        <v>19812537</v>
      </c>
      <c r="AE202" s="270">
        <f>FEBRERO!AG202</f>
        <v>0</v>
      </c>
      <c r="AF202" s="208">
        <v>0</v>
      </c>
      <c r="AG202" s="269">
        <f t="shared" si="168"/>
        <v>0</v>
      </c>
      <c r="AH202" s="270">
        <f t="shared" si="169"/>
        <v>57466666.666666657</v>
      </c>
      <c r="AI202" s="220">
        <f t="shared" si="170"/>
        <v>146854129.66666666</v>
      </c>
      <c r="AJ202" s="269">
        <f t="shared" si="171"/>
        <v>166666666.66666666</v>
      </c>
      <c r="AK202" s="903"/>
      <c r="AL202" s="204">
        <v>0</v>
      </c>
      <c r="AM202" s="210">
        <v>0</v>
      </c>
    </row>
    <row r="203" spans="19:39" ht="24.75" customHeight="1">
      <c r="S203" s="311" t="str">
        <f>+IF(FEBRERO!S203=0,"",FEBRERO!S203)</f>
        <v>2.4.5.01.03.305</v>
      </c>
      <c r="T203" s="535" t="str">
        <f>+IF(FEBRERO!T203=0,"",FEBRERO!T203)</f>
        <v>Sangre</v>
      </c>
      <c r="U203" s="301">
        <f>+ENERO!U203</f>
        <v>1257440000</v>
      </c>
      <c r="V203" s="220">
        <f>FEBRERO!V203+MARZO!AL203</f>
        <v>0</v>
      </c>
      <c r="W203" s="220">
        <f>FEBRERO!W203+MARZO!AM203</f>
        <v>0</v>
      </c>
      <c r="X203" s="271">
        <f t="shared" si="165"/>
        <v>1257440000</v>
      </c>
      <c r="Y203" s="270">
        <f>FEBRERO!AA203</f>
        <v>816200000</v>
      </c>
      <c r="Z203" s="208">
        <v>0</v>
      </c>
      <c r="AA203" s="269">
        <f t="shared" si="166"/>
        <v>816200000</v>
      </c>
      <c r="AB203" s="270">
        <f>FEBRERO!AD203</f>
        <v>250415942</v>
      </c>
      <c r="AC203" s="208">
        <v>105651167</v>
      </c>
      <c r="AD203" s="269">
        <f t="shared" si="167"/>
        <v>356067109</v>
      </c>
      <c r="AE203" s="270">
        <f>FEBRERO!AG203</f>
        <v>0</v>
      </c>
      <c r="AF203" s="208">
        <v>0</v>
      </c>
      <c r="AG203" s="269">
        <f t="shared" si="168"/>
        <v>0</v>
      </c>
      <c r="AH203" s="270">
        <f t="shared" si="169"/>
        <v>441240000</v>
      </c>
      <c r="AI203" s="220">
        <f t="shared" si="170"/>
        <v>901372891</v>
      </c>
      <c r="AJ203" s="269">
        <f t="shared" si="171"/>
        <v>1257440000</v>
      </c>
      <c r="AK203" s="903"/>
      <c r="AL203" s="204">
        <v>0</v>
      </c>
      <c r="AM203" s="210">
        <v>0</v>
      </c>
    </row>
    <row r="204" spans="19:39" ht="24.75" customHeight="1">
      <c r="S204" s="311" t="str">
        <f>+IF(FEBRERO!S204=0,"",FEBRERO!S204)</f>
        <v>2.4.5.02.08</v>
      </c>
      <c r="T204" s="535" t="str">
        <f>+IF(FEBRERO!T204=0,"",FEBRERO!T204)</f>
        <v>Servicios de ayudas diagnòsticas</v>
      </c>
      <c r="U204" s="301">
        <f>+ENERO!U204</f>
        <v>10870667164.5</v>
      </c>
      <c r="V204" s="220">
        <f>FEBRERO!V204+MARZO!AL204</f>
        <v>-495559635</v>
      </c>
      <c r="W204" s="220">
        <f>FEBRERO!W204+MARZO!AM204</f>
        <v>0</v>
      </c>
      <c r="X204" s="271">
        <f t="shared" si="165"/>
        <v>10375107529.5</v>
      </c>
      <c r="Y204" s="270">
        <f>FEBRERO!AA204</f>
        <v>3796800000</v>
      </c>
      <c r="Z204" s="208">
        <v>3659954319</v>
      </c>
      <c r="AA204" s="269">
        <f t="shared" si="166"/>
        <v>7456754319</v>
      </c>
      <c r="AB204" s="270">
        <f>FEBRERO!AD204</f>
        <v>1806921509</v>
      </c>
      <c r="AC204" s="208">
        <v>1050150007</v>
      </c>
      <c r="AD204" s="269">
        <f t="shared" si="167"/>
        <v>2857071516</v>
      </c>
      <c r="AE204" s="270">
        <f>FEBRERO!AG204</f>
        <v>0</v>
      </c>
      <c r="AF204" s="208">
        <v>38540872</v>
      </c>
      <c r="AG204" s="269">
        <f t="shared" si="168"/>
        <v>38540872</v>
      </c>
      <c r="AH204" s="270">
        <f t="shared" si="169"/>
        <v>2918353210.5</v>
      </c>
      <c r="AI204" s="220">
        <f t="shared" si="170"/>
        <v>7518036013.5</v>
      </c>
      <c r="AJ204" s="269">
        <f t="shared" si="171"/>
        <v>10336566657.5</v>
      </c>
      <c r="AK204" s="903"/>
      <c r="AL204" s="204">
        <v>0</v>
      </c>
      <c r="AM204" s="210">
        <v>0</v>
      </c>
    </row>
    <row r="205" spans="19:39" ht="24.75" customHeight="1">
      <c r="S205" s="266">
        <f>+IF(FEBRERO!S205=0,"",FEBRERO!S205)</f>
        <v>4100200</v>
      </c>
      <c r="T205" s="534" t="str">
        <f>+IF(FEBRERO!T205=0,"",FEBRERO!T205)</f>
        <v>Gastos Complementarios e Intermedios</v>
      </c>
      <c r="U205" s="301">
        <f t="shared" ref="U205:AJ205" si="172">U206</f>
        <v>5609700000</v>
      </c>
      <c r="V205" s="220">
        <f t="shared" si="172"/>
        <v>0</v>
      </c>
      <c r="W205" s="220">
        <f t="shared" si="172"/>
        <v>0</v>
      </c>
      <c r="X205" s="271">
        <f t="shared" si="172"/>
        <v>5609700000</v>
      </c>
      <c r="Y205" s="270">
        <f t="shared" si="172"/>
        <v>4142600000</v>
      </c>
      <c r="Z205" s="300">
        <f t="shared" si="172"/>
        <v>0</v>
      </c>
      <c r="AA205" s="269">
        <f t="shared" si="172"/>
        <v>4142600000</v>
      </c>
      <c r="AB205" s="270">
        <f t="shared" si="172"/>
        <v>570949877</v>
      </c>
      <c r="AC205" s="300">
        <f t="shared" si="172"/>
        <v>1127505687</v>
      </c>
      <c r="AD205" s="269">
        <f t="shared" si="172"/>
        <v>1698455564</v>
      </c>
      <c r="AE205" s="270">
        <f t="shared" si="172"/>
        <v>570949877</v>
      </c>
      <c r="AF205" s="300">
        <f t="shared" si="172"/>
        <v>498363897</v>
      </c>
      <c r="AG205" s="269">
        <f t="shared" si="172"/>
        <v>1069313774</v>
      </c>
      <c r="AH205" s="270">
        <f t="shared" si="172"/>
        <v>1467100000</v>
      </c>
      <c r="AI205" s="220">
        <f t="shared" si="172"/>
        <v>3911244436</v>
      </c>
      <c r="AJ205" s="269">
        <f t="shared" si="172"/>
        <v>4540386226</v>
      </c>
      <c r="AK205" s="903"/>
      <c r="AL205" s="301">
        <f>AL206</f>
        <v>0</v>
      </c>
      <c r="AM205" s="302">
        <f>AM206</f>
        <v>0</v>
      </c>
    </row>
    <row r="206" spans="19:39" ht="24.75" customHeight="1">
      <c r="S206" s="311" t="str">
        <f>+IF(FEBRERO!S206=0,"",FEBRERO!S206)</f>
        <v>2.4.5.02.06.601</v>
      </c>
      <c r="T206" s="535" t="str">
        <f>+IF(FEBRERO!T206=0,"",FEBRERO!T206)</f>
        <v>Servicio de alimentación</v>
      </c>
      <c r="U206" s="301">
        <f>+ENERO!U206</f>
        <v>5609700000</v>
      </c>
      <c r="V206" s="220">
        <f>FEBRERO!V206+MARZO!AL206</f>
        <v>0</v>
      </c>
      <c r="W206" s="220">
        <f>FEBRERO!W206+MARZO!AM206</f>
        <v>0</v>
      </c>
      <c r="X206" s="271">
        <f>SUM(U206:W206)</f>
        <v>5609700000</v>
      </c>
      <c r="Y206" s="270">
        <f>FEBRERO!AA206</f>
        <v>4142600000</v>
      </c>
      <c r="Z206" s="208"/>
      <c r="AA206" s="269">
        <f>SUM(Y206:Z206)</f>
        <v>4142600000</v>
      </c>
      <c r="AB206" s="270">
        <f>FEBRERO!AD206</f>
        <v>570949877</v>
      </c>
      <c r="AC206" s="208">
        <v>1127505687</v>
      </c>
      <c r="AD206" s="269">
        <f>SUM(AB206:AC206)</f>
        <v>1698455564</v>
      </c>
      <c r="AE206" s="270">
        <f>FEBRERO!AG206</f>
        <v>570949877</v>
      </c>
      <c r="AF206" s="208">
        <v>498363897</v>
      </c>
      <c r="AG206" s="269">
        <f>SUM(AE206:AF206)</f>
        <v>1069313774</v>
      </c>
      <c r="AH206" s="270">
        <f>X206-AA206</f>
        <v>1467100000</v>
      </c>
      <c r="AI206" s="220">
        <f>X206-AD206</f>
        <v>3911244436</v>
      </c>
      <c r="AJ206" s="269">
        <f>X206-AG206</f>
        <v>4540386226</v>
      </c>
      <c r="AK206" s="903"/>
      <c r="AL206" s="204">
        <v>0</v>
      </c>
      <c r="AM206" s="210">
        <v>0</v>
      </c>
    </row>
    <row r="207" spans="19:39" ht="24.75" customHeight="1">
      <c r="S207" s="466" t="str">
        <f>+IF(FEBRERO!S207=0,"",FEBRERO!S207)</f>
        <v>2.4.5.01.03.99.01</v>
      </c>
      <c r="T207" s="543" t="str">
        <f>+IF(FEBRERO!T207=0,"",FEBRERO!T207)</f>
        <v>Vigencias Anteriores Medicamentos</v>
      </c>
      <c r="U207" s="544">
        <f>+ENERO!U207</f>
        <v>5913780963.333334</v>
      </c>
      <c r="V207" s="468">
        <f>FEBRERO!V207+MARZO!AL207</f>
        <v>-598000000</v>
      </c>
      <c r="W207" s="468">
        <f>FEBRERO!W207+MARZO!AM207</f>
        <v>0</v>
      </c>
      <c r="X207" s="471">
        <f>SUM(U207:W207)</f>
        <v>5315780963.333334</v>
      </c>
      <c r="Y207" s="470">
        <f>FEBRERO!AA207</f>
        <v>1729551340</v>
      </c>
      <c r="Z207" s="208">
        <v>850363460</v>
      </c>
      <c r="AA207" s="469">
        <f>SUM(Y207:Z207)</f>
        <v>2579914800</v>
      </c>
      <c r="AB207" s="470">
        <f>FEBRERO!AD207</f>
        <v>1723351340</v>
      </c>
      <c r="AC207" s="208">
        <v>850363460</v>
      </c>
      <c r="AD207" s="469">
        <f>SUM(AB207:AC207)</f>
        <v>2573714800</v>
      </c>
      <c r="AE207" s="470">
        <f>FEBRERO!AG207</f>
        <v>1723351338</v>
      </c>
      <c r="AF207" s="208">
        <v>850363460</v>
      </c>
      <c r="AG207" s="469">
        <f>SUM(AE207:AF207)</f>
        <v>2573714798</v>
      </c>
      <c r="AH207" s="470">
        <f>X207-AA207</f>
        <v>2735866163.333334</v>
      </c>
      <c r="AI207" s="468">
        <f>X207-AD207</f>
        <v>2742066163.333334</v>
      </c>
      <c r="AJ207" s="469">
        <f>X207-AG207</f>
        <v>2742066165.333334</v>
      </c>
      <c r="AK207" s="903"/>
      <c r="AL207" s="242">
        <v>-598000000</v>
      </c>
      <c r="AM207" s="248">
        <v>0</v>
      </c>
    </row>
    <row r="208" spans="19:39" ht="24.75" customHeight="1">
      <c r="S208" s="455">
        <f>+IF(FEBRERO!S208=0,"",FEBRERO!S208)</f>
        <v>1050551296</v>
      </c>
      <c r="T208" s="456" t="str">
        <f>+IF(FEBRERO!T208=0,"",FEBRERO!T208)</f>
        <v/>
      </c>
      <c r="U208" s="457"/>
      <c r="V208" s="457"/>
      <c r="W208" s="457"/>
      <c r="X208" s="457"/>
      <c r="Y208" s="459"/>
      <c r="Z208" s="457"/>
      <c r="AA208" s="458"/>
      <c r="AB208" s="459"/>
      <c r="AC208" s="457"/>
      <c r="AD208" s="458"/>
      <c r="AE208" s="459"/>
      <c r="AF208" s="457"/>
      <c r="AG208" s="458"/>
      <c r="AH208" s="459"/>
      <c r="AI208" s="457"/>
      <c r="AJ208" s="458"/>
      <c r="AK208" s="903"/>
      <c r="AL208" s="460"/>
      <c r="AM208" s="461"/>
    </row>
    <row r="209" spans="19:39" ht="24.75" customHeight="1">
      <c r="S209" s="228">
        <f>+IF(FEBRERO!S209=0,"",FEBRERO!S209)</f>
        <v>5000000</v>
      </c>
      <c r="T209" s="545" t="str">
        <f>+IF(FEBRERO!T209=0,"",FEBRERO!T209)</f>
        <v>GASTOS DE COMERCIALIZACION</v>
      </c>
      <c r="U209" s="882">
        <f t="shared" ref="U209:AJ209" si="173">U210</f>
        <v>2203000000</v>
      </c>
      <c r="V209" s="406">
        <f t="shared" si="173"/>
        <v>1093559635</v>
      </c>
      <c r="W209" s="406">
        <f t="shared" si="173"/>
        <v>0</v>
      </c>
      <c r="X209" s="407">
        <f t="shared" si="173"/>
        <v>3296559635</v>
      </c>
      <c r="Y209" s="217">
        <f t="shared" si="173"/>
        <v>2102272584</v>
      </c>
      <c r="Z209" s="406">
        <f t="shared" si="173"/>
        <v>1011879829</v>
      </c>
      <c r="AA209" s="218">
        <f t="shared" si="173"/>
        <v>3114152413</v>
      </c>
      <c r="AB209" s="217">
        <f t="shared" si="173"/>
        <v>2102272584</v>
      </c>
      <c r="AC209" s="406">
        <f t="shared" si="173"/>
        <v>1011879829</v>
      </c>
      <c r="AD209" s="218">
        <f t="shared" si="173"/>
        <v>3114152413</v>
      </c>
      <c r="AE209" s="217">
        <f t="shared" si="173"/>
        <v>2102272584</v>
      </c>
      <c r="AF209" s="406">
        <f t="shared" si="173"/>
        <v>1011879829</v>
      </c>
      <c r="AG209" s="218">
        <f t="shared" si="173"/>
        <v>3114152413</v>
      </c>
      <c r="AH209" s="217">
        <f t="shared" si="173"/>
        <v>182407222</v>
      </c>
      <c r="AI209" s="406">
        <f t="shared" si="173"/>
        <v>182407222</v>
      </c>
      <c r="AJ209" s="218">
        <f t="shared" si="173"/>
        <v>182407222</v>
      </c>
      <c r="AK209" s="903"/>
      <c r="AL209" s="233">
        <f>AL210</f>
        <v>598000000</v>
      </c>
      <c r="AM209" s="232">
        <f>AM210</f>
        <v>0</v>
      </c>
    </row>
    <row r="210" spans="19:39" ht="24.75" customHeight="1">
      <c r="S210" s="257">
        <f>+IF(FEBRERO!S210=0,"",FEBRERO!S210)</f>
        <v>5100000</v>
      </c>
      <c r="T210" s="546" t="str">
        <f>+IF(FEBRERO!T210=0,"",FEBRERO!T210)</f>
        <v>Insumos y Suministros para Venta al Público</v>
      </c>
      <c r="U210" s="883">
        <f t="shared" ref="U210:AJ210" si="174">U211+U218</f>
        <v>2203000000</v>
      </c>
      <c r="V210" s="231">
        <f t="shared" si="174"/>
        <v>1093559635</v>
      </c>
      <c r="W210" s="231">
        <f t="shared" si="174"/>
        <v>0</v>
      </c>
      <c r="X210" s="234">
        <f t="shared" si="174"/>
        <v>3296559635</v>
      </c>
      <c r="Y210" s="233">
        <f t="shared" si="174"/>
        <v>2102272584</v>
      </c>
      <c r="Z210" s="231">
        <f t="shared" si="174"/>
        <v>1011879829</v>
      </c>
      <c r="AA210" s="232">
        <f t="shared" si="174"/>
        <v>3114152413</v>
      </c>
      <c r="AB210" s="233">
        <f t="shared" si="174"/>
        <v>2102272584</v>
      </c>
      <c r="AC210" s="231">
        <f t="shared" si="174"/>
        <v>1011879829</v>
      </c>
      <c r="AD210" s="232">
        <f t="shared" si="174"/>
        <v>3114152413</v>
      </c>
      <c r="AE210" s="233">
        <f t="shared" si="174"/>
        <v>2102272584</v>
      </c>
      <c r="AF210" s="231">
        <f t="shared" si="174"/>
        <v>1011879829</v>
      </c>
      <c r="AG210" s="232">
        <f t="shared" si="174"/>
        <v>3114152413</v>
      </c>
      <c r="AH210" s="233">
        <f t="shared" si="174"/>
        <v>182407222</v>
      </c>
      <c r="AI210" s="231">
        <f t="shared" si="174"/>
        <v>182407222</v>
      </c>
      <c r="AJ210" s="232">
        <f t="shared" si="174"/>
        <v>182407222</v>
      </c>
      <c r="AK210" s="903"/>
      <c r="AL210" s="233">
        <f>AL211+AL218</f>
        <v>598000000</v>
      </c>
      <c r="AM210" s="232">
        <f>AM211+AM218</f>
        <v>0</v>
      </c>
    </row>
    <row r="211" spans="19:39" ht="24.75" customHeight="1">
      <c r="S211" s="266">
        <f>+IF(FEBRERO!S211=0,"",FEBRERO!S211)</f>
        <v>5100100</v>
      </c>
      <c r="T211" s="267" t="str">
        <f>+IF(FEBRERO!T211=0,"",FEBRERO!T211)</f>
        <v>Compra de Bienes para la venta</v>
      </c>
      <c r="U211" s="884">
        <f t="shared" ref="U211:AJ211" si="175">SUM(U212:U217)</f>
        <v>3000000</v>
      </c>
      <c r="V211" s="220">
        <f t="shared" si="175"/>
        <v>0</v>
      </c>
      <c r="W211" s="220">
        <f t="shared" si="175"/>
        <v>0</v>
      </c>
      <c r="X211" s="271">
        <f t="shared" si="175"/>
        <v>3000000</v>
      </c>
      <c r="Y211" s="270">
        <f t="shared" si="175"/>
        <v>0</v>
      </c>
      <c r="Z211" s="300">
        <f t="shared" si="175"/>
        <v>0</v>
      </c>
      <c r="AA211" s="269">
        <f t="shared" si="175"/>
        <v>0</v>
      </c>
      <c r="AB211" s="270">
        <f t="shared" si="175"/>
        <v>0</v>
      </c>
      <c r="AC211" s="300">
        <f t="shared" si="175"/>
        <v>0</v>
      </c>
      <c r="AD211" s="269">
        <f t="shared" si="175"/>
        <v>0</v>
      </c>
      <c r="AE211" s="270">
        <f t="shared" si="175"/>
        <v>0</v>
      </c>
      <c r="AF211" s="300">
        <f t="shared" si="175"/>
        <v>0</v>
      </c>
      <c r="AG211" s="269">
        <f t="shared" si="175"/>
        <v>0</v>
      </c>
      <c r="AH211" s="270">
        <f t="shared" si="175"/>
        <v>3000000</v>
      </c>
      <c r="AI211" s="220">
        <f t="shared" si="175"/>
        <v>3000000</v>
      </c>
      <c r="AJ211" s="269">
        <f t="shared" si="175"/>
        <v>3000000</v>
      </c>
      <c r="AK211" s="907"/>
      <c r="AL211" s="301">
        <f>SUM(AL212:AL217)</f>
        <v>0</v>
      </c>
      <c r="AM211" s="302">
        <f>SUM(AM212:AM217)</f>
        <v>0</v>
      </c>
    </row>
    <row r="212" spans="19:39" ht="24.75" customHeight="1">
      <c r="S212" s="311" t="str">
        <f>+IF(FEBRERO!S212=0,"",FEBRERO!S212)</f>
        <v>5100100-1</v>
      </c>
      <c r="T212" s="312" t="str">
        <f>+IF(FEBRERO!T212=0,"",FEBRERO!T212)</f>
        <v>Productos Farmaceuticos</v>
      </c>
      <c r="U212" s="884">
        <f>+ENERO!U212</f>
        <v>0</v>
      </c>
      <c r="V212" s="220">
        <f>FEBRERO!V212+MARZO!AL212</f>
        <v>0</v>
      </c>
      <c r="W212" s="220">
        <f>FEBRERO!W212+MARZO!AM212</f>
        <v>0</v>
      </c>
      <c r="X212" s="271">
        <f t="shared" ref="X212:X218" si="176">SUM(U212:W212)</f>
        <v>0</v>
      </c>
      <c r="Y212" s="270">
        <f>FEBRERO!AA212</f>
        <v>0</v>
      </c>
      <c r="Z212" s="208">
        <v>0</v>
      </c>
      <c r="AA212" s="269">
        <f t="shared" ref="AA212:AA218" si="177">SUM(Y212:Z212)</f>
        <v>0</v>
      </c>
      <c r="AB212" s="270">
        <f>FEBRERO!AD212</f>
        <v>0</v>
      </c>
      <c r="AC212" s="208">
        <v>0</v>
      </c>
      <c r="AD212" s="269">
        <f t="shared" ref="AD212:AD218" si="178">SUM(AB212:AC212)</f>
        <v>0</v>
      </c>
      <c r="AE212" s="270">
        <f>FEBRERO!AG212</f>
        <v>0</v>
      </c>
      <c r="AF212" s="208">
        <v>0</v>
      </c>
      <c r="AG212" s="269">
        <f t="shared" ref="AG212:AG218" si="179">SUM(AE212:AF212)</f>
        <v>0</v>
      </c>
      <c r="AH212" s="270">
        <f t="shared" ref="AH212:AH218" si="180">X212-AA212</f>
        <v>0</v>
      </c>
      <c r="AI212" s="220">
        <f t="shared" ref="AI212:AI218" si="181">X212-AD212</f>
        <v>0</v>
      </c>
      <c r="AJ212" s="269">
        <f t="shared" ref="AJ212:AJ218" si="182">X212-AG212</f>
        <v>0</v>
      </c>
      <c r="AK212" s="903"/>
      <c r="AL212" s="204">
        <v>0</v>
      </c>
      <c r="AM212" s="210">
        <v>0</v>
      </c>
    </row>
    <row r="213" spans="19:39" ht="24.75" customHeight="1">
      <c r="S213" s="311" t="str">
        <f>+IF(FEBRERO!S213=0,"",FEBRERO!S213)</f>
        <v>5100100-2</v>
      </c>
      <c r="T213" s="312" t="str">
        <f>+IF(FEBRERO!T213=0,"",FEBRERO!T213)</f>
        <v>Material Médico Quirúrgico</v>
      </c>
      <c r="U213" s="884">
        <f>+ENERO!U213</f>
        <v>0</v>
      </c>
      <c r="V213" s="220">
        <f>FEBRERO!V213+MARZO!AL213</f>
        <v>0</v>
      </c>
      <c r="W213" s="220">
        <f>FEBRERO!W213+MARZO!AM213</f>
        <v>0</v>
      </c>
      <c r="X213" s="271">
        <f t="shared" si="176"/>
        <v>0</v>
      </c>
      <c r="Y213" s="270">
        <f>FEBRERO!AA213</f>
        <v>0</v>
      </c>
      <c r="Z213" s="208">
        <v>0</v>
      </c>
      <c r="AA213" s="269">
        <f t="shared" si="177"/>
        <v>0</v>
      </c>
      <c r="AB213" s="270">
        <f>FEBRERO!AD213</f>
        <v>0</v>
      </c>
      <c r="AC213" s="208">
        <v>0</v>
      </c>
      <c r="AD213" s="269">
        <f t="shared" si="178"/>
        <v>0</v>
      </c>
      <c r="AE213" s="270">
        <f>FEBRERO!AG213</f>
        <v>0</v>
      </c>
      <c r="AF213" s="208">
        <v>0</v>
      </c>
      <c r="AG213" s="269">
        <f t="shared" si="179"/>
        <v>0</v>
      </c>
      <c r="AH213" s="270">
        <f t="shared" si="180"/>
        <v>0</v>
      </c>
      <c r="AI213" s="220">
        <f t="shared" si="181"/>
        <v>0</v>
      </c>
      <c r="AJ213" s="269">
        <f t="shared" si="182"/>
        <v>0</v>
      </c>
      <c r="AK213" s="903"/>
      <c r="AL213" s="204">
        <v>0</v>
      </c>
      <c r="AM213" s="210">
        <v>0</v>
      </c>
    </row>
    <row r="214" spans="19:39" ht="24.75" customHeight="1">
      <c r="S214" s="311" t="str">
        <f>+IF(FEBRERO!S214=0,"",FEBRERO!S214)</f>
        <v>5100100-3</v>
      </c>
      <c r="T214" s="312" t="str">
        <f>+IF(FEBRERO!T214=0,"",FEBRERO!T214)</f>
        <v>Material de Laboratorio</v>
      </c>
      <c r="U214" s="884">
        <f>+ENERO!U214</f>
        <v>0</v>
      </c>
      <c r="V214" s="220">
        <f>FEBRERO!V214+MARZO!AL214</f>
        <v>0</v>
      </c>
      <c r="W214" s="220">
        <f>FEBRERO!W214+MARZO!AM214</f>
        <v>0</v>
      </c>
      <c r="X214" s="271">
        <f t="shared" si="176"/>
        <v>0</v>
      </c>
      <c r="Y214" s="270">
        <f>FEBRERO!AA214</f>
        <v>0</v>
      </c>
      <c r="Z214" s="208">
        <v>0</v>
      </c>
      <c r="AA214" s="269">
        <f t="shared" si="177"/>
        <v>0</v>
      </c>
      <c r="AB214" s="270">
        <f>FEBRERO!AD214</f>
        <v>0</v>
      </c>
      <c r="AC214" s="208">
        <v>0</v>
      </c>
      <c r="AD214" s="269">
        <f t="shared" si="178"/>
        <v>0</v>
      </c>
      <c r="AE214" s="270">
        <f>FEBRERO!AG214</f>
        <v>0</v>
      </c>
      <c r="AF214" s="208">
        <v>0</v>
      </c>
      <c r="AG214" s="269">
        <f t="shared" si="179"/>
        <v>0</v>
      </c>
      <c r="AH214" s="270">
        <f t="shared" si="180"/>
        <v>0</v>
      </c>
      <c r="AI214" s="220">
        <f t="shared" si="181"/>
        <v>0</v>
      </c>
      <c r="AJ214" s="269">
        <f t="shared" si="182"/>
        <v>0</v>
      </c>
      <c r="AK214" s="903"/>
      <c r="AL214" s="204">
        <v>0</v>
      </c>
      <c r="AM214" s="210">
        <v>0</v>
      </c>
    </row>
    <row r="215" spans="19:39" ht="24.75" customHeight="1">
      <c r="S215" s="311" t="str">
        <f>+IF(FEBRERO!S215=0,"",FEBRERO!S215)</f>
        <v>2.4.5.02.09.91122</v>
      </c>
      <c r="T215" s="312" t="str">
        <f>+IF(FEBRERO!T215=0,"",FEBRERO!T215)</f>
        <v>Servicios de Certificación, Habilitación y Acreditación</v>
      </c>
      <c r="U215" s="884">
        <f>+ENERO!U215</f>
        <v>3000000</v>
      </c>
      <c r="V215" s="220">
        <f>FEBRERO!V215+MARZO!AL215</f>
        <v>0</v>
      </c>
      <c r="W215" s="220">
        <f>FEBRERO!W215+MARZO!AM215</f>
        <v>0</v>
      </c>
      <c r="X215" s="271">
        <f t="shared" si="176"/>
        <v>3000000</v>
      </c>
      <c r="Y215" s="270">
        <f>FEBRERO!AA215</f>
        <v>0</v>
      </c>
      <c r="Z215" s="208">
        <v>0</v>
      </c>
      <c r="AA215" s="269">
        <f t="shared" si="177"/>
        <v>0</v>
      </c>
      <c r="AB215" s="270">
        <f>FEBRERO!AD215</f>
        <v>0</v>
      </c>
      <c r="AC215" s="208">
        <v>0</v>
      </c>
      <c r="AD215" s="269">
        <f t="shared" si="178"/>
        <v>0</v>
      </c>
      <c r="AE215" s="270">
        <f>FEBRERO!AG215</f>
        <v>0</v>
      </c>
      <c r="AF215" s="208">
        <v>0</v>
      </c>
      <c r="AG215" s="269">
        <f t="shared" si="179"/>
        <v>0</v>
      </c>
      <c r="AH215" s="270">
        <f t="shared" si="180"/>
        <v>3000000</v>
      </c>
      <c r="AI215" s="220">
        <f t="shared" si="181"/>
        <v>3000000</v>
      </c>
      <c r="AJ215" s="269">
        <f t="shared" si="182"/>
        <v>3000000</v>
      </c>
      <c r="AK215" s="903"/>
      <c r="AL215" s="204">
        <v>0</v>
      </c>
      <c r="AM215" s="210">
        <v>0</v>
      </c>
    </row>
    <row r="216" spans="19:39" ht="24.75" customHeight="1">
      <c r="S216" s="311" t="str">
        <f>+IF(FEBRERO!S216=0,"",FEBRERO!S216)</f>
        <v>2.4.5.02.08.801.99</v>
      </c>
      <c r="T216" s="312" t="str">
        <f>+IF(FEBRERO!T216=0,"",FEBRERO!T216)</f>
        <v>Vigencias Anteriores lavanderia</v>
      </c>
      <c r="U216" s="884">
        <f>+ENERO!U216</f>
        <v>0</v>
      </c>
      <c r="V216" s="220">
        <f>FEBRERO!V216+MARZO!AL216</f>
        <v>0</v>
      </c>
      <c r="W216" s="220">
        <f>FEBRERO!W216+MARZO!AM216</f>
        <v>0</v>
      </c>
      <c r="X216" s="271">
        <f t="shared" si="176"/>
        <v>0</v>
      </c>
      <c r="Y216" s="270">
        <f>FEBRERO!AA216</f>
        <v>0</v>
      </c>
      <c r="Z216" s="208">
        <v>0</v>
      </c>
      <c r="AA216" s="269">
        <f t="shared" si="177"/>
        <v>0</v>
      </c>
      <c r="AB216" s="270">
        <f>FEBRERO!AD216</f>
        <v>0</v>
      </c>
      <c r="AC216" s="208">
        <v>0</v>
      </c>
      <c r="AD216" s="269">
        <f t="shared" si="178"/>
        <v>0</v>
      </c>
      <c r="AE216" s="270">
        <f>FEBRERO!AG216</f>
        <v>0</v>
      </c>
      <c r="AF216" s="208">
        <v>0</v>
      </c>
      <c r="AG216" s="269">
        <f t="shared" si="179"/>
        <v>0</v>
      </c>
      <c r="AH216" s="270">
        <f t="shared" si="180"/>
        <v>0</v>
      </c>
      <c r="AI216" s="220">
        <f t="shared" si="181"/>
        <v>0</v>
      </c>
      <c r="AJ216" s="269">
        <f t="shared" si="182"/>
        <v>0</v>
      </c>
      <c r="AK216" s="903"/>
      <c r="AL216" s="204">
        <v>0</v>
      </c>
      <c r="AM216" s="210">
        <v>0</v>
      </c>
    </row>
    <row r="217" spans="19:39" ht="24.75" customHeight="1">
      <c r="S217" s="311" t="str">
        <f>+IF(FEBRERO!S217=0,"",FEBRERO!S217)</f>
        <v>2.4.5.02.08.802.99</v>
      </c>
      <c r="T217" s="312" t="str">
        <f>+IF(FEBRERO!T217=0,"",FEBRERO!T217)</f>
        <v>Vigencias Anteriores de esterilizacion</v>
      </c>
      <c r="U217" s="884">
        <f>+ENERO!U217</f>
        <v>0</v>
      </c>
      <c r="V217" s="220">
        <f>FEBRERO!V217+MARZO!AL217</f>
        <v>0</v>
      </c>
      <c r="W217" s="220">
        <f>FEBRERO!W217+MARZO!AM217</f>
        <v>0</v>
      </c>
      <c r="X217" s="271">
        <f t="shared" si="176"/>
        <v>0</v>
      </c>
      <c r="Y217" s="270">
        <f>FEBRERO!AA217</f>
        <v>0</v>
      </c>
      <c r="Z217" s="208">
        <v>0</v>
      </c>
      <c r="AA217" s="269">
        <f t="shared" si="177"/>
        <v>0</v>
      </c>
      <c r="AB217" s="270">
        <f>FEBRERO!AD217</f>
        <v>0</v>
      </c>
      <c r="AC217" s="208">
        <v>0</v>
      </c>
      <c r="AD217" s="269">
        <f t="shared" si="178"/>
        <v>0</v>
      </c>
      <c r="AE217" s="270">
        <f>FEBRERO!AG217</f>
        <v>0</v>
      </c>
      <c r="AF217" s="208">
        <v>0</v>
      </c>
      <c r="AG217" s="269">
        <f t="shared" si="179"/>
        <v>0</v>
      </c>
      <c r="AH217" s="270">
        <f t="shared" si="180"/>
        <v>0</v>
      </c>
      <c r="AI217" s="220">
        <f t="shared" si="181"/>
        <v>0</v>
      </c>
      <c r="AJ217" s="269">
        <f t="shared" si="182"/>
        <v>0</v>
      </c>
      <c r="AK217" s="903"/>
      <c r="AL217" s="204">
        <v>0</v>
      </c>
      <c r="AM217" s="210">
        <v>0</v>
      </c>
    </row>
    <row r="218" spans="19:39" ht="24.75" customHeight="1">
      <c r="S218" s="499" t="str">
        <f>+IF(FEBRERO!S218=0,"",FEBRERO!S218)</f>
        <v>2.4.5.02.08.99</v>
      </c>
      <c r="T218" s="500" t="str">
        <f>+IF(FEBRERO!T218=0,"",FEBRERO!T218)</f>
        <v>Vigencias Anteriores ayudas diagnosticas, lavanderia, esterilizacion,alimentacion</v>
      </c>
      <c r="U218" s="547">
        <f>+ENERO!U218</f>
        <v>2200000000</v>
      </c>
      <c r="V218" s="468">
        <f>FEBRERO!V218+MARZO!AL218</f>
        <v>1093559635</v>
      </c>
      <c r="W218" s="468">
        <f>FEBRERO!W218+MARZO!AM218</f>
        <v>0</v>
      </c>
      <c r="X218" s="471">
        <f t="shared" si="176"/>
        <v>3293559635</v>
      </c>
      <c r="Y218" s="470">
        <f>FEBRERO!AA218</f>
        <v>2102272584</v>
      </c>
      <c r="Z218" s="208">
        <f>865422230+119901285+26556314</f>
        <v>1011879829</v>
      </c>
      <c r="AA218" s="469">
        <f t="shared" si="177"/>
        <v>3114152413</v>
      </c>
      <c r="AB218" s="470">
        <f>FEBRERO!AD218</f>
        <v>2102272584</v>
      </c>
      <c r="AC218" s="208">
        <f>865422230+119901285+26556314</f>
        <v>1011879829</v>
      </c>
      <c r="AD218" s="469">
        <f t="shared" si="178"/>
        <v>3114152413</v>
      </c>
      <c r="AE218" s="470">
        <f>FEBRERO!AG218</f>
        <v>2102272584</v>
      </c>
      <c r="AF218" s="208">
        <f>865422230+119901285+26556314</f>
        <v>1011879829</v>
      </c>
      <c r="AG218" s="469">
        <f t="shared" si="179"/>
        <v>3114152413</v>
      </c>
      <c r="AH218" s="470">
        <f t="shared" si="180"/>
        <v>179407222</v>
      </c>
      <c r="AI218" s="468">
        <f t="shared" si="181"/>
        <v>179407222</v>
      </c>
      <c r="AJ218" s="469">
        <f t="shared" si="182"/>
        <v>179407222</v>
      </c>
      <c r="AK218" s="903"/>
      <c r="AL218" s="489">
        <v>598000000</v>
      </c>
      <c r="AM218" s="490">
        <v>0</v>
      </c>
    </row>
    <row r="219" spans="19:39" ht="24.75" customHeight="1">
      <c r="S219" s="885">
        <f>+IF(FEBRERO!S219=0,"",FEBRERO!S219)</f>
        <v>1133096960</v>
      </c>
      <c r="T219" s="914" t="str">
        <f>+IF(FEBRERO!T219=0,"",FEBRERO!T219)</f>
        <v/>
      </c>
      <c r="U219" s="915"/>
      <c r="V219" s="915"/>
      <c r="W219" s="915"/>
      <c r="X219" s="915"/>
      <c r="Y219" s="915"/>
      <c r="Z219" s="915"/>
      <c r="AA219" s="915"/>
      <c r="AB219" s="915"/>
      <c r="AC219" s="915"/>
      <c r="AD219" s="915"/>
      <c r="AE219" s="915"/>
      <c r="AF219" s="915"/>
      <c r="AG219" s="915"/>
      <c r="AH219" s="915"/>
      <c r="AI219" s="915"/>
      <c r="AJ219" s="484"/>
      <c r="AK219" s="907"/>
      <c r="AL219" s="485"/>
      <c r="AM219" s="486"/>
    </row>
    <row r="220" spans="19:39" ht="24.75" customHeight="1">
      <c r="S220" s="176" t="str">
        <f>+IF(FEBRERO!S220=0,"",FEBRERO!S220)</f>
        <v>C</v>
      </c>
      <c r="T220" s="177" t="str">
        <f>+IF(FEBRERO!T220=0,"",FEBRERO!T220)</f>
        <v xml:space="preserve">SERVICIO DE LA DEUDA </v>
      </c>
      <c r="U220" s="178">
        <f t="shared" ref="U220:AJ220" si="183">U222+U227</f>
        <v>3239175000</v>
      </c>
      <c r="V220" s="179">
        <f t="shared" si="183"/>
        <v>0</v>
      </c>
      <c r="W220" s="179">
        <f t="shared" si="183"/>
        <v>0</v>
      </c>
      <c r="X220" s="182">
        <f t="shared" si="183"/>
        <v>3239175000</v>
      </c>
      <c r="Y220" s="181">
        <f t="shared" si="183"/>
        <v>221425252</v>
      </c>
      <c r="Z220" s="179">
        <f t="shared" si="183"/>
        <v>109668570</v>
      </c>
      <c r="AA220" s="182">
        <f t="shared" si="183"/>
        <v>331093822</v>
      </c>
      <c r="AB220" s="181">
        <f t="shared" si="183"/>
        <v>221425252</v>
      </c>
      <c r="AC220" s="179">
        <f t="shared" si="183"/>
        <v>109668570</v>
      </c>
      <c r="AD220" s="182">
        <f t="shared" si="183"/>
        <v>331093822</v>
      </c>
      <c r="AE220" s="181">
        <f t="shared" si="183"/>
        <v>221425252</v>
      </c>
      <c r="AF220" s="179">
        <f t="shared" si="183"/>
        <v>109668570</v>
      </c>
      <c r="AG220" s="182">
        <f t="shared" si="183"/>
        <v>331093822</v>
      </c>
      <c r="AH220" s="181">
        <f t="shared" si="183"/>
        <v>2908081178</v>
      </c>
      <c r="AI220" s="179">
        <f t="shared" si="183"/>
        <v>2908081178</v>
      </c>
      <c r="AJ220" s="180">
        <f t="shared" si="183"/>
        <v>2908081178</v>
      </c>
      <c r="AK220" s="916"/>
      <c r="AL220" s="181">
        <f>AL222+AL227</f>
        <v>0</v>
      </c>
      <c r="AM220" s="180">
        <f>AM222+AM227</f>
        <v>0</v>
      </c>
    </row>
    <row r="221" spans="19:39" ht="24.75" customHeight="1">
      <c r="S221" s="189">
        <f>+IF(FEBRERO!S221=0,"",FEBRERO!S221)</f>
        <v>1133096960</v>
      </c>
      <c r="T221" s="488" t="str">
        <f>+IF(FEBRERO!T221=0,"",FEBRERO!T221)</f>
        <v/>
      </c>
      <c r="U221" s="191"/>
      <c r="V221" s="191"/>
      <c r="W221" s="191"/>
      <c r="X221" s="191"/>
      <c r="Y221" s="191"/>
      <c r="Z221" s="191"/>
      <c r="AA221" s="191"/>
      <c r="AB221" s="191"/>
      <c r="AC221" s="191"/>
      <c r="AD221" s="191"/>
      <c r="AE221" s="191"/>
      <c r="AF221" s="191"/>
      <c r="AG221" s="191"/>
      <c r="AH221" s="191"/>
      <c r="AI221" s="191"/>
      <c r="AJ221" s="192"/>
      <c r="AK221" s="903"/>
      <c r="AL221" s="370"/>
      <c r="AM221" s="371"/>
    </row>
    <row r="222" spans="19:39" ht="24.75" customHeight="1">
      <c r="S222" s="257">
        <f>+IF(FEBRERO!S222=0,"",FEBRERO!S222)</f>
        <v>7001000</v>
      </c>
      <c r="T222" s="546" t="str">
        <f>+IF(FEBRERO!T222=0,"",FEBRERO!T222)</f>
        <v>SERVICIO DE LA DEUDA INTERNA</v>
      </c>
      <c r="U222" s="883">
        <f t="shared" ref="U222:AJ222" si="184">SUM(U223:U225)</f>
        <v>3239175000</v>
      </c>
      <c r="V222" s="231">
        <f t="shared" si="184"/>
        <v>0</v>
      </c>
      <c r="W222" s="231">
        <f t="shared" si="184"/>
        <v>0</v>
      </c>
      <c r="X222" s="234">
        <f t="shared" si="184"/>
        <v>3239175000</v>
      </c>
      <c r="Y222" s="233">
        <f t="shared" si="184"/>
        <v>221425252</v>
      </c>
      <c r="Z222" s="231">
        <f t="shared" si="184"/>
        <v>109668570</v>
      </c>
      <c r="AA222" s="234">
        <f t="shared" si="184"/>
        <v>331093822</v>
      </c>
      <c r="AB222" s="233">
        <f t="shared" si="184"/>
        <v>221425252</v>
      </c>
      <c r="AC222" s="231">
        <f t="shared" si="184"/>
        <v>109668570</v>
      </c>
      <c r="AD222" s="234">
        <f t="shared" si="184"/>
        <v>331093822</v>
      </c>
      <c r="AE222" s="233">
        <f t="shared" si="184"/>
        <v>221425252</v>
      </c>
      <c r="AF222" s="231">
        <f t="shared" si="184"/>
        <v>109668570</v>
      </c>
      <c r="AG222" s="234">
        <f t="shared" si="184"/>
        <v>331093822</v>
      </c>
      <c r="AH222" s="233">
        <f t="shared" si="184"/>
        <v>2908081178</v>
      </c>
      <c r="AI222" s="231">
        <f t="shared" si="184"/>
        <v>2908081178</v>
      </c>
      <c r="AJ222" s="232">
        <f t="shared" si="184"/>
        <v>2908081178</v>
      </c>
      <c r="AK222" s="903"/>
      <c r="AL222" s="233">
        <f>SUM(AL223:AL225)</f>
        <v>0</v>
      </c>
      <c r="AM222" s="232">
        <f>SUM(AM223:AM225)</f>
        <v>0</v>
      </c>
    </row>
    <row r="223" spans="19:39" ht="24.75" customHeight="1">
      <c r="S223" s="266" t="str">
        <f>+IF(FEBRERO!S223=0,"",FEBRERO!S223)</f>
        <v>2.2.2.2.01.02.002.02</v>
      </c>
      <c r="T223" s="267" t="str">
        <f>+IF(FEBRERO!T223=0,"",FEBRERO!T223)</f>
        <v>Banca Comercial</v>
      </c>
      <c r="U223" s="884">
        <f>+ENERO!U223</f>
        <v>2000000000</v>
      </c>
      <c r="V223" s="220">
        <f>FEBRERO!V223+MARZO!AL223</f>
        <v>0</v>
      </c>
      <c r="W223" s="220">
        <f>FEBRERO!W223+MARZO!AM223</f>
        <v>0</v>
      </c>
      <c r="X223" s="271">
        <f>SUM(U223:W223)</f>
        <v>2000000000</v>
      </c>
      <c r="Y223" s="270">
        <f>FEBRERO!AA223</f>
        <v>0</v>
      </c>
      <c r="Z223" s="208">
        <v>0</v>
      </c>
      <c r="AA223" s="271">
        <f>SUM(Y223:Z223)</f>
        <v>0</v>
      </c>
      <c r="AB223" s="270">
        <f>FEBRERO!AD223</f>
        <v>0</v>
      </c>
      <c r="AC223" s="208">
        <v>0</v>
      </c>
      <c r="AD223" s="271">
        <f>SUM(AB223:AC223)</f>
        <v>0</v>
      </c>
      <c r="AE223" s="270">
        <f>FEBRERO!AG223</f>
        <v>0</v>
      </c>
      <c r="AF223" s="208">
        <v>0</v>
      </c>
      <c r="AG223" s="271">
        <f>SUM(AE223:AF223)</f>
        <v>0</v>
      </c>
      <c r="AH223" s="270">
        <f>X223-AA223</f>
        <v>2000000000</v>
      </c>
      <c r="AI223" s="220">
        <f>X223-AD223</f>
        <v>2000000000</v>
      </c>
      <c r="AJ223" s="269">
        <f>X223-AG223</f>
        <v>2000000000</v>
      </c>
      <c r="AK223" s="903"/>
      <c r="AL223" s="204">
        <v>0</v>
      </c>
      <c r="AM223" s="210">
        <v>0</v>
      </c>
    </row>
    <row r="224" spans="19:39" ht="24.75" customHeight="1">
      <c r="S224" s="266" t="str">
        <f>+IF(FEBRERO!S224=0,"",FEBRERO!S224)</f>
        <v>2.2.2.02</v>
      </c>
      <c r="T224" s="267" t="str">
        <f>+IF(FEBRERO!T224=0,"",FEBRERO!T224)</f>
        <v>Intereses Comisiones y gastos de la Deuda Pública</v>
      </c>
      <c r="U224" s="884">
        <f>+ENERO!U224</f>
        <v>1239175000</v>
      </c>
      <c r="V224" s="220">
        <f>FEBRERO!V224+MARZO!AL224</f>
        <v>0</v>
      </c>
      <c r="W224" s="220">
        <f>FEBRERO!W224+MARZO!AM224</f>
        <v>0</v>
      </c>
      <c r="X224" s="271">
        <f>SUM(U224:W224)</f>
        <v>1239175000</v>
      </c>
      <c r="Y224" s="270">
        <f>FEBRERO!AA224</f>
        <v>221425252</v>
      </c>
      <c r="Z224" s="208">
        <v>109668570</v>
      </c>
      <c r="AA224" s="271">
        <f>SUM(Y224:Z224)</f>
        <v>331093822</v>
      </c>
      <c r="AB224" s="270">
        <f>FEBRERO!AD224</f>
        <v>221425252</v>
      </c>
      <c r="AC224" s="208">
        <v>109668570</v>
      </c>
      <c r="AD224" s="271">
        <f>SUM(AB224:AC224)</f>
        <v>331093822</v>
      </c>
      <c r="AE224" s="270">
        <f>FEBRERO!AG224</f>
        <v>221425252</v>
      </c>
      <c r="AF224" s="208">
        <v>109668570</v>
      </c>
      <c r="AG224" s="271">
        <f>SUM(AE224:AF224)</f>
        <v>331093822</v>
      </c>
      <c r="AH224" s="270">
        <f>X224-AA224</f>
        <v>908081178</v>
      </c>
      <c r="AI224" s="220">
        <f>X224-AD224</f>
        <v>908081178</v>
      </c>
      <c r="AJ224" s="269">
        <f>X224-AG224</f>
        <v>908081178</v>
      </c>
      <c r="AK224" s="903"/>
      <c r="AL224" s="204">
        <v>0</v>
      </c>
      <c r="AM224" s="210">
        <v>0</v>
      </c>
    </row>
    <row r="225" spans="19:39" ht="24.75" customHeight="1">
      <c r="S225" s="266" t="str">
        <f>+IF(FEBRERO!S225=0,"",FEBRERO!S225)</f>
        <v>2.2.2.02</v>
      </c>
      <c r="T225" s="267" t="str">
        <f>+IF(FEBRERO!T225=0,"",FEBRERO!T225)</f>
        <v>Vigencias Anteriores Deuda Pública</v>
      </c>
      <c r="U225" s="884">
        <f>+ENERO!U225</f>
        <v>0</v>
      </c>
      <c r="V225" s="220">
        <f>FEBRERO!V225+MARZO!AL225</f>
        <v>0</v>
      </c>
      <c r="W225" s="220">
        <f>FEBRERO!W225+MARZO!AM225</f>
        <v>0</v>
      </c>
      <c r="X225" s="271">
        <f>SUM(U225:W225)</f>
        <v>0</v>
      </c>
      <c r="Y225" s="270">
        <f>FEBRERO!AA225</f>
        <v>0</v>
      </c>
      <c r="Z225" s="208">
        <v>0</v>
      </c>
      <c r="AA225" s="271">
        <f>SUM(Y225:Z225)</f>
        <v>0</v>
      </c>
      <c r="AB225" s="270">
        <f>FEBRERO!AD225</f>
        <v>0</v>
      </c>
      <c r="AC225" s="208">
        <v>0</v>
      </c>
      <c r="AD225" s="271">
        <f>SUM(AB225:AC225)</f>
        <v>0</v>
      </c>
      <c r="AE225" s="270">
        <f>FEBRERO!AG225</f>
        <v>0</v>
      </c>
      <c r="AF225" s="208">
        <v>0</v>
      </c>
      <c r="AG225" s="271">
        <f>SUM(AE225:AF225)</f>
        <v>0</v>
      </c>
      <c r="AH225" s="270">
        <f>X225-AA225</f>
        <v>0</v>
      </c>
      <c r="AI225" s="220">
        <f>X225-AD225</f>
        <v>0</v>
      </c>
      <c r="AJ225" s="269">
        <f>X225-AG225</f>
        <v>0</v>
      </c>
      <c r="AK225" s="903"/>
      <c r="AL225" s="204">
        <v>0</v>
      </c>
      <c r="AM225" s="210">
        <v>0</v>
      </c>
    </row>
    <row r="226" spans="19:39" ht="24.75" customHeight="1">
      <c r="S226" s="189" t="str">
        <f>+IF(FEBRERO!S226=0,"",FEBRERO!S226)</f>
        <v/>
      </c>
      <c r="T226" s="488" t="str">
        <f>+IF(FEBRERO!T226=0,"",FEBRERO!T226)</f>
        <v/>
      </c>
      <c r="U226" s="191"/>
      <c r="V226" s="191"/>
      <c r="W226" s="191"/>
      <c r="X226" s="191"/>
      <c r="Y226" s="191"/>
      <c r="Z226" s="191"/>
      <c r="AA226" s="191"/>
      <c r="AB226" s="191"/>
      <c r="AC226" s="191"/>
      <c r="AD226" s="191"/>
      <c r="AE226" s="191"/>
      <c r="AF226" s="191"/>
      <c r="AG226" s="191"/>
      <c r="AH226" s="191"/>
      <c r="AI226" s="191"/>
      <c r="AJ226" s="192"/>
      <c r="AK226" s="907"/>
      <c r="AL226" s="370"/>
      <c r="AM226" s="371"/>
    </row>
    <row r="227" spans="19:39" ht="24.75" customHeight="1">
      <c r="S227" s="257">
        <f>+IF(FEBRERO!S227=0,"",FEBRERO!S227)</f>
        <v>7002001</v>
      </c>
      <c r="T227" s="546" t="str">
        <f>+IF(FEBRERO!T227=0,"",FEBRERO!T227)</f>
        <v>SERVICIO DE LA DEUDA EXTERNA</v>
      </c>
      <c r="U227" s="883">
        <f t="shared" ref="U227:AJ227" si="185">SUM(U228:U230)</f>
        <v>0</v>
      </c>
      <c r="V227" s="231">
        <f t="shared" si="185"/>
        <v>0</v>
      </c>
      <c r="W227" s="231">
        <f t="shared" si="185"/>
        <v>0</v>
      </c>
      <c r="X227" s="234">
        <f t="shared" si="185"/>
        <v>0</v>
      </c>
      <c r="Y227" s="233">
        <f t="shared" si="185"/>
        <v>0</v>
      </c>
      <c r="Z227" s="231">
        <f t="shared" si="185"/>
        <v>0</v>
      </c>
      <c r="AA227" s="234">
        <f t="shared" si="185"/>
        <v>0</v>
      </c>
      <c r="AB227" s="233">
        <f t="shared" si="185"/>
        <v>0</v>
      </c>
      <c r="AC227" s="231">
        <f t="shared" si="185"/>
        <v>0</v>
      </c>
      <c r="AD227" s="234">
        <f t="shared" si="185"/>
        <v>0</v>
      </c>
      <c r="AE227" s="233">
        <f t="shared" si="185"/>
        <v>0</v>
      </c>
      <c r="AF227" s="231">
        <f t="shared" si="185"/>
        <v>0</v>
      </c>
      <c r="AG227" s="234">
        <f t="shared" si="185"/>
        <v>0</v>
      </c>
      <c r="AH227" s="233">
        <f t="shared" si="185"/>
        <v>0</v>
      </c>
      <c r="AI227" s="231">
        <f t="shared" si="185"/>
        <v>0</v>
      </c>
      <c r="AJ227" s="232">
        <f t="shared" si="185"/>
        <v>0</v>
      </c>
      <c r="AK227" s="907"/>
      <c r="AL227" s="233">
        <f>SUM(AL228:AL230)</f>
        <v>0</v>
      </c>
      <c r="AM227" s="232">
        <f>SUM(AM228:AM230)</f>
        <v>0</v>
      </c>
    </row>
    <row r="228" spans="19:39" ht="24.75" customHeight="1">
      <c r="S228" s="266">
        <f>+IF(FEBRERO!S228=0,"",FEBRERO!S228)</f>
        <v>7002100</v>
      </c>
      <c r="T228" s="267" t="str">
        <f>+IF(FEBRERO!T228=0,"",FEBRERO!T228)</f>
        <v>Amortización deuda Pública Externa</v>
      </c>
      <c r="U228" s="884">
        <f>+ENERO!U228</f>
        <v>0</v>
      </c>
      <c r="V228" s="220">
        <f>FEBRERO!V228+MARZO!AL228</f>
        <v>0</v>
      </c>
      <c r="W228" s="220">
        <f>FEBRERO!W228+MARZO!AM228</f>
        <v>0</v>
      </c>
      <c r="X228" s="271">
        <f>SUM(U228:W228)</f>
        <v>0</v>
      </c>
      <c r="Y228" s="270">
        <f>FEBRERO!AA228</f>
        <v>0</v>
      </c>
      <c r="Z228" s="208">
        <v>0</v>
      </c>
      <c r="AA228" s="271">
        <f>SUM(Y228:Z228)</f>
        <v>0</v>
      </c>
      <c r="AB228" s="270">
        <f>FEBRERO!AD228</f>
        <v>0</v>
      </c>
      <c r="AC228" s="208">
        <v>0</v>
      </c>
      <c r="AD228" s="271">
        <f>SUM(AB228:AC228)</f>
        <v>0</v>
      </c>
      <c r="AE228" s="270">
        <f>FEBRERO!AG228</f>
        <v>0</v>
      </c>
      <c r="AF228" s="208">
        <v>0</v>
      </c>
      <c r="AG228" s="271">
        <f>SUM(AE228:AF228)</f>
        <v>0</v>
      </c>
      <c r="AH228" s="270">
        <f>X228-AA228</f>
        <v>0</v>
      </c>
      <c r="AI228" s="220">
        <f>X228-AD228</f>
        <v>0</v>
      </c>
      <c r="AJ228" s="269">
        <f>X228-AG228</f>
        <v>0</v>
      </c>
      <c r="AK228" s="903"/>
      <c r="AL228" s="204">
        <v>0</v>
      </c>
      <c r="AM228" s="210">
        <v>0</v>
      </c>
    </row>
    <row r="229" spans="19:39" ht="24.75" customHeight="1">
      <c r="S229" s="266">
        <f>+IF(FEBRERO!S229=0,"",FEBRERO!S229)</f>
        <v>7002200</v>
      </c>
      <c r="T229" s="267" t="str">
        <f>+IF(FEBRERO!T229=0,"",FEBRERO!T229)</f>
        <v>Intereses Comisiones y gastos de la Deuda Pública</v>
      </c>
      <c r="U229" s="884">
        <f>+ENERO!U229</f>
        <v>0</v>
      </c>
      <c r="V229" s="220">
        <f>FEBRERO!V229+MARZO!AL229</f>
        <v>0</v>
      </c>
      <c r="W229" s="220">
        <f>FEBRERO!W229+MARZO!AM229</f>
        <v>0</v>
      </c>
      <c r="X229" s="271">
        <f>SUM(U229:W229)</f>
        <v>0</v>
      </c>
      <c r="Y229" s="270">
        <f>FEBRERO!AA229</f>
        <v>0</v>
      </c>
      <c r="Z229" s="208">
        <v>0</v>
      </c>
      <c r="AA229" s="271">
        <f>SUM(Y229:Z229)</f>
        <v>0</v>
      </c>
      <c r="AB229" s="270">
        <f>FEBRERO!AD229</f>
        <v>0</v>
      </c>
      <c r="AC229" s="208">
        <v>0</v>
      </c>
      <c r="AD229" s="271">
        <f>SUM(AB229:AC229)</f>
        <v>0</v>
      </c>
      <c r="AE229" s="270">
        <f>FEBRERO!AG229</f>
        <v>0</v>
      </c>
      <c r="AF229" s="208">
        <v>0</v>
      </c>
      <c r="AG229" s="271">
        <f>SUM(AE229:AF229)</f>
        <v>0</v>
      </c>
      <c r="AH229" s="270">
        <f>X229-AA229</f>
        <v>0</v>
      </c>
      <c r="AI229" s="220">
        <f>X229-AD229</f>
        <v>0</v>
      </c>
      <c r="AJ229" s="269">
        <f>X229-AG229</f>
        <v>0</v>
      </c>
      <c r="AK229" s="903"/>
      <c r="AL229" s="204">
        <v>0</v>
      </c>
      <c r="AM229" s="210">
        <v>0</v>
      </c>
    </row>
    <row r="230" spans="19:39" ht="24.75" customHeight="1">
      <c r="S230" s="466">
        <f>+IF(FEBRERO!S230=0,"",FEBRERO!S230)</f>
        <v>7002999</v>
      </c>
      <c r="T230" s="467" t="str">
        <f>+IF(FEBRERO!T230=0,"",FEBRERO!T230)</f>
        <v>Vigencias Anteriores</v>
      </c>
      <c r="U230" s="547">
        <f>+ENERO!U230</f>
        <v>0</v>
      </c>
      <c r="V230" s="468">
        <f>FEBRERO!V230+MARZO!AL230</f>
        <v>0</v>
      </c>
      <c r="W230" s="468">
        <f>FEBRERO!W230+MARZO!AM230</f>
        <v>0</v>
      </c>
      <c r="X230" s="471">
        <f>SUM(U230:W230)</f>
        <v>0</v>
      </c>
      <c r="Y230" s="470">
        <f>FEBRERO!AA230</f>
        <v>0</v>
      </c>
      <c r="Z230" s="246">
        <v>0</v>
      </c>
      <c r="AA230" s="471">
        <f>SUM(Y230:Z230)</f>
        <v>0</v>
      </c>
      <c r="AB230" s="470">
        <f>FEBRERO!AD230</f>
        <v>0</v>
      </c>
      <c r="AC230" s="246">
        <v>0</v>
      </c>
      <c r="AD230" s="471">
        <f>SUM(AB230:AC230)</f>
        <v>0</v>
      </c>
      <c r="AE230" s="470">
        <f>FEBRERO!AG230</f>
        <v>0</v>
      </c>
      <c r="AF230" s="246">
        <v>0</v>
      </c>
      <c r="AG230" s="471">
        <f>SUM(AE230:AF230)</f>
        <v>0</v>
      </c>
      <c r="AH230" s="470">
        <f>X230-AA230</f>
        <v>0</v>
      </c>
      <c r="AI230" s="468">
        <f>X230-AD230</f>
        <v>0</v>
      </c>
      <c r="AJ230" s="469">
        <f>X230-AG230</f>
        <v>0</v>
      </c>
      <c r="AK230" s="903"/>
      <c r="AL230" s="489">
        <v>0</v>
      </c>
      <c r="AM230" s="490">
        <v>0</v>
      </c>
    </row>
    <row r="231" spans="19:39" ht="24.75" customHeight="1">
      <c r="S231" s="455" t="str">
        <f>+IF(FEBRERO!S231=0,"",FEBRERO!S231)</f>
        <v/>
      </c>
      <c r="T231" s="456" t="str">
        <f>+IF(FEBRERO!T231=0,"",FEBRERO!T231)</f>
        <v/>
      </c>
      <c r="U231" s="457"/>
      <c r="V231" s="457"/>
      <c r="W231" s="457"/>
      <c r="X231" s="457"/>
      <c r="Y231" s="457"/>
      <c r="Z231" s="457"/>
      <c r="AA231" s="457"/>
      <c r="AB231" s="457"/>
      <c r="AC231" s="457"/>
      <c r="AD231" s="457"/>
      <c r="AE231" s="457"/>
      <c r="AF231" s="457"/>
      <c r="AG231" s="457"/>
      <c r="AH231" s="457"/>
      <c r="AI231" s="457"/>
      <c r="AJ231" s="458"/>
      <c r="AK231" s="903"/>
      <c r="AL231" s="491"/>
      <c r="AM231" s="492"/>
    </row>
    <row r="232" spans="19:39" ht="24.75" customHeight="1">
      <c r="S232" s="493" t="str">
        <f>+IF(FEBRERO!S232=0,"",FEBRERO!S232)</f>
        <v>D</v>
      </c>
      <c r="T232" s="494" t="str">
        <f>+IF(FEBRERO!T232=0,"",FEBRERO!T232)</f>
        <v>INVERSION</v>
      </c>
      <c r="U232" s="882">
        <f t="shared" ref="U232:AJ232" si="186">U234+U243</f>
        <v>0</v>
      </c>
      <c r="V232" s="406">
        <f t="shared" si="186"/>
        <v>0</v>
      </c>
      <c r="W232" s="406">
        <f t="shared" si="186"/>
        <v>14318008559</v>
      </c>
      <c r="X232" s="407">
        <f t="shared" si="186"/>
        <v>14318008559</v>
      </c>
      <c r="Y232" s="217">
        <f t="shared" si="186"/>
        <v>9265952655</v>
      </c>
      <c r="Z232" s="406">
        <f t="shared" si="186"/>
        <v>87081875</v>
      </c>
      <c r="AA232" s="407">
        <f t="shared" si="186"/>
        <v>9353034530</v>
      </c>
      <c r="AB232" s="217">
        <f t="shared" si="186"/>
        <v>2050777933</v>
      </c>
      <c r="AC232" s="406">
        <f t="shared" si="186"/>
        <v>180977919</v>
      </c>
      <c r="AD232" s="407">
        <f t="shared" si="186"/>
        <v>2231755852</v>
      </c>
      <c r="AE232" s="217">
        <f t="shared" si="186"/>
        <v>174958150</v>
      </c>
      <c r="AF232" s="406">
        <f t="shared" si="186"/>
        <v>1693288254</v>
      </c>
      <c r="AG232" s="407">
        <f t="shared" si="186"/>
        <v>1868246404</v>
      </c>
      <c r="AH232" s="217">
        <f t="shared" si="186"/>
        <v>4964974029</v>
      </c>
      <c r="AI232" s="406">
        <f t="shared" si="186"/>
        <v>12086252707</v>
      </c>
      <c r="AJ232" s="218">
        <f t="shared" si="186"/>
        <v>12449762155</v>
      </c>
      <c r="AK232" s="916"/>
      <c r="AL232" s="217">
        <f>AL234+AL243</f>
        <v>0</v>
      </c>
      <c r="AM232" s="218">
        <f>AM234+AM243</f>
        <v>0</v>
      </c>
    </row>
    <row r="233" spans="19:39" ht="24.75" customHeight="1">
      <c r="S233" s="189" t="str">
        <f>+IF(FEBRERO!S233=0,"",FEBRERO!S233)</f>
        <v/>
      </c>
      <c r="T233" s="488" t="str">
        <f>+IF(FEBRERO!T233=0,"",FEBRERO!T233)</f>
        <v/>
      </c>
      <c r="U233" s="191"/>
      <c r="V233" s="191"/>
      <c r="W233" s="191"/>
      <c r="X233" s="191"/>
      <c r="Y233" s="191"/>
      <c r="Z233" s="191"/>
      <c r="AA233" s="191"/>
      <c r="AB233" s="191"/>
      <c r="AC233" s="191"/>
      <c r="AD233" s="191"/>
      <c r="AE233" s="191"/>
      <c r="AF233" s="191"/>
      <c r="AG233" s="191"/>
      <c r="AH233" s="191"/>
      <c r="AI233" s="191"/>
      <c r="AJ233" s="192"/>
      <c r="AK233" s="903"/>
      <c r="AL233" s="370"/>
      <c r="AM233" s="371"/>
    </row>
    <row r="234" spans="19:39" ht="24.75" customHeight="1">
      <c r="S234" s="257">
        <f>+IF(FEBRERO!S234=0,"",FEBRERO!S234)</f>
        <v>8000000</v>
      </c>
      <c r="T234" s="258" t="s">
        <v>313</v>
      </c>
      <c r="U234" s="883">
        <f t="shared" ref="U234:AJ234" si="187">U235</f>
        <v>0</v>
      </c>
      <c r="V234" s="231">
        <f t="shared" si="187"/>
        <v>0</v>
      </c>
      <c r="W234" s="231">
        <f t="shared" si="187"/>
        <v>14318008559</v>
      </c>
      <c r="X234" s="234">
        <f t="shared" si="187"/>
        <v>14318008559</v>
      </c>
      <c r="Y234" s="233">
        <f t="shared" si="187"/>
        <v>9265952655</v>
      </c>
      <c r="Z234" s="231">
        <f t="shared" si="187"/>
        <v>87081875</v>
      </c>
      <c r="AA234" s="234">
        <f t="shared" si="187"/>
        <v>9353034530</v>
      </c>
      <c r="AB234" s="233">
        <f t="shared" si="187"/>
        <v>2050777933</v>
      </c>
      <c r="AC234" s="231">
        <f t="shared" si="187"/>
        <v>180977919</v>
      </c>
      <c r="AD234" s="234">
        <f t="shared" si="187"/>
        <v>2231755852</v>
      </c>
      <c r="AE234" s="233">
        <f t="shared" si="187"/>
        <v>174958150</v>
      </c>
      <c r="AF234" s="231">
        <f t="shared" si="187"/>
        <v>1693288254</v>
      </c>
      <c r="AG234" s="234">
        <f t="shared" si="187"/>
        <v>1868246404</v>
      </c>
      <c r="AH234" s="233">
        <f t="shared" si="187"/>
        <v>4964974029</v>
      </c>
      <c r="AI234" s="231">
        <f t="shared" si="187"/>
        <v>12086252707</v>
      </c>
      <c r="AJ234" s="232">
        <f t="shared" si="187"/>
        <v>12449762155</v>
      </c>
      <c r="AK234" s="903"/>
      <c r="AL234" s="233">
        <f>AL235</f>
        <v>0</v>
      </c>
      <c r="AM234" s="232">
        <f>AM235</f>
        <v>0</v>
      </c>
    </row>
    <row r="235" spans="19:39" ht="24.75" customHeight="1">
      <c r="S235" s="266">
        <f>+IF(FEBRERO!S235=0,"",FEBRERO!S235)</f>
        <v>8001000</v>
      </c>
      <c r="T235" s="267" t="str">
        <f>+IF(FEBRERO!T235=0,"",FEBRERO!T235)</f>
        <v>Formación Bruta del Capital</v>
      </c>
      <c r="U235" s="884">
        <f t="shared" ref="U235:AJ235" si="188">SUM(U236:U241)</f>
        <v>0</v>
      </c>
      <c r="V235" s="220">
        <f t="shared" si="188"/>
        <v>0</v>
      </c>
      <c r="W235" s="220">
        <f t="shared" si="188"/>
        <v>14318008559</v>
      </c>
      <c r="X235" s="271">
        <f t="shared" si="188"/>
        <v>14318008559</v>
      </c>
      <c r="Y235" s="270">
        <f t="shared" si="188"/>
        <v>9265952655</v>
      </c>
      <c r="Z235" s="300">
        <f t="shared" si="188"/>
        <v>87081875</v>
      </c>
      <c r="AA235" s="271">
        <f t="shared" si="188"/>
        <v>9353034530</v>
      </c>
      <c r="AB235" s="270">
        <f t="shared" si="188"/>
        <v>2050777933</v>
      </c>
      <c r="AC235" s="300">
        <f t="shared" si="188"/>
        <v>180977919</v>
      </c>
      <c r="AD235" s="271">
        <f t="shared" si="188"/>
        <v>2231755852</v>
      </c>
      <c r="AE235" s="270">
        <f t="shared" si="188"/>
        <v>174958150</v>
      </c>
      <c r="AF235" s="300">
        <f t="shared" si="188"/>
        <v>1693288254</v>
      </c>
      <c r="AG235" s="271">
        <f t="shared" si="188"/>
        <v>1868246404</v>
      </c>
      <c r="AH235" s="270">
        <f t="shared" si="188"/>
        <v>4964974029</v>
      </c>
      <c r="AI235" s="220">
        <f t="shared" si="188"/>
        <v>12086252707</v>
      </c>
      <c r="AJ235" s="269">
        <f t="shared" si="188"/>
        <v>12449762155</v>
      </c>
      <c r="AK235" s="903"/>
      <c r="AL235" s="301">
        <f>SUM(AL236:AL241)</f>
        <v>0</v>
      </c>
      <c r="AM235" s="302">
        <f>SUM(AM236:AM241)</f>
        <v>0</v>
      </c>
    </row>
    <row r="236" spans="19:39" ht="24.75" customHeight="1">
      <c r="S236" s="311" t="str">
        <f>+IF(FEBRERO!S236=0,"",FEBRERO!S236)</f>
        <v>2.3.2.01.01</v>
      </c>
      <c r="T236" s="312" t="s">
        <v>698</v>
      </c>
      <c r="U236" s="884">
        <f>+ENERO!U236</f>
        <v>0</v>
      </c>
      <c r="V236" s="220">
        <f>FEBRERO!V236+MARZO!AL236</f>
        <v>0</v>
      </c>
      <c r="W236" s="220">
        <f>FEBRERO!W236+MARZO!AM236</f>
        <v>0</v>
      </c>
      <c r="X236" s="271">
        <f t="shared" ref="X236:X241" si="189">SUM(U236:W236)</f>
        <v>0</v>
      </c>
      <c r="Y236" s="270">
        <f>FEBRERO!AA236</f>
        <v>0</v>
      </c>
      <c r="Z236" s="208">
        <v>0</v>
      </c>
      <c r="AA236" s="271">
        <f t="shared" ref="AA236:AA241" si="190">SUM(Y236:Z236)</f>
        <v>0</v>
      </c>
      <c r="AB236" s="270">
        <f>FEBRERO!AD236</f>
        <v>0</v>
      </c>
      <c r="AC236" s="208">
        <v>0</v>
      </c>
      <c r="AD236" s="271">
        <f t="shared" ref="AD236:AD241" si="191">SUM(AB236:AC236)</f>
        <v>0</v>
      </c>
      <c r="AE236" s="270">
        <f>FEBRERO!AG236</f>
        <v>0</v>
      </c>
      <c r="AF236" s="208">
        <v>0</v>
      </c>
      <c r="AG236" s="271">
        <f t="shared" ref="AG236:AG241" si="192">SUM(AE236:AF236)</f>
        <v>0</v>
      </c>
      <c r="AH236" s="270">
        <f t="shared" ref="AH236:AH241" si="193">X236-AA236</f>
        <v>0</v>
      </c>
      <c r="AI236" s="220">
        <f t="shared" ref="AI236:AI241" si="194">X236-AD236</f>
        <v>0</v>
      </c>
      <c r="AJ236" s="269">
        <f t="shared" ref="AJ236:AJ241" si="195">X236-AG236</f>
        <v>0</v>
      </c>
      <c r="AK236" s="903"/>
      <c r="AL236" s="204">
        <v>0</v>
      </c>
      <c r="AM236" s="210">
        <v>0</v>
      </c>
    </row>
    <row r="237" spans="19:39" ht="24.75" customHeight="1">
      <c r="S237" s="311" t="str">
        <f>+IF(FEBRERO!S237=0,"",FEBRERO!S237)</f>
        <v>2.3.2.02.02.005</v>
      </c>
      <c r="T237" s="312" t="s">
        <v>354</v>
      </c>
      <c r="U237" s="884">
        <f>+ENERO!U237</f>
        <v>0</v>
      </c>
      <c r="V237" s="220">
        <f>FEBRERO!V237+MARZO!AL237</f>
        <v>0</v>
      </c>
      <c r="W237" s="220">
        <f>FEBRERO!W237+MARZO!AM237</f>
        <v>0</v>
      </c>
      <c r="X237" s="271">
        <f t="shared" si="189"/>
        <v>0</v>
      </c>
      <c r="Y237" s="270">
        <f>FEBRERO!AA237</f>
        <v>0</v>
      </c>
      <c r="Z237" s="208">
        <v>0</v>
      </c>
      <c r="AA237" s="271">
        <f t="shared" si="190"/>
        <v>0</v>
      </c>
      <c r="AB237" s="270">
        <f>FEBRERO!AD237</f>
        <v>0</v>
      </c>
      <c r="AC237" s="208">
        <v>0</v>
      </c>
      <c r="AD237" s="271">
        <f t="shared" si="191"/>
        <v>0</v>
      </c>
      <c r="AE237" s="270">
        <f>FEBRERO!AG237</f>
        <v>0</v>
      </c>
      <c r="AF237" s="208">
        <v>0</v>
      </c>
      <c r="AG237" s="271">
        <f t="shared" si="192"/>
        <v>0</v>
      </c>
      <c r="AH237" s="270">
        <f t="shared" si="193"/>
        <v>0</v>
      </c>
      <c r="AI237" s="220">
        <f t="shared" si="194"/>
        <v>0</v>
      </c>
      <c r="AJ237" s="269">
        <f t="shared" si="195"/>
        <v>0</v>
      </c>
      <c r="AK237" s="903"/>
      <c r="AL237" s="204">
        <v>0</v>
      </c>
      <c r="AM237" s="210">
        <v>0</v>
      </c>
    </row>
    <row r="238" spans="19:39" ht="24.75" customHeight="1">
      <c r="S238" s="311" t="str">
        <f>+IF(FEBRERO!S238=0,"",FEBRERO!S238)</f>
        <v>2.3.2.02.02.009</v>
      </c>
      <c r="T238" s="312" t="s">
        <v>665</v>
      </c>
      <c r="U238" s="884">
        <f>+ENERO!U238</f>
        <v>0</v>
      </c>
      <c r="V238" s="220">
        <f>FEBRERO!V238+MARZO!AL238</f>
        <v>0</v>
      </c>
      <c r="W238" s="220">
        <v>13867226030</v>
      </c>
      <c r="X238" s="271">
        <f t="shared" si="189"/>
        <v>13867226030</v>
      </c>
      <c r="Y238" s="270">
        <f>FEBRERO!AA238</f>
        <v>9265952655</v>
      </c>
      <c r="Z238" s="208">
        <v>87081875</v>
      </c>
      <c r="AA238" s="271">
        <f t="shared" si="190"/>
        <v>9353034530</v>
      </c>
      <c r="AB238" s="270">
        <f>FEBRERO!AD238</f>
        <v>2050777933</v>
      </c>
      <c r="AC238" s="208">
        <v>180977919</v>
      </c>
      <c r="AD238" s="271">
        <f t="shared" si="191"/>
        <v>2231755852</v>
      </c>
      <c r="AE238" s="270">
        <f>FEBRERO!AG238</f>
        <v>174958150</v>
      </c>
      <c r="AF238" s="208">
        <v>1693288254</v>
      </c>
      <c r="AG238" s="271">
        <f t="shared" si="192"/>
        <v>1868246404</v>
      </c>
      <c r="AH238" s="270">
        <f t="shared" si="193"/>
        <v>4514191500</v>
      </c>
      <c r="AI238" s="220">
        <f t="shared" si="194"/>
        <v>11635470178</v>
      </c>
      <c r="AJ238" s="269">
        <f t="shared" si="195"/>
        <v>11998979626</v>
      </c>
      <c r="AK238" s="903"/>
      <c r="AL238" s="204">
        <v>0</v>
      </c>
      <c r="AM238" s="210">
        <v>0</v>
      </c>
    </row>
    <row r="239" spans="19:39" ht="24.75" customHeight="1">
      <c r="S239" s="311" t="str">
        <f>+IF(FEBRERO!S239=0,"",FEBRERO!S239)</f>
        <v>8001000-4</v>
      </c>
      <c r="T239" s="312" t="s">
        <v>316</v>
      </c>
      <c r="U239" s="884">
        <f>+ENERO!U239</f>
        <v>0</v>
      </c>
      <c r="V239" s="220">
        <f>FEBRERO!V239+MARZO!AL239</f>
        <v>0</v>
      </c>
      <c r="W239" s="220">
        <f>FEBRERO!W239+MARZO!AM239</f>
        <v>0</v>
      </c>
      <c r="X239" s="271">
        <f t="shared" si="189"/>
        <v>0</v>
      </c>
      <c r="Y239" s="270">
        <f>FEBRERO!AA239</f>
        <v>0</v>
      </c>
      <c r="Z239" s="208">
        <v>0</v>
      </c>
      <c r="AA239" s="271">
        <f t="shared" si="190"/>
        <v>0</v>
      </c>
      <c r="AB239" s="270">
        <f>FEBRERO!AD239</f>
        <v>0</v>
      </c>
      <c r="AC239" s="208">
        <v>0</v>
      </c>
      <c r="AD239" s="271">
        <f t="shared" si="191"/>
        <v>0</v>
      </c>
      <c r="AE239" s="270">
        <f>FEBRERO!AG239</f>
        <v>0</v>
      </c>
      <c r="AF239" s="208">
        <v>0</v>
      </c>
      <c r="AG239" s="271">
        <f t="shared" si="192"/>
        <v>0</v>
      </c>
      <c r="AH239" s="270">
        <f t="shared" si="193"/>
        <v>0</v>
      </c>
      <c r="AI239" s="220">
        <f t="shared" si="194"/>
        <v>0</v>
      </c>
      <c r="AJ239" s="269">
        <f t="shared" si="195"/>
        <v>0</v>
      </c>
      <c r="AK239" s="903"/>
      <c r="AL239" s="204">
        <v>0</v>
      </c>
      <c r="AM239" s="210">
        <v>0</v>
      </c>
    </row>
    <row r="240" spans="19:39" ht="24.75" customHeight="1">
      <c r="S240" s="311" t="str">
        <f>+IF(FEBRERO!S240=0,"",FEBRERO!S240)</f>
        <v>8001000-5</v>
      </c>
      <c r="T240" s="312" t="s">
        <v>318</v>
      </c>
      <c r="U240" s="884">
        <f>+ENERO!U240</f>
        <v>0</v>
      </c>
      <c r="V240" s="220">
        <f>FEBRERO!V240+MARZO!AL240</f>
        <v>0</v>
      </c>
      <c r="W240" s="220">
        <f>FEBRERO!W240+MARZO!AM240</f>
        <v>0</v>
      </c>
      <c r="X240" s="271">
        <f t="shared" si="189"/>
        <v>0</v>
      </c>
      <c r="Y240" s="270">
        <f>FEBRERO!AA240</f>
        <v>0</v>
      </c>
      <c r="Z240" s="208">
        <v>0</v>
      </c>
      <c r="AA240" s="271">
        <f t="shared" si="190"/>
        <v>0</v>
      </c>
      <c r="AB240" s="270">
        <f>FEBRERO!AD240</f>
        <v>0</v>
      </c>
      <c r="AC240" s="208">
        <v>0</v>
      </c>
      <c r="AD240" s="271">
        <f t="shared" si="191"/>
        <v>0</v>
      </c>
      <c r="AE240" s="270">
        <f>FEBRERO!AG240</f>
        <v>0</v>
      </c>
      <c r="AF240" s="208">
        <v>0</v>
      </c>
      <c r="AG240" s="271">
        <f t="shared" si="192"/>
        <v>0</v>
      </c>
      <c r="AH240" s="270">
        <f t="shared" si="193"/>
        <v>0</v>
      </c>
      <c r="AI240" s="220">
        <f t="shared" si="194"/>
        <v>0</v>
      </c>
      <c r="AJ240" s="269">
        <f t="shared" si="195"/>
        <v>0</v>
      </c>
      <c r="AK240" s="903"/>
      <c r="AL240" s="204">
        <v>0</v>
      </c>
      <c r="AM240" s="210">
        <v>0</v>
      </c>
    </row>
    <row r="241" spans="19:39" ht="24.75" customHeight="1">
      <c r="S241" s="311" t="str">
        <f>+IF(FEBRERO!S241=0,"",FEBRERO!S241)</f>
        <v>2.3.2.02.02.009.99</v>
      </c>
      <c r="T241" s="312" t="s">
        <v>678</v>
      </c>
      <c r="U241" s="884">
        <f>+ENERO!U241</f>
        <v>0</v>
      </c>
      <c r="V241" s="220">
        <f>FEBRERO!V241+MARZO!AL241</f>
        <v>0</v>
      </c>
      <c r="W241" s="220">
        <f>FEBRERO!W241+MARZO!AM241</f>
        <v>450782529</v>
      </c>
      <c r="X241" s="271">
        <f t="shared" si="189"/>
        <v>450782529</v>
      </c>
      <c r="Y241" s="270">
        <f>FEBRERO!AA241</f>
        <v>0</v>
      </c>
      <c r="Z241" s="208">
        <v>0</v>
      </c>
      <c r="AA241" s="271">
        <f t="shared" si="190"/>
        <v>0</v>
      </c>
      <c r="AB241" s="270">
        <f>FEBRERO!AD241</f>
        <v>0</v>
      </c>
      <c r="AC241" s="208">
        <v>0</v>
      </c>
      <c r="AD241" s="271">
        <f t="shared" si="191"/>
        <v>0</v>
      </c>
      <c r="AE241" s="270">
        <f>FEBRERO!AG241</f>
        <v>0</v>
      </c>
      <c r="AF241" s="208">
        <v>0</v>
      </c>
      <c r="AG241" s="271">
        <f t="shared" si="192"/>
        <v>0</v>
      </c>
      <c r="AH241" s="270">
        <f t="shared" si="193"/>
        <v>450782529</v>
      </c>
      <c r="AI241" s="220">
        <f t="shared" si="194"/>
        <v>450782529</v>
      </c>
      <c r="AJ241" s="269">
        <f t="shared" si="195"/>
        <v>450782529</v>
      </c>
      <c r="AK241" s="903"/>
      <c r="AL241" s="204">
        <v>0</v>
      </c>
      <c r="AM241" s="210">
        <v>0</v>
      </c>
    </row>
    <row r="242" spans="19:39" ht="24.75" customHeight="1">
      <c r="S242" s="189" t="str">
        <f>+IF(FEBRERO!S242=0,"",FEBRERO!S242)</f>
        <v/>
      </c>
      <c r="T242" s="488"/>
      <c r="U242" s="191"/>
      <c r="V242" s="191"/>
      <c r="W242" s="191"/>
      <c r="X242" s="191"/>
      <c r="Y242" s="191"/>
      <c r="Z242" s="191"/>
      <c r="AA242" s="191"/>
      <c r="AB242" s="191"/>
      <c r="AC242" s="191"/>
      <c r="AD242" s="191"/>
      <c r="AE242" s="191"/>
      <c r="AF242" s="191"/>
      <c r="AG242" s="191"/>
      <c r="AH242" s="191"/>
      <c r="AI242" s="191"/>
      <c r="AJ242" s="192"/>
      <c r="AK242" s="903"/>
      <c r="AL242" s="370"/>
      <c r="AM242" s="371"/>
    </row>
    <row r="243" spans="19:39" ht="24.75" customHeight="1">
      <c r="S243" s="257">
        <f>+IF(FEBRERO!S243=0,"",FEBRERO!S243)</f>
        <v>8002001</v>
      </c>
      <c r="T243" s="498" t="s">
        <v>319</v>
      </c>
      <c r="U243" s="883">
        <f t="shared" ref="U243:AJ243" si="196">SUM(U244:U256)</f>
        <v>0</v>
      </c>
      <c r="V243" s="231">
        <f t="shared" si="196"/>
        <v>0</v>
      </c>
      <c r="W243" s="231">
        <f t="shared" si="196"/>
        <v>0</v>
      </c>
      <c r="X243" s="234">
        <f t="shared" si="196"/>
        <v>0</v>
      </c>
      <c r="Y243" s="233">
        <f t="shared" si="196"/>
        <v>0</v>
      </c>
      <c r="Z243" s="231">
        <f t="shared" si="196"/>
        <v>0</v>
      </c>
      <c r="AA243" s="234">
        <f t="shared" si="196"/>
        <v>0</v>
      </c>
      <c r="AB243" s="233">
        <f t="shared" si="196"/>
        <v>0</v>
      </c>
      <c r="AC243" s="231">
        <f t="shared" si="196"/>
        <v>0</v>
      </c>
      <c r="AD243" s="234">
        <f t="shared" si="196"/>
        <v>0</v>
      </c>
      <c r="AE243" s="233">
        <f t="shared" si="196"/>
        <v>0</v>
      </c>
      <c r="AF243" s="231">
        <f t="shared" si="196"/>
        <v>0</v>
      </c>
      <c r="AG243" s="234">
        <f t="shared" si="196"/>
        <v>0</v>
      </c>
      <c r="AH243" s="233">
        <f t="shared" si="196"/>
        <v>0</v>
      </c>
      <c r="AI243" s="231">
        <f t="shared" si="196"/>
        <v>0</v>
      </c>
      <c r="AJ243" s="232">
        <f t="shared" si="196"/>
        <v>0</v>
      </c>
      <c r="AK243" s="903"/>
      <c r="AL243" s="233">
        <f>SUM(AL244:AL256)</f>
        <v>0</v>
      </c>
      <c r="AM243" s="232">
        <f>SUM(AM244:AM256)</f>
        <v>0</v>
      </c>
    </row>
    <row r="244" spans="19:39" ht="24.75" customHeight="1">
      <c r="S244" s="311" t="str">
        <f>+IF(FEBRERO!S244=0,"",FEBRERO!S244)</f>
        <v>8002100-1</v>
      </c>
      <c r="T244" s="312" t="s">
        <v>265</v>
      </c>
      <c r="U244" s="884">
        <f>+ENERO!U244</f>
        <v>0</v>
      </c>
      <c r="V244" s="220">
        <f>FEBRERO!V244+MARZO!AL244</f>
        <v>0</v>
      </c>
      <c r="W244" s="220">
        <f>FEBRERO!W244+MARZO!AM244</f>
        <v>0</v>
      </c>
      <c r="X244" s="271">
        <f t="shared" ref="X244:X256" si="197">SUM(U244:W244)</f>
        <v>0</v>
      </c>
      <c r="Y244" s="270">
        <f>FEBRERO!AA244</f>
        <v>0</v>
      </c>
      <c r="Z244" s="208">
        <v>0</v>
      </c>
      <c r="AA244" s="271">
        <f t="shared" ref="AA244:AA256" si="198">SUM(Y244:Z244)</f>
        <v>0</v>
      </c>
      <c r="AB244" s="270">
        <f>FEBRERO!AD244</f>
        <v>0</v>
      </c>
      <c r="AC244" s="208">
        <v>0</v>
      </c>
      <c r="AD244" s="271">
        <f t="shared" ref="AD244:AD256" si="199">SUM(AB244:AC244)</f>
        <v>0</v>
      </c>
      <c r="AE244" s="270">
        <f>FEBRERO!AG244</f>
        <v>0</v>
      </c>
      <c r="AF244" s="208">
        <v>0</v>
      </c>
      <c r="AG244" s="271">
        <f t="shared" ref="AG244:AG255" si="200">SUM(AE244:AF244)</f>
        <v>0</v>
      </c>
      <c r="AH244" s="270">
        <f t="shared" ref="AH244:AH256" si="201">X244-AA244</f>
        <v>0</v>
      </c>
      <c r="AI244" s="220">
        <f t="shared" ref="AI244:AI256" si="202">X244-AD244</f>
        <v>0</v>
      </c>
      <c r="AJ244" s="269">
        <f t="shared" ref="AJ244:AJ256" si="203">X244-AG244</f>
        <v>0</v>
      </c>
      <c r="AK244" s="903"/>
      <c r="AL244" s="204">
        <v>0</v>
      </c>
      <c r="AM244" s="210">
        <v>0</v>
      </c>
    </row>
    <row r="245" spans="19:39" ht="24.75" customHeight="1">
      <c r="S245" s="311" t="str">
        <f>+IF(FEBRERO!S245=0,"",FEBRERO!S245)</f>
        <v>8002100-2</v>
      </c>
      <c r="T245" s="548" t="s">
        <v>350</v>
      </c>
      <c r="U245" s="884">
        <f>+ENERO!U245</f>
        <v>0</v>
      </c>
      <c r="V245" s="220">
        <f>FEBRERO!V245+MARZO!AL245</f>
        <v>0</v>
      </c>
      <c r="W245" s="220">
        <f>FEBRERO!W245+MARZO!AM245</f>
        <v>0</v>
      </c>
      <c r="X245" s="271">
        <f t="shared" si="197"/>
        <v>0</v>
      </c>
      <c r="Y245" s="270">
        <f>FEBRERO!AA245</f>
        <v>0</v>
      </c>
      <c r="Z245" s="208">
        <v>0</v>
      </c>
      <c r="AA245" s="271">
        <f t="shared" si="198"/>
        <v>0</v>
      </c>
      <c r="AB245" s="270">
        <f>FEBRERO!AD245</f>
        <v>0</v>
      </c>
      <c r="AC245" s="208">
        <v>0</v>
      </c>
      <c r="AD245" s="271">
        <f t="shared" si="199"/>
        <v>0</v>
      </c>
      <c r="AE245" s="270">
        <f>FEBRERO!AG245</f>
        <v>0</v>
      </c>
      <c r="AF245" s="208">
        <v>0</v>
      </c>
      <c r="AG245" s="271">
        <f t="shared" si="200"/>
        <v>0</v>
      </c>
      <c r="AH245" s="270">
        <f t="shared" si="201"/>
        <v>0</v>
      </c>
      <c r="AI245" s="220">
        <f t="shared" si="202"/>
        <v>0</v>
      </c>
      <c r="AJ245" s="269">
        <f t="shared" si="203"/>
        <v>0</v>
      </c>
      <c r="AK245" s="903"/>
      <c r="AL245" s="204">
        <v>0</v>
      </c>
      <c r="AM245" s="210">
        <v>0</v>
      </c>
    </row>
    <row r="246" spans="19:39" ht="24.75" customHeight="1">
      <c r="S246" s="311" t="str">
        <f>+IF(FEBRERO!S246=0,"",FEBRERO!S246)</f>
        <v>8002100-3</v>
      </c>
      <c r="T246" s="312" t="str">
        <f>+IF(FEBRERO!T246=0,"",FEBRERO!T246)</f>
        <v>Programas Especial 02</v>
      </c>
      <c r="U246" s="884">
        <f>+ENERO!U246</f>
        <v>0</v>
      </c>
      <c r="V246" s="220">
        <f>FEBRERO!V246+MARZO!AL246</f>
        <v>0</v>
      </c>
      <c r="W246" s="220">
        <f>FEBRERO!W246+MARZO!AM246</f>
        <v>0</v>
      </c>
      <c r="X246" s="271">
        <f t="shared" si="197"/>
        <v>0</v>
      </c>
      <c r="Y246" s="270">
        <f>FEBRERO!AA246</f>
        <v>0</v>
      </c>
      <c r="Z246" s="208">
        <v>0</v>
      </c>
      <c r="AA246" s="271">
        <f t="shared" si="198"/>
        <v>0</v>
      </c>
      <c r="AB246" s="270">
        <f>FEBRERO!AD246</f>
        <v>0</v>
      </c>
      <c r="AC246" s="208">
        <v>0</v>
      </c>
      <c r="AD246" s="271">
        <f t="shared" si="199"/>
        <v>0</v>
      </c>
      <c r="AE246" s="270">
        <f>FEBRERO!AG246</f>
        <v>0</v>
      </c>
      <c r="AF246" s="208">
        <v>0</v>
      </c>
      <c r="AG246" s="271">
        <f t="shared" si="200"/>
        <v>0</v>
      </c>
      <c r="AH246" s="270">
        <f t="shared" si="201"/>
        <v>0</v>
      </c>
      <c r="AI246" s="220">
        <f t="shared" si="202"/>
        <v>0</v>
      </c>
      <c r="AJ246" s="269">
        <f t="shared" si="203"/>
        <v>0</v>
      </c>
      <c r="AK246" s="903"/>
      <c r="AL246" s="204">
        <v>0</v>
      </c>
      <c r="AM246" s="210">
        <v>0</v>
      </c>
    </row>
    <row r="247" spans="19:39" ht="24.75" customHeight="1">
      <c r="S247" s="311" t="str">
        <f>+IF(FEBRERO!S247=0,"",FEBRERO!S247)</f>
        <v>8002100-4</v>
      </c>
      <c r="T247" s="312" t="str">
        <f>+IF(FEBRERO!T247=0,"",FEBRERO!T247)</f>
        <v>Programas Especial 03</v>
      </c>
      <c r="U247" s="884">
        <f>+ENERO!U247</f>
        <v>0</v>
      </c>
      <c r="V247" s="220">
        <f>FEBRERO!V247+MARZO!AL247</f>
        <v>0</v>
      </c>
      <c r="W247" s="220">
        <f>FEBRERO!W247+MARZO!AM247</f>
        <v>0</v>
      </c>
      <c r="X247" s="271">
        <f t="shared" si="197"/>
        <v>0</v>
      </c>
      <c r="Y247" s="270">
        <f>FEBRERO!AA247</f>
        <v>0</v>
      </c>
      <c r="Z247" s="208">
        <v>0</v>
      </c>
      <c r="AA247" s="271">
        <f t="shared" si="198"/>
        <v>0</v>
      </c>
      <c r="AB247" s="270">
        <f>FEBRERO!AD247</f>
        <v>0</v>
      </c>
      <c r="AC247" s="208">
        <v>0</v>
      </c>
      <c r="AD247" s="271">
        <f t="shared" si="199"/>
        <v>0</v>
      </c>
      <c r="AE247" s="270">
        <f>FEBRERO!AG247</f>
        <v>0</v>
      </c>
      <c r="AF247" s="208">
        <v>0</v>
      </c>
      <c r="AG247" s="271">
        <f t="shared" si="200"/>
        <v>0</v>
      </c>
      <c r="AH247" s="270">
        <f t="shared" si="201"/>
        <v>0</v>
      </c>
      <c r="AI247" s="220">
        <f t="shared" si="202"/>
        <v>0</v>
      </c>
      <c r="AJ247" s="269">
        <f t="shared" si="203"/>
        <v>0</v>
      </c>
      <c r="AK247" s="903"/>
      <c r="AL247" s="204">
        <v>0</v>
      </c>
      <c r="AM247" s="210">
        <v>0</v>
      </c>
    </row>
    <row r="248" spans="19:39" ht="24.75" customHeight="1">
      <c r="S248" s="311" t="str">
        <f>+IF(FEBRERO!S248=0,"",FEBRERO!S248)</f>
        <v>8002100-5</v>
      </c>
      <c r="T248" s="312" t="str">
        <f>+IF(FEBRERO!T248=0,"",FEBRERO!T248)</f>
        <v>Programas Especial 04</v>
      </c>
      <c r="U248" s="884">
        <f>+ENERO!U248</f>
        <v>0</v>
      </c>
      <c r="V248" s="220">
        <f>FEBRERO!V248+MARZO!AL248</f>
        <v>0</v>
      </c>
      <c r="W248" s="220">
        <f>FEBRERO!W248+MARZO!AM248</f>
        <v>0</v>
      </c>
      <c r="X248" s="271">
        <f t="shared" si="197"/>
        <v>0</v>
      </c>
      <c r="Y248" s="270">
        <f>FEBRERO!AA248</f>
        <v>0</v>
      </c>
      <c r="Z248" s="208">
        <v>0</v>
      </c>
      <c r="AA248" s="271">
        <f t="shared" si="198"/>
        <v>0</v>
      </c>
      <c r="AB248" s="270">
        <f>FEBRERO!AD248</f>
        <v>0</v>
      </c>
      <c r="AC248" s="208">
        <v>0</v>
      </c>
      <c r="AD248" s="271">
        <f t="shared" si="199"/>
        <v>0</v>
      </c>
      <c r="AE248" s="270">
        <f>FEBRERO!AG248</f>
        <v>0</v>
      </c>
      <c r="AF248" s="208">
        <v>0</v>
      </c>
      <c r="AG248" s="271">
        <f t="shared" si="200"/>
        <v>0</v>
      </c>
      <c r="AH248" s="270">
        <f t="shared" si="201"/>
        <v>0</v>
      </c>
      <c r="AI248" s="220">
        <f t="shared" si="202"/>
        <v>0</v>
      </c>
      <c r="AJ248" s="269">
        <f t="shared" si="203"/>
        <v>0</v>
      </c>
      <c r="AK248" s="903"/>
      <c r="AL248" s="204">
        <v>0</v>
      </c>
      <c r="AM248" s="210">
        <v>0</v>
      </c>
    </row>
    <row r="249" spans="19:39" ht="24.75" customHeight="1">
      <c r="S249" s="311" t="str">
        <f>+IF(FEBRERO!S249=0,"",FEBRERO!S249)</f>
        <v>8002100-6</v>
      </c>
      <c r="T249" s="312" t="str">
        <f>+IF(FEBRERO!T249=0,"",FEBRERO!T249)</f>
        <v>Programas Especial 05</v>
      </c>
      <c r="U249" s="884">
        <f>+ENERO!U249</f>
        <v>0</v>
      </c>
      <c r="V249" s="220">
        <f>FEBRERO!V249+MARZO!AL249</f>
        <v>0</v>
      </c>
      <c r="W249" s="220">
        <f>FEBRERO!W249+MARZO!AM249</f>
        <v>0</v>
      </c>
      <c r="X249" s="271">
        <f t="shared" si="197"/>
        <v>0</v>
      </c>
      <c r="Y249" s="270">
        <f>FEBRERO!AA249</f>
        <v>0</v>
      </c>
      <c r="Z249" s="208">
        <v>0</v>
      </c>
      <c r="AA249" s="271">
        <f t="shared" si="198"/>
        <v>0</v>
      </c>
      <c r="AB249" s="270">
        <f>FEBRERO!AD249</f>
        <v>0</v>
      </c>
      <c r="AC249" s="208">
        <v>0</v>
      </c>
      <c r="AD249" s="271">
        <f t="shared" si="199"/>
        <v>0</v>
      </c>
      <c r="AE249" s="270">
        <f>FEBRERO!AG249</f>
        <v>0</v>
      </c>
      <c r="AF249" s="208">
        <v>0</v>
      </c>
      <c r="AG249" s="271">
        <f t="shared" si="200"/>
        <v>0</v>
      </c>
      <c r="AH249" s="270">
        <f t="shared" si="201"/>
        <v>0</v>
      </c>
      <c r="AI249" s="220">
        <f t="shared" si="202"/>
        <v>0</v>
      </c>
      <c r="AJ249" s="269">
        <f t="shared" si="203"/>
        <v>0</v>
      </c>
      <c r="AK249" s="903"/>
      <c r="AL249" s="204">
        <v>0</v>
      </c>
      <c r="AM249" s="210">
        <v>0</v>
      </c>
    </row>
    <row r="250" spans="19:39" ht="24.75" customHeight="1">
      <c r="S250" s="311" t="str">
        <f>+IF(FEBRERO!S250=0,"",FEBRERO!S250)</f>
        <v>8002100-7</v>
      </c>
      <c r="T250" s="312" t="str">
        <f>+IF(FEBRERO!T250=0,"",FEBRERO!T250)</f>
        <v>Programas Especial 06</v>
      </c>
      <c r="U250" s="884">
        <f>+ENERO!U250</f>
        <v>0</v>
      </c>
      <c r="V250" s="220">
        <f>FEBRERO!V250+MARZO!AL250</f>
        <v>0</v>
      </c>
      <c r="W250" s="220">
        <f>FEBRERO!W250+MARZO!AM250</f>
        <v>0</v>
      </c>
      <c r="X250" s="271">
        <f t="shared" si="197"/>
        <v>0</v>
      </c>
      <c r="Y250" s="270">
        <f>FEBRERO!AA250</f>
        <v>0</v>
      </c>
      <c r="Z250" s="208">
        <v>0</v>
      </c>
      <c r="AA250" s="271">
        <f t="shared" si="198"/>
        <v>0</v>
      </c>
      <c r="AB250" s="270">
        <f>FEBRERO!AD250</f>
        <v>0</v>
      </c>
      <c r="AC250" s="208">
        <v>0</v>
      </c>
      <c r="AD250" s="271">
        <f t="shared" si="199"/>
        <v>0</v>
      </c>
      <c r="AE250" s="270">
        <f>FEBRERO!AG250</f>
        <v>0</v>
      </c>
      <c r="AF250" s="208">
        <v>0</v>
      </c>
      <c r="AG250" s="271">
        <f t="shared" si="200"/>
        <v>0</v>
      </c>
      <c r="AH250" s="270">
        <f t="shared" si="201"/>
        <v>0</v>
      </c>
      <c r="AI250" s="220">
        <f t="shared" si="202"/>
        <v>0</v>
      </c>
      <c r="AJ250" s="269">
        <f t="shared" si="203"/>
        <v>0</v>
      </c>
      <c r="AK250" s="903"/>
      <c r="AL250" s="204">
        <v>0</v>
      </c>
      <c r="AM250" s="210">
        <v>0</v>
      </c>
    </row>
    <row r="251" spans="19:39" ht="24.75" customHeight="1">
      <c r="S251" s="311" t="str">
        <f>+IF(FEBRERO!S251=0,"",FEBRERO!S251)</f>
        <v>8002100-8</v>
      </c>
      <c r="T251" s="312" t="str">
        <f>+IF(FEBRERO!T251=0,"",FEBRERO!T251)</f>
        <v>Programas Especial 07</v>
      </c>
      <c r="U251" s="884">
        <f>+ENERO!U251</f>
        <v>0</v>
      </c>
      <c r="V251" s="220">
        <f>FEBRERO!V251+MARZO!AL251</f>
        <v>0</v>
      </c>
      <c r="W251" s="220">
        <f>FEBRERO!W251+MARZO!AM251</f>
        <v>0</v>
      </c>
      <c r="X251" s="271">
        <f t="shared" si="197"/>
        <v>0</v>
      </c>
      <c r="Y251" s="270">
        <f>FEBRERO!AA251</f>
        <v>0</v>
      </c>
      <c r="Z251" s="208">
        <v>0</v>
      </c>
      <c r="AA251" s="271">
        <f t="shared" si="198"/>
        <v>0</v>
      </c>
      <c r="AB251" s="270">
        <f>FEBRERO!AD251</f>
        <v>0</v>
      </c>
      <c r="AC251" s="208">
        <v>0</v>
      </c>
      <c r="AD251" s="271">
        <f t="shared" si="199"/>
        <v>0</v>
      </c>
      <c r="AE251" s="270">
        <f>FEBRERO!AG251</f>
        <v>0</v>
      </c>
      <c r="AF251" s="208">
        <v>0</v>
      </c>
      <c r="AG251" s="271">
        <f t="shared" si="200"/>
        <v>0</v>
      </c>
      <c r="AH251" s="270">
        <f t="shared" si="201"/>
        <v>0</v>
      </c>
      <c r="AI251" s="220">
        <f t="shared" si="202"/>
        <v>0</v>
      </c>
      <c r="AJ251" s="269">
        <f t="shared" si="203"/>
        <v>0</v>
      </c>
      <c r="AK251" s="903"/>
      <c r="AL251" s="204">
        <v>0</v>
      </c>
      <c r="AM251" s="210">
        <v>0</v>
      </c>
    </row>
    <row r="252" spans="19:39" ht="24.75" customHeight="1">
      <c r="S252" s="311" t="str">
        <f>+IF(FEBRERO!S252=0,"",FEBRERO!S252)</f>
        <v>8002100-9</v>
      </c>
      <c r="T252" s="312" t="str">
        <f>+IF(FEBRERO!T252=0,"",FEBRERO!T252)</f>
        <v>Programas Especial 08</v>
      </c>
      <c r="U252" s="884">
        <f>+ENERO!U252</f>
        <v>0</v>
      </c>
      <c r="V252" s="220">
        <f>FEBRERO!V252+MARZO!AL252</f>
        <v>0</v>
      </c>
      <c r="W252" s="220">
        <f>FEBRERO!W252+MARZO!AM252</f>
        <v>0</v>
      </c>
      <c r="X252" s="271">
        <f t="shared" si="197"/>
        <v>0</v>
      </c>
      <c r="Y252" s="270">
        <f>FEBRERO!AA252</f>
        <v>0</v>
      </c>
      <c r="Z252" s="208">
        <v>0</v>
      </c>
      <c r="AA252" s="271">
        <f t="shared" si="198"/>
        <v>0</v>
      </c>
      <c r="AB252" s="270">
        <f>FEBRERO!AD252</f>
        <v>0</v>
      </c>
      <c r="AC252" s="208">
        <v>0</v>
      </c>
      <c r="AD252" s="271">
        <f t="shared" si="199"/>
        <v>0</v>
      </c>
      <c r="AE252" s="270">
        <f>FEBRERO!AG252</f>
        <v>0</v>
      </c>
      <c r="AF252" s="208">
        <v>0</v>
      </c>
      <c r="AG252" s="271">
        <f t="shared" si="200"/>
        <v>0</v>
      </c>
      <c r="AH252" s="270">
        <f t="shared" si="201"/>
        <v>0</v>
      </c>
      <c r="AI252" s="220">
        <f t="shared" si="202"/>
        <v>0</v>
      </c>
      <c r="AJ252" s="269">
        <f t="shared" si="203"/>
        <v>0</v>
      </c>
      <c r="AK252" s="903"/>
      <c r="AL252" s="204">
        <v>0</v>
      </c>
      <c r="AM252" s="210">
        <v>0</v>
      </c>
    </row>
    <row r="253" spans="19:39" ht="24.75" customHeight="1">
      <c r="S253" s="311" t="str">
        <f>+IF(FEBRERO!S253=0,"",FEBRERO!S253)</f>
        <v>8002100-10</v>
      </c>
      <c r="T253" s="312" t="str">
        <f>+IF(FEBRERO!T253=0,"",FEBRERO!T253)</f>
        <v>Programas Especial 09</v>
      </c>
      <c r="U253" s="884">
        <f>+ENERO!U253</f>
        <v>0</v>
      </c>
      <c r="V253" s="220">
        <f>FEBRERO!V253+MARZO!AL253</f>
        <v>0</v>
      </c>
      <c r="W253" s="220">
        <f>FEBRERO!W253+MARZO!AM253</f>
        <v>0</v>
      </c>
      <c r="X253" s="271">
        <f t="shared" si="197"/>
        <v>0</v>
      </c>
      <c r="Y253" s="270">
        <f>FEBRERO!AA253</f>
        <v>0</v>
      </c>
      <c r="Z253" s="208">
        <v>0</v>
      </c>
      <c r="AA253" s="271">
        <f t="shared" si="198"/>
        <v>0</v>
      </c>
      <c r="AB253" s="270">
        <f>FEBRERO!AD253</f>
        <v>0</v>
      </c>
      <c r="AC253" s="208">
        <v>0</v>
      </c>
      <c r="AD253" s="271">
        <f t="shared" si="199"/>
        <v>0</v>
      </c>
      <c r="AE253" s="270">
        <f>FEBRERO!AG253</f>
        <v>0</v>
      </c>
      <c r="AF253" s="208">
        <v>0</v>
      </c>
      <c r="AG253" s="271">
        <f t="shared" si="200"/>
        <v>0</v>
      </c>
      <c r="AH253" s="270">
        <f t="shared" si="201"/>
        <v>0</v>
      </c>
      <c r="AI253" s="220">
        <f t="shared" si="202"/>
        <v>0</v>
      </c>
      <c r="AJ253" s="269">
        <f t="shared" si="203"/>
        <v>0</v>
      </c>
      <c r="AK253" s="903"/>
      <c r="AL253" s="204">
        <v>0</v>
      </c>
      <c r="AM253" s="210">
        <v>0</v>
      </c>
    </row>
    <row r="254" spans="19:39" ht="24.75" customHeight="1">
      <c r="S254" s="311" t="str">
        <f>+IF(FEBRERO!S254=0,"",FEBRERO!S254)</f>
        <v>8002100-11</v>
      </c>
      <c r="T254" s="312" t="str">
        <f>+IF(FEBRERO!T254=0,"",FEBRERO!T254)</f>
        <v>Programas Especial 10</v>
      </c>
      <c r="U254" s="884">
        <f>+ENERO!U254</f>
        <v>0</v>
      </c>
      <c r="V254" s="220">
        <f>FEBRERO!V254+MARZO!AL254</f>
        <v>0</v>
      </c>
      <c r="W254" s="220">
        <f>FEBRERO!W254+MARZO!AM254</f>
        <v>0</v>
      </c>
      <c r="X254" s="271">
        <f t="shared" si="197"/>
        <v>0</v>
      </c>
      <c r="Y254" s="270">
        <f>FEBRERO!AA254</f>
        <v>0</v>
      </c>
      <c r="Z254" s="208">
        <v>0</v>
      </c>
      <c r="AA254" s="271">
        <f t="shared" si="198"/>
        <v>0</v>
      </c>
      <c r="AB254" s="270">
        <f>FEBRERO!AD254</f>
        <v>0</v>
      </c>
      <c r="AC254" s="208">
        <v>0</v>
      </c>
      <c r="AD254" s="271">
        <f t="shared" si="199"/>
        <v>0</v>
      </c>
      <c r="AE254" s="270">
        <f>FEBRERO!AG254</f>
        <v>0</v>
      </c>
      <c r="AF254" s="208">
        <v>0</v>
      </c>
      <c r="AG254" s="271">
        <f t="shared" si="200"/>
        <v>0</v>
      </c>
      <c r="AH254" s="270">
        <f t="shared" si="201"/>
        <v>0</v>
      </c>
      <c r="AI254" s="220">
        <f t="shared" si="202"/>
        <v>0</v>
      </c>
      <c r="AJ254" s="269">
        <f t="shared" si="203"/>
        <v>0</v>
      </c>
      <c r="AK254" s="903"/>
      <c r="AL254" s="204">
        <v>0</v>
      </c>
      <c r="AM254" s="210">
        <v>0</v>
      </c>
    </row>
    <row r="255" spans="19:39" ht="24.75" customHeight="1">
      <c r="S255" s="311" t="str">
        <f>+IF(FEBRERO!S255=0,"",FEBRERO!S255)</f>
        <v>8002100-12</v>
      </c>
      <c r="T255" s="312" t="str">
        <f>+IF(FEBRERO!T255=0,"",FEBRERO!T255)</f>
        <v>Programas Especial 11</v>
      </c>
      <c r="U255" s="884">
        <f>+ENERO!U255</f>
        <v>0</v>
      </c>
      <c r="V255" s="220">
        <f>FEBRERO!V255+MARZO!AL255</f>
        <v>0</v>
      </c>
      <c r="W255" s="220">
        <f>FEBRERO!W255+MARZO!AM255</f>
        <v>0</v>
      </c>
      <c r="X255" s="271">
        <f t="shared" si="197"/>
        <v>0</v>
      </c>
      <c r="Y255" s="270">
        <f>FEBRERO!AA255</f>
        <v>0</v>
      </c>
      <c r="Z255" s="208">
        <v>0</v>
      </c>
      <c r="AA255" s="271">
        <f t="shared" si="198"/>
        <v>0</v>
      </c>
      <c r="AB255" s="270">
        <f>FEBRERO!AD255</f>
        <v>0</v>
      </c>
      <c r="AC255" s="208">
        <v>0</v>
      </c>
      <c r="AD255" s="271">
        <f t="shared" si="199"/>
        <v>0</v>
      </c>
      <c r="AE255" s="270">
        <f>FEBRERO!AG255</f>
        <v>0</v>
      </c>
      <c r="AF255" s="208">
        <v>0</v>
      </c>
      <c r="AG255" s="271">
        <f t="shared" si="200"/>
        <v>0</v>
      </c>
      <c r="AH255" s="270">
        <f t="shared" si="201"/>
        <v>0</v>
      </c>
      <c r="AI255" s="220">
        <f t="shared" si="202"/>
        <v>0</v>
      </c>
      <c r="AJ255" s="269">
        <f t="shared" si="203"/>
        <v>0</v>
      </c>
      <c r="AK255" s="903"/>
      <c r="AL255" s="204">
        <v>0</v>
      </c>
      <c r="AM255" s="210">
        <v>0</v>
      </c>
    </row>
    <row r="256" spans="19:39" ht="24.75" customHeight="1">
      <c r="S256" s="499" t="str">
        <f>+IF(FEBRERO!S256=0,"",FEBRERO!S256)</f>
        <v>2.3.2.01.01.99</v>
      </c>
      <c r="T256" s="500" t="str">
        <f>+IF(FEBRERO!T256=0,"",FEBRERO!T256)</f>
        <v>Vigencias Anteriores Activos Fijos</v>
      </c>
      <c r="U256" s="547">
        <f>+ENERO!U256</f>
        <v>0</v>
      </c>
      <c r="V256" s="468">
        <f>FEBRERO!V256+MARZO!AL256</f>
        <v>0</v>
      </c>
      <c r="W256" s="468">
        <f>FEBRERO!W256+MARZO!AM256</f>
        <v>0</v>
      </c>
      <c r="X256" s="471">
        <f t="shared" si="197"/>
        <v>0</v>
      </c>
      <c r="Y256" s="470">
        <f>FEBRERO!AA256</f>
        <v>0</v>
      </c>
      <c r="Z256" s="246">
        <v>0</v>
      </c>
      <c r="AA256" s="471">
        <f t="shared" si="198"/>
        <v>0</v>
      </c>
      <c r="AB256" s="470">
        <f>FEBRERO!AD256</f>
        <v>0</v>
      </c>
      <c r="AC256" s="246">
        <v>0</v>
      </c>
      <c r="AD256" s="471">
        <f t="shared" si="199"/>
        <v>0</v>
      </c>
      <c r="AE256" s="470">
        <f>FEBRERO!AG256</f>
        <v>0</v>
      </c>
      <c r="AF256" s="246">
        <v>0</v>
      </c>
      <c r="AG256" s="471">
        <f>SUM(AE256:AF256)</f>
        <v>0</v>
      </c>
      <c r="AH256" s="470">
        <f t="shared" si="201"/>
        <v>0</v>
      </c>
      <c r="AI256" s="468">
        <f t="shared" si="202"/>
        <v>0</v>
      </c>
      <c r="AJ256" s="469">
        <f t="shared" si="203"/>
        <v>0</v>
      </c>
      <c r="AK256" s="903"/>
      <c r="AL256" s="242">
        <v>0</v>
      </c>
      <c r="AM256" s="248">
        <v>0</v>
      </c>
    </row>
    <row r="257" spans="19:39" ht="24.75" customHeight="1">
      <c r="S257" s="885" t="str">
        <f>+IF(FEBRERO!S257=0,"",FEBRERO!S257)</f>
        <v/>
      </c>
      <c r="T257" s="914" t="str">
        <f>+IF(FEBRERO!T257=0,"",FEBRERO!T257)</f>
        <v/>
      </c>
      <c r="U257" s="915"/>
      <c r="V257" s="915"/>
      <c r="W257" s="915"/>
      <c r="X257" s="915"/>
      <c r="Y257" s="915"/>
      <c r="Z257" s="915"/>
      <c r="AA257" s="915"/>
      <c r="AB257" s="915"/>
      <c r="AC257" s="915"/>
      <c r="AD257" s="915"/>
      <c r="AE257" s="915"/>
      <c r="AF257" s="915"/>
      <c r="AG257" s="915"/>
      <c r="AH257" s="915"/>
      <c r="AI257" s="915"/>
      <c r="AJ257" s="484"/>
      <c r="AK257" s="907"/>
      <c r="AL257" s="889"/>
      <c r="AM257" s="502"/>
    </row>
    <row r="258" spans="19:39" ht="24.75" customHeight="1">
      <c r="S258" s="503" t="s">
        <v>342</v>
      </c>
      <c r="T258" s="504" t="s">
        <v>197</v>
      </c>
      <c r="U258" s="136">
        <f>+(C10+C17+C113)-(U10+U193+U220+U232)</f>
        <v>0.30987548828125</v>
      </c>
      <c r="V258" s="136">
        <f>+(D10+D17+D113)-(V10+V193+V220+V232)</f>
        <v>0</v>
      </c>
      <c r="W258" s="136">
        <f>+(E10+E17+E113)-(W10+W193+W220+W232)</f>
        <v>0</v>
      </c>
      <c r="X258" s="136">
        <f>+(F10+F17+F113)-(X10+X193+X220+X232)</f>
        <v>0.30987548828125</v>
      </c>
      <c r="Y258" s="136">
        <f t="shared" ref="Y258:AJ258" si="204">+(G10+G17+G113)-(Y10+Y193+Y220+Y232)</f>
        <v>-41521427376</v>
      </c>
      <c r="Z258" s="136">
        <f t="shared" si="204"/>
        <v>4301481588</v>
      </c>
      <c r="AA258" s="136">
        <f t="shared" si="204"/>
        <v>-37219945788</v>
      </c>
      <c r="AB258" s="136">
        <f t="shared" si="204"/>
        <v>-19175250699</v>
      </c>
      <c r="AC258" s="136">
        <f t="shared" si="204"/>
        <v>-6658286583</v>
      </c>
      <c r="AD258" s="136">
        <f t="shared" si="204"/>
        <v>-25833537282</v>
      </c>
      <c r="AE258" s="136">
        <f t="shared" si="204"/>
        <v>85317377131.476517</v>
      </c>
      <c r="AF258" s="136">
        <f t="shared" si="204"/>
        <v>126451624790.4765</v>
      </c>
      <c r="AG258" s="136">
        <f t="shared" si="204"/>
        <v>-32198207356</v>
      </c>
      <c r="AH258" s="136">
        <f t="shared" si="204"/>
        <v>-70555252716.388885</v>
      </c>
      <c r="AI258" s="136">
        <f t="shared" si="204"/>
        <v>-115383126474.38889</v>
      </c>
      <c r="AJ258" s="890">
        <f t="shared" si="204"/>
        <v>-143584468408.38889</v>
      </c>
      <c r="AK258" s="903"/>
      <c r="AL258" s="134">
        <v>0</v>
      </c>
      <c r="AM258" s="135">
        <v>0</v>
      </c>
    </row>
    <row r="259" spans="19:39" ht="24.75" customHeight="1" thickBot="1">
      <c r="S259" s="1405"/>
      <c r="T259" s="1406"/>
      <c r="U259" s="891"/>
      <c r="V259" s="891"/>
      <c r="W259" s="891"/>
      <c r="X259" s="891"/>
      <c r="Y259" s="891"/>
      <c r="Z259" s="891"/>
      <c r="AA259" s="891"/>
      <c r="AB259" s="891"/>
      <c r="AC259" s="891"/>
      <c r="AD259" s="891"/>
      <c r="AE259" s="891"/>
      <c r="AF259" s="891"/>
      <c r="AG259" s="891"/>
      <c r="AH259" s="891"/>
      <c r="AI259" s="891"/>
      <c r="AJ259" s="892"/>
      <c r="AK259" s="907"/>
      <c r="AL259" s="508">
        <f>+SUMIF(AK8:AK256,AK33,AL8:AL256)</f>
        <v>0</v>
      </c>
      <c r="AM259" s="509">
        <f>+SUMIF(AL8:AL256,AL33,AM8:AM256)</f>
        <v>0</v>
      </c>
    </row>
    <row r="260" spans="19:39" ht="24.75" customHeight="1" thickBot="1">
      <c r="S260" s="510" t="s">
        <v>343</v>
      </c>
      <c r="T260" s="511"/>
      <c r="U260" s="512">
        <f>+U8-U262</f>
        <v>158143153137.16666</v>
      </c>
      <c r="V260" s="512">
        <f>+V8-V262</f>
        <v>-6171258168</v>
      </c>
      <c r="W260" s="512">
        <f>+W8-W262</f>
        <v>14887888550</v>
      </c>
      <c r="X260" s="512">
        <f>+X8-X262</f>
        <v>143272434934.94461</v>
      </c>
      <c r="Y260" s="512">
        <f t="shared" ref="Y260:AK260" si="205">+Y8-Y262</f>
        <v>73593853590</v>
      </c>
      <c r="Z260" s="512">
        <f t="shared" si="205"/>
        <v>8215167721</v>
      </c>
      <c r="AA260" s="512">
        <f t="shared" si="205"/>
        <v>81809021311</v>
      </c>
      <c r="AB260" s="512">
        <f t="shared" si="205"/>
        <v>24809175657</v>
      </c>
      <c r="AC260" s="512">
        <f t="shared" si="205"/>
        <v>12178171896</v>
      </c>
      <c r="AD260" s="512">
        <f t="shared" si="205"/>
        <v>36987347553</v>
      </c>
      <c r="AE260" s="512">
        <f t="shared" si="205"/>
        <v>3599454992</v>
      </c>
      <c r="AF260" s="512">
        <f t="shared" si="205"/>
        <v>5025595148</v>
      </c>
      <c r="AG260" s="512">
        <f t="shared" si="205"/>
        <v>8786035821</v>
      </c>
      <c r="AH260" s="512">
        <f t="shared" si="205"/>
        <v>64405450427.166824</v>
      </c>
      <c r="AI260" s="512">
        <f t="shared" si="205"/>
        <v>109227124185.16682</v>
      </c>
      <c r="AJ260" s="513">
        <f t="shared" si="205"/>
        <v>137428435917.16682</v>
      </c>
      <c r="AK260" s="513">
        <f t="shared" si="205"/>
        <v>0</v>
      </c>
      <c r="AL260" s="736"/>
      <c r="AM260" s="736"/>
    </row>
    <row r="261" spans="19:39" ht="24.75" customHeight="1" thickBot="1">
      <c r="S261" s="514"/>
      <c r="T261" s="515"/>
      <c r="U261" s="516"/>
      <c r="V261" s="516"/>
      <c r="W261" s="516"/>
      <c r="X261" s="516"/>
      <c r="Y261" s="516"/>
      <c r="Z261" s="516"/>
      <c r="AA261" s="516"/>
      <c r="AB261" s="516"/>
      <c r="AC261" s="516"/>
      <c r="AD261" s="516"/>
      <c r="AE261" s="516"/>
      <c r="AF261" s="516"/>
      <c r="AG261" s="516"/>
      <c r="AH261" s="516"/>
      <c r="AI261" s="516"/>
      <c r="AJ261" s="517"/>
      <c r="AK261" s="517"/>
      <c r="AL261" s="893"/>
      <c r="AM261" s="893"/>
    </row>
    <row r="262" spans="19:39" ht="24.75" customHeight="1" thickBot="1">
      <c r="S262" s="518" t="s">
        <v>344</v>
      </c>
      <c r="T262" s="519"/>
      <c r="U262" s="519"/>
      <c r="V262" s="660">
        <f>SUM(V256+V241+V230+V225+V218+V207+V191+V182+V167+V153+V139+V121+V108+V102+V88+V81+V61+V55+V41+V33)</f>
        <v>6171258168</v>
      </c>
      <c r="W262" s="660">
        <f>SUM(W33+W41+W55+W61+W81+W88+W102+W108+W121+W139+W143+W153+W167+W173+W182+W191+W207+W218)</f>
        <v>158814745</v>
      </c>
      <c r="X262" s="660">
        <f>SUM(X33+X41+X55+X61+X81+X88+X102+X108+X121+X139+X143+X153+X167+X173+X182+X191+X207+X218)</f>
        <v>29917421497.222054</v>
      </c>
      <c r="Y262" s="660">
        <f t="shared" ref="Y262:AK262" si="206">SUM(Y256+Y241+Y230+Y225+Y218+Y207+Y191+Y182+Y167+Y153+Y139+Y121+Y108+Y102+Y88+Y81+Y61+Y55+Y41+Y33)</f>
        <v>16271747051</v>
      </c>
      <c r="Z262" s="660">
        <f t="shared" si="206"/>
        <v>7146654686</v>
      </c>
      <c r="AA262" s="660">
        <f t="shared" si="206"/>
        <v>23418401737</v>
      </c>
      <c r="AB262" s="660">
        <f t="shared" si="206"/>
        <v>16265547051</v>
      </c>
      <c r="AC262" s="660">
        <f t="shared" si="206"/>
        <v>7146654686</v>
      </c>
      <c r="AD262" s="660">
        <f t="shared" si="206"/>
        <v>23412201737</v>
      </c>
      <c r="AE262" s="660">
        <f t="shared" si="206"/>
        <v>16265547049</v>
      </c>
      <c r="AF262" s="660">
        <f t="shared" si="206"/>
        <v>7146624486</v>
      </c>
      <c r="AG262" s="660">
        <f t="shared" si="206"/>
        <v>23412171535</v>
      </c>
      <c r="AH262" s="660">
        <f t="shared" si="206"/>
        <v>6149802289.2220573</v>
      </c>
      <c r="AI262" s="660">
        <f t="shared" si="206"/>
        <v>6156002289.2220573</v>
      </c>
      <c r="AJ262" s="660">
        <f t="shared" si="206"/>
        <v>6156032491.2220573</v>
      </c>
      <c r="AK262" s="660">
        <f t="shared" si="206"/>
        <v>0</v>
      </c>
      <c r="AL262" s="893"/>
      <c r="AM262" s="893"/>
    </row>
    <row r="263" spans="19:39" ht="24.75" customHeight="1" thickBot="1">
      <c r="S263" s="514"/>
      <c r="T263" s="515"/>
      <c r="U263" s="515"/>
      <c r="V263" s="516"/>
      <c r="W263" s="516"/>
      <c r="X263" s="516"/>
      <c r="Y263" s="516"/>
      <c r="Z263" s="516"/>
      <c r="AA263" s="516"/>
      <c r="AB263" s="516"/>
      <c r="AC263" s="516"/>
      <c r="AD263" s="516"/>
      <c r="AE263" s="516"/>
      <c r="AF263" s="516"/>
      <c r="AG263" s="516"/>
      <c r="AH263" s="516"/>
      <c r="AI263" s="516"/>
      <c r="AJ263" s="516"/>
      <c r="AK263" s="516"/>
      <c r="AL263" s="893"/>
      <c r="AM263" s="893"/>
    </row>
    <row r="264" spans="19:39" ht="24.75" customHeight="1" thickBot="1">
      <c r="S264" s="520" t="s">
        <v>345</v>
      </c>
      <c r="T264" s="521"/>
      <c r="U264" s="522">
        <f>+U260+U262</f>
        <v>158143153137.16666</v>
      </c>
      <c r="V264" s="522">
        <f>+V260+V262</f>
        <v>0</v>
      </c>
      <c r="W264" s="522">
        <f>+W260+W262</f>
        <v>15046703295</v>
      </c>
      <c r="X264" s="522">
        <f>+X260+X262</f>
        <v>173189856432.16666</v>
      </c>
      <c r="Y264" s="522">
        <f t="shared" ref="Y264:AJ264" si="207">+Y260+Y262</f>
        <v>89865600641</v>
      </c>
      <c r="Z264" s="522">
        <f t="shared" si="207"/>
        <v>15361822407</v>
      </c>
      <c r="AA264" s="522">
        <f t="shared" si="207"/>
        <v>105227423048</v>
      </c>
      <c r="AB264" s="522">
        <f t="shared" si="207"/>
        <v>41074722708</v>
      </c>
      <c r="AC264" s="522">
        <f t="shared" si="207"/>
        <v>19324826582</v>
      </c>
      <c r="AD264" s="522">
        <f t="shared" si="207"/>
        <v>60399549290</v>
      </c>
      <c r="AE264" s="522">
        <f t="shared" si="207"/>
        <v>19865002041</v>
      </c>
      <c r="AF264" s="522">
        <f t="shared" si="207"/>
        <v>12172219634</v>
      </c>
      <c r="AG264" s="522">
        <f t="shared" si="207"/>
        <v>32198207356</v>
      </c>
      <c r="AH264" s="522">
        <f t="shared" si="207"/>
        <v>70555252716.388885</v>
      </c>
      <c r="AI264" s="522">
        <f t="shared" si="207"/>
        <v>115383126474.38889</v>
      </c>
      <c r="AJ264" s="523">
        <f t="shared" si="207"/>
        <v>143584468408.38889</v>
      </c>
      <c r="AK264" s="523">
        <f>+AK260+AK262</f>
        <v>0</v>
      </c>
      <c r="AL264" s="893"/>
      <c r="AM264" s="893"/>
    </row>
  </sheetData>
  <mergeCells count="55">
    <mergeCell ref="BN5:BQ5"/>
    <mergeCell ref="BC5:BE5"/>
    <mergeCell ref="BF5:BF6"/>
    <mergeCell ref="BH5:BK5"/>
    <mergeCell ref="BL5:BL6"/>
    <mergeCell ref="BM5:BM6"/>
    <mergeCell ref="A1:B1"/>
    <mergeCell ref="C1:J1"/>
    <mergeCell ref="K1:N1"/>
    <mergeCell ref="L2:M2"/>
    <mergeCell ref="P2:Q2"/>
    <mergeCell ref="BG2:BI2"/>
    <mergeCell ref="BM2:BO2"/>
    <mergeCell ref="D2:E2"/>
    <mergeCell ref="D3:E4"/>
    <mergeCell ref="A5:A6"/>
    <mergeCell ref="B5:B6"/>
    <mergeCell ref="C5:F5"/>
    <mergeCell ref="V2:X2"/>
    <mergeCell ref="B3:B4"/>
    <mergeCell ref="V3:X4"/>
    <mergeCell ref="AP3:AZ3"/>
    <mergeCell ref="BB3:BC3"/>
    <mergeCell ref="BG3:BI3"/>
    <mergeCell ref="BM3:BO3"/>
    <mergeCell ref="AW4:AZ4"/>
    <mergeCell ref="S5:S6"/>
    <mergeCell ref="Y2:AG2"/>
    <mergeCell ref="AH2:AI2"/>
    <mergeCell ref="AL2:AM2"/>
    <mergeCell ref="AP2:AZ2"/>
    <mergeCell ref="BB2:BC2"/>
    <mergeCell ref="S259:T259"/>
    <mergeCell ref="AM3:AM5"/>
    <mergeCell ref="AW19:AZ19"/>
    <mergeCell ref="AW35:AX35"/>
    <mergeCell ref="N3:N4"/>
    <mergeCell ref="T3:T4"/>
    <mergeCell ref="Y3:AG4"/>
    <mergeCell ref="AH3:AI4"/>
    <mergeCell ref="AJ3:AJ4"/>
    <mergeCell ref="AL3:AL5"/>
    <mergeCell ref="AH5:AJ5"/>
    <mergeCell ref="T5:T6"/>
    <mergeCell ref="U5:X5"/>
    <mergeCell ref="Y5:AA5"/>
    <mergeCell ref="AB5:AD5"/>
    <mergeCell ref="AE5:AG5"/>
    <mergeCell ref="F3:K4"/>
    <mergeCell ref="L3:M4"/>
    <mergeCell ref="P3:P5"/>
    <mergeCell ref="Q3:Q5"/>
    <mergeCell ref="G5:I5"/>
    <mergeCell ref="J5:L5"/>
    <mergeCell ref="M5:N5"/>
  </mergeCells>
  <conditionalFormatting sqref="B5:B7">
    <cfRule type="expression" dxfId="155" priority="174" stopIfTrue="1">
      <formula>$B$5="OJO - RECUERDE RECAUDAR LA DISPONIBLIDAD INICIAL EN ESTE TRIMESTRE, haga clik en H9 para ampliar la información"</formula>
    </cfRule>
  </conditionalFormatting>
  <conditionalFormatting sqref="S155">
    <cfRule type="expression" dxfId="154" priority="124">
      <formula>#REF!="A5"</formula>
    </cfRule>
    <cfRule type="expression" dxfId="153" priority="125">
      <formula>#REF!="A4"</formula>
    </cfRule>
    <cfRule type="expression" dxfId="152" priority="126">
      <formula>#REF!="A3"</formula>
    </cfRule>
    <cfRule type="expression" dxfId="151" priority="127">
      <formula>#REF!="A2"</formula>
    </cfRule>
    <cfRule type="expression" dxfId="150" priority="133">
      <formula>#REF!="A5"</formula>
    </cfRule>
    <cfRule type="expression" dxfId="149" priority="128">
      <formula>#REF!="A1"</formula>
    </cfRule>
    <cfRule type="expression" dxfId="148" priority="130">
      <formula>#REF!="A8"</formula>
    </cfRule>
    <cfRule type="expression" dxfId="147" priority="131">
      <formula>#REF!="A7"</formula>
    </cfRule>
    <cfRule type="expression" dxfId="146" priority="134">
      <formula>#REF!="A4"</formula>
    </cfRule>
    <cfRule type="expression" dxfId="145" priority="132">
      <formula>#REF!="A6"</formula>
    </cfRule>
    <cfRule type="expression" dxfId="144" priority="129">
      <formula>#REF!="A9"</formula>
    </cfRule>
    <cfRule type="expression" dxfId="143" priority="136">
      <formula>#REF!="A2"</formula>
    </cfRule>
    <cfRule type="expression" dxfId="142" priority="135">
      <formula>#REF!="A3"</formula>
    </cfRule>
    <cfRule type="expression" dxfId="141" priority="123">
      <formula>#REF!="A6"</formula>
    </cfRule>
    <cfRule type="expression" dxfId="140" priority="122">
      <formula>#REF!="A7"</formula>
    </cfRule>
    <cfRule type="expression" dxfId="139" priority="121">
      <formula>#REF!="A8"</formula>
    </cfRule>
    <cfRule type="expression" dxfId="138" priority="120">
      <formula>#REF!="A9"</formula>
    </cfRule>
    <cfRule type="expression" dxfId="137" priority="137">
      <formula>#REF!="A1"</formula>
    </cfRule>
  </conditionalFormatting>
  <conditionalFormatting sqref="S156">
    <cfRule type="expression" dxfId="136" priority="48">
      <formula>$K314="A9"</formula>
    </cfRule>
    <cfRule type="expression" dxfId="135" priority="49">
      <formula>$K314="A8"</formula>
    </cfRule>
    <cfRule type="expression" dxfId="134" priority="50">
      <formula>$K314="A7"</formula>
    </cfRule>
    <cfRule type="expression" dxfId="133" priority="51">
      <formula>$K314="A6"</formula>
    </cfRule>
    <cfRule type="expression" dxfId="132" priority="52">
      <formula>$K314="A5"</formula>
    </cfRule>
    <cfRule type="expression" dxfId="131" priority="53">
      <formula>$K314="A4"</formula>
    </cfRule>
    <cfRule type="expression" dxfId="130" priority="54">
      <formula>$K314="A3"</formula>
    </cfRule>
    <cfRule type="expression" dxfId="129" priority="55">
      <formula>$K314="A2"</formula>
    </cfRule>
    <cfRule type="expression" dxfId="128" priority="56">
      <formula>$K314="A1"</formula>
    </cfRule>
  </conditionalFormatting>
  <conditionalFormatting sqref="S159">
    <cfRule type="expression" dxfId="127" priority="47">
      <formula>$K158="A1"</formula>
    </cfRule>
    <cfRule type="expression" dxfId="126" priority="41">
      <formula>$K158="A7"</formula>
    </cfRule>
    <cfRule type="expression" dxfId="125" priority="39">
      <formula>$K158="A9"</formula>
    </cfRule>
    <cfRule type="expression" dxfId="124" priority="40">
      <formula>$K158="A8"</formula>
    </cfRule>
    <cfRule type="expression" dxfId="123" priority="42">
      <formula>$K158="A6"</formula>
    </cfRule>
    <cfRule type="expression" dxfId="122" priority="43">
      <formula>$K158="A5"</formula>
    </cfRule>
    <cfRule type="expression" dxfId="121" priority="44">
      <formula>$K158="A4"</formula>
    </cfRule>
    <cfRule type="expression" dxfId="120" priority="45">
      <formula>$K158="A3"</formula>
    </cfRule>
    <cfRule type="expression" dxfId="119" priority="46">
      <formula>$K158="A2"</formula>
    </cfRule>
  </conditionalFormatting>
  <conditionalFormatting sqref="S160:S161">
    <cfRule type="expression" dxfId="118" priority="4">
      <formula>$K158="A6"</formula>
    </cfRule>
    <cfRule type="expression" dxfId="117" priority="3">
      <formula>$K158="A7"</formula>
    </cfRule>
    <cfRule type="expression" dxfId="116" priority="2">
      <formula>$K158="A8"</formula>
    </cfRule>
    <cfRule type="expression" dxfId="115" priority="1">
      <formula>$K158="A9"</formula>
    </cfRule>
    <cfRule type="expression" dxfId="114" priority="6">
      <formula>$K158="A4"</formula>
    </cfRule>
    <cfRule type="expression" dxfId="113" priority="9">
      <formula>$K158="A1"</formula>
    </cfRule>
    <cfRule type="expression" dxfId="112" priority="8">
      <formula>$K158="A2"</formula>
    </cfRule>
    <cfRule type="expression" dxfId="111" priority="7">
      <formula>$K158="A3"</formula>
    </cfRule>
    <cfRule type="expression" dxfId="110" priority="5">
      <formula>$K158="A5"</formula>
    </cfRule>
  </conditionalFormatting>
  <conditionalFormatting sqref="S162">
    <cfRule type="expression" dxfId="109" priority="37">
      <formula>$K161="A2"</formula>
    </cfRule>
    <cfRule type="expression" dxfId="108" priority="30">
      <formula>$K161="A9"</formula>
    </cfRule>
    <cfRule type="expression" dxfId="107" priority="31">
      <formula>$K161="A8"</formula>
    </cfRule>
    <cfRule type="expression" dxfId="106" priority="32">
      <formula>$K161="A7"</formula>
    </cfRule>
    <cfRule type="expression" dxfId="105" priority="33">
      <formula>$K161="A6"</formula>
    </cfRule>
    <cfRule type="expression" dxfId="104" priority="34">
      <formula>$K161="A5"</formula>
    </cfRule>
    <cfRule type="expression" dxfId="103" priority="35">
      <formula>$K161="A4"</formula>
    </cfRule>
    <cfRule type="expression" dxfId="102" priority="36">
      <formula>$K161="A3"</formula>
    </cfRule>
    <cfRule type="expression" dxfId="101" priority="38">
      <formula>$K161="A1"</formula>
    </cfRule>
  </conditionalFormatting>
  <conditionalFormatting sqref="S163:S164">
    <cfRule type="expression" dxfId="100" priority="10">
      <formula>$K161="A9"</formula>
    </cfRule>
    <cfRule type="expression" dxfId="99" priority="11">
      <formula>$K161="A8"</formula>
    </cfRule>
    <cfRule type="expression" dxfId="98" priority="12">
      <formula>$K161="A7"</formula>
    </cfRule>
    <cfRule type="expression" dxfId="97" priority="13">
      <formula>$K161="A6"</formula>
    </cfRule>
    <cfRule type="expression" dxfId="96" priority="14">
      <formula>$K161="A5"</formula>
    </cfRule>
    <cfRule type="expression" dxfId="95" priority="15">
      <formula>$K161="A4"</formula>
    </cfRule>
    <cfRule type="expression" dxfId="94" priority="16">
      <formula>$K161="A3"</formula>
    </cfRule>
    <cfRule type="expression" dxfId="93" priority="17">
      <formula>$K161="A2"</formula>
    </cfRule>
    <cfRule type="expression" dxfId="92" priority="18">
      <formula>$K161="A1"</formula>
    </cfRule>
  </conditionalFormatting>
  <conditionalFormatting sqref="S165">
    <cfRule type="expression" dxfId="91" priority="74">
      <formula>$K162="A1"</formula>
    </cfRule>
    <cfRule type="expression" dxfId="90" priority="73">
      <formula>$K162="A2"</formula>
    </cfRule>
    <cfRule type="expression" dxfId="89" priority="71">
      <formula>$K162="A4"</formula>
    </cfRule>
    <cfRule type="expression" dxfId="88" priority="70">
      <formula>$K162="A5"</formula>
    </cfRule>
    <cfRule type="expression" dxfId="87" priority="69">
      <formula>$K162="A6"</formula>
    </cfRule>
    <cfRule type="expression" dxfId="86" priority="68">
      <formula>$K162="A7"</formula>
    </cfRule>
    <cfRule type="expression" dxfId="85" priority="67">
      <formula>$K162="A8"</formula>
    </cfRule>
    <cfRule type="expression" dxfId="84" priority="66">
      <formula>$K162="A9"</formula>
    </cfRule>
    <cfRule type="expression" dxfId="83" priority="72">
      <formula>$K162="A3"</formula>
    </cfRule>
  </conditionalFormatting>
  <conditionalFormatting sqref="S166:S167">
    <cfRule type="expression" dxfId="82" priority="91">
      <formula>$K165="A2"</formula>
    </cfRule>
    <cfRule type="expression" dxfId="81" priority="92">
      <formula>$K165="A1"</formula>
    </cfRule>
    <cfRule type="expression" dxfId="80" priority="84">
      <formula>$K165="A9"</formula>
    </cfRule>
    <cfRule type="expression" dxfId="79" priority="85">
      <formula>$K165="A8"</formula>
    </cfRule>
    <cfRule type="expression" dxfId="78" priority="86">
      <formula>$K165="A7"</formula>
    </cfRule>
    <cfRule type="expression" dxfId="77" priority="87">
      <formula>$K165="A6"</formula>
    </cfRule>
    <cfRule type="expression" dxfId="76" priority="88">
      <formula>$K165="A5"</formula>
    </cfRule>
    <cfRule type="expression" dxfId="75" priority="89">
      <formula>$K165="A4"</formula>
    </cfRule>
    <cfRule type="expression" dxfId="74" priority="90">
      <formula>$K165="A3"</formula>
    </cfRule>
  </conditionalFormatting>
  <conditionalFormatting sqref="S158:T158">
    <cfRule type="expression" dxfId="73" priority="103">
      <formula>#REF!="A8"</formula>
    </cfRule>
    <cfRule type="expression" dxfId="72" priority="105">
      <formula>#REF!="A6"</formula>
    </cfRule>
    <cfRule type="expression" dxfId="71" priority="106">
      <formula>#REF!="A5"</formula>
    </cfRule>
    <cfRule type="expression" dxfId="70" priority="107">
      <formula>#REF!="A4"</formula>
    </cfRule>
    <cfRule type="expression" dxfId="69" priority="108">
      <formula>#REF!="A3"</formula>
    </cfRule>
    <cfRule type="expression" dxfId="68" priority="109">
      <formula>#REF!="A2"</formula>
    </cfRule>
    <cfRule type="expression" dxfId="67" priority="110">
      <formula>#REF!="A1"</formula>
    </cfRule>
    <cfRule type="expression" dxfId="66" priority="102">
      <formula>#REF!="A9"</formula>
    </cfRule>
    <cfRule type="expression" dxfId="65" priority="104">
      <formula>#REF!="A7"</formula>
    </cfRule>
  </conditionalFormatting>
  <conditionalFormatting sqref="T156">
    <cfRule type="expression" dxfId="64" priority="119">
      <formula>$G153="A1"</formula>
    </cfRule>
    <cfRule type="expression" dxfId="63" priority="111">
      <formula>$G153="A9"</formula>
    </cfRule>
    <cfRule type="expression" dxfId="62" priority="112">
      <formula>$G153="A8"</formula>
    </cfRule>
    <cfRule type="expression" dxfId="61" priority="113">
      <formula>$G153="A7"</formula>
    </cfRule>
    <cfRule type="expression" dxfId="60" priority="114">
      <formula>$G153="A6"</formula>
    </cfRule>
    <cfRule type="expression" dxfId="59" priority="115">
      <formula>$G153="A5"</formula>
    </cfRule>
    <cfRule type="expression" dxfId="58" priority="116">
      <formula>$G153="A4"</formula>
    </cfRule>
    <cfRule type="expression" dxfId="57" priority="117">
      <formula>$G153="A3"</formula>
    </cfRule>
    <cfRule type="expression" dxfId="56" priority="118">
      <formula>$G153="A2"</formula>
    </cfRule>
  </conditionalFormatting>
  <conditionalFormatting sqref="T159:T160">
    <cfRule type="expression" dxfId="55" priority="83">
      <formula>#REF!="A1"</formula>
    </cfRule>
    <cfRule type="expression" dxfId="54" priority="82">
      <formula>#REF!="A2"</formula>
    </cfRule>
    <cfRule type="expression" dxfId="53" priority="81">
      <formula>#REF!="A3"</formula>
    </cfRule>
    <cfRule type="expression" dxfId="52" priority="76">
      <formula>#REF!="A8"</formula>
    </cfRule>
    <cfRule type="expression" dxfId="51" priority="80">
      <formula>#REF!="A4"</formula>
    </cfRule>
    <cfRule type="expression" dxfId="50" priority="75">
      <formula>#REF!="A9"</formula>
    </cfRule>
    <cfRule type="expression" dxfId="49" priority="78">
      <formula>#REF!="A6"</formula>
    </cfRule>
    <cfRule type="expression" dxfId="48" priority="77">
      <formula>#REF!="A7"</formula>
    </cfRule>
    <cfRule type="expression" dxfId="47" priority="79">
      <formula>#REF!="A5"</formula>
    </cfRule>
  </conditionalFormatting>
  <conditionalFormatting sqref="T161">
    <cfRule type="expression" dxfId="46" priority="145">
      <formula>$G158="A2"</formula>
    </cfRule>
    <cfRule type="expression" dxfId="45" priority="144">
      <formula>$G158="A3"</formula>
    </cfRule>
    <cfRule type="expression" dxfId="44" priority="143">
      <formula>$G158="A4"</formula>
    </cfRule>
    <cfRule type="expression" dxfId="43" priority="141">
      <formula>$G158="A6"</formula>
    </cfRule>
    <cfRule type="expression" dxfId="42" priority="140">
      <formula>$G158="A7"</formula>
    </cfRule>
    <cfRule type="expression" dxfId="41" priority="139">
      <formula>$G158="A8"</formula>
    </cfRule>
    <cfRule type="expression" dxfId="40" priority="138">
      <formula>$G158="A9"</formula>
    </cfRule>
    <cfRule type="expression" dxfId="39" priority="142">
      <formula>$G158="A5"</formula>
    </cfRule>
    <cfRule type="expression" dxfId="38" priority="146">
      <formula>$G158="A1"</formula>
    </cfRule>
  </conditionalFormatting>
  <conditionalFormatting sqref="T162">
    <cfRule type="expression" dxfId="37" priority="28">
      <formula>#REF!="A4"</formula>
    </cfRule>
    <cfRule type="expression" dxfId="36" priority="29">
      <formula>#REF!="A3"</formula>
    </cfRule>
  </conditionalFormatting>
  <conditionalFormatting sqref="T162:T164">
    <cfRule type="expression" dxfId="35" priority="21">
      <formula>#REF!="A7"</formula>
    </cfRule>
    <cfRule type="expression" dxfId="34" priority="23">
      <formula>#REF!="A5"</formula>
    </cfRule>
    <cfRule type="expression" dxfId="33" priority="27">
      <formula>#REF!="A1"</formula>
    </cfRule>
    <cfRule type="expression" dxfId="32" priority="26">
      <formula>#REF!="A2"</formula>
    </cfRule>
    <cfRule type="expression" dxfId="31" priority="22">
      <formula>#REF!="A6"</formula>
    </cfRule>
    <cfRule type="expression" dxfId="30" priority="19">
      <formula>#REF!="A9"</formula>
    </cfRule>
    <cfRule type="expression" dxfId="29" priority="20">
      <formula>#REF!="A8"</formula>
    </cfRule>
  </conditionalFormatting>
  <conditionalFormatting sqref="T163:T164">
    <cfRule type="expression" dxfId="28" priority="25">
      <formula>#REF!="A3"</formula>
    </cfRule>
    <cfRule type="expression" dxfId="27" priority="24">
      <formula>#REF!="A4"</formula>
    </cfRule>
  </conditionalFormatting>
  <conditionalFormatting sqref="T165">
    <cfRule type="expression" dxfId="26" priority="64">
      <formula>$G162="A2"</formula>
    </cfRule>
    <cfRule type="expression" dxfId="25" priority="63">
      <formula>$G162="A3"</formula>
    </cfRule>
    <cfRule type="expression" dxfId="24" priority="62">
      <formula>$G162="A4"</formula>
    </cfRule>
    <cfRule type="expression" dxfId="23" priority="61">
      <formula>$G162="A5"</formula>
    </cfRule>
    <cfRule type="expression" dxfId="22" priority="60">
      <formula>$G162="A6"</formula>
    </cfRule>
    <cfRule type="expression" dxfId="21" priority="59">
      <formula>$G162="A7"</formula>
    </cfRule>
    <cfRule type="expression" dxfId="20" priority="58">
      <formula>$G162="A8"</formula>
    </cfRule>
    <cfRule type="expression" dxfId="19" priority="65">
      <formula>$G162="A1"</formula>
    </cfRule>
    <cfRule type="expression" dxfId="18" priority="57">
      <formula>$G162="A9"</formula>
    </cfRule>
  </conditionalFormatting>
  <conditionalFormatting sqref="T166">
    <cfRule type="expression" dxfId="17" priority="94">
      <formula>$G159="A8"</formula>
    </cfRule>
    <cfRule type="expression" dxfId="16" priority="96">
      <formula>$G159="A6"</formula>
    </cfRule>
    <cfRule type="expression" dxfId="15" priority="97">
      <formula>$G159="A5"</formula>
    </cfRule>
    <cfRule type="expression" dxfId="14" priority="98">
      <formula>$G159="A4"</formula>
    </cfRule>
    <cfRule type="expression" dxfId="13" priority="99">
      <formula>$G159="A3"</formula>
    </cfRule>
    <cfRule type="expression" dxfId="12" priority="100">
      <formula>$G159="A2"</formula>
    </cfRule>
    <cfRule type="expression" dxfId="11" priority="101">
      <formula>$G159="A1"</formula>
    </cfRule>
    <cfRule type="expression" dxfId="10" priority="95">
      <formula>$G159="A7"</formula>
    </cfRule>
    <cfRule type="expression" dxfId="9" priority="93">
      <formula>$G159="A9"</formula>
    </cfRule>
  </conditionalFormatting>
  <dataValidations count="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xr:uid="{00000000-0002-0000-0300-000000000000}"/>
    <dataValidation allowBlank="1" showInputMessage="1" showErrorMessage="1" promptTitle="ATENCION..." prompt="Las actividades de Promoción y Prevención se manejaran en cada régimen." sqref="A23:C24 P23:Q24 K23:K24 H23:H24" xr:uid="{00000000-0002-0000-0300-000001000000}"/>
    <dataValidation allowBlank="1" showInputMessage="1" showErrorMessage="1" promptTitle="ATENCION..." prompt="Las actividades de Promoción y Prevención se manejaran en su respectivo régimen." sqref="B43:C44 P43:Q44 K43:K44 H43:H44" xr:uid="{00000000-0002-0000-0300-000002000000}"/>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xr:uid="{00000000-0002-0000-0300-000003000000}"/>
  </dataValidations>
  <printOptions horizontalCentered="1" verticalCentered="1"/>
  <pageMargins left="0.59055118110236227" right="0.59055118110236227" top="0.43307086614173229" bottom="0.39370078740157483" header="0" footer="0"/>
  <pageSetup paperSize="14" scale="50" orientation="landscape" r:id="rId1"/>
  <headerFooter>
    <oddFooter>&amp;CPágina &amp;P de</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Q263"/>
  <sheetViews>
    <sheetView showGridLines="0" topLeftCell="AB250" zoomScale="112" zoomScaleNormal="112" workbookViewId="0">
      <selection activeCell="AF263" sqref="AF263"/>
    </sheetView>
  </sheetViews>
  <sheetFormatPr baseColWidth="10" defaultColWidth="14.42578125" defaultRowHeight="15" customHeight="1"/>
  <cols>
    <col min="1" max="1" width="24.28515625" customWidth="1"/>
    <col min="2" max="2" width="51" customWidth="1"/>
    <col min="3" max="3" width="18.140625" customWidth="1"/>
    <col min="4" max="4" width="16.140625" customWidth="1"/>
    <col min="5" max="5" width="19.5703125" customWidth="1"/>
    <col min="6" max="6" width="20.7109375" customWidth="1"/>
    <col min="7" max="7" width="16.7109375" customWidth="1"/>
    <col min="8" max="8" width="18.85546875" customWidth="1"/>
    <col min="9" max="10" width="14.42578125" customWidth="1"/>
    <col min="11" max="11" width="17.85546875" customWidth="1"/>
    <col min="12" max="12" width="14.42578125" customWidth="1"/>
    <col min="13" max="14" width="16.7109375" customWidth="1"/>
    <col min="15" max="15" width="2.85546875" customWidth="1"/>
    <col min="16" max="17" width="23.7109375" customWidth="1"/>
    <col min="18" max="18" width="5.42578125" customWidth="1"/>
    <col min="19" max="19" width="30.7109375" customWidth="1"/>
    <col min="20" max="20" width="60.140625" customWidth="1"/>
    <col min="21" max="21" width="18.28515625" customWidth="1"/>
    <col min="22" max="22" width="14.7109375" customWidth="1"/>
    <col min="23" max="23" width="20.140625" customWidth="1"/>
    <col min="24" max="24" width="19.42578125" customWidth="1"/>
    <col min="25" max="25" width="17.7109375" customWidth="1"/>
    <col min="26" max="26" width="19.85546875" customWidth="1"/>
    <col min="27" max="27" width="18.5703125" customWidth="1"/>
    <col min="28" max="28" width="16.42578125" customWidth="1"/>
    <col min="29" max="29" width="18.7109375" customWidth="1"/>
    <col min="30" max="30" width="17.5703125" customWidth="1"/>
    <col min="31" max="31" width="16.42578125" customWidth="1"/>
    <col min="32" max="32" width="20.140625" customWidth="1"/>
    <col min="33" max="33" width="17.42578125" customWidth="1"/>
    <col min="34" max="34" width="20" customWidth="1"/>
    <col min="35" max="35" width="16.7109375" customWidth="1"/>
    <col min="36" max="36" width="18" customWidth="1"/>
    <col min="37" max="37" width="8.85546875" customWidth="1"/>
    <col min="38" max="39" width="23.7109375" customWidth="1"/>
    <col min="40" max="40" width="4.85546875" customWidth="1"/>
    <col min="41" max="41" width="12.28515625" customWidth="1"/>
    <col min="42" max="42" width="56.42578125" customWidth="1"/>
    <col min="43" max="45" width="16.85546875" customWidth="1"/>
    <col min="46" max="46" width="12.7109375" customWidth="1"/>
    <col min="47" max="47" width="27.42578125" customWidth="1"/>
    <col min="48" max="48" width="25" customWidth="1"/>
    <col min="49" max="52" width="16.85546875" customWidth="1"/>
    <col min="53" max="53" width="11" customWidth="1"/>
    <col min="54" max="54" width="65.140625" customWidth="1"/>
    <col min="55" max="57" width="18.85546875" customWidth="1"/>
    <col min="58" max="58" width="6.140625" customWidth="1"/>
    <col min="59" max="59" width="72.7109375" customWidth="1"/>
    <col min="60" max="63" width="17.5703125" customWidth="1"/>
    <col min="64" max="64" width="11" customWidth="1"/>
    <col min="65" max="65" width="76" customWidth="1"/>
    <col min="66" max="66" width="19.7109375" customWidth="1"/>
    <col min="67" max="67" width="16.85546875" customWidth="1"/>
    <col min="68" max="68" width="17.42578125" customWidth="1"/>
    <col min="69" max="69" width="18.5703125" customWidth="1"/>
    <col min="70" max="70" width="11" customWidth="1"/>
  </cols>
  <sheetData>
    <row r="1" spans="1:69" ht="24.75" customHeight="1" thickBot="1">
      <c r="A1" s="1447" t="str">
        <f>IF($F$8-$X$8=0," ","OJO: PRESUPUESTO DESEQUILIBRADO")</f>
        <v>OJO: PRESUPUESTO DESEQUILIBRADO</v>
      </c>
      <c r="B1" s="1366"/>
      <c r="C1" s="1448"/>
      <c r="D1" s="1365"/>
      <c r="E1" s="1365"/>
      <c r="F1" s="1365"/>
      <c r="G1" s="1365"/>
      <c r="H1" s="1365"/>
      <c r="I1" s="1365"/>
      <c r="J1" s="1366"/>
      <c r="K1" s="1364" t="str">
        <f>+IF(L8&gt;I8,"OJO - SUS RECAUDOS SON SUPERIORES A SUS RECONOCIMIENTOS, VERIFIQUE","")</f>
        <v/>
      </c>
      <c r="L1" s="1365"/>
      <c r="M1" s="1365"/>
      <c r="N1" s="1366"/>
      <c r="O1" s="31"/>
      <c r="P1" s="32"/>
      <c r="Q1" s="32"/>
      <c r="R1" s="31"/>
      <c r="S1" s="33"/>
      <c r="T1" s="34"/>
      <c r="U1" s="35" t="str">
        <f>+IF(AA8&gt;X8,"OJO - HA COMPROMETIDO MUCHO MAS DE LO QUE TIENE PRESUPUESTADO","")</f>
        <v/>
      </c>
      <c r="V1" s="31"/>
      <c r="W1" s="31"/>
      <c r="X1" s="35"/>
      <c r="Y1" s="35" t="str">
        <f>+IF(AD8&gt;AA8,"OJO - SUS OBLIGACIONES SUPERAN SUS COMPROMISOS, VERIFIQUE","")</f>
        <v/>
      </c>
      <c r="Z1" s="31"/>
      <c r="AA1" s="31"/>
      <c r="AB1" s="31"/>
      <c r="AC1" s="35" t="str">
        <f>+IF(AG8&gt;AD8,"OJO - SUS PAGOS NO PUEDEN SUPERAR SUS OBLIGACIONES, VERIFIQUE","")</f>
        <v/>
      </c>
      <c r="AD1" s="31"/>
      <c r="AE1" s="31"/>
      <c r="AF1" s="31"/>
      <c r="AG1" s="31"/>
      <c r="AH1" s="31"/>
      <c r="AI1" s="31"/>
      <c r="AJ1" s="31"/>
      <c r="AK1" s="36"/>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r="2" spans="1:69" ht="53.25" customHeight="1" thickBot="1">
      <c r="A2" s="524"/>
      <c r="B2" s="45" t="str">
        <f>+ENERO!B2</f>
        <v>SECRETARIA SECCIONAL DE SALUD Y PROTECCION SOCIAL DE ANTIOQUIA DE ANTIOQUIA</v>
      </c>
      <c r="C2" s="39"/>
      <c r="D2" s="1346" t="str">
        <f>+IF(F2="","","MUNICIPIO:")</f>
        <v>MUNICIPIO:</v>
      </c>
      <c r="E2" s="1327"/>
      <c r="F2" s="40" t="str">
        <f>IF(INSTRUCCIONES!B3=0,"",INSTRUCCIONES!B3)</f>
        <v>BELLO</v>
      </c>
      <c r="G2" s="41"/>
      <c r="H2" s="41"/>
      <c r="I2" s="41"/>
      <c r="J2" s="41"/>
      <c r="K2" s="42"/>
      <c r="L2" s="1368" t="s">
        <v>37</v>
      </c>
      <c r="M2" s="1340"/>
      <c r="N2" s="43" t="s">
        <v>38</v>
      </c>
      <c r="O2" s="31"/>
      <c r="P2" s="1341" t="s">
        <v>346</v>
      </c>
      <c r="Q2" s="1338"/>
      <c r="R2" s="31"/>
      <c r="S2" s="44"/>
      <c r="T2" s="45" t="str">
        <f>+ENERO!T2</f>
        <v>SECRETARIA SECCIONAL DE SALUD Y PROTECCION SOCIAL DE ANTIOQUIA DE ANTIOQUIA</v>
      </c>
      <c r="U2" s="39"/>
      <c r="V2" s="1369" t="str">
        <f>+IF(Y2="","","M U N I C I P I O:")</f>
        <v>M U N I C I P I O:</v>
      </c>
      <c r="W2" s="1337"/>
      <c r="X2" s="1327"/>
      <c r="Y2" s="1336" t="str">
        <f>IF(INSTRUCCIONES!B3=0,"",INSTRUCCIONES!B3)</f>
        <v>BELLO</v>
      </c>
      <c r="Z2" s="1337"/>
      <c r="AA2" s="1337"/>
      <c r="AB2" s="1337"/>
      <c r="AC2" s="1337"/>
      <c r="AD2" s="1337"/>
      <c r="AE2" s="1337"/>
      <c r="AF2" s="1337"/>
      <c r="AG2" s="1338"/>
      <c r="AH2" s="1339" t="s">
        <v>37</v>
      </c>
      <c r="AI2" s="1340"/>
      <c r="AJ2" s="43" t="s">
        <v>38</v>
      </c>
      <c r="AK2" s="36"/>
      <c r="AL2" s="1341" t="s">
        <v>346</v>
      </c>
      <c r="AM2" s="1338"/>
      <c r="AN2" s="31"/>
      <c r="AO2" s="46">
        <v>4</v>
      </c>
      <c r="AP2" s="1342" t="s">
        <v>40</v>
      </c>
      <c r="AQ2" s="1322"/>
      <c r="AR2" s="1322"/>
      <c r="AS2" s="1322"/>
      <c r="AT2" s="1322"/>
      <c r="AU2" s="1322"/>
      <c r="AV2" s="1322"/>
      <c r="AW2" s="1322"/>
      <c r="AX2" s="1322"/>
      <c r="AY2" s="1322"/>
      <c r="AZ2" s="1323"/>
      <c r="BA2" s="31"/>
      <c r="BB2" s="1341" t="s">
        <v>41</v>
      </c>
      <c r="BC2" s="1327"/>
      <c r="BD2" s="47" t="s">
        <v>37</v>
      </c>
      <c r="BE2" s="43" t="str">
        <f>+L3</f>
        <v>ABRIL</v>
      </c>
      <c r="BF2" s="35"/>
      <c r="BG2" s="1341" t="s">
        <v>42</v>
      </c>
      <c r="BH2" s="1337"/>
      <c r="BI2" s="1327"/>
      <c r="BJ2" s="47" t="s">
        <v>37</v>
      </c>
      <c r="BK2" s="43" t="str">
        <f>+BE2</f>
        <v>ABRIL</v>
      </c>
      <c r="BL2" s="31"/>
      <c r="BM2" s="1343" t="s">
        <v>42</v>
      </c>
      <c r="BN2" s="1344"/>
      <c r="BO2" s="1345"/>
      <c r="BP2" s="732" t="s">
        <v>37</v>
      </c>
      <c r="BQ2" s="733" t="str">
        <f>+BK2</f>
        <v>ABRIL</v>
      </c>
    </row>
    <row r="3" spans="1:69" ht="24.75" customHeight="1" thickBot="1">
      <c r="A3" s="525"/>
      <c r="B3" s="1332" t="s">
        <v>43</v>
      </c>
      <c r="C3" s="49"/>
      <c r="D3" s="1347" t="str">
        <f>+IF(F3="","","INSTITUCION:")</f>
        <v>INSTITUCION:</v>
      </c>
      <c r="E3" s="1348"/>
      <c r="F3" s="1308" t="str">
        <f>IF(INSTRUCCIONES!B5=0,"",INSTRUCCIONES!B5)</f>
        <v>ESE HOSPITAL MARCO FIDEL SUAREZ</v>
      </c>
      <c r="G3" s="1309"/>
      <c r="H3" s="1309"/>
      <c r="I3" s="1309"/>
      <c r="J3" s="1309"/>
      <c r="K3" s="1310"/>
      <c r="L3" s="1312" t="s">
        <v>355</v>
      </c>
      <c r="M3" s="1313"/>
      <c r="N3" s="1331">
        <f>SUM(ENERO!N3)</f>
        <v>2025</v>
      </c>
      <c r="O3" s="31"/>
      <c r="P3" s="1315" t="s">
        <v>356</v>
      </c>
      <c r="Q3" s="1318" t="s">
        <v>357</v>
      </c>
      <c r="R3" s="31"/>
      <c r="S3" s="50"/>
      <c r="T3" s="1332" t="s">
        <v>47</v>
      </c>
      <c r="U3" s="51"/>
      <c r="V3" s="1357" t="str">
        <f>+IF(Y3="","","E.S.E. H O S P I T A L:")</f>
        <v>E.S.E. H O S P I T A L:</v>
      </c>
      <c r="W3" s="1309"/>
      <c r="X3" s="1348"/>
      <c r="Y3" s="1308" t="str">
        <f>IF(INSTRUCCIONES!B5=0,"",INSTRUCCIONES!B5)</f>
        <v>ESE HOSPITAL MARCO FIDEL SUAREZ</v>
      </c>
      <c r="Z3" s="1309"/>
      <c r="AA3" s="1309"/>
      <c r="AB3" s="1309"/>
      <c r="AC3" s="1309"/>
      <c r="AD3" s="1309"/>
      <c r="AE3" s="1309"/>
      <c r="AF3" s="1309"/>
      <c r="AG3" s="1310"/>
      <c r="AH3" s="1334" t="str">
        <f>+L3</f>
        <v>ABRIL</v>
      </c>
      <c r="AI3" s="1313"/>
      <c r="AJ3" s="1331">
        <f>+N3</f>
        <v>2025</v>
      </c>
      <c r="AK3" s="36"/>
      <c r="AL3" s="1315" t="s">
        <v>358</v>
      </c>
      <c r="AM3" s="1318" t="s">
        <v>359</v>
      </c>
      <c r="AN3" s="31"/>
      <c r="AO3" s="52"/>
      <c r="AP3" s="1373" t="s">
        <v>50</v>
      </c>
      <c r="AQ3" s="1374"/>
      <c r="AR3" s="1374"/>
      <c r="AS3" s="1374"/>
      <c r="AT3" s="1374"/>
      <c r="AU3" s="1374"/>
      <c r="AV3" s="1374"/>
      <c r="AW3" s="1374"/>
      <c r="AX3" s="1374"/>
      <c r="AY3" s="1374"/>
      <c r="AZ3" s="1375"/>
      <c r="BA3" s="31"/>
      <c r="BB3" s="1376" t="str">
        <f>+CONCATENATE(INSTRUCCIONES!B5, " - ", INSTRUCCIONES!B3)</f>
        <v>ESE HOSPITAL MARCO FIDEL SUAREZ - BELLO</v>
      </c>
      <c r="BC3" s="1377"/>
      <c r="BD3" s="53" t="s">
        <v>38</v>
      </c>
      <c r="BE3" s="54">
        <f>+N3</f>
        <v>2025</v>
      </c>
      <c r="BF3" s="55" t="s">
        <v>51</v>
      </c>
      <c r="BG3" s="1376" t="str">
        <f>+CONCATENATE(INSTRUCCIONES!B5, " - ", INSTRUCCIONES!B3)</f>
        <v>ESE HOSPITAL MARCO FIDEL SUAREZ - BELLO</v>
      </c>
      <c r="BH3" s="1378"/>
      <c r="BI3" s="1377"/>
      <c r="BJ3" s="53" t="s">
        <v>38</v>
      </c>
      <c r="BK3" s="54">
        <f>+BE3</f>
        <v>2025</v>
      </c>
      <c r="BL3" s="31"/>
      <c r="BM3" s="1379" t="str">
        <f>+CONCATENATE(INSTRUCCIONES!B5, " - ", INSTRUCCIONES!B3)</f>
        <v>ESE HOSPITAL MARCO FIDEL SUAREZ - BELLO</v>
      </c>
      <c r="BN3" s="1380"/>
      <c r="BO3" s="1381"/>
      <c r="BP3" s="53" t="s">
        <v>38</v>
      </c>
      <c r="BQ3" s="734">
        <f>+BK3</f>
        <v>2025</v>
      </c>
    </row>
    <row r="4" spans="1:69" ht="24.75" customHeight="1" thickBot="1">
      <c r="A4" s="525"/>
      <c r="B4" s="1363"/>
      <c r="C4" s="56"/>
      <c r="D4" s="1311"/>
      <c r="E4" s="1349"/>
      <c r="F4" s="1311"/>
      <c r="G4" s="1295"/>
      <c r="H4" s="1295"/>
      <c r="I4" s="1295"/>
      <c r="J4" s="1295"/>
      <c r="K4" s="1296"/>
      <c r="L4" s="1300"/>
      <c r="M4" s="1314"/>
      <c r="N4" s="1320"/>
      <c r="O4" s="31"/>
      <c r="P4" s="1316"/>
      <c r="Q4" s="1319"/>
      <c r="R4" s="31"/>
      <c r="S4" s="50"/>
      <c r="T4" s="1333"/>
      <c r="U4" s="56"/>
      <c r="V4" s="1311"/>
      <c r="W4" s="1295"/>
      <c r="X4" s="1349"/>
      <c r="Y4" s="1311"/>
      <c r="Z4" s="1295"/>
      <c r="AA4" s="1295"/>
      <c r="AB4" s="1295"/>
      <c r="AC4" s="1295"/>
      <c r="AD4" s="1295"/>
      <c r="AE4" s="1295"/>
      <c r="AF4" s="1295"/>
      <c r="AG4" s="1296"/>
      <c r="AH4" s="1311"/>
      <c r="AI4" s="1314"/>
      <c r="AJ4" s="1320"/>
      <c r="AK4" s="36"/>
      <c r="AL4" s="1316"/>
      <c r="AM4" s="1319"/>
      <c r="AN4" s="31"/>
      <c r="AO4" s="52"/>
      <c r="AP4" s="57"/>
      <c r="AQ4" s="58" t="s">
        <v>52</v>
      </c>
      <c r="AR4" s="58" t="s">
        <v>53</v>
      </c>
      <c r="AS4" s="58" t="s">
        <v>54</v>
      </c>
      <c r="AT4" s="58" t="s">
        <v>55</v>
      </c>
      <c r="AU4" s="58" t="s">
        <v>55</v>
      </c>
      <c r="AV4" s="59" t="s">
        <v>55</v>
      </c>
      <c r="AW4" s="1382" t="str">
        <f>+CONCATENATE("PROYECCION A DICIEMBRE 31 DEL ",N3)</f>
        <v>PROYECCION A DICIEMBRE 31 DEL 2025</v>
      </c>
      <c r="AX4" s="1374"/>
      <c r="AY4" s="1374"/>
      <c r="AZ4" s="1375"/>
      <c r="BA4" s="31"/>
      <c r="BB4" s="60"/>
      <c r="BC4" s="61"/>
      <c r="BD4" s="61"/>
      <c r="BE4" s="63"/>
      <c r="BF4" s="64"/>
      <c r="BG4" s="60"/>
      <c r="BH4" s="61"/>
      <c r="BI4" s="61"/>
      <c r="BJ4" s="62"/>
      <c r="BK4" s="65"/>
      <c r="BL4" s="66"/>
      <c r="BM4" s="735"/>
      <c r="BN4" s="736"/>
      <c r="BO4" s="737"/>
      <c r="BP4" s="737"/>
      <c r="BQ4" s="738"/>
    </row>
    <row r="5" spans="1:69" ht="42" customHeight="1" thickBot="1">
      <c r="A5" s="1446" t="s">
        <v>56</v>
      </c>
      <c r="B5" s="1359" t="s">
        <v>61</v>
      </c>
      <c r="C5" s="1354" t="s">
        <v>57</v>
      </c>
      <c r="D5" s="1322"/>
      <c r="E5" s="1322"/>
      <c r="F5" s="1323"/>
      <c r="G5" s="1321" t="s">
        <v>360</v>
      </c>
      <c r="H5" s="1322"/>
      <c r="I5" s="1323"/>
      <c r="J5" s="1324" t="str">
        <f>+IF(L8&gt;I8,"OJO - RECAUDOS MAYORES QUE RECONOCIMIENTOS","RECAUDO")</f>
        <v>RECAUDO</v>
      </c>
      <c r="K5" s="1322"/>
      <c r="L5" s="1323"/>
      <c r="M5" s="1325" t="s">
        <v>59</v>
      </c>
      <c r="N5" s="1323"/>
      <c r="O5" s="31"/>
      <c r="P5" s="1317"/>
      <c r="Q5" s="1320"/>
      <c r="R5" s="31"/>
      <c r="S5" s="1358" t="s">
        <v>60</v>
      </c>
      <c r="T5" s="1359" t="s">
        <v>61</v>
      </c>
      <c r="U5" s="1360" t="s">
        <v>57</v>
      </c>
      <c r="V5" s="1322"/>
      <c r="W5" s="1322"/>
      <c r="X5" s="1323"/>
      <c r="Y5" s="1335" t="s">
        <v>361</v>
      </c>
      <c r="Z5" s="1322"/>
      <c r="AA5" s="1340"/>
      <c r="AB5" s="1335" t="s">
        <v>362</v>
      </c>
      <c r="AC5" s="1322"/>
      <c r="AD5" s="1323"/>
      <c r="AE5" s="1335" t="s">
        <v>34</v>
      </c>
      <c r="AF5" s="1322"/>
      <c r="AG5" s="1323"/>
      <c r="AH5" s="1335" t="s">
        <v>64</v>
      </c>
      <c r="AI5" s="1322"/>
      <c r="AJ5" s="1323"/>
      <c r="AK5" s="36"/>
      <c r="AL5" s="1317"/>
      <c r="AM5" s="1320"/>
      <c r="AN5" s="31"/>
      <c r="AO5" s="68"/>
      <c r="AP5" s="69" t="s">
        <v>65</v>
      </c>
      <c r="AQ5" s="58"/>
      <c r="AR5" s="58" t="s">
        <v>66</v>
      </c>
      <c r="AS5" s="58" t="s">
        <v>66</v>
      </c>
      <c r="AT5" s="58" t="s">
        <v>67</v>
      </c>
      <c r="AU5" s="58" t="s">
        <v>68</v>
      </c>
      <c r="AV5" s="58" t="s">
        <v>68</v>
      </c>
      <c r="AW5" s="58" t="s">
        <v>23</v>
      </c>
      <c r="AX5" s="58" t="s">
        <v>26</v>
      </c>
      <c r="AY5" s="58" t="s">
        <v>69</v>
      </c>
      <c r="AZ5" s="70" t="s">
        <v>69</v>
      </c>
      <c r="BA5" s="31"/>
      <c r="BB5" s="71" t="s">
        <v>70</v>
      </c>
      <c r="BC5" s="1445" t="str">
        <f>+CONCATENATE("ACUMULADO ",N3)</f>
        <v>ACUMULADO 2025</v>
      </c>
      <c r="BD5" s="1322"/>
      <c r="BE5" s="1323"/>
      <c r="BF5" s="75" t="s">
        <v>51</v>
      </c>
      <c r="BG5" s="549" t="s">
        <v>71</v>
      </c>
      <c r="BH5" s="1361" t="str">
        <f>+CONCATENATE("ACUMULADO ",N3)</f>
        <v>ACUMULADO 2025</v>
      </c>
      <c r="BI5" s="1322"/>
      <c r="BJ5" s="1322"/>
      <c r="BK5" s="1323"/>
      <c r="BL5" s="31"/>
      <c r="BM5" s="1384" t="s">
        <v>71</v>
      </c>
      <c r="BN5" s="1370" t="str">
        <f>+CONCATENATE("ACUMULADO ",BQ3)</f>
        <v>ACUMULADO 2025</v>
      </c>
      <c r="BO5" s="1371"/>
      <c r="BP5" s="1371"/>
      <c r="BQ5" s="1372"/>
    </row>
    <row r="6" spans="1:69" ht="24.75" customHeight="1" thickBot="1">
      <c r="A6" s="1398"/>
      <c r="B6" s="1401"/>
      <c r="C6" s="76" t="s">
        <v>72</v>
      </c>
      <c r="D6" s="77" t="s">
        <v>73</v>
      </c>
      <c r="E6" s="77" t="s">
        <v>74</v>
      </c>
      <c r="F6" s="78" t="s">
        <v>75</v>
      </c>
      <c r="G6" s="76" t="s">
        <v>76</v>
      </c>
      <c r="H6" s="77" t="s">
        <v>77</v>
      </c>
      <c r="I6" s="78" t="s">
        <v>78</v>
      </c>
      <c r="J6" s="76" t="s">
        <v>76</v>
      </c>
      <c r="K6" s="77" t="s">
        <v>77</v>
      </c>
      <c r="L6" s="78" t="s">
        <v>78</v>
      </c>
      <c r="M6" s="76" t="s">
        <v>79</v>
      </c>
      <c r="N6" s="78" t="s">
        <v>80</v>
      </c>
      <c r="O6" s="31"/>
      <c r="P6" s="79" t="s">
        <v>39</v>
      </c>
      <c r="Q6" s="80" t="s">
        <v>82</v>
      </c>
      <c r="R6" s="31"/>
      <c r="S6" s="1317"/>
      <c r="T6" s="1320"/>
      <c r="U6" s="81" t="s">
        <v>72</v>
      </c>
      <c r="V6" s="82" t="s">
        <v>73</v>
      </c>
      <c r="W6" s="82" t="s">
        <v>74</v>
      </c>
      <c r="X6" s="83" t="s">
        <v>75</v>
      </c>
      <c r="Y6" s="84" t="s">
        <v>76</v>
      </c>
      <c r="Z6" s="82" t="s">
        <v>77</v>
      </c>
      <c r="AA6" s="82" t="s">
        <v>78</v>
      </c>
      <c r="AB6" s="84" t="s">
        <v>76</v>
      </c>
      <c r="AC6" s="82" t="s">
        <v>77</v>
      </c>
      <c r="AD6" s="82" t="s">
        <v>78</v>
      </c>
      <c r="AE6" s="84" t="s">
        <v>76</v>
      </c>
      <c r="AF6" s="82" t="s">
        <v>77</v>
      </c>
      <c r="AG6" s="82" t="s">
        <v>78</v>
      </c>
      <c r="AH6" s="84" t="s">
        <v>29</v>
      </c>
      <c r="AI6" s="82" t="s">
        <v>31</v>
      </c>
      <c r="AJ6" s="83" t="s">
        <v>34</v>
      </c>
      <c r="AK6" s="36"/>
      <c r="AL6" s="76" t="s">
        <v>39</v>
      </c>
      <c r="AM6" s="78" t="s">
        <v>82</v>
      </c>
      <c r="AN6" s="31"/>
      <c r="AO6" s="85"/>
      <c r="AP6" s="86"/>
      <c r="AQ6" s="87" t="s">
        <v>75</v>
      </c>
      <c r="AR6" s="87" t="str">
        <f>+L3</f>
        <v>ABRIL</v>
      </c>
      <c r="AS6" s="87" t="str">
        <f>AR6</f>
        <v>ABRIL</v>
      </c>
      <c r="AT6" s="87" t="str">
        <f>AR6</f>
        <v>ABRIL</v>
      </c>
      <c r="AU6" s="87" t="s">
        <v>53</v>
      </c>
      <c r="AV6" s="87" t="s">
        <v>26</v>
      </c>
      <c r="AW6" s="87"/>
      <c r="AX6" s="87"/>
      <c r="AY6" s="87" t="s">
        <v>53</v>
      </c>
      <c r="AZ6" s="88" t="s">
        <v>26</v>
      </c>
      <c r="BA6" s="31"/>
      <c r="BB6" s="89"/>
      <c r="BC6" s="90" t="s">
        <v>83</v>
      </c>
      <c r="BD6" s="91" t="s">
        <v>84</v>
      </c>
      <c r="BE6" s="92" t="s">
        <v>85</v>
      </c>
      <c r="BF6" s="93"/>
      <c r="BG6" s="550"/>
      <c r="BH6" s="551" t="s">
        <v>83</v>
      </c>
      <c r="BI6" s="551" t="s">
        <v>86</v>
      </c>
      <c r="BJ6" s="551" t="s">
        <v>87</v>
      </c>
      <c r="BK6" s="552" t="s">
        <v>88</v>
      </c>
      <c r="BL6" s="31"/>
      <c r="BM6" s="1385"/>
      <c r="BN6" s="96" t="s">
        <v>83</v>
      </c>
      <c r="BO6" s="739" t="s">
        <v>86</v>
      </c>
      <c r="BP6" s="739" t="s">
        <v>87</v>
      </c>
      <c r="BQ6" s="740" t="s">
        <v>88</v>
      </c>
    </row>
    <row r="7" spans="1:69" ht="24.75" customHeight="1" thickBot="1">
      <c r="A7" s="526"/>
      <c r="B7" s="103"/>
      <c r="C7" s="104"/>
      <c r="D7" s="104"/>
      <c r="E7" s="104"/>
      <c r="F7" s="104"/>
      <c r="G7" s="104"/>
      <c r="H7" s="104"/>
      <c r="I7" s="104"/>
      <c r="J7" s="104"/>
      <c r="K7" s="104"/>
      <c r="L7" s="104"/>
      <c r="M7" s="104"/>
      <c r="N7" s="105"/>
      <c r="O7" s="31"/>
      <c r="P7" s="527"/>
      <c r="Q7" s="105"/>
      <c r="R7" s="101"/>
      <c r="S7" s="102"/>
      <c r="T7" s="103"/>
      <c r="U7" s="104"/>
      <c r="V7" s="104"/>
      <c r="W7" s="104"/>
      <c r="X7" s="104"/>
      <c r="Y7" s="104"/>
      <c r="Z7" s="104"/>
      <c r="AA7" s="104"/>
      <c r="AB7" s="104"/>
      <c r="AC7" s="104"/>
      <c r="AD7" s="104"/>
      <c r="AE7" s="104"/>
      <c r="AF7" s="104"/>
      <c r="AG7" s="104"/>
      <c r="AH7" s="104"/>
      <c r="AI7" s="104"/>
      <c r="AJ7" s="105"/>
      <c r="AK7" s="36"/>
      <c r="AL7" s="106"/>
      <c r="AM7" s="107"/>
      <c r="AN7" s="101"/>
      <c r="AO7" s="108"/>
      <c r="AP7" s="109" t="s">
        <v>89</v>
      </c>
      <c r="AQ7" s="110">
        <f>F22</f>
        <v>56030749893.586876</v>
      </c>
      <c r="AR7" s="110">
        <f>I22</f>
        <v>31066502034</v>
      </c>
      <c r="AS7" s="110">
        <f>L22</f>
        <v>15227168189</v>
      </c>
      <c r="AT7" s="101"/>
      <c r="AU7" s="111">
        <f t="shared" ref="AU7:AU17" si="0">IF(AQ7=0," ",AR7/AQ7)</f>
        <v>0.55445451101406351</v>
      </c>
      <c r="AV7" s="111">
        <f t="shared" ref="AV7:AV17" si="1">IF(AQ7=0," ",AS7/AQ7)</f>
        <v>0.271764490354302</v>
      </c>
      <c r="AW7" s="110">
        <f>I23/AO$2*12+I24</f>
        <v>73448518982</v>
      </c>
      <c r="AX7" s="110">
        <f>L23/AO$2*12+L24</f>
        <v>25930517447</v>
      </c>
      <c r="AY7" s="110">
        <f t="shared" ref="AY7:AY16" si="2">AW7-AQ7</f>
        <v>17417769088.413124</v>
      </c>
      <c r="AZ7" s="112">
        <f t="shared" ref="AZ7:AZ16" si="3">AX7-AQ7</f>
        <v>-30100232446.586876</v>
      </c>
      <c r="BA7" s="101"/>
      <c r="BB7" s="113" t="s">
        <v>90</v>
      </c>
      <c r="BC7" s="114">
        <f>F10</f>
        <v>1179477265</v>
      </c>
      <c r="BD7" s="115">
        <f>I10</f>
        <v>1179477265</v>
      </c>
      <c r="BE7" s="116">
        <f>K10</f>
        <v>0</v>
      </c>
      <c r="BF7" s="117"/>
      <c r="BG7" s="227" t="s">
        <v>91</v>
      </c>
      <c r="BH7" s="554">
        <f>+SUM(BH8:BH11)</f>
        <v>93749401860.611267</v>
      </c>
      <c r="BI7" s="554">
        <f>+SUM(BI8:BI11)</f>
        <v>52618769142</v>
      </c>
      <c r="BJ7" s="554">
        <f>+SUM(BJ8:BJ11)</f>
        <v>30828781457</v>
      </c>
      <c r="BK7" s="554">
        <f>+SUM(BK8:BK11)</f>
        <v>7107126353</v>
      </c>
      <c r="BL7" s="101"/>
      <c r="BM7" s="741" t="s">
        <v>91</v>
      </c>
      <c r="BN7" s="121">
        <f>BN8+BN15+BN22</f>
        <v>93749401860.611282</v>
      </c>
      <c r="BO7" s="121">
        <f>BO8+BO15+BO22</f>
        <v>52618769142</v>
      </c>
      <c r="BP7" s="121">
        <f>BP8+BP15+BP22</f>
        <v>30828781457</v>
      </c>
      <c r="BQ7" s="121">
        <f>BQ8+BQ15+BQ22</f>
        <v>7107126353</v>
      </c>
    </row>
    <row r="8" spans="1:69" ht="24.75" customHeight="1" thickBot="1">
      <c r="A8" s="123">
        <f>+IF(MARZO!A8=0,"",MARZO!A8)</f>
        <v>1</v>
      </c>
      <c r="B8" s="124" t="str">
        <f>+IF(MARZO!B8=0,"",MARZO!B8)</f>
        <v>INGRESOS</v>
      </c>
      <c r="C8" s="125">
        <f t="shared" ref="C8:N8" si="4">C10+C17+C113</f>
        <v>158143153137.47653</v>
      </c>
      <c r="D8" s="125">
        <f t="shared" si="4"/>
        <v>0</v>
      </c>
      <c r="E8" s="125">
        <f t="shared" si="4"/>
        <v>22608140434</v>
      </c>
      <c r="F8" s="125">
        <f t="shared" si="4"/>
        <v>180751293571.47653</v>
      </c>
      <c r="G8" s="125">
        <f t="shared" si="4"/>
        <v>68007477260</v>
      </c>
      <c r="H8" s="125">
        <f t="shared" si="4"/>
        <v>22498825557</v>
      </c>
      <c r="I8" s="125">
        <f t="shared" si="4"/>
        <v>90506302817</v>
      </c>
      <c r="J8" s="125">
        <f t="shared" si="4"/>
        <v>34566012008</v>
      </c>
      <c r="K8" s="125">
        <f t="shared" si="4"/>
        <v>13122481844</v>
      </c>
      <c r="L8" s="125">
        <f t="shared" si="4"/>
        <v>47688493852</v>
      </c>
      <c r="M8" s="125">
        <f t="shared" si="4"/>
        <v>90244990754.476517</v>
      </c>
      <c r="N8" s="125">
        <f t="shared" si="4"/>
        <v>133062799719.47652</v>
      </c>
      <c r="O8" s="126"/>
      <c r="P8" s="127">
        <f>P10+P17+P113</f>
        <v>0</v>
      </c>
      <c r="Q8" s="128">
        <f>Q10+Q17+Q113</f>
        <v>7561437139</v>
      </c>
      <c r="R8" s="101"/>
      <c r="S8" s="129" t="str">
        <f>+IF(MARZO!S8=0,"",MARZO!S8)</f>
        <v>2</v>
      </c>
      <c r="T8" s="130" t="str">
        <f>+IF(MARZO!T8=0,"",MARZO!T8)</f>
        <v>GASTOS</v>
      </c>
      <c r="U8" s="812">
        <f>U10+U192+U219+U231</f>
        <v>158143153137.16666</v>
      </c>
      <c r="V8" s="132">
        <f>V10+V191+V218+V230</f>
        <v>0</v>
      </c>
      <c r="W8" s="812">
        <f t="shared" ref="W8:AJ8" si="5">W10+W192+W219+W231</f>
        <v>22608140434</v>
      </c>
      <c r="X8" s="812">
        <f t="shared" si="5"/>
        <v>180751293571.16666</v>
      </c>
      <c r="Y8" s="812">
        <f t="shared" si="5"/>
        <v>102957524604</v>
      </c>
      <c r="Z8" s="812">
        <f t="shared" si="5"/>
        <v>8368875680</v>
      </c>
      <c r="AA8" s="812">
        <f t="shared" si="5"/>
        <v>111326400284</v>
      </c>
      <c r="AB8" s="812">
        <f t="shared" si="5"/>
        <v>59547329648</v>
      </c>
      <c r="AC8" s="812">
        <f t="shared" si="5"/>
        <v>16002757907</v>
      </c>
      <c r="AD8" s="812">
        <f t="shared" si="5"/>
        <v>75550087555</v>
      </c>
      <c r="AE8" s="812">
        <f t="shared" si="5"/>
        <v>31790381390</v>
      </c>
      <c r="AF8" s="812">
        <f t="shared" si="5"/>
        <v>11361890433</v>
      </c>
      <c r="AG8" s="812">
        <f t="shared" si="5"/>
        <v>43152271823</v>
      </c>
      <c r="AH8" s="812">
        <f t="shared" si="5"/>
        <v>69424893287.166656</v>
      </c>
      <c r="AI8" s="812">
        <f t="shared" si="5"/>
        <v>105201206016.16666</v>
      </c>
      <c r="AJ8" s="812">
        <f t="shared" si="5"/>
        <v>137599021748.16666</v>
      </c>
      <c r="AK8" s="903"/>
      <c r="AL8" s="136">
        <f>AL10+AL192+AL219+AL231</f>
        <v>0</v>
      </c>
      <c r="AM8" s="137">
        <f>AM10+AM192+AM219+AM231</f>
        <v>7561437139</v>
      </c>
      <c r="AN8" s="101"/>
      <c r="AO8" s="108"/>
      <c r="AP8" s="109" t="s">
        <v>93</v>
      </c>
      <c r="AQ8" s="138">
        <f>F25</f>
        <v>98449887678</v>
      </c>
      <c r="AR8" s="138">
        <f>I25</f>
        <v>46278516984</v>
      </c>
      <c r="AS8" s="138">
        <f>L25</f>
        <v>24983506538</v>
      </c>
      <c r="AT8" s="101"/>
      <c r="AU8" s="139">
        <f t="shared" si="0"/>
        <v>0.47007181090305683</v>
      </c>
      <c r="AV8" s="139">
        <f t="shared" si="1"/>
        <v>0.25376876629573764</v>
      </c>
      <c r="AW8" s="138">
        <f>I26/AO$2*12+I27</f>
        <v>97537399796</v>
      </c>
      <c r="AX8" s="138">
        <f>L26/AO$2*12+L27</f>
        <v>33652368458</v>
      </c>
      <c r="AY8" s="138">
        <f t="shared" si="2"/>
        <v>-912487882</v>
      </c>
      <c r="AZ8" s="140">
        <f t="shared" si="3"/>
        <v>-64797519220</v>
      </c>
      <c r="BA8" s="101"/>
      <c r="BB8" s="141" t="s">
        <v>94</v>
      </c>
      <c r="BC8" s="142">
        <f>BC9+BC19</f>
        <v>153507973966.37653</v>
      </c>
      <c r="BD8" s="143">
        <f>BD9+BD19</f>
        <v>57301118421</v>
      </c>
      <c r="BE8" s="142">
        <f>SUM(BE9+BE19+BE18)</f>
        <v>6417302226</v>
      </c>
      <c r="BF8" s="117"/>
      <c r="BG8" s="145" t="s">
        <v>95</v>
      </c>
      <c r="BH8" s="146">
        <f>BN9+BN13</f>
        <v>10773104894.212667</v>
      </c>
      <c r="BI8" s="146">
        <f>BO9+BO13</f>
        <v>2603410947</v>
      </c>
      <c r="BJ8" s="146">
        <f>BP9+BP13</f>
        <v>2603410947</v>
      </c>
      <c r="BK8" s="146">
        <f>BQ9+BQ13</f>
        <v>594748301</v>
      </c>
      <c r="BL8" s="101"/>
      <c r="BM8" s="743" t="s">
        <v>96</v>
      </c>
      <c r="BN8" s="148">
        <f>BN9+BN14+BN13</f>
        <v>72530411151.212677</v>
      </c>
      <c r="BO8" s="146">
        <f>BO9+BO14+BO13</f>
        <v>43589908778</v>
      </c>
      <c r="BP8" s="146">
        <f>BP9+BP14+BP13</f>
        <v>25283826212</v>
      </c>
      <c r="BQ8" s="744">
        <f>BQ9+BQ14+BQ13</f>
        <v>5964755999</v>
      </c>
    </row>
    <row r="9" spans="1:69" ht="24.75" customHeight="1" thickBot="1">
      <c r="A9" s="149"/>
      <c r="B9" s="150"/>
      <c r="C9" s="151"/>
      <c r="D9" s="151"/>
      <c r="E9" s="151"/>
      <c r="F9" s="151"/>
      <c r="G9" s="151"/>
      <c r="H9" s="151"/>
      <c r="I9" s="151"/>
      <c r="J9" s="151"/>
      <c r="K9" s="151"/>
      <c r="L9" s="151"/>
      <c r="M9" s="151"/>
      <c r="N9" s="152"/>
      <c r="O9" s="126"/>
      <c r="P9" s="153"/>
      <c r="Q9" s="152"/>
      <c r="R9" s="101"/>
      <c r="S9" s="102"/>
      <c r="T9" s="103"/>
      <c r="U9" s="104"/>
      <c r="V9" s="104"/>
      <c r="W9" s="104"/>
      <c r="X9" s="104"/>
      <c r="Y9" s="104"/>
      <c r="Z9" s="104"/>
      <c r="AA9" s="104"/>
      <c r="AB9" s="104"/>
      <c r="AC9" s="104"/>
      <c r="AD9" s="104"/>
      <c r="AE9" s="104"/>
      <c r="AF9" s="104"/>
      <c r="AG9" s="104"/>
      <c r="AH9" s="104"/>
      <c r="AI9" s="104"/>
      <c r="AJ9" s="105"/>
      <c r="AK9" s="101"/>
      <c r="AL9" s="154"/>
      <c r="AM9" s="155"/>
      <c r="AN9" s="101"/>
      <c r="AO9" s="156"/>
      <c r="AP9" s="109" t="s">
        <v>97</v>
      </c>
      <c r="AQ9" s="138">
        <f>F28+F75</f>
        <v>2299679776</v>
      </c>
      <c r="AR9" s="138">
        <f>I28+I75</f>
        <v>864509951</v>
      </c>
      <c r="AS9" s="138">
        <f>L28+L75</f>
        <v>451088247</v>
      </c>
      <c r="AT9" s="101"/>
      <c r="AU9" s="157">
        <f t="shared" si="0"/>
        <v>0.37592623113105988</v>
      </c>
      <c r="AV9" s="157">
        <f t="shared" si="1"/>
        <v>0.19615263468751748</v>
      </c>
      <c r="AW9" s="158">
        <f>(I30+I33+I36+I76)/AO$2*12+I31+I34+I37+I38+I39+I40+I77</f>
        <v>2048008589</v>
      </c>
      <c r="AX9" s="158">
        <f>(L30+L33+L36+L76)/AO$2*12+L31+L34+L37+L38+L39+L40+L77</f>
        <v>807743477</v>
      </c>
      <c r="AY9" s="158">
        <f t="shared" si="2"/>
        <v>-251671187</v>
      </c>
      <c r="AZ9" s="159">
        <f t="shared" si="3"/>
        <v>-1491936299</v>
      </c>
      <c r="BA9" s="101"/>
      <c r="BB9" s="160" t="s">
        <v>98</v>
      </c>
      <c r="BC9" s="161">
        <f>BC10+BC18</f>
        <v>152595749076.37653</v>
      </c>
      <c r="BD9" s="162">
        <f>BD10+BD18</f>
        <v>57170329990</v>
      </c>
      <c r="BE9" s="161">
        <f>BE10+BE16</f>
        <v>6377705888</v>
      </c>
      <c r="BF9" s="164"/>
      <c r="BG9" s="165" t="s">
        <v>99</v>
      </c>
      <c r="BH9" s="166">
        <f t="shared" ref="BH9:BK10" si="6">BN14</f>
        <v>61757306257</v>
      </c>
      <c r="BI9" s="166">
        <f t="shared" si="6"/>
        <v>40986497831</v>
      </c>
      <c r="BJ9" s="166">
        <f t="shared" si="6"/>
        <v>22680415265</v>
      </c>
      <c r="BK9" s="166">
        <f t="shared" si="6"/>
        <v>5370007698</v>
      </c>
      <c r="BL9" s="101"/>
      <c r="BM9" s="745" t="s">
        <v>100</v>
      </c>
      <c r="BN9" s="168">
        <f>SUM(BN10:BN12)</f>
        <v>8107453490.916667</v>
      </c>
      <c r="BO9" s="574">
        <f>SUM(BO10:BO12)</f>
        <v>1956908063</v>
      </c>
      <c r="BP9" s="166">
        <f>SUM(BP10:BP12)</f>
        <v>1956908063</v>
      </c>
      <c r="BQ9" s="746">
        <f>SUM(BQ10:BQ12)</f>
        <v>457993904</v>
      </c>
    </row>
    <row r="10" spans="1:69" ht="24.75" customHeight="1">
      <c r="A10" s="169" t="str">
        <f>+IF(MARZO!A10=0,"",MARZO!A10)</f>
        <v>1.0</v>
      </c>
      <c r="B10" s="170" t="str">
        <f>+IF(MARZO!B10=0,"",MARZO!B10)</f>
        <v>DISPONIBILIDAD INICIAL</v>
      </c>
      <c r="C10" s="171">
        <f t="shared" ref="C10:N10" si="7">SUM(C12:C15)</f>
        <v>0</v>
      </c>
      <c r="D10" s="172">
        <f t="shared" si="7"/>
        <v>0</v>
      </c>
      <c r="E10" s="172">
        <f t="shared" si="7"/>
        <v>1179477265</v>
      </c>
      <c r="F10" s="173">
        <f t="shared" si="7"/>
        <v>1179477265</v>
      </c>
      <c r="G10" s="174">
        <f t="shared" si="7"/>
        <v>1179477265</v>
      </c>
      <c r="H10" s="172">
        <f t="shared" si="7"/>
        <v>0</v>
      </c>
      <c r="I10" s="175">
        <f t="shared" si="7"/>
        <v>1179477265</v>
      </c>
      <c r="J10" s="171">
        <f t="shared" si="7"/>
        <v>1179477265</v>
      </c>
      <c r="K10" s="172">
        <f t="shared" si="7"/>
        <v>0</v>
      </c>
      <c r="L10" s="173">
        <f t="shared" si="7"/>
        <v>1179477265</v>
      </c>
      <c r="M10" s="171">
        <f t="shared" si="7"/>
        <v>0</v>
      </c>
      <c r="N10" s="173">
        <f t="shared" si="7"/>
        <v>0</v>
      </c>
      <c r="O10" s="101"/>
      <c r="P10" s="171">
        <f>SUM(P12:P15)</f>
        <v>0</v>
      </c>
      <c r="Q10" s="173">
        <f>SUM(Q12:Q15)</f>
        <v>0</v>
      </c>
      <c r="R10" s="101"/>
      <c r="S10" s="176" t="str">
        <f>+IF(MARZO!S10=0,"",MARZO!S10)</f>
        <v>2.1</v>
      </c>
      <c r="T10" s="177" t="str">
        <f>+IF(MARZO!T10=0,"",MARZO!T10)</f>
        <v>GASTOS DE FUNCIONAMIENTO</v>
      </c>
      <c r="U10" s="178">
        <f t="shared" ref="U10:AJ10" si="8">U12+U110+U168</f>
        <v>112528788023.5</v>
      </c>
      <c r="V10" s="179">
        <f t="shared" si="8"/>
        <v>0</v>
      </c>
      <c r="W10" s="179">
        <f t="shared" si="8"/>
        <v>4956877497</v>
      </c>
      <c r="X10" s="182">
        <f t="shared" si="8"/>
        <v>117485665520.5</v>
      </c>
      <c r="Y10" s="181">
        <f t="shared" si="8"/>
        <v>66596507757</v>
      </c>
      <c r="Z10" s="179">
        <f t="shared" si="8"/>
        <v>4345936055</v>
      </c>
      <c r="AA10" s="182">
        <f t="shared" si="8"/>
        <v>70942443812</v>
      </c>
      <c r="AB10" s="181">
        <f t="shared" si="8"/>
        <v>40224483887</v>
      </c>
      <c r="AC10" s="179">
        <f t="shared" si="8"/>
        <v>8927972240</v>
      </c>
      <c r="AD10" s="182">
        <f t="shared" si="8"/>
        <v>49152456127</v>
      </c>
      <c r="AE10" s="181">
        <f t="shared" si="8"/>
        <v>21889516920</v>
      </c>
      <c r="AF10" s="179">
        <f t="shared" si="8"/>
        <v>7706466499</v>
      </c>
      <c r="AG10" s="182">
        <f t="shared" si="8"/>
        <v>29595983419</v>
      </c>
      <c r="AH10" s="181">
        <f t="shared" si="8"/>
        <v>46543221708.5</v>
      </c>
      <c r="AI10" s="179">
        <f t="shared" si="8"/>
        <v>68333209393.5</v>
      </c>
      <c r="AJ10" s="180">
        <f t="shared" si="8"/>
        <v>87889682101.5</v>
      </c>
      <c r="AK10" s="101"/>
      <c r="AL10" s="183">
        <f>AL12+AL110+AL168</f>
        <v>0</v>
      </c>
      <c r="AM10" s="184">
        <f>AM12+AM110+AM168</f>
        <v>4628182761</v>
      </c>
      <c r="AN10" s="101"/>
      <c r="AO10" s="156"/>
      <c r="AP10" s="109" t="s">
        <v>102</v>
      </c>
      <c r="AQ10" s="138">
        <f>F42</f>
        <v>287170800</v>
      </c>
      <c r="AR10" s="138">
        <f>I42</f>
        <v>156952087</v>
      </c>
      <c r="AS10" s="138">
        <f>L42</f>
        <v>143741949</v>
      </c>
      <c r="AT10" s="101"/>
      <c r="AU10" s="157">
        <f t="shared" si="0"/>
        <v>0.54654612168089511</v>
      </c>
      <c r="AV10" s="157">
        <f t="shared" si="1"/>
        <v>0.50054514247270265</v>
      </c>
      <c r="AW10" s="158">
        <f>I43/AO$2*12+I44</f>
        <v>190491629</v>
      </c>
      <c r="AX10" s="158">
        <f>L43/AO$2*12+L44</f>
        <v>150861215</v>
      </c>
      <c r="AY10" s="158">
        <f t="shared" si="2"/>
        <v>-96679171</v>
      </c>
      <c r="AZ10" s="159">
        <f t="shared" si="3"/>
        <v>-136309585</v>
      </c>
      <c r="BA10" s="101"/>
      <c r="BB10" s="185" t="s">
        <v>103</v>
      </c>
      <c r="BC10" s="161">
        <f>BC11+BC12+BC13+BC14+BC16+BC17+BC15</f>
        <v>152595749076.37653</v>
      </c>
      <c r="BD10" s="162">
        <f>BD11+BD12+BD13+BD14+BD16+BD17+BD15</f>
        <v>57170329990</v>
      </c>
      <c r="BE10" s="161">
        <f>SUM(BE11+BE12+BE13+BE14+BE17)</f>
        <v>4210409665</v>
      </c>
      <c r="BF10" s="164"/>
      <c r="BG10" s="145" t="s">
        <v>104</v>
      </c>
      <c r="BH10" s="186">
        <f t="shared" si="6"/>
        <v>18025930124.398609</v>
      </c>
      <c r="BI10" s="186">
        <f t="shared" si="6"/>
        <v>8536110021</v>
      </c>
      <c r="BJ10" s="186">
        <f t="shared" si="6"/>
        <v>5052204902</v>
      </c>
      <c r="BK10" s="186">
        <f t="shared" si="6"/>
        <v>1005115385</v>
      </c>
      <c r="BL10" s="101"/>
      <c r="BM10" s="747" t="s">
        <v>105</v>
      </c>
      <c r="BN10" s="188">
        <f>X17+X66</f>
        <v>6481850793</v>
      </c>
      <c r="BO10" s="575">
        <f>AA17+AA66</f>
        <v>1655841162</v>
      </c>
      <c r="BP10" s="186">
        <f>AD17+AD66</f>
        <v>1655841162</v>
      </c>
      <c r="BQ10" s="748">
        <f>AF17+AF66</f>
        <v>398991936</v>
      </c>
    </row>
    <row r="11" spans="1:69" ht="24.75" customHeight="1">
      <c r="A11" s="149"/>
      <c r="B11" s="150"/>
      <c r="C11" s="151"/>
      <c r="D11" s="151"/>
      <c r="E11" s="151"/>
      <c r="F11" s="151"/>
      <c r="G11" s="151"/>
      <c r="H11" s="151"/>
      <c r="I11" s="151"/>
      <c r="J11" s="151"/>
      <c r="K11" s="151"/>
      <c r="L11" s="151"/>
      <c r="M11" s="151"/>
      <c r="N11" s="152"/>
      <c r="O11" s="126"/>
      <c r="P11" s="153"/>
      <c r="Q11" s="152"/>
      <c r="R11" s="101"/>
      <c r="S11" s="189"/>
      <c r="T11" s="488"/>
      <c r="U11" s="191"/>
      <c r="V11" s="191"/>
      <c r="W11" s="191"/>
      <c r="X11" s="191"/>
      <c r="Y11" s="191"/>
      <c r="Z11" s="191"/>
      <c r="AA11" s="191"/>
      <c r="AB11" s="191"/>
      <c r="AC11" s="191"/>
      <c r="AD11" s="191"/>
      <c r="AE11" s="191"/>
      <c r="AF11" s="191"/>
      <c r="AG11" s="191"/>
      <c r="AH11" s="191"/>
      <c r="AI11" s="191"/>
      <c r="AJ11" s="192"/>
      <c r="AK11" s="101"/>
      <c r="AL11" s="194"/>
      <c r="AM11" s="195"/>
      <c r="AN11" s="101"/>
      <c r="AO11" s="196" t="s">
        <v>50</v>
      </c>
      <c r="AP11" s="197" t="s">
        <v>106</v>
      </c>
      <c r="AQ11" s="138">
        <f>F88</f>
        <v>2337265046</v>
      </c>
      <c r="AR11" s="138">
        <f>I88</f>
        <v>1383079809</v>
      </c>
      <c r="AS11" s="138">
        <f>L88</f>
        <v>1166045330</v>
      </c>
      <c r="AT11" s="198">
        <f>AO2/12</f>
        <v>0.33333333333333331</v>
      </c>
      <c r="AU11" s="157">
        <f t="shared" si="0"/>
        <v>0.59175137683550505</v>
      </c>
      <c r="AV11" s="157">
        <f t="shared" si="1"/>
        <v>0.49889306820190216</v>
      </c>
      <c r="AW11" s="158">
        <f>I88</f>
        <v>1383079809</v>
      </c>
      <c r="AX11" s="158">
        <f>L88</f>
        <v>1166045330</v>
      </c>
      <c r="AY11" s="158">
        <f t="shared" si="2"/>
        <v>-954185237</v>
      </c>
      <c r="AZ11" s="159">
        <f t="shared" si="3"/>
        <v>-1171219716</v>
      </c>
      <c r="BA11" s="101"/>
      <c r="BB11" s="185" t="s">
        <v>107</v>
      </c>
      <c r="BC11" s="161">
        <f>F26</f>
        <v>81866799864</v>
      </c>
      <c r="BD11" s="162">
        <f>I26</f>
        <v>25629441406</v>
      </c>
      <c r="BE11" s="161">
        <f>SUM(K26)</f>
        <v>648990324</v>
      </c>
      <c r="BF11" s="164"/>
      <c r="BG11" s="145" t="s">
        <v>108</v>
      </c>
      <c r="BH11" s="199">
        <f>BN22</f>
        <v>3193060585</v>
      </c>
      <c r="BI11" s="199">
        <f>BO22</f>
        <v>492750343</v>
      </c>
      <c r="BJ11" s="199">
        <f>BP22</f>
        <v>492750343</v>
      </c>
      <c r="BK11" s="199">
        <f>BQ22</f>
        <v>137254969</v>
      </c>
      <c r="BL11" s="101"/>
      <c r="BM11" s="749" t="s">
        <v>109</v>
      </c>
      <c r="BN11" s="201">
        <f>X18+X67</f>
        <v>17000000</v>
      </c>
      <c r="BO11" s="576">
        <f>AA18+AA67</f>
        <v>3946596</v>
      </c>
      <c r="BP11" s="199">
        <f>AD18+AD67</f>
        <v>3946596</v>
      </c>
      <c r="BQ11" s="750">
        <f>AF18+AF67</f>
        <v>795785</v>
      </c>
    </row>
    <row r="12" spans="1:69" ht="24.75" customHeight="1">
      <c r="A12" s="202" t="str">
        <f>+IF(MARZO!A12=0,"",MARZO!A12)</f>
        <v>1.0.01</v>
      </c>
      <c r="B12" s="203" t="str">
        <f>+IF(MARZO!B12=0,"",MARZO!B12)</f>
        <v>Caja</v>
      </c>
      <c r="C12" s="204">
        <f>+ENERO!C12</f>
        <v>0</v>
      </c>
      <c r="D12" s="205">
        <f>MARZO!D12+ABRIL!P12</f>
        <v>0</v>
      </c>
      <c r="E12" s="205">
        <f>MARZO!E12+ABRIL!Q12</f>
        <v>3941159</v>
      </c>
      <c r="F12" s="206">
        <f>SUM(C12:E12)</f>
        <v>3941159</v>
      </c>
      <c r="G12" s="207">
        <f>MARZO!I12</f>
        <v>3941159</v>
      </c>
      <c r="H12" s="208">
        <v>0</v>
      </c>
      <c r="I12" s="206">
        <f>SUM(G12:H12)</f>
        <v>3941159</v>
      </c>
      <c r="J12" s="207">
        <f>MARZO!L12</f>
        <v>3941159</v>
      </c>
      <c r="K12" s="209">
        <f>+H12</f>
        <v>0</v>
      </c>
      <c r="L12" s="206">
        <f>SUM(J12:K12)</f>
        <v>3941159</v>
      </c>
      <c r="M12" s="207">
        <f>F12-I12</f>
        <v>0</v>
      </c>
      <c r="N12" s="206">
        <f>F12-L12</f>
        <v>0</v>
      </c>
      <c r="O12" s="67"/>
      <c r="P12" s="204">
        <v>0</v>
      </c>
      <c r="Q12" s="210">
        <v>0</v>
      </c>
      <c r="R12" s="101"/>
      <c r="S12" s="211" t="str">
        <f>+IF(MARZO!S12=0,"",MARZO!S12)</f>
        <v>2.1.1</v>
      </c>
      <c r="T12" s="212" t="str">
        <f>+IF(MARZO!T12=0,"",MARZO!T12)</f>
        <v>GASTOS DE PERSONAL</v>
      </c>
      <c r="U12" s="213">
        <f t="shared" ref="U12:AJ12" si="9">U14+U63</f>
        <v>88367557767.879166</v>
      </c>
      <c r="V12" s="214">
        <f t="shared" si="9"/>
        <v>680999693</v>
      </c>
      <c r="W12" s="214">
        <f t="shared" si="9"/>
        <v>2928182761</v>
      </c>
      <c r="X12" s="215">
        <f t="shared" si="9"/>
        <v>91976740221.879166</v>
      </c>
      <c r="Y12" s="183">
        <f t="shared" si="9"/>
        <v>57113014768</v>
      </c>
      <c r="Z12" s="214">
        <f t="shared" si="9"/>
        <v>3263393074</v>
      </c>
      <c r="AA12" s="215">
        <f t="shared" si="9"/>
        <v>60376407842</v>
      </c>
      <c r="AB12" s="183">
        <f t="shared" si="9"/>
        <v>34922471352</v>
      </c>
      <c r="AC12" s="214">
        <f t="shared" si="9"/>
        <v>7147853924</v>
      </c>
      <c r="AD12" s="215">
        <f t="shared" si="9"/>
        <v>42070325276</v>
      </c>
      <c r="AE12" s="183">
        <f t="shared" si="9"/>
        <v>18801459914</v>
      </c>
      <c r="AF12" s="214">
        <f t="shared" si="9"/>
        <v>6343058781</v>
      </c>
      <c r="AG12" s="215">
        <f t="shared" si="9"/>
        <v>25144518695</v>
      </c>
      <c r="AH12" s="183">
        <f t="shared" si="9"/>
        <v>31600332379.879169</v>
      </c>
      <c r="AI12" s="214">
        <f t="shared" si="9"/>
        <v>49906414945.879166</v>
      </c>
      <c r="AJ12" s="184">
        <f t="shared" si="9"/>
        <v>66832221526.879166</v>
      </c>
      <c r="AK12" s="216"/>
      <c r="AL12" s="217">
        <f>AL14+AL63</f>
        <v>0</v>
      </c>
      <c r="AM12" s="218">
        <f>AM14+AM63</f>
        <v>2928182761</v>
      </c>
      <c r="AN12" s="101"/>
      <c r="AO12" s="196"/>
      <c r="AP12" s="197" t="s">
        <v>111</v>
      </c>
      <c r="AQ12" s="138">
        <f>F89</f>
        <v>2520457839</v>
      </c>
      <c r="AR12" s="138">
        <f>I89</f>
        <v>2100381532</v>
      </c>
      <c r="AS12" s="138">
        <f>L89</f>
        <v>2079377717</v>
      </c>
      <c r="AT12" s="101"/>
      <c r="AU12" s="157">
        <f t="shared" si="0"/>
        <v>0.83333333313495672</v>
      </c>
      <c r="AV12" s="157">
        <f t="shared" si="1"/>
        <v>0.82499999993056816</v>
      </c>
      <c r="AW12" s="158">
        <f>I89</f>
        <v>2100381532</v>
      </c>
      <c r="AX12" s="158">
        <f>L89</f>
        <v>2079377717</v>
      </c>
      <c r="AY12" s="158">
        <f t="shared" si="2"/>
        <v>-420076307</v>
      </c>
      <c r="AZ12" s="159">
        <f t="shared" si="3"/>
        <v>-441080122</v>
      </c>
      <c r="BA12" s="101"/>
      <c r="BB12" s="185" t="s">
        <v>112</v>
      </c>
      <c r="BC12" s="161">
        <f>F23</f>
        <v>49300076925.586876</v>
      </c>
      <c r="BD12" s="162">
        <f>I23</f>
        <v>21191008474</v>
      </c>
      <c r="BE12" s="161">
        <f>SUM(K23)</f>
        <v>3365040527</v>
      </c>
      <c r="BF12" s="164"/>
      <c r="BG12" s="219" t="s">
        <v>113</v>
      </c>
      <c r="BH12" s="199">
        <f>BN25</f>
        <v>36095849515.333328</v>
      </c>
      <c r="BI12" s="220">
        <f>BO25</f>
        <v>22849527593</v>
      </c>
      <c r="BJ12" s="199">
        <f>BP25</f>
        <v>14196060335</v>
      </c>
      <c r="BK12" s="199">
        <f>BQ25</f>
        <v>2008152054</v>
      </c>
      <c r="BL12" s="101"/>
      <c r="BM12" s="751" t="s">
        <v>114</v>
      </c>
      <c r="BN12" s="201">
        <f>X16+X65-X81-X33-BN10-BN11</f>
        <v>1608602697.916667</v>
      </c>
      <c r="BO12" s="576">
        <f>AA16+AA65-AA81-AA33-BO10-BO11</f>
        <v>297120305</v>
      </c>
      <c r="BP12" s="199">
        <f>AD16+AD65-AD81-AD33-BP10-BP11</f>
        <v>297120305</v>
      </c>
      <c r="BQ12" s="750">
        <f>AF16+AF65-AF81-AF33-BQ10-BQ11</f>
        <v>58206183</v>
      </c>
    </row>
    <row r="13" spans="1:69" ht="24.75" customHeight="1">
      <c r="A13" s="202" t="str">
        <f>+IF(MARZO!A13=0,"",MARZO!A13)</f>
        <v>1.0.02</v>
      </c>
      <c r="B13" s="203" t="str">
        <f>+IF(MARZO!B13=0,"",MARZO!B13)</f>
        <v>Bancos</v>
      </c>
      <c r="C13" s="204">
        <f>+ENERO!C13</f>
        <v>0</v>
      </c>
      <c r="D13" s="205">
        <f>MARZO!D13+ABRIL!P13</f>
        <v>0</v>
      </c>
      <c r="E13" s="205">
        <f>MARZO!E13+ABRIL!Q13</f>
        <v>554873586</v>
      </c>
      <c r="F13" s="206">
        <f>SUM(C13:E13)</f>
        <v>554873586</v>
      </c>
      <c r="G13" s="207">
        <f>MARZO!I13</f>
        <v>554873586</v>
      </c>
      <c r="H13" s="208">
        <v>0</v>
      </c>
      <c r="I13" s="206">
        <f>SUM(G13:H13)</f>
        <v>554873586</v>
      </c>
      <c r="J13" s="207">
        <f>MARZO!L13</f>
        <v>554873586</v>
      </c>
      <c r="K13" s="209">
        <f>+H13</f>
        <v>0</v>
      </c>
      <c r="L13" s="206">
        <f>SUM(J13:K13)</f>
        <v>554873586</v>
      </c>
      <c r="M13" s="207">
        <f>F13-I13</f>
        <v>0</v>
      </c>
      <c r="N13" s="206">
        <f>F13-L13</f>
        <v>0</v>
      </c>
      <c r="O13" s="67"/>
      <c r="P13" s="204">
        <v>0</v>
      </c>
      <c r="Q13" s="210">
        <v>0</v>
      </c>
      <c r="R13" s="101"/>
      <c r="S13" s="189"/>
      <c r="T13" s="488"/>
      <c r="U13" s="191"/>
      <c r="V13" s="191"/>
      <c r="W13" s="191"/>
      <c r="X13" s="191"/>
      <c r="Y13" s="191"/>
      <c r="Z13" s="191"/>
      <c r="AA13" s="191"/>
      <c r="AB13" s="191"/>
      <c r="AC13" s="191"/>
      <c r="AD13" s="191"/>
      <c r="AE13" s="191"/>
      <c r="AF13" s="191"/>
      <c r="AG13" s="191"/>
      <c r="AH13" s="191"/>
      <c r="AI13" s="191"/>
      <c r="AJ13" s="192"/>
      <c r="AK13" s="216"/>
      <c r="AL13" s="194"/>
      <c r="AM13" s="195"/>
      <c r="AN13" s="101"/>
      <c r="AO13" s="221"/>
      <c r="AP13" s="197" t="s">
        <v>115</v>
      </c>
      <c r="AQ13" s="138">
        <f>F90</f>
        <v>9662757523</v>
      </c>
      <c r="AR13" s="138">
        <f>I90</f>
        <v>4275773320</v>
      </c>
      <c r="AS13" s="138">
        <f>L90</f>
        <v>865757563</v>
      </c>
      <c r="AT13" s="101"/>
      <c r="AU13" s="157">
        <f t="shared" si="0"/>
        <v>0.44250032248273774</v>
      </c>
      <c r="AV13" s="157">
        <f t="shared" si="1"/>
        <v>8.9597359857086417E-2</v>
      </c>
      <c r="AW13" s="158">
        <f>I90</f>
        <v>4275773320</v>
      </c>
      <c r="AX13" s="158">
        <f>L90</f>
        <v>865757563</v>
      </c>
      <c r="AY13" s="158">
        <f t="shared" si="2"/>
        <v>-5386984203</v>
      </c>
      <c r="AZ13" s="159">
        <f t="shared" si="3"/>
        <v>-8796999960</v>
      </c>
      <c r="BA13" s="67"/>
      <c r="BB13" s="236" t="s">
        <v>116</v>
      </c>
      <c r="BC13" s="223">
        <f>+F30+F33+F36+F38+F39+F40</f>
        <v>1140706891</v>
      </c>
      <c r="BD13" s="224">
        <f>+I30+I33+I36+I38+I39+I40</f>
        <v>531264524</v>
      </c>
      <c r="BE13" s="161">
        <f>SUM(K33)</f>
        <v>38226699</v>
      </c>
      <c r="BF13" s="226"/>
      <c r="BG13" s="227" t="s">
        <v>117</v>
      </c>
      <c r="BH13" s="199">
        <f t="shared" ref="BH13:BK15" si="10">BN29</f>
        <v>14520480408</v>
      </c>
      <c r="BI13" s="199">
        <f t="shared" si="10"/>
        <v>10901218765</v>
      </c>
      <c r="BJ13" s="199">
        <f t="shared" si="10"/>
        <v>5574560979</v>
      </c>
      <c r="BK13" s="199">
        <f t="shared" si="10"/>
        <v>1039222801</v>
      </c>
      <c r="BL13" s="101"/>
      <c r="BM13" s="745" t="s">
        <v>118</v>
      </c>
      <c r="BN13" s="188">
        <f>X43-X55+X57-X61+X90-X102+X104-X108</f>
        <v>2665651403.2960005</v>
      </c>
      <c r="BO13" s="575">
        <f>AA43-AA55+AA57-AA61+AA90-AA102+AA104-AA108</f>
        <v>646502884</v>
      </c>
      <c r="BP13" s="186">
        <f>AD43-AD55+AD57-AD61+AD90-AD102+AD104-AD108</f>
        <v>646502884</v>
      </c>
      <c r="BQ13" s="748">
        <f>AF43-AF55+AF57-AF61+AF90-AF102+AF104-AF108</f>
        <v>136754397</v>
      </c>
    </row>
    <row r="14" spans="1:69" ht="24.75" customHeight="1">
      <c r="A14" s="202" t="str">
        <f>+IF(MARZO!A14=0,"",MARZO!A14)</f>
        <v>1.0.03</v>
      </c>
      <c r="B14" s="203" t="str">
        <f>+IF(MARZO!B14=0,"",MARZO!B14)</f>
        <v>Inversiones Temporales</v>
      </c>
      <c r="C14" s="204">
        <f>+ENERO!C14</f>
        <v>0</v>
      </c>
      <c r="D14" s="205">
        <f>MARZO!D14+ABRIL!P14</f>
        <v>0</v>
      </c>
      <c r="E14" s="205">
        <f>MARZO!E14+ABRIL!Q14</f>
        <v>620662520</v>
      </c>
      <c r="F14" s="206">
        <f>SUM(C14:E14)</f>
        <v>620662520</v>
      </c>
      <c r="G14" s="207">
        <f>MARZO!I14</f>
        <v>620662520</v>
      </c>
      <c r="H14" s="208">
        <v>0</v>
      </c>
      <c r="I14" s="206">
        <f>SUM(G14:H14)</f>
        <v>620662520</v>
      </c>
      <c r="J14" s="207">
        <f>MARZO!L14</f>
        <v>620662520</v>
      </c>
      <c r="K14" s="209">
        <f>+H14</f>
        <v>0</v>
      </c>
      <c r="L14" s="206">
        <f>SUM(J14:K14)</f>
        <v>620662520</v>
      </c>
      <c r="M14" s="207">
        <f>F14-I14</f>
        <v>0</v>
      </c>
      <c r="N14" s="206">
        <f>F14-L14</f>
        <v>0</v>
      </c>
      <c r="O14" s="67"/>
      <c r="P14" s="204">
        <v>0</v>
      </c>
      <c r="Q14" s="210">
        <v>0</v>
      </c>
      <c r="R14" s="101"/>
      <c r="S14" s="228" t="str">
        <f>+IF(MARZO!S14=0,"",MARZO!S14)</f>
        <v>2.1.1.01</v>
      </c>
      <c r="T14" s="229" t="str">
        <f>+IF(MARZO!T14=0,"",MARZO!T14)</f>
        <v>Gastos de Administración</v>
      </c>
      <c r="U14" s="230">
        <f t="shared" ref="U14:AJ14" si="11">U16+U35+U43+U57</f>
        <v>23848754297.879169</v>
      </c>
      <c r="V14" s="231">
        <f t="shared" si="11"/>
        <v>753999693</v>
      </c>
      <c r="W14" s="231">
        <f t="shared" si="11"/>
        <v>0</v>
      </c>
      <c r="X14" s="234">
        <f t="shared" si="11"/>
        <v>24602753990.879169</v>
      </c>
      <c r="Y14" s="233">
        <f t="shared" si="11"/>
        <v>12867490996</v>
      </c>
      <c r="Z14" s="231">
        <f t="shared" si="11"/>
        <v>669388494</v>
      </c>
      <c r="AA14" s="234">
        <f t="shared" si="11"/>
        <v>13536879490</v>
      </c>
      <c r="AB14" s="233">
        <f t="shared" si="11"/>
        <v>8336524506</v>
      </c>
      <c r="AC14" s="231">
        <f t="shared" si="11"/>
        <v>2003436954</v>
      </c>
      <c r="AD14" s="234">
        <f t="shared" si="11"/>
        <v>10339961460</v>
      </c>
      <c r="AE14" s="233">
        <f t="shared" si="11"/>
        <v>5156545741</v>
      </c>
      <c r="AF14" s="231">
        <f t="shared" si="11"/>
        <v>1685229764</v>
      </c>
      <c r="AG14" s="234">
        <f t="shared" si="11"/>
        <v>6841775505</v>
      </c>
      <c r="AH14" s="233">
        <f t="shared" si="11"/>
        <v>11065874500.879169</v>
      </c>
      <c r="AI14" s="231">
        <f t="shared" si="11"/>
        <v>14262792530.879169</v>
      </c>
      <c r="AJ14" s="232">
        <f t="shared" si="11"/>
        <v>17760978485.879169</v>
      </c>
      <c r="AK14" s="216"/>
      <c r="AL14" s="233">
        <f>AL16+AL35+AL43+AL57</f>
        <v>0</v>
      </c>
      <c r="AM14" s="232">
        <f>AM16+AM35+AM43+AM57</f>
        <v>0</v>
      </c>
      <c r="AN14" s="101"/>
      <c r="AO14" s="108"/>
      <c r="AP14" s="109" t="s">
        <v>120</v>
      </c>
      <c r="AQ14" s="138">
        <f>F19-AQ7-AQ8-AQ9-AQ10-AQ11-AQ12-AQ13</f>
        <v>7051886071.8896484</v>
      </c>
      <c r="AR14" s="138">
        <f>I19-AR7-AR8-AR9-AR10-AR11-AR12-AR13</f>
        <v>3050584615</v>
      </c>
      <c r="AS14" s="138">
        <f>L19-AS7-AS8-AS9-AS10-AS11-AS12-AS13</f>
        <v>1444961687</v>
      </c>
      <c r="AT14" s="67"/>
      <c r="AU14" s="157">
        <f t="shared" si="0"/>
        <v>0.43259130733269979</v>
      </c>
      <c r="AV14" s="157">
        <f t="shared" si="1"/>
        <v>0.20490428691976911</v>
      </c>
      <c r="AW14" s="158">
        <f>(I41+I46+I49+I52+I55+I58+I61+I64+I67+I70+I73+I78+I81+I82+I83+I85+I94+I104)/AO$2*12+I47+I50+I53+I56+I59+I62+I65+I68+I71+I74</f>
        <v>31284746478</v>
      </c>
      <c r="AX14" s="158">
        <f>(L41+L46+L49+L52+L55+L58+L61+L64+L67+L70+L73+L78+L81+L82+L83+L85+L94+L104)/AO$2*12+L47+L50+L53+L56+L59+L62+L65+L68+L71+L74</f>
        <v>15460185018</v>
      </c>
      <c r="AY14" s="158">
        <f t="shared" si="2"/>
        <v>24232860406.110352</v>
      </c>
      <c r="AZ14" s="159">
        <f t="shared" si="3"/>
        <v>8408298946.1103516</v>
      </c>
      <c r="BA14" s="101"/>
      <c r="BB14" s="236" t="s">
        <v>121</v>
      </c>
      <c r="BC14" s="237">
        <f>+F64</f>
        <v>2137731076.9417498</v>
      </c>
      <c r="BD14" s="238">
        <f>+I64</f>
        <v>702101395</v>
      </c>
      <c r="BE14" s="239">
        <f>K64</f>
        <v>45294183</v>
      </c>
      <c r="BF14" s="240"/>
      <c r="BG14" s="227" t="s">
        <v>122</v>
      </c>
      <c r="BH14" s="186">
        <f t="shared" si="10"/>
        <v>3239175000</v>
      </c>
      <c r="BI14" s="186">
        <f t="shared" si="10"/>
        <v>440504152</v>
      </c>
      <c r="BJ14" s="186">
        <f t="shared" si="10"/>
        <v>440504152</v>
      </c>
      <c r="BK14" s="186">
        <f t="shared" si="10"/>
        <v>109410330</v>
      </c>
      <c r="BL14" s="101"/>
      <c r="BM14" s="752" t="s">
        <v>123</v>
      </c>
      <c r="BN14" s="201">
        <f>X35-X41+X83-X88</f>
        <v>61757306257</v>
      </c>
      <c r="BO14" s="199">
        <f>AA35-AA41+AA83-AA88</f>
        <v>40986497831</v>
      </c>
      <c r="BP14" s="199">
        <f>AD35-AD41+AD83-AD88</f>
        <v>22680415265</v>
      </c>
      <c r="BQ14" s="753">
        <f>AF35-AF41+AF83-AF88</f>
        <v>5370007698</v>
      </c>
    </row>
    <row r="15" spans="1:69" ht="24.75" customHeight="1" thickBot="1">
      <c r="A15" s="241">
        <f>+IF(MARZO!A15=0,"",MARZO!A15)</f>
        <v>1004</v>
      </c>
      <c r="B15" s="203" t="str">
        <f>+IF(MARZO!B15=0,"",MARZO!B15)</f>
        <v>Cesantias Ley 50/1990 a Dic-31-2024</v>
      </c>
      <c r="C15" s="242">
        <f>+ENERO!C15</f>
        <v>0</v>
      </c>
      <c r="D15" s="243">
        <f>MARZO!D15+ABRIL!P15</f>
        <v>0</v>
      </c>
      <c r="E15" s="243">
        <f>MARZO!E15+ABRIL!Q15</f>
        <v>0</v>
      </c>
      <c r="F15" s="244">
        <f>SUM(C15:E15)</f>
        <v>0</v>
      </c>
      <c r="G15" s="245">
        <f>MARZO!I15</f>
        <v>0</v>
      </c>
      <c r="H15" s="246">
        <v>0</v>
      </c>
      <c r="I15" s="244">
        <f>SUM(G15:H15)</f>
        <v>0</v>
      </c>
      <c r="J15" s="245">
        <f>MARZO!L15</f>
        <v>0</v>
      </c>
      <c r="K15" s="247">
        <f>+H15</f>
        <v>0</v>
      </c>
      <c r="L15" s="244">
        <f>SUM(J15:K15)</f>
        <v>0</v>
      </c>
      <c r="M15" s="245">
        <f>F15-I15</f>
        <v>0</v>
      </c>
      <c r="N15" s="244">
        <f>F15-L15</f>
        <v>0</v>
      </c>
      <c r="O15" s="67"/>
      <c r="P15" s="242">
        <v>0</v>
      </c>
      <c r="Q15" s="248">
        <v>0</v>
      </c>
      <c r="R15" s="101"/>
      <c r="S15" s="189" t="str">
        <f>+IF(MARZO!S15=0,"",MARZO!S15)</f>
        <v/>
      </c>
      <c r="T15" s="488" t="str">
        <f>+IF(MARZO!T15=0,"",MARZO!T15)</f>
        <v xml:space="preserve"> </v>
      </c>
      <c r="U15" s="191"/>
      <c r="V15" s="191"/>
      <c r="W15" s="191"/>
      <c r="X15" s="191"/>
      <c r="Y15" s="191"/>
      <c r="Z15" s="191"/>
      <c r="AA15" s="191"/>
      <c r="AB15" s="191"/>
      <c r="AC15" s="191"/>
      <c r="AD15" s="191"/>
      <c r="AE15" s="191"/>
      <c r="AF15" s="191"/>
      <c r="AG15" s="191"/>
      <c r="AH15" s="191"/>
      <c r="AI15" s="191"/>
      <c r="AJ15" s="192"/>
      <c r="AK15" s="216"/>
      <c r="AL15" s="249"/>
      <c r="AM15" s="250"/>
      <c r="AN15" s="101"/>
      <c r="AO15" s="221"/>
      <c r="AP15" s="109" t="s">
        <v>124</v>
      </c>
      <c r="AQ15" s="138">
        <f>F113</f>
        <v>0</v>
      </c>
      <c r="AR15" s="138">
        <f>I113</f>
        <v>0</v>
      </c>
      <c r="AS15" s="138">
        <f>L113</f>
        <v>0</v>
      </c>
      <c r="AT15" s="101"/>
      <c r="AU15" s="139" t="str">
        <f t="shared" si="0"/>
        <v xml:space="preserve"> </v>
      </c>
      <c r="AV15" s="157" t="str">
        <f t="shared" si="1"/>
        <v xml:space="preserve"> </v>
      </c>
      <c r="AW15" s="138">
        <f>+AR15</f>
        <v>0</v>
      </c>
      <c r="AX15" s="138">
        <f>+AS15</f>
        <v>0</v>
      </c>
      <c r="AY15" s="138">
        <f t="shared" si="2"/>
        <v>0</v>
      </c>
      <c r="AZ15" s="140">
        <f t="shared" si="3"/>
        <v>0</v>
      </c>
      <c r="BA15" s="67"/>
      <c r="BB15" s="236" t="s">
        <v>125</v>
      </c>
      <c r="BC15" s="237">
        <f>F46+F49</f>
        <v>976431378</v>
      </c>
      <c r="BD15" s="238">
        <f>I46+I49</f>
        <v>194261208</v>
      </c>
      <c r="BE15" s="239">
        <f>K46</f>
        <v>0</v>
      </c>
      <c r="BF15" s="240"/>
      <c r="BG15" s="227" t="s">
        <v>126</v>
      </c>
      <c r="BH15" s="186">
        <f t="shared" si="10"/>
        <v>33146386787.222057</v>
      </c>
      <c r="BI15" s="186">
        <f t="shared" si="10"/>
        <v>23958890236</v>
      </c>
      <c r="BJ15" s="186">
        <f t="shared" si="10"/>
        <v>23952690236</v>
      </c>
      <c r="BK15" s="186">
        <f t="shared" si="10"/>
        <v>1097978895</v>
      </c>
      <c r="BL15" s="101"/>
      <c r="BM15" s="743" t="s">
        <v>104</v>
      </c>
      <c r="BN15" s="188">
        <f>SUM(BN16:BN21)</f>
        <v>18025930124.398609</v>
      </c>
      <c r="BO15" s="186">
        <f>SUM(BO16:BO21)</f>
        <v>8536110021</v>
      </c>
      <c r="BP15" s="186">
        <f>SUM(BP16:BP21)</f>
        <v>5052204902</v>
      </c>
      <c r="BQ15" s="754">
        <f>SUM(BQ16:BQ21)</f>
        <v>1005115385</v>
      </c>
    </row>
    <row r="16" spans="1:69" ht="24.75" customHeight="1" thickBot="1">
      <c r="A16" s="251" t="str">
        <f>+IF(MARZO!A16=0,"",MARZO!A16)</f>
        <v/>
      </c>
      <c r="B16" s="252" t="str">
        <f>+IF(MARZO!B16=0,"",MARZO!B16)</f>
        <v/>
      </c>
      <c r="C16" s="253"/>
      <c r="D16" s="253"/>
      <c r="E16" s="253"/>
      <c r="F16" s="253"/>
      <c r="G16" s="253"/>
      <c r="H16" s="253"/>
      <c r="I16" s="253"/>
      <c r="J16" s="253"/>
      <c r="K16" s="253"/>
      <c r="L16" s="253"/>
      <c r="M16" s="253"/>
      <c r="N16" s="254"/>
      <c r="O16" s="67"/>
      <c r="P16" s="255"/>
      <c r="Q16" s="256"/>
      <c r="R16" s="101"/>
      <c r="S16" s="257" t="str">
        <f>+IF(MARZO!S16=0,"",MARZO!S16)</f>
        <v>2.1.1.01.01</v>
      </c>
      <c r="T16" s="546" t="str">
        <f>+IF(MARZO!T16=0,"",MARZO!T16)</f>
        <v>Servicios Personales Asociados a Nómina</v>
      </c>
      <c r="U16" s="230">
        <f t="shared" ref="U16:AJ16" si="12">SUM(U17:U20)+U33</f>
        <v>8136453797.916667</v>
      </c>
      <c r="V16" s="231">
        <f t="shared" si="12"/>
        <v>-29000307</v>
      </c>
      <c r="W16" s="231">
        <f t="shared" si="12"/>
        <v>0</v>
      </c>
      <c r="X16" s="234">
        <f t="shared" si="12"/>
        <v>8107453490.916667</v>
      </c>
      <c r="Y16" s="233">
        <f t="shared" si="12"/>
        <v>1492041250</v>
      </c>
      <c r="Z16" s="231">
        <f t="shared" si="12"/>
        <v>464866813</v>
      </c>
      <c r="AA16" s="234">
        <f t="shared" si="12"/>
        <v>1956908063</v>
      </c>
      <c r="AB16" s="233">
        <f t="shared" si="12"/>
        <v>1492041250</v>
      </c>
      <c r="AC16" s="231">
        <f t="shared" si="12"/>
        <v>464866813</v>
      </c>
      <c r="AD16" s="234">
        <f t="shared" si="12"/>
        <v>1956908063</v>
      </c>
      <c r="AE16" s="233">
        <f t="shared" si="12"/>
        <v>1492041250</v>
      </c>
      <c r="AF16" s="231">
        <f t="shared" si="12"/>
        <v>457993904</v>
      </c>
      <c r="AG16" s="234">
        <f t="shared" si="12"/>
        <v>1950035154</v>
      </c>
      <c r="AH16" s="233">
        <f t="shared" si="12"/>
        <v>6150545427.916667</v>
      </c>
      <c r="AI16" s="231">
        <f t="shared" si="12"/>
        <v>6150545427.916667</v>
      </c>
      <c r="AJ16" s="232">
        <f t="shared" si="12"/>
        <v>6157418336.916667</v>
      </c>
      <c r="AK16" s="216"/>
      <c r="AL16" s="233">
        <f>SUM(AL17:AL20)+AL33</f>
        <v>0</v>
      </c>
      <c r="AM16" s="232">
        <f>SUM(AM17:AM20)+AM33</f>
        <v>0</v>
      </c>
      <c r="AN16" s="101"/>
      <c r="AO16" s="108"/>
      <c r="AP16" s="259" t="s">
        <v>128</v>
      </c>
      <c r="AQ16" s="260">
        <f>F10</f>
        <v>1179477265</v>
      </c>
      <c r="AR16" s="260">
        <f>I10</f>
        <v>1179477265</v>
      </c>
      <c r="AS16" s="260">
        <f>L10</f>
        <v>1179477265</v>
      </c>
      <c r="AT16" s="67"/>
      <c r="AU16" s="261">
        <f t="shared" si="0"/>
        <v>1</v>
      </c>
      <c r="AV16" s="261">
        <f t="shared" si="1"/>
        <v>1</v>
      </c>
      <c r="AW16" s="260">
        <f>+AR16</f>
        <v>1179477265</v>
      </c>
      <c r="AX16" s="260">
        <f>+AS16</f>
        <v>1179477265</v>
      </c>
      <c r="AY16" s="138">
        <f t="shared" si="2"/>
        <v>0</v>
      </c>
      <c r="AZ16" s="262">
        <f t="shared" si="3"/>
        <v>0</v>
      </c>
      <c r="BA16" s="67"/>
      <c r="BB16" s="185" t="s">
        <v>129</v>
      </c>
      <c r="BC16" s="161">
        <f>F43</f>
        <v>0</v>
      </c>
      <c r="BD16" s="162">
        <f>I43</f>
        <v>16769771</v>
      </c>
      <c r="BE16" s="237">
        <f>SUM(K86:K91)</f>
        <v>2167296223</v>
      </c>
      <c r="BF16" s="164"/>
      <c r="BG16" s="227" t="s">
        <v>130</v>
      </c>
      <c r="BH16" s="263">
        <f>BH7+BH12+BH13+BH14+BH15</f>
        <v>180751293571.16663</v>
      </c>
      <c r="BI16" s="263">
        <f>BI7+BI12+BI13+BI14+BI15</f>
        <v>110768909888</v>
      </c>
      <c r="BJ16" s="263">
        <f>BJ7+BJ12+BJ13+BJ14+BJ15</f>
        <v>74992597159</v>
      </c>
      <c r="BK16" s="263">
        <f>BK7+BK12+BK13+BK14+BK15</f>
        <v>11361890433</v>
      </c>
      <c r="BL16" s="101"/>
      <c r="BM16" s="745" t="s">
        <v>131</v>
      </c>
      <c r="BN16" s="188">
        <f>SUM(X115+X116+X117+X149)</f>
        <v>1583007702.1208334</v>
      </c>
      <c r="BO16" s="188">
        <f>SUM(AA115+AA116+AA117+AA149)</f>
        <v>829587568</v>
      </c>
      <c r="BP16" s="188">
        <f>SUM(AD115+AD116+AD117+AD149)</f>
        <v>476310467</v>
      </c>
      <c r="BQ16" s="188">
        <f>SUM(AF115+AF116+AF117+AF149)</f>
        <v>6774264</v>
      </c>
    </row>
    <row r="17" spans="1:69" ht="24.75" customHeight="1" thickBot="1">
      <c r="A17" s="169" t="str">
        <f>+IF(MARZO!A17=0,"",MARZO!A17)</f>
        <v>1.1</v>
      </c>
      <c r="B17" s="265" t="str">
        <f>+IF(MARZO!B17=0,"",MARZO!B17)</f>
        <v>INGRESOS  CORRIENTES</v>
      </c>
      <c r="C17" s="127">
        <f t="shared" ref="C17:N17" si="13">C19+C94+C104</f>
        <v>158143153137.47653</v>
      </c>
      <c r="D17" s="125">
        <f t="shared" si="13"/>
        <v>0</v>
      </c>
      <c r="E17" s="125">
        <f t="shared" si="13"/>
        <v>21428663169</v>
      </c>
      <c r="F17" s="125">
        <f t="shared" si="13"/>
        <v>179571816306.47653</v>
      </c>
      <c r="G17" s="125">
        <f t="shared" si="13"/>
        <v>66827999995</v>
      </c>
      <c r="H17" s="125">
        <f t="shared" si="13"/>
        <v>22498825557</v>
      </c>
      <c r="I17" s="125">
        <f t="shared" si="13"/>
        <v>89326825552</v>
      </c>
      <c r="J17" s="125">
        <f t="shared" si="13"/>
        <v>33386534743</v>
      </c>
      <c r="K17" s="125">
        <f t="shared" si="13"/>
        <v>13122481844</v>
      </c>
      <c r="L17" s="125">
        <f t="shared" si="13"/>
        <v>46509016587</v>
      </c>
      <c r="M17" s="125">
        <f t="shared" si="13"/>
        <v>90244990754.476517</v>
      </c>
      <c r="N17" s="128">
        <f t="shared" si="13"/>
        <v>133062799719.47652</v>
      </c>
      <c r="O17" s="67"/>
      <c r="P17" s="171">
        <f>P19+P94+P104</f>
        <v>0</v>
      </c>
      <c r="Q17" s="173">
        <f>Q19+Q94+Q104</f>
        <v>7561437139</v>
      </c>
      <c r="R17" s="101"/>
      <c r="S17" s="266" t="str">
        <f>+IF(MARZO!S17=0,"",MARZO!S17)</f>
        <v>2.1.1.01.01.001.01</v>
      </c>
      <c r="T17" s="267" t="str">
        <f>+IF(MARZO!T17=0,"",MARZO!T17)</f>
        <v>Sueldos del Personal de nómina</v>
      </c>
      <c r="U17" s="373">
        <f>+ENERO!U17</f>
        <v>6531851100</v>
      </c>
      <c r="V17" s="220">
        <f>MARZO!V17+ABRIL!AL17</f>
        <v>-50000307</v>
      </c>
      <c r="W17" s="220">
        <f>MARZO!W17+ABRIL!AM17</f>
        <v>0</v>
      </c>
      <c r="X17" s="271">
        <f>SUM(U17:W17)</f>
        <v>6481850793</v>
      </c>
      <c r="Y17" s="270">
        <f>MARZO!AA17</f>
        <v>1256849226</v>
      </c>
      <c r="Z17" s="208">
        <v>398991936</v>
      </c>
      <c r="AA17" s="271">
        <f>SUM(Y17:Z17)</f>
        <v>1655841162</v>
      </c>
      <c r="AB17" s="270">
        <f>MARZO!AD17</f>
        <v>1256849226</v>
      </c>
      <c r="AC17" s="208">
        <v>398991936</v>
      </c>
      <c r="AD17" s="271">
        <f>SUM(AB17:AC17)</f>
        <v>1655841162</v>
      </c>
      <c r="AE17" s="270">
        <f>MARZO!AG17</f>
        <v>1256849226</v>
      </c>
      <c r="AF17" s="208">
        <v>398991936</v>
      </c>
      <c r="AG17" s="271">
        <f>SUM(AE17:AF17)</f>
        <v>1655841162</v>
      </c>
      <c r="AH17" s="270">
        <f>X17-AA17</f>
        <v>4826009631</v>
      </c>
      <c r="AI17" s="220">
        <f>X17-AD17</f>
        <v>4826009631</v>
      </c>
      <c r="AJ17" s="269">
        <f>X17-AG17</f>
        <v>4826009631</v>
      </c>
      <c r="AK17" s="101"/>
      <c r="AL17" s="204">
        <v>0</v>
      </c>
      <c r="AM17" s="210">
        <v>0</v>
      </c>
      <c r="AN17" s="101"/>
      <c r="AO17" s="156"/>
      <c r="AP17" s="272" t="s">
        <v>134</v>
      </c>
      <c r="AQ17" s="273">
        <f>SUM(AQ7:AQ16)</f>
        <v>179819331892.47653</v>
      </c>
      <c r="AR17" s="274">
        <f>SUM(AR7:AR16)</f>
        <v>90355777597</v>
      </c>
      <c r="AS17" s="275">
        <f>SUM(AS7:AS16)</f>
        <v>47541124485</v>
      </c>
      <c r="AT17" s="276"/>
      <c r="AU17" s="274">
        <f t="shared" si="0"/>
        <v>0.50248088815627723</v>
      </c>
      <c r="AV17" s="274">
        <f t="shared" si="1"/>
        <v>0.26438272228387183</v>
      </c>
      <c r="AW17" s="277">
        <f>SUM(AX7:AX16)</f>
        <v>81292333490</v>
      </c>
      <c r="AX17" s="277">
        <f>SUM(AX7:AX16)</f>
        <v>81292333490</v>
      </c>
      <c r="AY17" s="277">
        <f>SUM(AY7:AY16)</f>
        <v>33628545507.523476</v>
      </c>
      <c r="AZ17" s="278">
        <f>SUM(AZ7:AZ16)</f>
        <v>-98526998402.476532</v>
      </c>
      <c r="BA17" s="101"/>
      <c r="BB17" s="185" t="s">
        <v>135</v>
      </c>
      <c r="BC17" s="161">
        <f>F41+F52+F55+F58+F61+F67+F70+F73+F76+F79+F82+F86+F87+F88+F89+F90+F91</f>
        <v>17174002940.847889</v>
      </c>
      <c r="BD17" s="162">
        <f>I41+I52+I55+I58+I61+I67+I70+I73+I76+I79+I82+I86+I87+I88+I89+I90+I91</f>
        <v>8905483212</v>
      </c>
      <c r="BE17" s="161">
        <f>SUM(K43+K49+K46+K49+K52+K55+K58+K61+K67+K70+K73+K79+K76+K82)</f>
        <v>112857932</v>
      </c>
      <c r="BF17" s="164"/>
      <c r="BG17" s="279" t="s">
        <v>136</v>
      </c>
      <c r="BH17" s="280">
        <f>BC23-BH16</f>
        <v>-180751293571.16663</v>
      </c>
      <c r="BI17" s="280"/>
      <c r="BJ17" s="280"/>
      <c r="BK17" s="280"/>
      <c r="BL17" s="67"/>
      <c r="BM17" s="745" t="s">
        <v>137</v>
      </c>
      <c r="BN17" s="188">
        <f>X124+X127+X128+X129+X130+X131+X132+X133+X134+X135+X136+X125+X137+X138</f>
        <v>4777032728.2777777</v>
      </c>
      <c r="BO17" s="188">
        <f>AA124+AA127+AA128+AA129+AA130+AA131+AA132+AA133+AA134+AA135+AA136+AA125+AA137+AA138</f>
        <v>4154111689</v>
      </c>
      <c r="BP17" s="188">
        <f>AD124+AD127+AD128+AD129+AD130+AD131+AD132+AD133+AD134+AD135+AD136+AD125+AD137+AD138</f>
        <v>2205973587</v>
      </c>
      <c r="BQ17" s="188">
        <f>AF124+AF127+AF128+AF129+AF130+AF131+AF132+AF133+AF134+AF135+AF136+AF125+AF137+AF138</f>
        <v>553916655</v>
      </c>
    </row>
    <row r="18" spans="1:69" ht="24.75" customHeight="1" thickBot="1">
      <c r="A18" s="202">
        <f>+IF(MARZO!A18=0,"",MARZO!A18)</f>
        <v>399373312</v>
      </c>
      <c r="B18" s="282">
        <f>+IF(MARZO!B18=0,"",MARZO!B18)</f>
        <v>399373312</v>
      </c>
      <c r="C18" s="67"/>
      <c r="D18" s="67"/>
      <c r="E18" s="67"/>
      <c r="F18" s="67"/>
      <c r="G18" s="67"/>
      <c r="H18" s="67"/>
      <c r="I18" s="67"/>
      <c r="J18" s="67"/>
      <c r="K18" s="67"/>
      <c r="L18" s="67"/>
      <c r="M18" s="67"/>
      <c r="N18" s="283"/>
      <c r="O18" s="101"/>
      <c r="P18" s="284"/>
      <c r="Q18" s="285"/>
      <c r="R18" s="101"/>
      <c r="S18" s="266" t="str">
        <f>+IF(MARZO!S18=0,"",MARZO!S18)</f>
        <v>2.1.1.01.01.001.02</v>
      </c>
      <c r="T18" s="267" t="str">
        <f>+IF(MARZO!T18=0,"",MARZO!T18)</f>
        <v>Horas Extras,Dominic.,Festivos y Rec. Nocturnos</v>
      </c>
      <c r="U18" s="373">
        <f>+ENERO!U18</f>
        <v>17000000</v>
      </c>
      <c r="V18" s="220">
        <f>MARZO!V18+ABRIL!AL18</f>
        <v>0</v>
      </c>
      <c r="W18" s="220">
        <f>MARZO!W18+ABRIL!AM18</f>
        <v>0</v>
      </c>
      <c r="X18" s="271">
        <f>SUM(U18:W18)</f>
        <v>17000000</v>
      </c>
      <c r="Y18" s="270">
        <f>MARZO!AA18</f>
        <v>3150811</v>
      </c>
      <c r="Z18" s="208">
        <v>795785</v>
      </c>
      <c r="AA18" s="271">
        <f>SUM(Y18:Z18)</f>
        <v>3946596</v>
      </c>
      <c r="AB18" s="270">
        <f>MARZO!AD18</f>
        <v>3150811</v>
      </c>
      <c r="AC18" s="208">
        <v>795785</v>
      </c>
      <c r="AD18" s="271">
        <f>SUM(AB18:AC18)</f>
        <v>3946596</v>
      </c>
      <c r="AE18" s="270">
        <f>MARZO!AG18</f>
        <v>3150811</v>
      </c>
      <c r="AF18" s="208">
        <v>795785</v>
      </c>
      <c r="AG18" s="271">
        <f>SUM(AE18:AF18)</f>
        <v>3946596</v>
      </c>
      <c r="AH18" s="270">
        <f>X18-AA18</f>
        <v>13053404</v>
      </c>
      <c r="AI18" s="220">
        <f>X18-AD18</f>
        <v>13053404</v>
      </c>
      <c r="AJ18" s="269">
        <f>X18-AG18</f>
        <v>13053404</v>
      </c>
      <c r="AK18" s="101"/>
      <c r="AL18" s="204">
        <v>0</v>
      </c>
      <c r="AM18" s="210">
        <v>0</v>
      </c>
      <c r="AN18" s="101"/>
      <c r="AO18" s="108"/>
      <c r="AP18" s="67" t="s">
        <v>92</v>
      </c>
      <c r="AQ18" s="67"/>
      <c r="AR18" s="67"/>
      <c r="AS18" s="67"/>
      <c r="AT18" s="67"/>
      <c r="AU18" s="67"/>
      <c r="AV18" s="67"/>
      <c r="AW18" s="67"/>
      <c r="AX18" s="67"/>
      <c r="AY18" s="67"/>
      <c r="AZ18" s="67"/>
      <c r="BA18" s="67"/>
      <c r="BB18" s="236" t="s">
        <v>139</v>
      </c>
      <c r="BC18" s="161">
        <f>+F95+F96+F97+F99</f>
        <v>0</v>
      </c>
      <c r="BD18" s="162">
        <f>+I95+I96+I97+I99</f>
        <v>0</v>
      </c>
      <c r="BE18" s="163">
        <f>+K95+K96+K97+K99</f>
        <v>0</v>
      </c>
      <c r="BF18" s="240"/>
      <c r="BG18" s="101"/>
      <c r="BH18" s="101"/>
      <c r="BI18" s="101"/>
      <c r="BJ18" s="101"/>
      <c r="BK18" s="101"/>
      <c r="BL18" s="101"/>
      <c r="BM18" s="745" t="s">
        <v>140</v>
      </c>
      <c r="BN18" s="188">
        <f>X118+X120+X148+X156+X157-X166</f>
        <v>8493867034.999999</v>
      </c>
      <c r="BO18" s="188">
        <f>AA118+AA120+AA148+AA156+AA157-AA166</f>
        <v>2367477460</v>
      </c>
      <c r="BP18" s="188">
        <f>AD118+AD120+AD148+AD156+AD157-AD166</f>
        <v>1185836044</v>
      </c>
      <c r="BQ18" s="188">
        <f>AF118+AF120+AF148+AF156+AF157-AF166</f>
        <v>51413927</v>
      </c>
    </row>
    <row r="19" spans="1:69" ht="24.75" customHeight="1" thickBot="1">
      <c r="A19" s="286">
        <f>+IF(MARZO!A19=0,"",MARZO!A19)</f>
        <v>113</v>
      </c>
      <c r="B19" s="287" t="str">
        <f>+IF(MARZO!B19=0,"",MARZO!B19)</f>
        <v>VENTA DE SERVICIOS</v>
      </c>
      <c r="C19" s="127">
        <f t="shared" ref="C19:N19" si="14">C21+C85</f>
        <v>157258153137.47653</v>
      </c>
      <c r="D19" s="125">
        <f t="shared" si="14"/>
        <v>0</v>
      </c>
      <c r="E19" s="125">
        <f t="shared" si="14"/>
        <v>21381701490</v>
      </c>
      <c r="F19" s="128">
        <f t="shared" si="14"/>
        <v>178639854627.47653</v>
      </c>
      <c r="G19" s="127">
        <f t="shared" si="14"/>
        <v>66708182764</v>
      </c>
      <c r="H19" s="125">
        <f t="shared" si="14"/>
        <v>22468117568</v>
      </c>
      <c r="I19" s="128">
        <f t="shared" si="14"/>
        <v>89176300332</v>
      </c>
      <c r="J19" s="127">
        <f t="shared" si="14"/>
        <v>33278761714</v>
      </c>
      <c r="K19" s="125">
        <f t="shared" si="14"/>
        <v>13082885506</v>
      </c>
      <c r="L19" s="128">
        <f t="shared" si="14"/>
        <v>46361647220</v>
      </c>
      <c r="M19" s="127">
        <f t="shared" si="14"/>
        <v>89463554295.476517</v>
      </c>
      <c r="N19" s="128">
        <f t="shared" si="14"/>
        <v>132278207407.47652</v>
      </c>
      <c r="O19" s="67"/>
      <c r="P19" s="288">
        <f>P21+P85</f>
        <v>0</v>
      </c>
      <c r="Q19" s="289">
        <f>Q21+Q85</f>
        <v>7514475460</v>
      </c>
      <c r="R19" s="101"/>
      <c r="S19" s="266">
        <f>+IF(MARZO!S19=0,"",MARZO!S19)</f>
        <v>1010103</v>
      </c>
      <c r="T19" s="267" t="str">
        <f>+IF(MARZO!T19=0,"",MARZO!T19)</f>
        <v>Prima Técnica</v>
      </c>
      <c r="U19" s="373">
        <f>+ENERO!U19</f>
        <v>0</v>
      </c>
      <c r="V19" s="220">
        <f>MARZO!V19+ABRIL!AL19</f>
        <v>0</v>
      </c>
      <c r="W19" s="220">
        <f>MARZO!W19+ABRIL!AM19</f>
        <v>0</v>
      </c>
      <c r="X19" s="271">
        <f>SUM(U19:W19)</f>
        <v>0</v>
      </c>
      <c r="Y19" s="270">
        <f>MARZO!AA19</f>
        <v>0</v>
      </c>
      <c r="Z19" s="208">
        <v>0</v>
      </c>
      <c r="AA19" s="271">
        <f>SUM(Y19:Z19)</f>
        <v>0</v>
      </c>
      <c r="AB19" s="270">
        <f>MARZO!AD19</f>
        <v>0</v>
      </c>
      <c r="AC19" s="208">
        <v>0</v>
      </c>
      <c r="AD19" s="271">
        <f>SUM(AB19:AC19)</f>
        <v>0</v>
      </c>
      <c r="AE19" s="270">
        <f>MARZO!AG19</f>
        <v>0</v>
      </c>
      <c r="AF19" s="208">
        <v>0</v>
      </c>
      <c r="AG19" s="271">
        <f>SUM(AE19:AF19)</f>
        <v>0</v>
      </c>
      <c r="AH19" s="270">
        <f>X19-AA19</f>
        <v>0</v>
      </c>
      <c r="AI19" s="220">
        <f>X19-AD19</f>
        <v>0</v>
      </c>
      <c r="AJ19" s="269">
        <f>X19-AG19</f>
        <v>0</v>
      </c>
      <c r="AK19" s="101"/>
      <c r="AL19" s="204">
        <v>0</v>
      </c>
      <c r="AM19" s="210">
        <v>0</v>
      </c>
      <c r="AN19" s="101"/>
      <c r="AO19" s="108"/>
      <c r="AP19" s="290"/>
      <c r="AQ19" s="291" t="s">
        <v>52</v>
      </c>
      <c r="AR19" s="292" t="s">
        <v>31</v>
      </c>
      <c r="AS19" s="293" t="s">
        <v>143</v>
      </c>
      <c r="AT19" s="292" t="s">
        <v>55</v>
      </c>
      <c r="AU19" s="294" t="s">
        <v>55</v>
      </c>
      <c r="AV19" s="295" t="s">
        <v>55</v>
      </c>
      <c r="AW19" s="1328" t="str">
        <f>+CONCATENATE("PROYECCION A DICIEMBRE 31 DEL ",N3)</f>
        <v>PROYECCION A DICIEMBRE 31 DEL 2025</v>
      </c>
      <c r="AX19" s="1322"/>
      <c r="AY19" s="1322"/>
      <c r="AZ19" s="1323"/>
      <c r="BA19" s="67"/>
      <c r="BB19" s="296" t="s">
        <v>144</v>
      </c>
      <c r="BC19" s="297">
        <f>+F105+F106+F107+F108+F109+F110+F98+F100+F101</f>
        <v>912224890</v>
      </c>
      <c r="BD19" s="238">
        <f>+I105+I106+I107+I108+I109+I110+I98+I100+I101</f>
        <v>130788431</v>
      </c>
      <c r="BE19" s="239">
        <f>+K105+K106+K107+K108+K109+K110+K98+K100+K101</f>
        <v>39596338</v>
      </c>
      <c r="BF19" s="117"/>
      <c r="BG19" s="67"/>
      <c r="BH19" s="67">
        <f>BN33</f>
        <v>0</v>
      </c>
      <c r="BI19" s="67"/>
      <c r="BJ19" s="67"/>
      <c r="BK19" s="67"/>
      <c r="BL19" s="101"/>
      <c r="BM19" s="745" t="s">
        <v>145</v>
      </c>
      <c r="BN19" s="188">
        <f>X126</f>
        <v>2624022659</v>
      </c>
      <c r="BO19" s="188">
        <f>AA126</f>
        <v>1097328364</v>
      </c>
      <c r="BP19" s="188">
        <f>AD126</f>
        <v>1096479864</v>
      </c>
      <c r="BQ19" s="755">
        <f>AF126</f>
        <v>374550539</v>
      </c>
    </row>
    <row r="20" spans="1:69" ht="24.75" customHeight="1" thickBot="1">
      <c r="A20" s="202" t="str">
        <f>+IF(MARZO!A20=0,"",MARZO!A20)</f>
        <v/>
      </c>
      <c r="B20" s="298" t="str">
        <f>+IF(MARZO!B20=0,"",MARZO!B20)</f>
        <v/>
      </c>
      <c r="C20" s="67"/>
      <c r="D20" s="67"/>
      <c r="E20" s="67"/>
      <c r="F20" s="67"/>
      <c r="G20" s="67"/>
      <c r="H20" s="67"/>
      <c r="I20" s="67"/>
      <c r="J20" s="67"/>
      <c r="K20" s="67"/>
      <c r="L20" s="67"/>
      <c r="M20" s="67"/>
      <c r="N20" s="283"/>
      <c r="O20" s="101"/>
      <c r="P20" s="284"/>
      <c r="Q20" s="285"/>
      <c r="R20" s="101"/>
      <c r="S20" s="266">
        <f>+IF(MARZO!S20=0,"",MARZO!S20)</f>
        <v>1010104</v>
      </c>
      <c r="T20" s="267" t="str">
        <f>+IF(MARZO!T20=0,"",MARZO!T20)</f>
        <v>Otros</v>
      </c>
      <c r="U20" s="373">
        <f t="shared" ref="U20:AJ20" si="15">SUM(U21:U32)</f>
        <v>1587602697.9166667</v>
      </c>
      <c r="V20" s="220">
        <f t="shared" si="15"/>
        <v>21000000</v>
      </c>
      <c r="W20" s="220">
        <f t="shared" si="15"/>
        <v>0</v>
      </c>
      <c r="X20" s="271">
        <f t="shared" si="15"/>
        <v>1608602697.9166667</v>
      </c>
      <c r="Y20" s="270">
        <f t="shared" si="15"/>
        <v>232041213</v>
      </c>
      <c r="Z20" s="300">
        <f t="shared" si="15"/>
        <v>65079092</v>
      </c>
      <c r="AA20" s="271">
        <f t="shared" si="15"/>
        <v>297120305</v>
      </c>
      <c r="AB20" s="270">
        <f t="shared" si="15"/>
        <v>232041213</v>
      </c>
      <c r="AC20" s="300">
        <f t="shared" si="15"/>
        <v>65079092</v>
      </c>
      <c r="AD20" s="271">
        <f t="shared" si="15"/>
        <v>297120305</v>
      </c>
      <c r="AE20" s="270">
        <f t="shared" si="15"/>
        <v>232041213</v>
      </c>
      <c r="AF20" s="300">
        <f t="shared" si="15"/>
        <v>58206183</v>
      </c>
      <c r="AG20" s="271">
        <f t="shared" si="15"/>
        <v>290247396</v>
      </c>
      <c r="AH20" s="270">
        <f t="shared" si="15"/>
        <v>1311482392.9166667</v>
      </c>
      <c r="AI20" s="220">
        <f t="shared" si="15"/>
        <v>1311482392.9166667</v>
      </c>
      <c r="AJ20" s="269">
        <f t="shared" si="15"/>
        <v>1318355301.9166667</v>
      </c>
      <c r="AK20" s="101"/>
      <c r="AL20" s="301">
        <f>SUM(AL21:AL32)</f>
        <v>0</v>
      </c>
      <c r="AM20" s="302">
        <f>SUM(AM21:AM32)</f>
        <v>0</v>
      </c>
      <c r="AN20" s="101"/>
      <c r="AO20" s="156"/>
      <c r="AP20" s="303" t="s">
        <v>65</v>
      </c>
      <c r="AQ20" s="304" t="s">
        <v>75</v>
      </c>
      <c r="AR20" s="304" t="s">
        <v>66</v>
      </c>
      <c r="AS20" s="305" t="s">
        <v>66</v>
      </c>
      <c r="AT20" s="304" t="s">
        <v>67</v>
      </c>
      <c r="AU20" s="306" t="s">
        <v>68</v>
      </c>
      <c r="AV20" s="306" t="s">
        <v>68</v>
      </c>
      <c r="AW20" s="306" t="s">
        <v>31</v>
      </c>
      <c r="AX20" s="306" t="s">
        <v>34</v>
      </c>
      <c r="AY20" s="306" t="s">
        <v>147</v>
      </c>
      <c r="AZ20" s="307" t="s">
        <v>147</v>
      </c>
      <c r="BA20" s="67"/>
      <c r="BB20" s="308" t="s">
        <v>148</v>
      </c>
      <c r="BC20" s="142">
        <f>+F115+F117+F119+F120+F121+F123+F124</f>
        <v>0</v>
      </c>
      <c r="BD20" s="143">
        <f>+I115+I117+I119+I120+I121+I123+I124</f>
        <v>0</v>
      </c>
      <c r="BE20" s="144">
        <f>+K115+K117+K119+K120+K121+K123+K124</f>
        <v>0</v>
      </c>
      <c r="BF20" s="117"/>
      <c r="BG20" s="67"/>
      <c r="BH20" s="67">
        <f>BH19-BH16</f>
        <v>-180751293571.16663</v>
      </c>
      <c r="BI20" s="67"/>
      <c r="BJ20" s="67"/>
      <c r="BK20" s="67"/>
      <c r="BL20" s="67"/>
      <c r="BM20" s="745" t="s">
        <v>149</v>
      </c>
      <c r="BN20" s="188">
        <f>+X141</f>
        <v>548000000</v>
      </c>
      <c r="BO20" s="188">
        <f>+AA141</f>
        <v>87604940</v>
      </c>
      <c r="BP20" s="188">
        <f>+AD141</f>
        <v>87604940</v>
      </c>
      <c r="BQ20" s="755">
        <f>+AF141</f>
        <v>18460000</v>
      </c>
    </row>
    <row r="21" spans="1:69" ht="24.75" customHeight="1" thickBot="1">
      <c r="A21" s="309" t="str">
        <f>+IF(MARZO!A21=0,"",MARZO!A21)</f>
        <v>1.1.02.05.001.09.02</v>
      </c>
      <c r="B21" s="310" t="str">
        <f>+IF(MARZO!B21=0,"",MARZO!B21)</f>
        <v>Venta de Servicios de Salud</v>
      </c>
      <c r="C21" s="171">
        <f t="shared" ref="C21:N21" si="16">C22+C25+C28+C41+C42+C45+C48+C51+C54+C57+C60+C63+C66+C69+C72+C75+C78+C81</f>
        <v>157258153137.47653</v>
      </c>
      <c r="D21" s="172">
        <f t="shared" si="16"/>
        <v>0</v>
      </c>
      <c r="E21" s="172">
        <f t="shared" si="16"/>
        <v>6861221082</v>
      </c>
      <c r="F21" s="172">
        <f t="shared" si="16"/>
        <v>164119374219.47653</v>
      </c>
      <c r="G21" s="172">
        <f t="shared" si="16"/>
        <v>61401264806</v>
      </c>
      <c r="H21" s="172">
        <f t="shared" si="16"/>
        <v>20015800865</v>
      </c>
      <c r="I21" s="172">
        <f t="shared" si="16"/>
        <v>81417065671</v>
      </c>
      <c r="J21" s="172">
        <f t="shared" si="16"/>
        <v>31334877327</v>
      </c>
      <c r="K21" s="172">
        <f t="shared" si="16"/>
        <v>10915589283</v>
      </c>
      <c r="L21" s="172">
        <f t="shared" si="16"/>
        <v>42250466610</v>
      </c>
      <c r="M21" s="172">
        <f t="shared" si="16"/>
        <v>82702308548.476517</v>
      </c>
      <c r="N21" s="173">
        <f t="shared" si="16"/>
        <v>121868907609.47652</v>
      </c>
      <c r="O21" s="67"/>
      <c r="P21" s="288">
        <f>P22+P25+P28+P41+P42+P45+P48+P51+P54+P57+P60+P63+P66+P69+P72+P75+P78+P81</f>
        <v>0</v>
      </c>
      <c r="Q21" s="289">
        <f>Q22+Q25+Q28+Q41+Q42+Q45+Q48+Q51+Q54+Q57+Q60+Q63+Q66+Q69+Q72+Q75+Q78+Q81</f>
        <v>6861221082</v>
      </c>
      <c r="R21" s="101"/>
      <c r="S21" s="311" t="str">
        <f>+IF(MARZO!S21=0,"",MARZO!S21)</f>
        <v>2.1.1.01.01.001.08.01</v>
      </c>
      <c r="T21" s="312" t="str">
        <f>+IF(MARZO!T21=0,"",MARZO!T21)</f>
        <v xml:space="preserve">Prima de Navidad </v>
      </c>
      <c r="U21" s="373">
        <f>+ENERO!U21</f>
        <v>544320925</v>
      </c>
      <c r="V21" s="220">
        <f>MARZO!V21+ABRIL!AL21</f>
        <v>0</v>
      </c>
      <c r="W21" s="220">
        <f>MARZO!W21+ABRIL!AM21</f>
        <v>0</v>
      </c>
      <c r="X21" s="271">
        <f t="shared" ref="X21:X33" si="17">SUM(U21:W21)</f>
        <v>544320925</v>
      </c>
      <c r="Y21" s="270">
        <f>MARZO!AA21</f>
        <v>3547652</v>
      </c>
      <c r="Z21" s="208">
        <v>1508470</v>
      </c>
      <c r="AA21" s="271">
        <f t="shared" ref="AA21:AA33" si="18">SUM(Y21:Z21)</f>
        <v>5056122</v>
      </c>
      <c r="AB21" s="270">
        <f>MARZO!AD21</f>
        <v>3547652</v>
      </c>
      <c r="AC21" s="208">
        <v>1508470</v>
      </c>
      <c r="AD21" s="271">
        <f t="shared" ref="AD21:AD33" si="19">SUM(AB21:AC21)</f>
        <v>5056122</v>
      </c>
      <c r="AE21" s="270">
        <f>MARZO!AG21</f>
        <v>3547652</v>
      </c>
      <c r="AF21" s="208">
        <v>0</v>
      </c>
      <c r="AG21" s="271">
        <f t="shared" ref="AG21:AG33" si="20">SUM(AE21:AF21)</f>
        <v>3547652</v>
      </c>
      <c r="AH21" s="270">
        <f t="shared" ref="AH21:AH33" si="21">X21-AA21</f>
        <v>539264803</v>
      </c>
      <c r="AI21" s="220">
        <f t="shared" ref="AI21:AI33" si="22">X21-AD21</f>
        <v>539264803</v>
      </c>
      <c r="AJ21" s="269">
        <f t="shared" ref="AJ21:AJ33" si="23">X21-AG21</f>
        <v>540773273</v>
      </c>
      <c r="AK21" s="101"/>
      <c r="AL21" s="204">
        <v>0</v>
      </c>
      <c r="AM21" s="210">
        <v>0</v>
      </c>
      <c r="AN21" s="101"/>
      <c r="AO21" s="156"/>
      <c r="AP21" s="313"/>
      <c r="AQ21" s="315"/>
      <c r="AR21" s="315" t="str">
        <f>AR6</f>
        <v>ABRIL</v>
      </c>
      <c r="AS21" s="316" t="str">
        <f>AR6</f>
        <v>ABRIL</v>
      </c>
      <c r="AT21" s="315" t="str">
        <f>AR6</f>
        <v>ABRIL</v>
      </c>
      <c r="AU21" s="315" t="s">
        <v>31</v>
      </c>
      <c r="AV21" s="315" t="s">
        <v>34</v>
      </c>
      <c r="AW21" s="315"/>
      <c r="AX21" s="315"/>
      <c r="AY21" s="315" t="s">
        <v>31</v>
      </c>
      <c r="AZ21" s="318" t="s">
        <v>34</v>
      </c>
      <c r="BA21" s="101"/>
      <c r="BB21" s="308" t="s">
        <v>152</v>
      </c>
      <c r="BC21" s="142">
        <f>SUMIF($B8:B122,$B24,F8:F122)+F122</f>
        <v>26044105551.099998</v>
      </c>
      <c r="BD21" s="143">
        <f>SUMIF($B8:B122,$B24,I8:I122)+I122</f>
        <v>32005970342</v>
      </c>
      <c r="BE21" s="142">
        <f>SUM(K128)</f>
        <v>6705179618</v>
      </c>
      <c r="BF21" s="117"/>
      <c r="BG21" s="67"/>
      <c r="BH21" s="67"/>
      <c r="BI21" s="67"/>
      <c r="BJ21" s="67"/>
      <c r="BK21" s="67"/>
      <c r="BL21" s="67"/>
      <c r="BM21" s="745" t="s">
        <v>153</v>
      </c>
      <c r="BN21" s="188">
        <v>0</v>
      </c>
      <c r="BO21" s="186">
        <v>0</v>
      </c>
      <c r="BP21" s="186">
        <v>0</v>
      </c>
      <c r="BQ21" s="754">
        <v>0</v>
      </c>
    </row>
    <row r="22" spans="1:69" ht="24.75" customHeight="1" thickBot="1">
      <c r="A22" s="286" t="str">
        <f>+IF(MARZO!A22=0,"",MARZO!A22)</f>
        <v>1.1.02.05.001.09.02.02</v>
      </c>
      <c r="B22" s="319" t="str">
        <f>+IF(MARZO!B22=0,"",MARZO!B22)</f>
        <v>EPS - REGIMEN CONTRIBUTIVO</v>
      </c>
      <c r="C22" s="288">
        <f t="shared" ref="C22:N22" si="24">SUM(C23:C24)</f>
        <v>56030749893.586876</v>
      </c>
      <c r="D22" s="320">
        <f t="shared" si="24"/>
        <v>0</v>
      </c>
      <c r="E22" s="320">
        <f t="shared" si="24"/>
        <v>0</v>
      </c>
      <c r="F22" s="320">
        <f t="shared" si="24"/>
        <v>56030749893.586876</v>
      </c>
      <c r="G22" s="320">
        <f t="shared" si="24"/>
        <v>22843849593</v>
      </c>
      <c r="H22" s="320">
        <f t="shared" si="24"/>
        <v>8222652441</v>
      </c>
      <c r="I22" s="320">
        <f t="shared" si="24"/>
        <v>31066502034</v>
      </c>
      <c r="J22" s="320">
        <f t="shared" si="24"/>
        <v>9518383565</v>
      </c>
      <c r="K22" s="320">
        <f t="shared" si="24"/>
        <v>5708784624</v>
      </c>
      <c r="L22" s="320">
        <f t="shared" si="24"/>
        <v>15227168189</v>
      </c>
      <c r="M22" s="320">
        <f t="shared" si="24"/>
        <v>24964247859.586876</v>
      </c>
      <c r="N22" s="289">
        <f t="shared" si="24"/>
        <v>40803581704.586876</v>
      </c>
      <c r="O22" s="101"/>
      <c r="P22" s="288">
        <f>SUM(P23:P24)</f>
        <v>0</v>
      </c>
      <c r="Q22" s="289">
        <f>SUM(Q23:Q24)</f>
        <v>0</v>
      </c>
      <c r="R22" s="101"/>
      <c r="S22" s="311" t="str">
        <f>+IF(MARZO!S22=0,"",MARZO!S22)</f>
        <v>2.1.1.01.01.001.08.02</v>
      </c>
      <c r="T22" s="312" t="str">
        <f>+IF(MARZO!T22=0,"",MARZO!T22)</f>
        <v>Prima de Vacaciones</v>
      </c>
      <c r="U22" s="373">
        <f>+ENERO!U22</f>
        <v>272160462.5</v>
      </c>
      <c r="V22" s="220">
        <f>MARZO!V22+ABRIL!AL22</f>
        <v>0</v>
      </c>
      <c r="W22" s="220">
        <f>MARZO!W22+ABRIL!AM22</f>
        <v>0</v>
      </c>
      <c r="X22" s="271">
        <f t="shared" si="17"/>
        <v>272160462.5</v>
      </c>
      <c r="Y22" s="270">
        <f>MARZO!AA22</f>
        <v>51764919</v>
      </c>
      <c r="Z22" s="208">
        <v>18046643</v>
      </c>
      <c r="AA22" s="271">
        <f t="shared" si="18"/>
        <v>69811562</v>
      </c>
      <c r="AB22" s="270">
        <f>MARZO!AD22</f>
        <v>51764919</v>
      </c>
      <c r="AC22" s="208">
        <v>18046643</v>
      </c>
      <c r="AD22" s="271">
        <f t="shared" si="19"/>
        <v>69811562</v>
      </c>
      <c r="AE22" s="270">
        <f>MARZO!AG22</f>
        <v>51764919</v>
      </c>
      <c r="AF22" s="208">
        <v>16665480</v>
      </c>
      <c r="AG22" s="271">
        <f t="shared" si="20"/>
        <v>68430399</v>
      </c>
      <c r="AH22" s="270">
        <f t="shared" si="21"/>
        <v>202348900.5</v>
      </c>
      <c r="AI22" s="220">
        <f t="shared" si="22"/>
        <v>202348900.5</v>
      </c>
      <c r="AJ22" s="269">
        <f t="shared" si="23"/>
        <v>203730063.5</v>
      </c>
      <c r="AK22" s="101"/>
      <c r="AL22" s="204">
        <v>0</v>
      </c>
      <c r="AM22" s="210">
        <v>0</v>
      </c>
      <c r="AN22" s="101"/>
      <c r="AO22" s="108"/>
      <c r="AP22" s="536" t="s">
        <v>156</v>
      </c>
      <c r="AQ22" s="537">
        <f>X17+X66</f>
        <v>6481850793</v>
      </c>
      <c r="AR22" s="537">
        <f>AD17+AD66</f>
        <v>1655841162</v>
      </c>
      <c r="AS22" s="537">
        <f>AG17+AG66</f>
        <v>1655841162</v>
      </c>
      <c r="AT22" s="338"/>
      <c r="AU22" s="325">
        <f t="shared" ref="AU22:AU32" si="25">IF(AQ22=0," ",AR22/AQ22)</f>
        <v>0.255458080551346</v>
      </c>
      <c r="AV22" s="325">
        <f t="shared" ref="AV22:AV32" si="26">IF(AQ22=0," ",AS22/AQ22)</f>
        <v>0.255458080551346</v>
      </c>
      <c r="AW22" s="323">
        <f>AR22/$AO$2*12</f>
        <v>4967523486</v>
      </c>
      <c r="AX22" s="323">
        <f>AS22/$AO$2*12</f>
        <v>4967523486</v>
      </c>
      <c r="AY22" s="323">
        <f t="shared" ref="AY22:AY31" si="27">AQ22-AW22</f>
        <v>1514327307</v>
      </c>
      <c r="AZ22" s="326">
        <f t="shared" ref="AZ22:AZ31" si="28">AQ22-AX22</f>
        <v>1514327307</v>
      </c>
      <c r="BA22" s="67"/>
      <c r="BB22" s="327" t="s">
        <v>157</v>
      </c>
      <c r="BC22" s="328">
        <f>BC7+BC8+BC20+BC21</f>
        <v>180731556782.47653</v>
      </c>
      <c r="BD22" s="329">
        <f>BD7+BD8+BD20+BD21</f>
        <v>90486566028</v>
      </c>
      <c r="BE22" s="328">
        <f>SUM(BE8+BE21)</f>
        <v>13122481844</v>
      </c>
      <c r="BF22" s="117"/>
      <c r="BG22" s="67"/>
      <c r="BH22" s="67"/>
      <c r="BI22" s="67"/>
      <c r="BJ22" s="67"/>
      <c r="BK22" s="67"/>
      <c r="BL22" s="101"/>
      <c r="BM22" s="743" t="s">
        <v>108</v>
      </c>
      <c r="BN22" s="188">
        <f>BN23+BN24</f>
        <v>3193060585</v>
      </c>
      <c r="BO22" s="186">
        <f>BO23+BO24</f>
        <v>492750343</v>
      </c>
      <c r="BP22" s="186">
        <f>BP23+BP24</f>
        <v>492750343</v>
      </c>
      <c r="BQ22" s="748">
        <f>BQ23+BQ24</f>
        <v>137254969</v>
      </c>
    </row>
    <row r="23" spans="1:69" ht="24.75" customHeight="1">
      <c r="A23" s="202" t="str">
        <f>+IF(MARZO!A23=0,"",MARZO!A23)</f>
        <v>1.1.02.05.001.09.02.02</v>
      </c>
      <c r="B23" s="331" t="str">
        <f>+CONCATENATE("Vigencia ",INSTRUCCIONES!$F$3)</f>
        <v>Vigencia 2025</v>
      </c>
      <c r="C23" s="204">
        <f>+ENERO!C23</f>
        <v>49300076925.586876</v>
      </c>
      <c r="D23" s="205">
        <f>MARZO!D23+ABRIL!P23</f>
        <v>0</v>
      </c>
      <c r="E23" s="205">
        <f>MARZO!E23+ABRIL!Q23</f>
        <v>0</v>
      </c>
      <c r="F23" s="205">
        <f>SUM(C23:E23)</f>
        <v>49300076925.586876</v>
      </c>
      <c r="G23" s="205">
        <f>MARZO!I23</f>
        <v>15312100130</v>
      </c>
      <c r="H23" s="208">
        <f>6048499843-169591499</f>
        <v>5878908344</v>
      </c>
      <c r="I23" s="205">
        <f>SUM(G23:H23)</f>
        <v>21191008474</v>
      </c>
      <c r="J23" s="205">
        <f>MARZO!L23</f>
        <v>1986634102</v>
      </c>
      <c r="K23" s="208">
        <v>3365040527</v>
      </c>
      <c r="L23" s="205">
        <f>SUM(J23:K23)</f>
        <v>5351674629</v>
      </c>
      <c r="M23" s="205">
        <f>F23-I23</f>
        <v>28109068451.586876</v>
      </c>
      <c r="N23" s="206">
        <f>F23-L23</f>
        <v>43948402296.586876</v>
      </c>
      <c r="O23" s="101"/>
      <c r="P23" s="204">
        <v>0</v>
      </c>
      <c r="Q23" s="210">
        <v>0</v>
      </c>
      <c r="R23" s="101"/>
      <c r="S23" s="311" t="str">
        <f>+IF(MARZO!S23=0,"",MARZO!S23)</f>
        <v>2.1.1.01.01.001.07</v>
      </c>
      <c r="T23" s="312" t="str">
        <f>+IF(MARZO!T23=0,"",MARZO!T23)</f>
        <v>Bonificación  por servicios prestados</v>
      </c>
      <c r="U23" s="373">
        <f>+ENERO!U23</f>
        <v>190512323.74999997</v>
      </c>
      <c r="V23" s="220">
        <f>MARZO!V23+ABRIL!AL23</f>
        <v>0</v>
      </c>
      <c r="W23" s="220">
        <f>MARZO!W23+ABRIL!AM23</f>
        <v>0</v>
      </c>
      <c r="X23" s="271">
        <f t="shared" si="17"/>
        <v>190512323.74999997</v>
      </c>
      <c r="Y23" s="270">
        <f>MARZO!AA23</f>
        <v>84558442</v>
      </c>
      <c r="Z23" s="208">
        <v>15186878</v>
      </c>
      <c r="AA23" s="271">
        <f t="shared" si="18"/>
        <v>99745320</v>
      </c>
      <c r="AB23" s="270">
        <f>MARZO!AD23</f>
        <v>84558442</v>
      </c>
      <c r="AC23" s="208">
        <v>15186878</v>
      </c>
      <c r="AD23" s="271">
        <f t="shared" si="19"/>
        <v>99745320</v>
      </c>
      <c r="AE23" s="270">
        <f>MARZO!AG23</f>
        <v>84558442</v>
      </c>
      <c r="AF23" s="208">
        <v>14310959</v>
      </c>
      <c r="AG23" s="271">
        <f t="shared" si="20"/>
        <v>98869401</v>
      </c>
      <c r="AH23" s="270">
        <f t="shared" si="21"/>
        <v>90767003.74999997</v>
      </c>
      <c r="AI23" s="220">
        <f t="shared" si="22"/>
        <v>90767003.74999997</v>
      </c>
      <c r="AJ23" s="269">
        <f t="shared" si="23"/>
        <v>91642922.74999997</v>
      </c>
      <c r="AK23" s="101"/>
      <c r="AL23" s="204">
        <v>0</v>
      </c>
      <c r="AM23" s="210">
        <v>0</v>
      </c>
      <c r="AN23" s="101"/>
      <c r="AO23" s="196"/>
      <c r="AP23" s="538" t="s">
        <v>159</v>
      </c>
      <c r="AQ23" s="334">
        <f>X16+X65-AQ22</f>
        <v>1625602697.916667</v>
      </c>
      <c r="AR23" s="334">
        <f>AD16+AD65-AR22</f>
        <v>301066901</v>
      </c>
      <c r="AS23" s="334">
        <f>AG16+AG65-AS22</f>
        <v>294193992</v>
      </c>
      <c r="AT23" s="110"/>
      <c r="AU23" s="139">
        <f t="shared" si="25"/>
        <v>0.18520324885400352</v>
      </c>
      <c r="AV23" s="139">
        <f t="shared" si="26"/>
        <v>0.1809753344879606</v>
      </c>
      <c r="AW23" s="334">
        <f>(AR23-AD21-AD22-AD23-AD25-AD30-AD33-AD70-AD71-AD72-AD74-AD78-AD81)/$AO$2*12+AX22/12*2.5+AD30+AD33+AD78+AD81</f>
        <v>1397106675.25</v>
      </c>
      <c r="AX23" s="334">
        <f>(AS23-AG21-AG22-AG23-AG25-AG30-AG33-AG70-AG71-AG72-AG74-AG78-AG81)/$AO$2*12+AX22/12*2.5+AG30+AG33+AG78+AG81</f>
        <v>1388120262.25</v>
      </c>
      <c r="AY23" s="334">
        <f t="shared" si="27"/>
        <v>228496022.66666698</v>
      </c>
      <c r="AZ23" s="335">
        <f t="shared" si="28"/>
        <v>237482435.66666698</v>
      </c>
      <c r="BA23" s="67"/>
      <c r="BB23" s="336"/>
      <c r="BC23" s="336"/>
      <c r="BD23" s="336"/>
      <c r="BE23" s="336"/>
      <c r="BF23" s="67"/>
      <c r="BG23" s="67"/>
      <c r="BH23" s="67"/>
      <c r="BI23" s="67"/>
      <c r="BJ23" s="67"/>
      <c r="BK23" s="67"/>
      <c r="BL23" s="67"/>
      <c r="BM23" s="745" t="s">
        <v>160</v>
      </c>
      <c r="BN23" s="188">
        <f>X176</f>
        <v>0</v>
      </c>
      <c r="BO23" s="186">
        <f>AA176</f>
        <v>0</v>
      </c>
      <c r="BP23" s="186">
        <f>AD176</f>
        <v>0</v>
      </c>
      <c r="BQ23" s="748">
        <f>AF176</f>
        <v>0</v>
      </c>
    </row>
    <row r="24" spans="1:69" ht="24.75" customHeight="1">
      <c r="A24" s="202" t="str">
        <f>+IF(MARZO!A24=0,"",MARZO!A24)</f>
        <v>1.1.02.05.001.09.02.02,99</v>
      </c>
      <c r="B24" s="331" t="str">
        <f>+IF(MARZO!B24=0,"",MARZO!B24)</f>
        <v>Vigencia Anterior</v>
      </c>
      <c r="C24" s="204">
        <f>+ENERO!C24</f>
        <v>6730672968</v>
      </c>
      <c r="D24" s="205">
        <f>MARZO!D24+ABRIL!P24</f>
        <v>0</v>
      </c>
      <c r="E24" s="205">
        <f>MARZO!E24+ABRIL!Q24</f>
        <v>0</v>
      </c>
      <c r="F24" s="205">
        <f>SUM(C24:E24)</f>
        <v>6730672968</v>
      </c>
      <c r="G24" s="205">
        <f>MARZO!I24</f>
        <v>7531749463</v>
      </c>
      <c r="H24" s="208">
        <f>2294123236+49620861</f>
        <v>2343744097</v>
      </c>
      <c r="I24" s="205">
        <f>SUM(G24:H24)</f>
        <v>9875493560</v>
      </c>
      <c r="J24" s="205">
        <f>MARZO!L24</f>
        <v>7531749463</v>
      </c>
      <c r="K24" s="208">
        <f>2294123236+49620861</f>
        <v>2343744097</v>
      </c>
      <c r="L24" s="205">
        <f>SUM(J24:K24)</f>
        <v>9875493560</v>
      </c>
      <c r="M24" s="205">
        <f>F24-I24</f>
        <v>-3144820592</v>
      </c>
      <c r="N24" s="206">
        <f>F24-L24</f>
        <v>-3144820592</v>
      </c>
      <c r="O24" s="67"/>
      <c r="P24" s="204">
        <v>0</v>
      </c>
      <c r="Q24" s="210">
        <v>0</v>
      </c>
      <c r="R24" s="101"/>
      <c r="S24" s="311" t="str">
        <f>+IF(MARZO!S24=0,"",MARZO!S24)</f>
        <v>2.1.1.01.01.001.06</v>
      </c>
      <c r="T24" s="312" t="str">
        <f>+IF(MARZO!T24=0,"",MARZO!T24)</f>
        <v>Prima de Servicios</v>
      </c>
      <c r="U24" s="373">
        <f>+ENERO!U24</f>
        <v>272160462.5</v>
      </c>
      <c r="V24" s="220">
        <f>MARZO!V24+ABRIL!AL24</f>
        <v>0</v>
      </c>
      <c r="W24" s="220">
        <f>MARZO!W24+ABRIL!AM24</f>
        <v>0</v>
      </c>
      <c r="X24" s="271">
        <f t="shared" si="17"/>
        <v>272160462.5</v>
      </c>
      <c r="Y24" s="270">
        <f>MARZO!AA24</f>
        <v>15353483</v>
      </c>
      <c r="Z24" s="208">
        <v>1558365</v>
      </c>
      <c r="AA24" s="271">
        <f t="shared" si="18"/>
        <v>16911848</v>
      </c>
      <c r="AB24" s="270">
        <f>MARZO!AD24</f>
        <v>15353483</v>
      </c>
      <c r="AC24" s="208">
        <v>1558365</v>
      </c>
      <c r="AD24" s="271">
        <f t="shared" si="19"/>
        <v>16911848</v>
      </c>
      <c r="AE24" s="270">
        <f>MARZO!AG24</f>
        <v>15353483</v>
      </c>
      <c r="AF24" s="208">
        <v>0</v>
      </c>
      <c r="AG24" s="271">
        <f t="shared" si="20"/>
        <v>15353483</v>
      </c>
      <c r="AH24" s="270">
        <f t="shared" si="21"/>
        <v>255248614.5</v>
      </c>
      <c r="AI24" s="220">
        <f t="shared" si="22"/>
        <v>255248614.5</v>
      </c>
      <c r="AJ24" s="269">
        <f t="shared" si="23"/>
        <v>256806979.5</v>
      </c>
      <c r="AK24" s="101"/>
      <c r="AL24" s="204">
        <v>0</v>
      </c>
      <c r="AM24" s="210">
        <v>0</v>
      </c>
      <c r="AN24" s="101"/>
      <c r="AO24" s="196"/>
      <c r="AP24" s="303" t="s">
        <v>163</v>
      </c>
      <c r="AQ24" s="338">
        <f>X35+X83</f>
        <v>80651494238</v>
      </c>
      <c r="AR24" s="338">
        <f>AD35+AD83</f>
        <v>38926584780</v>
      </c>
      <c r="AS24" s="338">
        <f>AG35+AG83</f>
        <v>22069724392</v>
      </c>
      <c r="AT24" s="338"/>
      <c r="AU24" s="205">
        <f t="shared" si="25"/>
        <v>0.48265174932939103</v>
      </c>
      <c r="AV24" s="205">
        <f t="shared" si="26"/>
        <v>0.27364309366510858</v>
      </c>
      <c r="AW24" s="205">
        <f>(AR24-AD41-AD88)/$AO$2*12+AD41+AD88</f>
        <v>84287415310</v>
      </c>
      <c r="AX24" s="205">
        <f>(AS24-AG41-AG88)/$AO$2*12+AG41+AG88</f>
        <v>33716834146</v>
      </c>
      <c r="AY24" s="205">
        <f t="shared" si="27"/>
        <v>-3635921072</v>
      </c>
      <c r="AZ24" s="206">
        <f t="shared" si="28"/>
        <v>46934660092</v>
      </c>
      <c r="BA24" s="101"/>
      <c r="BB24" s="339"/>
      <c r="BC24" s="67"/>
      <c r="BD24" s="67"/>
      <c r="BE24" s="67"/>
      <c r="BF24" s="67"/>
      <c r="BG24" s="67"/>
      <c r="BH24" s="67"/>
      <c r="BI24" s="67"/>
      <c r="BJ24" s="67"/>
      <c r="BK24" s="67"/>
      <c r="BL24" s="67"/>
      <c r="BM24" s="745" t="s">
        <v>164</v>
      </c>
      <c r="BN24" s="188">
        <f>X168-X190</f>
        <v>3193060585</v>
      </c>
      <c r="BO24" s="188">
        <f>AA168-AA190</f>
        <v>492750343</v>
      </c>
      <c r="BP24" s="188">
        <f>AD168-AD190</f>
        <v>492750343</v>
      </c>
      <c r="BQ24" s="188">
        <f>AF168-AF190</f>
        <v>137254969</v>
      </c>
    </row>
    <row r="25" spans="1:69" ht="24.75" customHeight="1">
      <c r="A25" s="286" t="str">
        <f>+IF(MARZO!A25=0,"",MARZO!A25)</f>
        <v>1.1.02.05.001.09.02.01</v>
      </c>
      <c r="B25" s="319" t="str">
        <f>+IF(MARZO!B25=0,"",MARZO!B25)</f>
        <v>ARS - REGIMEN SUBSIDIADO</v>
      </c>
      <c r="C25" s="288">
        <f t="shared" ref="C25:N25" si="29">SUM(C26:C27)</f>
        <v>91588666596</v>
      </c>
      <c r="D25" s="320">
        <f t="shared" si="29"/>
        <v>0</v>
      </c>
      <c r="E25" s="320">
        <f t="shared" si="29"/>
        <v>6861221082</v>
      </c>
      <c r="F25" s="320">
        <f t="shared" si="29"/>
        <v>98449887678</v>
      </c>
      <c r="G25" s="320">
        <f t="shared" si="29"/>
        <v>35190844508</v>
      </c>
      <c r="H25" s="320">
        <f t="shared" si="29"/>
        <v>11087672476</v>
      </c>
      <c r="I25" s="320">
        <f t="shared" si="29"/>
        <v>46278516984</v>
      </c>
      <c r="J25" s="320">
        <f t="shared" si="29"/>
        <v>20268528450</v>
      </c>
      <c r="K25" s="320">
        <f t="shared" si="29"/>
        <v>4714978088</v>
      </c>
      <c r="L25" s="320">
        <f t="shared" si="29"/>
        <v>24983506538</v>
      </c>
      <c r="M25" s="320">
        <f t="shared" si="29"/>
        <v>52171370694</v>
      </c>
      <c r="N25" s="289">
        <f t="shared" si="29"/>
        <v>73466381140</v>
      </c>
      <c r="O25" s="67"/>
      <c r="P25" s="288">
        <f>SUM(P26:P27)</f>
        <v>0</v>
      </c>
      <c r="Q25" s="289">
        <f>SUM(Q26:Q27)</f>
        <v>6861221082</v>
      </c>
      <c r="R25" s="101"/>
      <c r="S25" s="311" t="str">
        <f>+IF(MARZO!S25=0,"",MARZO!S25)</f>
        <v>1010104-5</v>
      </c>
      <c r="T25" s="312" t="str">
        <f>+IF(MARZO!T25=0,"",MARZO!T25)</f>
        <v>Bonificación Convencional</v>
      </c>
      <c r="U25" s="373">
        <f>+ENERO!U25</f>
        <v>0</v>
      </c>
      <c r="V25" s="220">
        <f>MARZO!V25+ABRIL!AL25</f>
        <v>0</v>
      </c>
      <c r="W25" s="220">
        <f>MARZO!W25+ABRIL!AM25</f>
        <v>0</v>
      </c>
      <c r="X25" s="271">
        <f t="shared" si="17"/>
        <v>0</v>
      </c>
      <c r="Y25" s="270">
        <f>MARZO!AA25</f>
        <v>0</v>
      </c>
      <c r="Z25" s="208">
        <v>0</v>
      </c>
      <c r="AA25" s="271">
        <f t="shared" si="18"/>
        <v>0</v>
      </c>
      <c r="AB25" s="270">
        <f>MARZO!AD25</f>
        <v>0</v>
      </c>
      <c r="AC25" s="208">
        <v>0</v>
      </c>
      <c r="AD25" s="271">
        <f t="shared" si="19"/>
        <v>0</v>
      </c>
      <c r="AE25" s="270">
        <f>MARZO!AG25</f>
        <v>0</v>
      </c>
      <c r="AF25" s="208">
        <v>0</v>
      </c>
      <c r="AG25" s="271">
        <f t="shared" si="20"/>
        <v>0</v>
      </c>
      <c r="AH25" s="270">
        <f t="shared" si="21"/>
        <v>0</v>
      </c>
      <c r="AI25" s="220">
        <f t="shared" si="22"/>
        <v>0</v>
      </c>
      <c r="AJ25" s="269">
        <f t="shared" si="23"/>
        <v>0</v>
      </c>
      <c r="AK25" s="101"/>
      <c r="AL25" s="204">
        <v>0</v>
      </c>
      <c r="AM25" s="210">
        <v>0</v>
      </c>
      <c r="AN25" s="101"/>
      <c r="AO25" s="108"/>
      <c r="AP25" s="420" t="s">
        <v>168</v>
      </c>
      <c r="AQ25" s="205">
        <f>X43+X57+X90+X104</f>
        <v>3217792492.9625015</v>
      </c>
      <c r="AR25" s="205">
        <f>AD43+AD57+AD90+AD104</f>
        <v>1186832433</v>
      </c>
      <c r="AS25" s="205">
        <f>AG43+AG57+AG90+AG104</f>
        <v>1124759149</v>
      </c>
      <c r="AT25" s="338"/>
      <c r="AU25" s="205">
        <f t="shared" si="25"/>
        <v>0.36883435945471038</v>
      </c>
      <c r="AV25" s="205">
        <f t="shared" si="26"/>
        <v>0.34954371714767607</v>
      </c>
      <c r="AW25" s="205">
        <f>(AR25-AD55-AD61-AD102-AD108)/$AO$2*12+AD55+AD61+AD102+AD108</f>
        <v>2479838201</v>
      </c>
      <c r="AX25" s="205">
        <f>(AS25-AG55-AG61-AG102-AG108)/$AO$2*12+AG55+AG61+AG102+AG108</f>
        <v>2293618349</v>
      </c>
      <c r="AY25" s="205">
        <f t="shared" si="27"/>
        <v>737954291.96250153</v>
      </c>
      <c r="AZ25" s="206">
        <f t="shared" si="28"/>
        <v>924174143.96250153</v>
      </c>
      <c r="BA25" s="67"/>
      <c r="BB25" s="67"/>
      <c r="BC25" s="67"/>
      <c r="BD25" s="67"/>
      <c r="BE25" s="67"/>
      <c r="BF25" s="67"/>
      <c r="BG25" s="67"/>
      <c r="BH25" s="67"/>
      <c r="BI25" s="67"/>
      <c r="BJ25" s="67"/>
      <c r="BK25" s="67"/>
      <c r="BL25" s="67"/>
      <c r="BM25" s="756" t="s">
        <v>169</v>
      </c>
      <c r="BN25" s="340">
        <f>+SUM(BN26:BN28)</f>
        <v>36095849515.333328</v>
      </c>
      <c r="BO25" s="341">
        <f>+SUM(BO26:BO28)</f>
        <v>22849527593</v>
      </c>
      <c r="BP25" s="341">
        <f>+SUM(BP26:BP28)</f>
        <v>14196060335</v>
      </c>
      <c r="BQ25" s="757">
        <f>+SUM(BQ26:BQ28)</f>
        <v>2008152054</v>
      </c>
    </row>
    <row r="26" spans="1:69" ht="24.75" customHeight="1">
      <c r="A26" s="202" t="str">
        <f>+IF(MARZO!A26=0,"",MARZO!A26)</f>
        <v>1.1.02.05.001.09.02.01</v>
      </c>
      <c r="B26" s="331" t="str">
        <f>+CONCATENATE("Vigencia ",INSTRUCCIONES!$F$3)</f>
        <v>Vigencia 2025</v>
      </c>
      <c r="C26" s="204">
        <f>+ENERO!C26</f>
        <v>81866799864</v>
      </c>
      <c r="D26" s="205">
        <f>MARZO!D26+ABRIL!P26</f>
        <v>0</v>
      </c>
      <c r="E26" s="205">
        <f>MARZO!E26+ABRIL!Q26</f>
        <v>0</v>
      </c>
      <c r="F26" s="205">
        <f>SUM(C26:E26)</f>
        <v>81866799864</v>
      </c>
      <c r="G26" s="205">
        <f>MARZO!I26</f>
        <v>18607756694</v>
      </c>
      <c r="H26" s="208">
        <f>7073178512-51493800</f>
        <v>7021684712</v>
      </c>
      <c r="I26" s="205">
        <f>SUM(G26:H26)</f>
        <v>25629441406</v>
      </c>
      <c r="J26" s="205">
        <f>MARZO!L26</f>
        <v>3685440636</v>
      </c>
      <c r="K26" s="208">
        <v>648990324</v>
      </c>
      <c r="L26" s="205">
        <f>SUM(J26:K26)</f>
        <v>4334430960</v>
      </c>
      <c r="M26" s="205">
        <f>F26-I26</f>
        <v>56237358458</v>
      </c>
      <c r="N26" s="206">
        <f>F26-L26</f>
        <v>77532368904</v>
      </c>
      <c r="O26" s="101"/>
      <c r="P26" s="204">
        <v>0</v>
      </c>
      <c r="Q26" s="210">
        <v>0</v>
      </c>
      <c r="R26" s="101"/>
      <c r="S26" s="311" t="str">
        <f>+IF(MARZO!S26=0,"",MARZO!S26)</f>
        <v>2.1.1.01.01.001.05</v>
      </c>
      <c r="T26" s="312" t="str">
        <f>+IF(MARZO!T26=0,"",MARZO!T26)</f>
        <v>Auxilio de Transporte</v>
      </c>
      <c r="U26" s="373">
        <f>+ENERO!U26</f>
        <v>0</v>
      </c>
      <c r="V26" s="220">
        <f>MARZO!V26+ABRIL!AL26</f>
        <v>21000000</v>
      </c>
      <c r="W26" s="220">
        <f>MARZO!W26+ABRIL!AM26</f>
        <v>0</v>
      </c>
      <c r="X26" s="271">
        <f t="shared" si="17"/>
        <v>21000000</v>
      </c>
      <c r="Y26" s="270">
        <f>MARZO!AA26</f>
        <v>7006666</v>
      </c>
      <c r="Z26" s="208">
        <v>2053333</v>
      </c>
      <c r="AA26" s="271">
        <f t="shared" si="18"/>
        <v>9059999</v>
      </c>
      <c r="AB26" s="270">
        <f>MARZO!AD26</f>
        <v>7006666</v>
      </c>
      <c r="AC26" s="208">
        <v>2053333</v>
      </c>
      <c r="AD26" s="271">
        <f t="shared" si="19"/>
        <v>9059999</v>
      </c>
      <c r="AE26" s="270">
        <f>MARZO!AG26</f>
        <v>7006666</v>
      </c>
      <c r="AF26" s="208">
        <v>2053333</v>
      </c>
      <c r="AG26" s="271">
        <f t="shared" si="20"/>
        <v>9059999</v>
      </c>
      <c r="AH26" s="270">
        <f t="shared" si="21"/>
        <v>11940001</v>
      </c>
      <c r="AI26" s="220">
        <f t="shared" si="22"/>
        <v>11940001</v>
      </c>
      <c r="AJ26" s="269">
        <f t="shared" si="23"/>
        <v>11940001</v>
      </c>
      <c r="AK26" s="101"/>
      <c r="AL26" s="204">
        <v>0</v>
      </c>
      <c r="AM26" s="210">
        <v>0</v>
      </c>
      <c r="AN26" s="101"/>
      <c r="AO26" s="108"/>
      <c r="AP26" s="539" t="s">
        <v>171</v>
      </c>
      <c r="AQ26" s="110">
        <f>X110</f>
        <v>21915864713.620834</v>
      </c>
      <c r="AR26" s="110">
        <f>AD110</f>
        <v>6386606299</v>
      </c>
      <c r="AS26" s="110">
        <f>AG110</f>
        <v>3847658721</v>
      </c>
      <c r="AT26" s="198">
        <f>AO2/12</f>
        <v>0.33333333333333331</v>
      </c>
      <c r="AU26" s="139">
        <f t="shared" si="25"/>
        <v>0.29141475284936796</v>
      </c>
      <c r="AV26" s="139">
        <f t="shared" si="26"/>
        <v>0.17556499692246494</v>
      </c>
      <c r="AW26" s="334" t="e">
        <f>(AR26-AD121-AD139-AD143-AD153-#REF!)/$AO$2*12+AD121+AD139+AD143+AD153+#REF!</f>
        <v>#REF!</v>
      </c>
      <c r="AX26" s="334" t="e">
        <f>(AS26-AG121-AG139-AG143-AG153-#REF!)/$AO$2*12+AG121+AG139+AG143+AG153+#REF!</f>
        <v>#REF!</v>
      </c>
      <c r="AY26" s="334" t="e">
        <f t="shared" si="27"/>
        <v>#REF!</v>
      </c>
      <c r="AZ26" s="335" t="e">
        <f t="shared" si="28"/>
        <v>#REF!</v>
      </c>
      <c r="BA26" s="67"/>
      <c r="BB26" s="67"/>
      <c r="BC26" s="67"/>
      <c r="BD26" s="67"/>
      <c r="BE26" s="67"/>
      <c r="BF26" s="67"/>
      <c r="BG26" s="67"/>
      <c r="BH26" s="67"/>
      <c r="BI26" s="67"/>
      <c r="BJ26" s="67"/>
      <c r="BK26" s="67"/>
      <c r="BL26" s="101"/>
      <c r="BM26" s="758" t="s">
        <v>172</v>
      </c>
      <c r="BN26" s="199">
        <f>+X197</f>
        <v>7396066391.666666</v>
      </c>
      <c r="BO26" s="199">
        <f>+AA197</f>
        <v>4196352456</v>
      </c>
      <c r="BP26" s="199">
        <f>+AD197</f>
        <v>3071503885</v>
      </c>
      <c r="BQ26" s="750">
        <f>+AF197</f>
        <v>431440947</v>
      </c>
    </row>
    <row r="27" spans="1:69" ht="24.75" customHeight="1">
      <c r="A27" s="202" t="str">
        <f>+IF(MARZO!A27=0,"",MARZO!A27)</f>
        <v>1.1.02.05.001.09.02.01.99</v>
      </c>
      <c r="B27" s="331" t="str">
        <f>+IF(MARZO!B27=0,"",MARZO!B27)</f>
        <v>Vigencia Anterior</v>
      </c>
      <c r="C27" s="204">
        <f>+ENERO!C27</f>
        <v>9721866732</v>
      </c>
      <c r="D27" s="205">
        <f>MARZO!D27+ABRIL!P27</f>
        <v>0</v>
      </c>
      <c r="E27" s="205">
        <f>MARZO!E27+ABRIL!Q27</f>
        <v>6861221082</v>
      </c>
      <c r="F27" s="205">
        <f>SUM(C27:E27)</f>
        <v>16583087814</v>
      </c>
      <c r="G27" s="205">
        <f>MARZO!I27</f>
        <v>16583087814</v>
      </c>
      <c r="H27" s="208">
        <f>4064437842+1549922</f>
        <v>4065987764</v>
      </c>
      <c r="I27" s="205">
        <f>SUM(G27:H27)</f>
        <v>20649075578</v>
      </c>
      <c r="J27" s="205">
        <f>MARZO!L27</f>
        <v>16583087814</v>
      </c>
      <c r="K27" s="208">
        <f>4064437842+1549922</f>
        <v>4065987764</v>
      </c>
      <c r="L27" s="205">
        <f>SUM(J27:K27)</f>
        <v>20649075578</v>
      </c>
      <c r="M27" s="205">
        <f>F27-I27</f>
        <v>-4065987764</v>
      </c>
      <c r="N27" s="206">
        <f>F27-L27</f>
        <v>-4065987764</v>
      </c>
      <c r="O27" s="67"/>
      <c r="P27" s="204">
        <v>0</v>
      </c>
      <c r="Q27" s="210">
        <v>6861221082</v>
      </c>
      <c r="R27" s="101"/>
      <c r="S27" s="311" t="str">
        <f>+IF(MARZO!S27=0,"",MARZO!S27)</f>
        <v>2.1.1.01.01.001.04</v>
      </c>
      <c r="T27" s="312" t="str">
        <f>+IF(MARZO!T27=0,"",MARZO!T27)</f>
        <v>Auxilio de Alimentación</v>
      </c>
      <c r="U27" s="373">
        <f>+ENERO!U27</f>
        <v>0</v>
      </c>
      <c r="V27" s="220">
        <f>MARZO!V27+ABRIL!AL27</f>
        <v>0</v>
      </c>
      <c r="W27" s="220">
        <f>MARZO!W27+ABRIL!AM27</f>
        <v>0</v>
      </c>
      <c r="X27" s="271">
        <f t="shared" si="17"/>
        <v>0</v>
      </c>
      <c r="Y27" s="270">
        <f>MARZO!AA27</f>
        <v>0</v>
      </c>
      <c r="Z27" s="208">
        <v>0</v>
      </c>
      <c r="AA27" s="271">
        <f t="shared" si="18"/>
        <v>0</v>
      </c>
      <c r="AB27" s="270">
        <f>MARZO!AD27</f>
        <v>0</v>
      </c>
      <c r="AC27" s="208">
        <v>0</v>
      </c>
      <c r="AD27" s="271">
        <f t="shared" si="19"/>
        <v>0</v>
      </c>
      <c r="AE27" s="270">
        <f>MARZO!AG27</f>
        <v>0</v>
      </c>
      <c r="AF27" s="208">
        <v>0</v>
      </c>
      <c r="AG27" s="271">
        <f t="shared" si="20"/>
        <v>0</v>
      </c>
      <c r="AH27" s="270">
        <f t="shared" si="21"/>
        <v>0</v>
      </c>
      <c r="AI27" s="220">
        <f t="shared" si="22"/>
        <v>0</v>
      </c>
      <c r="AJ27" s="269">
        <f t="shared" si="23"/>
        <v>0</v>
      </c>
      <c r="AK27" s="101"/>
      <c r="AL27" s="204">
        <v>0</v>
      </c>
      <c r="AM27" s="210">
        <v>0</v>
      </c>
      <c r="AN27" s="101"/>
      <c r="AO27" s="156"/>
      <c r="AP27" s="420" t="s">
        <v>174</v>
      </c>
      <c r="AQ27" s="205">
        <f>X168</f>
        <v>3593060585</v>
      </c>
      <c r="AR27" s="205">
        <f>AD168</f>
        <v>695524552</v>
      </c>
      <c r="AS27" s="205">
        <f>AG168</f>
        <v>603806003</v>
      </c>
      <c r="AT27" s="338"/>
      <c r="AU27" s="205">
        <f t="shared" si="25"/>
        <v>0.19357440141800447</v>
      </c>
      <c r="AV27" s="205">
        <f t="shared" si="26"/>
        <v>0.16804782126989934</v>
      </c>
      <c r="AW27" s="205">
        <f>(AR27-AD172-AD181-AD190)/$AO$2*12+AD172+AD181+AD190</f>
        <v>1491051764</v>
      </c>
      <c r="AX27" s="205">
        <f>(AS27-AG172-AG181-AG190)/$AO$2*12+AG172+AG181+AG190</f>
        <v>1215896117</v>
      </c>
      <c r="AY27" s="205">
        <f t="shared" si="27"/>
        <v>2102008821</v>
      </c>
      <c r="AZ27" s="206">
        <f t="shared" si="28"/>
        <v>2377164468</v>
      </c>
      <c r="BA27" s="101"/>
      <c r="BB27" s="67"/>
      <c r="BC27" s="67"/>
      <c r="BD27" s="67"/>
      <c r="BE27" s="67"/>
      <c r="BF27" s="67"/>
      <c r="BG27" s="67"/>
      <c r="BH27" s="67"/>
      <c r="BI27" s="67"/>
      <c r="BJ27" s="67"/>
      <c r="BK27" s="67"/>
      <c r="BL27" s="67"/>
      <c r="BM27" s="758" t="s">
        <v>175</v>
      </c>
      <c r="BN27" s="201">
        <f>+X210</f>
        <v>3000000</v>
      </c>
      <c r="BO27" s="199">
        <f>+AA210</f>
        <v>0</v>
      </c>
      <c r="BP27" s="199">
        <f>+AD210</f>
        <v>0</v>
      </c>
      <c r="BQ27" s="750">
        <f>+AF210</f>
        <v>0</v>
      </c>
    </row>
    <row r="28" spans="1:69" ht="24.75" customHeight="1">
      <c r="A28" s="286">
        <f>+IF(MARZO!A28=0,"",MARZO!A28)</f>
        <v>1130103</v>
      </c>
      <c r="B28" s="344" t="str">
        <f>+IF(MARZO!B28=0,"",MARZO!B28)</f>
        <v>SUBSIDIO A LA OFERTA- ATENCION PERSONAS POBRES NO CUBIERTOS CON SUBSIDIO A LA DEMANDA</v>
      </c>
      <c r="C28" s="288">
        <f>C29+C32+C35+C38+C39+C40</f>
        <v>1850957800</v>
      </c>
      <c r="D28" s="320">
        <f>+D29+D32+D35+D38+D39+D40</f>
        <v>0</v>
      </c>
      <c r="E28" s="320">
        <f>+E29+E32+E35+E38+E39+E40</f>
        <v>0</v>
      </c>
      <c r="F28" s="320">
        <f>+F29+F32+F35+F38+F39+F40</f>
        <v>1850957800</v>
      </c>
      <c r="G28" s="320">
        <f t="shared" ref="G28:N28" si="30">G29+G32+G35+G38+G39+G40</f>
        <v>704085709</v>
      </c>
      <c r="H28" s="320">
        <f t="shared" si="30"/>
        <v>99939447</v>
      </c>
      <c r="I28" s="320">
        <f t="shared" si="30"/>
        <v>804025156</v>
      </c>
      <c r="J28" s="320">
        <f t="shared" si="30"/>
        <v>374421483</v>
      </c>
      <c r="K28" s="320">
        <f t="shared" si="30"/>
        <v>76666764</v>
      </c>
      <c r="L28" s="320">
        <f t="shared" si="30"/>
        <v>451088247</v>
      </c>
      <c r="M28" s="320">
        <f t="shared" si="30"/>
        <v>1046932644</v>
      </c>
      <c r="N28" s="289">
        <f t="shared" si="30"/>
        <v>1399869553</v>
      </c>
      <c r="O28" s="67"/>
      <c r="P28" s="288">
        <f>P29+P32+P35+P38+P39+P939</f>
        <v>0</v>
      </c>
      <c r="Q28" s="289">
        <f>Q29+Q32+Q35+Q38+Q39+Q40</f>
        <v>0</v>
      </c>
      <c r="R28" s="101"/>
      <c r="S28" s="311" t="str">
        <f>+IF(MARZO!S28=0,"",MARZO!S28)</f>
        <v>1010104-8</v>
      </c>
      <c r="T28" s="312" t="str">
        <f>+IF(MARZO!T28=0,"",MARZO!T28)</f>
        <v>Indemnizaciones por Vacaciones o Supresión de Cargos por Reestructuración</v>
      </c>
      <c r="U28" s="373">
        <f>+ENERO!U28</f>
        <v>0</v>
      </c>
      <c r="V28" s="220">
        <f>MARZO!V28+ABRIL!AL28</f>
        <v>0</v>
      </c>
      <c r="W28" s="220">
        <f>MARZO!W28+ABRIL!AM28</f>
        <v>0</v>
      </c>
      <c r="X28" s="271">
        <f t="shared" si="17"/>
        <v>0</v>
      </c>
      <c r="Y28" s="270">
        <f>MARZO!AA28</f>
        <v>0</v>
      </c>
      <c r="Z28" s="208">
        <v>0</v>
      </c>
      <c r="AA28" s="271">
        <f t="shared" si="18"/>
        <v>0</v>
      </c>
      <c r="AB28" s="270">
        <f>MARZO!AD28</f>
        <v>0</v>
      </c>
      <c r="AC28" s="208">
        <v>0</v>
      </c>
      <c r="AD28" s="271">
        <f t="shared" si="19"/>
        <v>0</v>
      </c>
      <c r="AE28" s="270">
        <f>MARZO!AG28</f>
        <v>0</v>
      </c>
      <c r="AF28" s="208">
        <v>0</v>
      </c>
      <c r="AG28" s="271">
        <f t="shared" si="20"/>
        <v>0</v>
      </c>
      <c r="AH28" s="270">
        <f t="shared" si="21"/>
        <v>0</v>
      </c>
      <c r="AI28" s="220">
        <f t="shared" si="22"/>
        <v>0</v>
      </c>
      <c r="AJ28" s="269">
        <f t="shared" si="23"/>
        <v>0</v>
      </c>
      <c r="AK28" s="101"/>
      <c r="AL28" s="204">
        <v>0</v>
      </c>
      <c r="AM28" s="210">
        <v>0</v>
      </c>
      <c r="AN28" s="101"/>
      <c r="AO28" s="156"/>
      <c r="AP28" s="333" t="s">
        <v>179</v>
      </c>
      <c r="AQ28" s="205">
        <f>X194</f>
        <v>41408630478.666664</v>
      </c>
      <c r="AR28" s="205">
        <f>AD194</f>
        <v>17204542058</v>
      </c>
      <c r="AS28" s="205">
        <f>AG194</f>
        <v>7030290808</v>
      </c>
      <c r="AT28" s="338"/>
      <c r="AU28" s="205">
        <f t="shared" si="25"/>
        <v>0.4154820350038772</v>
      </c>
      <c r="AV28" s="205">
        <f t="shared" si="26"/>
        <v>0.16977839466634714</v>
      </c>
      <c r="AW28" s="205">
        <f>(AR28-AD206)/$AO$2*12+AD206</f>
        <v>45596662728</v>
      </c>
      <c r="AX28" s="205">
        <f>(AS28-AG206)/$AO$2*12+AG206</f>
        <v>15073908982</v>
      </c>
      <c r="AY28" s="205">
        <f t="shared" si="27"/>
        <v>-4188032249.3333359</v>
      </c>
      <c r="AZ28" s="206">
        <f t="shared" si="28"/>
        <v>26334721496.666664</v>
      </c>
      <c r="BA28" s="67"/>
      <c r="BB28" s="67"/>
      <c r="BC28" s="67"/>
      <c r="BD28" s="67"/>
      <c r="BE28" s="67"/>
      <c r="BF28" s="67"/>
      <c r="BG28" s="67"/>
      <c r="BH28" s="67"/>
      <c r="BI28" s="67"/>
      <c r="BJ28" s="67"/>
      <c r="BK28" s="67"/>
      <c r="BL28" s="67"/>
      <c r="BM28" s="743" t="s">
        <v>180</v>
      </c>
      <c r="BN28" s="186">
        <f>+X196-X197+X204</f>
        <v>28696783123.666664</v>
      </c>
      <c r="BO28" s="186">
        <f>+AA196-AA197+AA204</f>
        <v>18653175137</v>
      </c>
      <c r="BP28" s="186">
        <f>+AD196-AD197+AD204</f>
        <v>11124556450</v>
      </c>
      <c r="BQ28" s="748">
        <f>+AF196-AF197+AF204</f>
        <v>1576711107</v>
      </c>
    </row>
    <row r="29" spans="1:69" ht="24.75" customHeight="1">
      <c r="A29" s="202" t="str">
        <f>+IF(MARZO!A29=0,"",MARZO!A29)</f>
        <v>1130103-1</v>
      </c>
      <c r="B29" s="345" t="str">
        <f>+IF(MARZO!B29=0,"",MARZO!B29)</f>
        <v>Prestación de Servicios de salud  1er Nivel</v>
      </c>
      <c r="C29" s="270">
        <f t="shared" ref="C29:N29" si="31">SUM(C30:C31)</f>
        <v>0</v>
      </c>
      <c r="D29" s="220">
        <f t="shared" si="31"/>
        <v>0</v>
      </c>
      <c r="E29" s="220">
        <f t="shared" si="31"/>
        <v>0</v>
      </c>
      <c r="F29" s="220">
        <f t="shared" si="31"/>
        <v>0</v>
      </c>
      <c r="G29" s="220">
        <f t="shared" si="31"/>
        <v>0</v>
      </c>
      <c r="H29" s="220">
        <f t="shared" si="31"/>
        <v>0</v>
      </c>
      <c r="I29" s="220">
        <f t="shared" si="31"/>
        <v>0</v>
      </c>
      <c r="J29" s="220">
        <f t="shared" si="31"/>
        <v>0</v>
      </c>
      <c r="K29" s="220">
        <f t="shared" si="31"/>
        <v>0</v>
      </c>
      <c r="L29" s="220">
        <f t="shared" si="31"/>
        <v>0</v>
      </c>
      <c r="M29" s="220">
        <f t="shared" si="31"/>
        <v>0</v>
      </c>
      <c r="N29" s="269">
        <f t="shared" si="31"/>
        <v>0</v>
      </c>
      <c r="O29" s="67"/>
      <c r="P29" s="346">
        <f>SUM(P30:P31)</f>
        <v>0</v>
      </c>
      <c r="Q29" s="347">
        <f>SUM(Q30:Q31)</f>
        <v>0</v>
      </c>
      <c r="R29" s="101"/>
      <c r="S29" s="311" t="str">
        <f>+IF(MARZO!S29=0,"",MARZO!S29)</f>
        <v>1010104-9</v>
      </c>
      <c r="T29" s="312" t="str">
        <f>+IF(MARZO!T29=0,"",MARZO!T29)</f>
        <v>Gastos de Representacion</v>
      </c>
      <c r="U29" s="373">
        <f>+ENERO!U29</f>
        <v>0</v>
      </c>
      <c r="V29" s="220">
        <f>MARZO!V29+ABRIL!AL29</f>
        <v>0</v>
      </c>
      <c r="W29" s="220">
        <f>MARZO!W29+ABRIL!AM29</f>
        <v>0</v>
      </c>
      <c r="X29" s="271">
        <f t="shared" si="17"/>
        <v>0</v>
      </c>
      <c r="Y29" s="270">
        <f>MARZO!AA29</f>
        <v>0</v>
      </c>
      <c r="Z29" s="208">
        <v>0</v>
      </c>
      <c r="AA29" s="271">
        <f t="shared" si="18"/>
        <v>0</v>
      </c>
      <c r="AB29" s="270">
        <f>MARZO!AD29</f>
        <v>0</v>
      </c>
      <c r="AC29" s="208">
        <v>0</v>
      </c>
      <c r="AD29" s="271">
        <f t="shared" si="19"/>
        <v>0</v>
      </c>
      <c r="AE29" s="270">
        <f>MARZO!AG29</f>
        <v>0</v>
      </c>
      <c r="AF29" s="208">
        <v>0</v>
      </c>
      <c r="AG29" s="271">
        <f t="shared" si="20"/>
        <v>0</v>
      </c>
      <c r="AH29" s="270">
        <f t="shared" si="21"/>
        <v>0</v>
      </c>
      <c r="AI29" s="220">
        <f t="shared" si="22"/>
        <v>0</v>
      </c>
      <c r="AJ29" s="269">
        <f t="shared" si="23"/>
        <v>0</v>
      </c>
      <c r="AK29" s="101"/>
      <c r="AL29" s="204">
        <v>0</v>
      </c>
      <c r="AM29" s="210">
        <v>0</v>
      </c>
      <c r="AN29" s="101"/>
      <c r="AO29" s="108"/>
      <c r="AP29" s="333" t="s">
        <v>185</v>
      </c>
      <c r="AQ29" s="205">
        <f>X208</f>
        <v>3646559635</v>
      </c>
      <c r="AR29" s="205">
        <f>AD208</f>
        <v>3178024239</v>
      </c>
      <c r="AS29" s="205">
        <f>AG208</f>
        <v>3178024239</v>
      </c>
      <c r="AT29" s="110"/>
      <c r="AU29" s="139">
        <f t="shared" si="25"/>
        <v>0.87151303066513541</v>
      </c>
      <c r="AV29" s="139">
        <f t="shared" si="26"/>
        <v>0.87151303066513541</v>
      </c>
      <c r="AW29" s="334">
        <f>(AR29-AD217)/$AO$2*12+AD217</f>
        <v>3178024239</v>
      </c>
      <c r="AX29" s="334">
        <f>(AS29-AG217)/$AO$2*12+AG217</f>
        <v>3178024239</v>
      </c>
      <c r="AY29" s="334">
        <f t="shared" si="27"/>
        <v>468535396</v>
      </c>
      <c r="AZ29" s="335">
        <f t="shared" si="28"/>
        <v>468535396</v>
      </c>
      <c r="BA29" s="67"/>
      <c r="BB29" s="336"/>
      <c r="BC29" s="336"/>
      <c r="BD29" s="336"/>
      <c r="BE29" s="336"/>
      <c r="BF29" s="336"/>
      <c r="BG29" s="67"/>
      <c r="BH29" s="67"/>
      <c r="BI29" s="67"/>
      <c r="BJ29" s="67"/>
      <c r="BK29" s="67"/>
      <c r="BL29" s="101"/>
      <c r="BM29" s="759" t="s">
        <v>117</v>
      </c>
      <c r="BN29" s="340">
        <f>X234-X240</f>
        <v>14520480408</v>
      </c>
      <c r="BO29" s="340">
        <f>AA234-AA240</f>
        <v>10901218765</v>
      </c>
      <c r="BP29" s="340">
        <f>AD234-AD240</f>
        <v>5574560979</v>
      </c>
      <c r="BQ29" s="340">
        <f>AF234-AF240</f>
        <v>1039222801</v>
      </c>
    </row>
    <row r="30" spans="1:69" ht="24.75" customHeight="1">
      <c r="A30" s="202" t="str">
        <f>+IF(MARZO!A30=0,"",MARZO!A30)</f>
        <v>1130103-1-1</v>
      </c>
      <c r="B30" s="331" t="str">
        <f>+CONCATENATE("Vigencia ",INSTRUCCIONES!$F$3)</f>
        <v>Vigencia 2025</v>
      </c>
      <c r="C30" s="204">
        <f>+ENERO!C30</f>
        <v>0</v>
      </c>
      <c r="D30" s="205">
        <f>MARZO!D30+ABRIL!P30</f>
        <v>0</v>
      </c>
      <c r="E30" s="205">
        <f>MARZO!E30+ABRIL!Q30</f>
        <v>0</v>
      </c>
      <c r="F30" s="205">
        <f>SUM(C30:E30)</f>
        <v>0</v>
      </c>
      <c r="G30" s="205">
        <f>MARZO!I30</f>
        <v>0</v>
      </c>
      <c r="H30" s="208">
        <v>0</v>
      </c>
      <c r="I30" s="205">
        <f>SUM(G30:H30)</f>
        <v>0</v>
      </c>
      <c r="J30" s="205">
        <f>MARZO!L30</f>
        <v>0</v>
      </c>
      <c r="K30" s="208">
        <v>0</v>
      </c>
      <c r="L30" s="205">
        <f>SUM(J30:K30)</f>
        <v>0</v>
      </c>
      <c r="M30" s="205">
        <f>F30-I30</f>
        <v>0</v>
      </c>
      <c r="N30" s="206">
        <f>F30-L30</f>
        <v>0</v>
      </c>
      <c r="O30" s="101"/>
      <c r="P30" s="204">
        <v>0</v>
      </c>
      <c r="Q30" s="210">
        <v>0</v>
      </c>
      <c r="R30" s="101"/>
      <c r="S30" s="311" t="str">
        <f>+IF(MARZO!S30=0,"",MARZO!S30)</f>
        <v>2.1.1.01.03.001.03</v>
      </c>
      <c r="T30" s="312" t="str">
        <f>+IF(MARZO!T30=0,"",MARZO!T30)</f>
        <v>Bonificación Especial por Recreación</v>
      </c>
      <c r="U30" s="373">
        <f>+ENERO!U30</f>
        <v>36288061.666666657</v>
      </c>
      <c r="V30" s="220">
        <f>MARZO!V30+ABRIL!AL30</f>
        <v>0</v>
      </c>
      <c r="W30" s="220">
        <f>MARZO!W30+ABRIL!AM30</f>
        <v>0</v>
      </c>
      <c r="X30" s="271">
        <f t="shared" si="17"/>
        <v>36288061.666666657</v>
      </c>
      <c r="Y30" s="270">
        <f>MARZO!AA30</f>
        <v>6364434</v>
      </c>
      <c r="Z30" s="208">
        <v>2213437</v>
      </c>
      <c r="AA30" s="271">
        <f t="shared" si="18"/>
        <v>8577871</v>
      </c>
      <c r="AB30" s="270">
        <f>MARZO!AD30</f>
        <v>6364434</v>
      </c>
      <c r="AC30" s="208">
        <v>2213437</v>
      </c>
      <c r="AD30" s="271">
        <f t="shared" si="19"/>
        <v>8577871</v>
      </c>
      <c r="AE30" s="270">
        <f>MARZO!AG30</f>
        <v>6364434</v>
      </c>
      <c r="AF30" s="208">
        <v>2045608</v>
      </c>
      <c r="AG30" s="271">
        <f t="shared" si="20"/>
        <v>8410042</v>
      </c>
      <c r="AH30" s="270">
        <f t="shared" si="21"/>
        <v>27710190.666666657</v>
      </c>
      <c r="AI30" s="220">
        <f t="shared" si="22"/>
        <v>27710190.666666657</v>
      </c>
      <c r="AJ30" s="269">
        <f t="shared" si="23"/>
        <v>27878019.666666657</v>
      </c>
      <c r="AK30" s="101"/>
      <c r="AL30" s="204">
        <v>0</v>
      </c>
      <c r="AM30" s="210">
        <v>0</v>
      </c>
      <c r="AN30" s="101"/>
      <c r="AO30" s="196" t="s">
        <v>92</v>
      </c>
      <c r="AP30" s="420" t="s">
        <v>188</v>
      </c>
      <c r="AQ30" s="205">
        <f>X219+X231</f>
        <v>18210437937</v>
      </c>
      <c r="AR30" s="205">
        <f>AD219+AD231</f>
        <v>6015065131</v>
      </c>
      <c r="AS30" s="205">
        <f>AG219+AG231</f>
        <v>3347973357</v>
      </c>
      <c r="AT30" s="338"/>
      <c r="AU30" s="205">
        <f t="shared" si="25"/>
        <v>0.33030864781008806</v>
      </c>
      <c r="AV30" s="205">
        <f t="shared" si="26"/>
        <v>0.18384914017897294</v>
      </c>
      <c r="AW30" s="205">
        <f>(AR30-AD224-AD229-AD240-AD255)/$AO$2*12+AD224+AD229+AD240+AD255</f>
        <v>18045195393</v>
      </c>
      <c r="AX30" s="205">
        <f>(AS30-AG224-AG229-AG240-AG255)/$AO$2*12+AG224+AG229+AG240+AG255</f>
        <v>10043920071</v>
      </c>
      <c r="AY30" s="205">
        <f t="shared" si="27"/>
        <v>165242544</v>
      </c>
      <c r="AZ30" s="206">
        <f t="shared" si="28"/>
        <v>8166517866</v>
      </c>
      <c r="BA30" s="67"/>
      <c r="BB30" s="336"/>
      <c r="BC30" s="336"/>
      <c r="BD30" s="336"/>
      <c r="BE30" s="336"/>
      <c r="BF30" s="336"/>
      <c r="BG30" s="67"/>
      <c r="BH30" s="67"/>
      <c r="BI30" s="67"/>
      <c r="BJ30" s="67"/>
      <c r="BK30" s="67"/>
      <c r="BL30" s="67"/>
      <c r="BM30" s="759" t="s">
        <v>122</v>
      </c>
      <c r="BN30" s="340">
        <f>X219-X229</f>
        <v>3239175000</v>
      </c>
      <c r="BO30" s="340">
        <f>AA219-AA229</f>
        <v>440504152</v>
      </c>
      <c r="BP30" s="340">
        <f>AD219-AD229</f>
        <v>440504152</v>
      </c>
      <c r="BQ30" s="340">
        <f>AF219-AF229</f>
        <v>109410330</v>
      </c>
    </row>
    <row r="31" spans="1:69" ht="24.75" customHeight="1">
      <c r="A31" s="202" t="str">
        <f>+IF(MARZO!A31=0,"",MARZO!A31)</f>
        <v>1130103-1-2</v>
      </c>
      <c r="B31" s="331" t="str">
        <f>+IF(MARZO!B31=0,"",MARZO!B31)</f>
        <v>Vigencia Anterior</v>
      </c>
      <c r="C31" s="204">
        <f>+ENERO!C31</f>
        <v>0</v>
      </c>
      <c r="D31" s="205">
        <f>MARZO!D31+ABRIL!P31</f>
        <v>0</v>
      </c>
      <c r="E31" s="205">
        <f>MARZO!E31+ABRIL!Q31</f>
        <v>0</v>
      </c>
      <c r="F31" s="205">
        <f>SUM(C31:E31)</f>
        <v>0</v>
      </c>
      <c r="G31" s="205">
        <f>MARZO!I31</f>
        <v>0</v>
      </c>
      <c r="H31" s="208">
        <v>0</v>
      </c>
      <c r="I31" s="205">
        <f>SUM(G31:H31)</f>
        <v>0</v>
      </c>
      <c r="J31" s="205">
        <f>MARZO!L31</f>
        <v>0</v>
      </c>
      <c r="K31" s="208">
        <v>0</v>
      </c>
      <c r="L31" s="205">
        <f>SUM(J31:K31)</f>
        <v>0</v>
      </c>
      <c r="M31" s="205">
        <f>F31-I31</f>
        <v>0</v>
      </c>
      <c r="N31" s="206">
        <f>F31-L31</f>
        <v>0</v>
      </c>
      <c r="O31" s="67"/>
      <c r="P31" s="204">
        <v>0</v>
      </c>
      <c r="Q31" s="210">
        <v>0</v>
      </c>
      <c r="R31" s="101"/>
      <c r="S31" s="311" t="str">
        <f>+IF(MARZO!S31=0,"",MARZO!S31)</f>
        <v>2.1.1.01.03.001.01</v>
      </c>
      <c r="T31" s="312" t="str">
        <f>+IF(MARZO!T31=0,"",MARZO!T31)</f>
        <v>Vacaciones</v>
      </c>
      <c r="U31" s="373">
        <f>+ENERO!U31</f>
        <v>272160462.5</v>
      </c>
      <c r="V31" s="220">
        <f>MARZO!V31+ABRIL!AL31</f>
        <v>0</v>
      </c>
      <c r="W31" s="220">
        <f>MARZO!W31+ABRIL!AM31</f>
        <v>0</v>
      </c>
      <c r="X31" s="271">
        <f t="shared" si="17"/>
        <v>272160462.5</v>
      </c>
      <c r="Y31" s="270">
        <f>MARZO!AA31</f>
        <v>63445617</v>
      </c>
      <c r="Z31" s="208">
        <v>24511966</v>
      </c>
      <c r="AA31" s="271">
        <f t="shared" si="18"/>
        <v>87957583</v>
      </c>
      <c r="AB31" s="270">
        <f>MARZO!AD31</f>
        <v>63445617</v>
      </c>
      <c r="AC31" s="208">
        <v>24511966</v>
      </c>
      <c r="AD31" s="271">
        <f t="shared" si="19"/>
        <v>87957583</v>
      </c>
      <c r="AE31" s="270">
        <f>MARZO!AG31</f>
        <v>63445617</v>
      </c>
      <c r="AF31" s="208">
        <v>23130803</v>
      </c>
      <c r="AG31" s="271">
        <f t="shared" si="20"/>
        <v>86576420</v>
      </c>
      <c r="AH31" s="270">
        <f t="shared" si="21"/>
        <v>184202879.5</v>
      </c>
      <c r="AI31" s="220">
        <f t="shared" si="22"/>
        <v>184202879.5</v>
      </c>
      <c r="AJ31" s="269">
        <f t="shared" si="23"/>
        <v>185584042.5</v>
      </c>
      <c r="AK31" s="101"/>
      <c r="AL31" s="204">
        <v>0</v>
      </c>
      <c r="AM31" s="210">
        <v>0</v>
      </c>
      <c r="AN31" s="101"/>
      <c r="AO31" s="156"/>
      <c r="AP31" s="303" t="s">
        <v>190</v>
      </c>
      <c r="AQ31" s="338">
        <f>X257</f>
        <v>0.30987548828125</v>
      </c>
      <c r="AR31" s="338">
        <f>AD257</f>
        <v>-27861593703</v>
      </c>
      <c r="AS31" s="338">
        <f>AG257</f>
        <v>-43152271823</v>
      </c>
      <c r="AT31" s="338"/>
      <c r="AU31" s="205">
        <f t="shared" si="25"/>
        <v>-89912222026.778015</v>
      </c>
      <c r="AV31" s="205">
        <f t="shared" si="26"/>
        <v>-139256809444.16623</v>
      </c>
      <c r="AW31" s="205">
        <f>AQ31</f>
        <v>0.30987548828125</v>
      </c>
      <c r="AX31" s="205">
        <f>AQ31</f>
        <v>0.30987548828125</v>
      </c>
      <c r="AY31" s="205">
        <f t="shared" si="27"/>
        <v>0</v>
      </c>
      <c r="AZ31" s="206">
        <f t="shared" si="28"/>
        <v>0</v>
      </c>
      <c r="BA31" s="67"/>
      <c r="BB31" s="67"/>
      <c r="BC31" s="67"/>
      <c r="BD31" s="67"/>
      <c r="BE31" s="67"/>
      <c r="BF31" s="67"/>
      <c r="BG31" s="67"/>
      <c r="BH31" s="67"/>
      <c r="BI31" s="67"/>
      <c r="BJ31" s="67"/>
      <c r="BK31" s="67"/>
      <c r="BL31" s="67"/>
      <c r="BM31" s="759" t="s">
        <v>191</v>
      </c>
      <c r="BN31" s="340">
        <f>X261</f>
        <v>33146386787.222057</v>
      </c>
      <c r="BO31" s="340">
        <f>AA261</f>
        <v>23958890236</v>
      </c>
      <c r="BP31" s="340">
        <f>AD261</f>
        <v>23952690236</v>
      </c>
      <c r="BQ31" s="340">
        <f>AF261</f>
        <v>1097978895</v>
      </c>
    </row>
    <row r="32" spans="1:69" ht="24.75" customHeight="1" thickBot="1">
      <c r="A32" s="202" t="str">
        <f>+IF(MARZO!A32=0,"",MARZO!A32)</f>
        <v>1.1.02.05.001.09.02.15</v>
      </c>
      <c r="B32" s="345" t="str">
        <f>+IF(MARZO!B32=0,"",MARZO!B32)</f>
        <v>Prestación de Servicios de salud  2o. Nivel</v>
      </c>
      <c r="C32" s="270">
        <f t="shared" ref="C32:N32" si="32">SUM(C33:C34)</f>
        <v>1850957800</v>
      </c>
      <c r="D32" s="220">
        <f t="shared" si="32"/>
        <v>0</v>
      </c>
      <c r="E32" s="220">
        <f t="shared" si="32"/>
        <v>0</v>
      </c>
      <c r="F32" s="220">
        <f t="shared" si="32"/>
        <v>1850957800</v>
      </c>
      <c r="G32" s="220">
        <f t="shared" si="32"/>
        <v>704085709</v>
      </c>
      <c r="H32" s="220">
        <f t="shared" si="32"/>
        <v>99939447</v>
      </c>
      <c r="I32" s="220">
        <f t="shared" si="32"/>
        <v>804025156</v>
      </c>
      <c r="J32" s="220">
        <f t="shared" si="32"/>
        <v>374421483</v>
      </c>
      <c r="K32" s="220">
        <f t="shared" si="32"/>
        <v>76666764</v>
      </c>
      <c r="L32" s="220">
        <f t="shared" si="32"/>
        <v>451088247</v>
      </c>
      <c r="M32" s="220">
        <f t="shared" si="32"/>
        <v>1046932644</v>
      </c>
      <c r="N32" s="269">
        <f t="shared" si="32"/>
        <v>1399869553</v>
      </c>
      <c r="O32" s="67"/>
      <c r="P32" s="346">
        <f>SUM(P33:P34)</f>
        <v>0</v>
      </c>
      <c r="Q32" s="347">
        <f>SUM(Q33:Q34)</f>
        <v>0</v>
      </c>
      <c r="R32" s="101"/>
      <c r="S32" s="311" t="str">
        <f>+IF(MARZO!S32=0,"",MARZO!S32)</f>
        <v>1010104-12</v>
      </c>
      <c r="T32" s="312" t="str">
        <f>+IF(MARZO!T32=0,"",MARZO!T32)</f>
        <v/>
      </c>
      <c r="U32" s="373">
        <f>+ENERO!U32</f>
        <v>0</v>
      </c>
      <c r="V32" s="220">
        <f>MARZO!V32+ABRIL!AL32</f>
        <v>0</v>
      </c>
      <c r="W32" s="220">
        <f>MARZO!W32+ABRIL!AM32</f>
        <v>0</v>
      </c>
      <c r="X32" s="271">
        <f t="shared" si="17"/>
        <v>0</v>
      </c>
      <c r="Y32" s="270">
        <f>MARZO!AA32</f>
        <v>0</v>
      </c>
      <c r="Z32" s="208">
        <v>0</v>
      </c>
      <c r="AA32" s="271">
        <f t="shared" si="18"/>
        <v>0</v>
      </c>
      <c r="AB32" s="270">
        <f>MARZO!AD32</f>
        <v>0</v>
      </c>
      <c r="AC32" s="208">
        <v>0</v>
      </c>
      <c r="AD32" s="271">
        <f t="shared" si="19"/>
        <v>0</v>
      </c>
      <c r="AE32" s="270">
        <f>MARZO!AG32</f>
        <v>0</v>
      </c>
      <c r="AF32" s="208">
        <v>0</v>
      </c>
      <c r="AG32" s="271">
        <f t="shared" si="20"/>
        <v>0</v>
      </c>
      <c r="AH32" s="270">
        <f t="shared" si="21"/>
        <v>0</v>
      </c>
      <c r="AI32" s="220">
        <f t="shared" si="22"/>
        <v>0</v>
      </c>
      <c r="AJ32" s="269">
        <f t="shared" si="23"/>
        <v>0</v>
      </c>
      <c r="AK32" s="101"/>
      <c r="AL32" s="204">
        <v>0</v>
      </c>
      <c r="AM32" s="210">
        <v>0</v>
      </c>
      <c r="AN32" s="101"/>
      <c r="AO32" s="108"/>
      <c r="AP32" s="540" t="s">
        <v>194</v>
      </c>
      <c r="AQ32" s="260">
        <f>SUM(AQ22:AQ31)</f>
        <v>180751293571.47656</v>
      </c>
      <c r="AR32" s="260">
        <f>SUM(AR22:AR31)</f>
        <v>47688493852</v>
      </c>
      <c r="AS32" s="260">
        <f>SUM(AS22:AS31)</f>
        <v>0</v>
      </c>
      <c r="AT32" s="349"/>
      <c r="AU32" s="350">
        <f t="shared" si="25"/>
        <v>0.26383486895014663</v>
      </c>
      <c r="AV32" s="350">
        <f t="shared" si="26"/>
        <v>0</v>
      </c>
      <c r="AW32" s="158" t="e">
        <f>SUM(AW22:AW31)</f>
        <v>#REF!</v>
      </c>
      <c r="AX32" s="158" t="e">
        <f>SUM(AX22:AX31)</f>
        <v>#REF!</v>
      </c>
      <c r="AY32" s="158" t="e">
        <f>SUM(AY22:AY31)</f>
        <v>#REF!</v>
      </c>
      <c r="AZ32" s="159" t="e">
        <f>SUM(AZ22:AZ31)</f>
        <v>#REF!</v>
      </c>
      <c r="BA32" s="67"/>
      <c r="BB32" s="336"/>
      <c r="BC32" s="336"/>
      <c r="BD32" s="336"/>
      <c r="BE32" s="336"/>
      <c r="BF32" s="336"/>
      <c r="BG32" s="67"/>
      <c r="BH32" s="67"/>
      <c r="BI32" s="67"/>
      <c r="BJ32" s="67"/>
      <c r="BK32" s="67"/>
      <c r="BL32" s="101"/>
      <c r="BM32" s="759" t="s">
        <v>195</v>
      </c>
      <c r="BN32" s="340">
        <f>+BN7+BN25+BN29+BN30+BN31</f>
        <v>180751293571.16666</v>
      </c>
      <c r="BO32" s="340">
        <f>+BO7+BO25+BO29+BO30+BO31</f>
        <v>110768909888</v>
      </c>
      <c r="BP32" s="340">
        <f>+BP7+BP25+BP29+BP30+BP31</f>
        <v>74992597159</v>
      </c>
      <c r="BQ32" s="760">
        <f>+BQ7+BQ25+BQ29+BQ30+BQ31</f>
        <v>11361890433</v>
      </c>
    </row>
    <row r="33" spans="1:69" ht="24.75" customHeight="1" thickBot="1">
      <c r="A33" s="202" t="str">
        <f>+IF(MARZO!A33=0,"",MARZO!A33)</f>
        <v>1.1.02.05.001.09.02.15</v>
      </c>
      <c r="B33" s="331" t="str">
        <f>+CONCATENATE("Vigencia ",INSTRUCCIONES!$F$3)</f>
        <v>Vigencia 2025</v>
      </c>
      <c r="C33" s="204">
        <f>+ENERO!C33</f>
        <v>1140706891</v>
      </c>
      <c r="D33" s="205">
        <f>MARZO!D33+ABRIL!P33</f>
        <v>0</v>
      </c>
      <c r="E33" s="205">
        <f>MARZO!E33+ABRIL!Q33</f>
        <v>0</v>
      </c>
      <c r="F33" s="205">
        <f>SUM(C33:E33)</f>
        <v>1140706891</v>
      </c>
      <c r="G33" s="205">
        <f>MARZO!I33</f>
        <v>469765142</v>
      </c>
      <c r="H33" s="208">
        <f>61585182-85800</f>
        <v>61499382</v>
      </c>
      <c r="I33" s="680">
        <f>SUM(G33:H33)</f>
        <v>531264524</v>
      </c>
      <c r="J33" s="205">
        <f>MARZO!L33</f>
        <v>140100916</v>
      </c>
      <c r="K33" s="208">
        <v>38226699</v>
      </c>
      <c r="L33" s="680">
        <f>SUM(J33:K33)</f>
        <v>178327615</v>
      </c>
      <c r="M33" s="205">
        <f>F33-I33</f>
        <v>609442367</v>
      </c>
      <c r="N33" s="206">
        <f>F33-L33</f>
        <v>962379276</v>
      </c>
      <c r="O33" s="101"/>
      <c r="P33" s="204">
        <v>0</v>
      </c>
      <c r="Q33" s="210">
        <v>0</v>
      </c>
      <c r="R33" s="101"/>
      <c r="S33" s="266">
        <f>+IF(MARZO!S33=0,"",MARZO!S33)</f>
        <v>1010199</v>
      </c>
      <c r="T33" s="267" t="str">
        <f>+IF(MARZO!T33=0,"",MARZO!T33)</f>
        <v>Vigencias Anteriores</v>
      </c>
      <c r="U33" s="373">
        <f>+ENERO!U33</f>
        <v>0</v>
      </c>
      <c r="V33" s="220">
        <f>MARZO!V33+ABRIL!AL33</f>
        <v>0</v>
      </c>
      <c r="W33" s="220">
        <f>MARZO!W33+ABRIL!AM33</f>
        <v>0</v>
      </c>
      <c r="X33" s="271">
        <f t="shared" si="17"/>
        <v>0</v>
      </c>
      <c r="Y33" s="270">
        <f>MARZO!AA33</f>
        <v>0</v>
      </c>
      <c r="Z33" s="208">
        <v>0</v>
      </c>
      <c r="AA33" s="271">
        <f t="shared" si="18"/>
        <v>0</v>
      </c>
      <c r="AB33" s="270">
        <f>MARZO!AD33</f>
        <v>0</v>
      </c>
      <c r="AC33" s="208">
        <v>0</v>
      </c>
      <c r="AD33" s="271">
        <f t="shared" si="19"/>
        <v>0</v>
      </c>
      <c r="AE33" s="270">
        <f>MARZO!AG33</f>
        <v>0</v>
      </c>
      <c r="AF33" s="208">
        <v>0</v>
      </c>
      <c r="AG33" s="271">
        <f t="shared" si="20"/>
        <v>0</v>
      </c>
      <c r="AH33" s="270">
        <f t="shared" si="21"/>
        <v>0</v>
      </c>
      <c r="AI33" s="220">
        <f t="shared" si="22"/>
        <v>0</v>
      </c>
      <c r="AJ33" s="269">
        <f t="shared" si="23"/>
        <v>0</v>
      </c>
      <c r="AK33" s="101"/>
      <c r="AL33" s="204">
        <v>0</v>
      </c>
      <c r="AM33" s="210">
        <v>0</v>
      </c>
      <c r="AN33" s="101"/>
      <c r="AO33" s="156"/>
      <c r="AP33" s="351"/>
      <c r="AQ33" s="352">
        <f>IF((AQ32-X8)&lt;&gt;0,(AQ32-X8),"")</f>
        <v>0.309906005859375</v>
      </c>
      <c r="AR33" s="352"/>
      <c r="AS33" s="352"/>
      <c r="AT33" s="352"/>
      <c r="AU33" s="353"/>
      <c r="AV33" s="325"/>
      <c r="AW33" s="323"/>
      <c r="AX33" s="323"/>
      <c r="AY33" s="323"/>
      <c r="AZ33" s="326"/>
      <c r="BA33" s="67"/>
      <c r="BB33" s="336"/>
      <c r="BC33" s="336"/>
      <c r="BD33" s="336"/>
      <c r="BE33" s="336"/>
      <c r="BF33" s="336"/>
      <c r="BG33" s="67"/>
      <c r="BH33" s="67"/>
      <c r="BI33" s="67"/>
      <c r="BJ33" s="67"/>
      <c r="BK33" s="67"/>
      <c r="BL33" s="67"/>
      <c r="BM33" s="761" t="s">
        <v>197</v>
      </c>
      <c r="BN33" s="762">
        <f>X258</f>
        <v>0</v>
      </c>
      <c r="BO33" s="763">
        <f>AA258</f>
        <v>0</v>
      </c>
      <c r="BP33" s="763">
        <f>AD258</f>
        <v>0</v>
      </c>
      <c r="BQ33" s="764">
        <f>AF258</f>
        <v>0</v>
      </c>
    </row>
    <row r="34" spans="1:69" ht="24.75" customHeight="1" thickBot="1">
      <c r="A34" s="202" t="str">
        <f>+IF(MARZO!A34=0,"",MARZO!A34)</f>
        <v>1.1.02.05.001.09.02.15.99</v>
      </c>
      <c r="B34" s="331" t="str">
        <f>+IF(MARZO!B34=0,"",MARZO!B34)</f>
        <v>Vigencia Anterior</v>
      </c>
      <c r="C34" s="204">
        <f>+ENERO!C34</f>
        <v>710250909</v>
      </c>
      <c r="D34" s="205">
        <f>MARZO!D34+ABRIL!P34</f>
        <v>0</v>
      </c>
      <c r="E34" s="205">
        <f>MARZO!E34+ABRIL!Q34</f>
        <v>0</v>
      </c>
      <c r="F34" s="205">
        <f>SUM(C34:E34)</f>
        <v>710250909</v>
      </c>
      <c r="G34" s="205">
        <f>MARZO!I34</f>
        <v>234320567</v>
      </c>
      <c r="H34" s="208">
        <v>38440065</v>
      </c>
      <c r="I34" s="205">
        <f>SUM(G34:H34)</f>
        <v>272760632</v>
      </c>
      <c r="J34" s="205">
        <f>MARZO!L34</f>
        <v>234320567</v>
      </c>
      <c r="K34" s="208">
        <v>38440065</v>
      </c>
      <c r="L34" s="205">
        <f>SUM(J34:K34)</f>
        <v>272760632</v>
      </c>
      <c r="M34" s="205">
        <f>F34-I34</f>
        <v>437490277</v>
      </c>
      <c r="N34" s="205">
        <f>F34-L34</f>
        <v>437490277</v>
      </c>
      <c r="O34" s="67"/>
      <c r="P34" s="204">
        <v>0</v>
      </c>
      <c r="Q34" s="210">
        <v>0</v>
      </c>
      <c r="R34" s="101"/>
      <c r="S34" s="189" t="str">
        <f>+IF(MARZO!S34=0,"",MARZO!S34)</f>
        <v/>
      </c>
      <c r="T34" s="488" t="str">
        <f>+IF(MARZO!T34=0,"",MARZO!T34)</f>
        <v/>
      </c>
      <c r="U34" s="191"/>
      <c r="V34" s="191"/>
      <c r="W34" s="191"/>
      <c r="X34" s="191"/>
      <c r="Y34" s="191"/>
      <c r="Z34" s="191"/>
      <c r="AA34" s="191"/>
      <c r="AB34" s="191"/>
      <c r="AC34" s="191"/>
      <c r="AD34" s="191"/>
      <c r="AE34" s="191"/>
      <c r="AF34" s="191"/>
      <c r="AG34" s="191"/>
      <c r="AH34" s="191"/>
      <c r="AI34" s="191"/>
      <c r="AJ34" s="192"/>
      <c r="AK34" s="101"/>
      <c r="AL34" s="249"/>
      <c r="AM34" s="250"/>
      <c r="AN34" s="101"/>
      <c r="AO34" s="156"/>
      <c r="AP34" s="354"/>
      <c r="AQ34" s="101"/>
      <c r="AR34" s="101"/>
      <c r="AS34" s="101" t="s">
        <v>198</v>
      </c>
      <c r="AT34" s="101"/>
      <c r="AU34" s="355" t="s">
        <v>199</v>
      </c>
      <c r="AV34" s="356" t="s">
        <v>200</v>
      </c>
      <c r="AW34" s="243" t="s">
        <v>198</v>
      </c>
      <c r="AX34" s="243"/>
      <c r="AY34" s="243" t="s">
        <v>201</v>
      </c>
      <c r="AZ34" s="244" t="s">
        <v>202</v>
      </c>
      <c r="BA34" s="67"/>
      <c r="BB34" s="67"/>
      <c r="BC34" s="67"/>
      <c r="BD34" s="67"/>
      <c r="BE34" s="67"/>
      <c r="BF34" s="67"/>
      <c r="BG34" s="67"/>
      <c r="BH34" s="67"/>
      <c r="BI34" s="67"/>
      <c r="BJ34" s="67"/>
      <c r="BK34" s="67"/>
      <c r="BL34" s="67"/>
      <c r="BM34" s="101"/>
      <c r="BN34" s="101"/>
      <c r="BO34" s="101"/>
      <c r="BP34" s="101"/>
      <c r="BQ34" s="101"/>
    </row>
    <row r="35" spans="1:69" ht="24.75" customHeight="1">
      <c r="A35" s="202" t="str">
        <f>+IF(MARZO!A35=0,"",MARZO!A35)</f>
        <v>1130103-3</v>
      </c>
      <c r="B35" s="345" t="str">
        <f>+IF(MARZO!B35=0,"",MARZO!B35)</f>
        <v>Prestación de Servicios de salud  3o. Nivel</v>
      </c>
      <c r="C35" s="270">
        <f t="shared" ref="C35:N35" si="33">SUM(C36:C37)</f>
        <v>0</v>
      </c>
      <c r="D35" s="220">
        <f t="shared" si="33"/>
        <v>0</v>
      </c>
      <c r="E35" s="220">
        <f t="shared" si="33"/>
        <v>0</v>
      </c>
      <c r="F35" s="220">
        <f t="shared" si="33"/>
        <v>0</v>
      </c>
      <c r="G35" s="220">
        <f t="shared" si="33"/>
        <v>0</v>
      </c>
      <c r="H35" s="220">
        <f t="shared" si="33"/>
        <v>0</v>
      </c>
      <c r="I35" s="220">
        <f t="shared" si="33"/>
        <v>0</v>
      </c>
      <c r="J35" s="220">
        <f t="shared" si="33"/>
        <v>0</v>
      </c>
      <c r="K35" s="220">
        <f t="shared" si="33"/>
        <v>0</v>
      </c>
      <c r="L35" s="220">
        <f t="shared" si="33"/>
        <v>0</v>
      </c>
      <c r="M35" s="220">
        <f t="shared" si="33"/>
        <v>0</v>
      </c>
      <c r="N35" s="269">
        <f t="shared" si="33"/>
        <v>0</v>
      </c>
      <c r="O35" s="67"/>
      <c r="P35" s="346">
        <f>SUM(P36:P37)</f>
        <v>0</v>
      </c>
      <c r="Q35" s="347">
        <f>SUM(Q36:Q37)</f>
        <v>0</v>
      </c>
      <c r="R35" s="101"/>
      <c r="S35" s="257" t="str">
        <f>+IF(MARZO!S35=0,"",MARZO!S35)</f>
        <v>2.1.2.02.02.008</v>
      </c>
      <c r="T35" s="546" t="str">
        <f>+IF(MARZO!T35=0,"",MARZO!T35)</f>
        <v>Servicios Personales Indirectos</v>
      </c>
      <c r="U35" s="230">
        <f t="shared" ref="U35:AJ35" si="34">SUM(U36:U41)</f>
        <v>12514508007</v>
      </c>
      <c r="V35" s="231">
        <f t="shared" si="34"/>
        <v>783000000</v>
      </c>
      <c r="W35" s="231">
        <f t="shared" si="34"/>
        <v>0</v>
      </c>
      <c r="X35" s="234">
        <f t="shared" si="34"/>
        <v>13297508007</v>
      </c>
      <c r="Y35" s="233">
        <f t="shared" si="34"/>
        <v>10405706565</v>
      </c>
      <c r="Z35" s="231">
        <f t="shared" si="34"/>
        <v>5694000</v>
      </c>
      <c r="AA35" s="234">
        <f t="shared" si="34"/>
        <v>10411400565</v>
      </c>
      <c r="AB35" s="233">
        <f t="shared" si="34"/>
        <v>5874740075</v>
      </c>
      <c r="AC35" s="231">
        <f t="shared" si="34"/>
        <v>1339742460</v>
      </c>
      <c r="AD35" s="234">
        <f t="shared" si="34"/>
        <v>7214482535</v>
      </c>
      <c r="AE35" s="233">
        <f t="shared" si="34"/>
        <v>2694761310</v>
      </c>
      <c r="AF35" s="231">
        <f t="shared" si="34"/>
        <v>1090481463</v>
      </c>
      <c r="AG35" s="234">
        <f t="shared" si="34"/>
        <v>3785242773</v>
      </c>
      <c r="AH35" s="233">
        <f t="shared" si="34"/>
        <v>2886107442</v>
      </c>
      <c r="AI35" s="231">
        <f t="shared" si="34"/>
        <v>6083025472</v>
      </c>
      <c r="AJ35" s="232">
        <f t="shared" si="34"/>
        <v>9512265234</v>
      </c>
      <c r="AK35" s="101"/>
      <c r="AL35" s="233">
        <f>SUM(AL36:AL41)</f>
        <v>0</v>
      </c>
      <c r="AM35" s="232">
        <f>SUM(AM36:AM41)</f>
        <v>0</v>
      </c>
      <c r="AN35" s="101"/>
      <c r="AO35" s="156"/>
      <c r="AP35" s="358"/>
      <c r="AQ35" s="61"/>
      <c r="AR35" s="359"/>
      <c r="AS35" s="359"/>
      <c r="AT35" s="359"/>
      <c r="AU35" s="360">
        <f>AR17-AR32</f>
        <v>42667283745</v>
      </c>
      <c r="AV35" s="361">
        <f>AS17-AR32</f>
        <v>-147369367</v>
      </c>
      <c r="AW35" s="1329" t="s">
        <v>205</v>
      </c>
      <c r="AX35" s="1330"/>
      <c r="AY35" s="361" t="e">
        <f>AY17+AY32</f>
        <v>#REF!</v>
      </c>
      <c r="AZ35" s="362" t="e">
        <f>AZ17+AY32</f>
        <v>#REF!</v>
      </c>
      <c r="BA35" s="67"/>
      <c r="BB35" s="336"/>
      <c r="BC35" s="336"/>
      <c r="BD35" s="336"/>
      <c r="BE35" s="336"/>
      <c r="BF35" s="336"/>
      <c r="BG35" s="67"/>
      <c r="BH35" s="67"/>
      <c r="BI35" s="67"/>
      <c r="BJ35" s="67"/>
      <c r="BK35" s="67"/>
      <c r="BL35" s="67"/>
      <c r="BM35" s="67"/>
      <c r="BN35" s="67">
        <f>SUM(X263)</f>
        <v>180751293571.16666</v>
      </c>
      <c r="BO35" s="67"/>
      <c r="BP35" s="67"/>
      <c r="BQ35" s="67"/>
    </row>
    <row r="36" spans="1:69" ht="24.75" customHeight="1">
      <c r="A36" s="202" t="str">
        <f>+IF(MARZO!A36=0,"",MARZO!A36)</f>
        <v>1130103-3-1</v>
      </c>
      <c r="B36" s="331" t="str">
        <f>+CONCATENATE("Vigencia ",INSTRUCCIONES!$F$3)</f>
        <v>Vigencia 2025</v>
      </c>
      <c r="C36" s="204">
        <f>+ENERO!C36</f>
        <v>0</v>
      </c>
      <c r="D36" s="205">
        <f>MARZO!D36+ABRIL!P36</f>
        <v>0</v>
      </c>
      <c r="E36" s="205">
        <f>MARZO!E36+ABRIL!Q36</f>
        <v>0</v>
      </c>
      <c r="F36" s="205">
        <f t="shared" ref="F36:F41" si="35">SUM(C36:E36)</f>
        <v>0</v>
      </c>
      <c r="G36" s="205">
        <f>MARZO!I36</f>
        <v>0</v>
      </c>
      <c r="H36" s="208">
        <v>0</v>
      </c>
      <c r="I36" s="205">
        <f t="shared" ref="I36:I41" si="36">SUM(G36:H36)</f>
        <v>0</v>
      </c>
      <c r="J36" s="205">
        <f>MARZO!L36</f>
        <v>0</v>
      </c>
      <c r="K36" s="208">
        <v>0</v>
      </c>
      <c r="L36" s="205">
        <f t="shared" ref="L36:L41" si="37">SUM(J36:K36)</f>
        <v>0</v>
      </c>
      <c r="M36" s="205">
        <f t="shared" ref="M36:M41" si="38">F36-I36</f>
        <v>0</v>
      </c>
      <c r="N36" s="206">
        <f t="shared" ref="N36:N41" si="39">F36-L36</f>
        <v>0</v>
      </c>
      <c r="O36" s="101"/>
      <c r="P36" s="204">
        <v>0</v>
      </c>
      <c r="Q36" s="210">
        <v>0</v>
      </c>
      <c r="R36" s="101"/>
      <c r="S36" s="266" t="str">
        <f>+IF(MARZO!S36=0,"",MARZO!S36)</f>
        <v>2.1.2.02.02.008.802</v>
      </c>
      <c r="T36" s="267" t="str">
        <f>+IF(MARZO!T36=0,"",MARZO!T36)</f>
        <v>Servicios Personales Administrativos (Contador, Abogado, otros)</v>
      </c>
      <c r="U36" s="373">
        <f>+ENERO!U36</f>
        <v>771615965</v>
      </c>
      <c r="V36" s="220">
        <f>MARZO!V36+ABRIL!AL36</f>
        <v>0</v>
      </c>
      <c r="W36" s="220">
        <f>MARZO!W36+ABRIL!AM36</f>
        <v>0</v>
      </c>
      <c r="X36" s="271">
        <f t="shared" ref="X36:X41" si="40">SUM(U36:W36)</f>
        <v>771615965</v>
      </c>
      <c r="Y36" s="270">
        <f>MARZO!AA36</f>
        <v>241006980</v>
      </c>
      <c r="Z36" s="208">
        <v>0</v>
      </c>
      <c r="AA36" s="271">
        <f t="shared" ref="AA36:AA41" si="41">SUM(Y36:Z36)</f>
        <v>241006980</v>
      </c>
      <c r="AB36" s="270">
        <f>MARZO!AD36</f>
        <v>77404652</v>
      </c>
      <c r="AC36" s="208">
        <v>16717879</v>
      </c>
      <c r="AD36" s="271">
        <f t="shared" ref="AD36:AD41" si="42">SUM(AB36:AC36)</f>
        <v>94122531</v>
      </c>
      <c r="AE36" s="270">
        <f>MARZO!AG36</f>
        <v>54092126</v>
      </c>
      <c r="AF36" s="208">
        <v>18367311</v>
      </c>
      <c r="AG36" s="271">
        <f t="shared" ref="AG36:AG41" si="43">SUM(AE36:AF36)</f>
        <v>72459437</v>
      </c>
      <c r="AH36" s="270">
        <f t="shared" ref="AH36:AH41" si="44">X36-AA36</f>
        <v>530608985</v>
      </c>
      <c r="AI36" s="220">
        <f t="shared" ref="AI36:AI41" si="45">X36-AD36</f>
        <v>677493434</v>
      </c>
      <c r="AJ36" s="269">
        <f t="shared" ref="AJ36:AJ41" si="46">X36-AG36</f>
        <v>699156528</v>
      </c>
      <c r="AK36" s="101"/>
      <c r="AL36" s="204">
        <v>0</v>
      </c>
      <c r="AM36" s="210">
        <v>0</v>
      </c>
      <c r="AN36" s="101"/>
      <c r="AO36" s="363"/>
      <c r="AP36" s="364"/>
      <c r="AQ36" s="364"/>
      <c r="AR36" s="364"/>
      <c r="AS36" s="364"/>
      <c r="AT36" s="364"/>
      <c r="AU36" s="364"/>
      <c r="AV36" s="364"/>
      <c r="AW36" s="364"/>
      <c r="AX36" s="364"/>
      <c r="AY36" s="364"/>
      <c r="AZ36" s="365"/>
      <c r="BA36" s="67"/>
      <c r="BB36" s="336"/>
      <c r="BC36" s="336"/>
      <c r="BD36" s="336"/>
      <c r="BE36" s="336"/>
      <c r="BF36" s="336"/>
      <c r="BG36" s="67"/>
      <c r="BH36" s="67"/>
      <c r="BI36" s="67"/>
      <c r="BJ36" s="67"/>
      <c r="BK36" s="67"/>
      <c r="BL36" s="67"/>
      <c r="BM36" s="67"/>
      <c r="BN36" s="67">
        <f>SUM(BN32-BN35)</f>
        <v>0</v>
      </c>
      <c r="BO36" s="67"/>
      <c r="BP36" s="67"/>
      <c r="BQ36" s="67"/>
    </row>
    <row r="37" spans="1:69" ht="24.75" customHeight="1">
      <c r="A37" s="202" t="str">
        <f>+IF(MARZO!A37=0,"",MARZO!A37)</f>
        <v>1130103-3-2</v>
      </c>
      <c r="B37" s="331" t="str">
        <f>+IF(MARZO!B37=0,"",MARZO!B37)</f>
        <v>Vigencia Anterior</v>
      </c>
      <c r="C37" s="204">
        <f>+ENERO!C37</f>
        <v>0</v>
      </c>
      <c r="D37" s="205">
        <f>MARZO!D37+ABRIL!P37</f>
        <v>0</v>
      </c>
      <c r="E37" s="205">
        <f>MARZO!E37+ABRIL!Q37</f>
        <v>0</v>
      </c>
      <c r="F37" s="205">
        <f t="shared" si="35"/>
        <v>0</v>
      </c>
      <c r="G37" s="205">
        <f>MARZO!I37</f>
        <v>0</v>
      </c>
      <c r="H37" s="208">
        <v>0</v>
      </c>
      <c r="I37" s="205">
        <f t="shared" si="36"/>
        <v>0</v>
      </c>
      <c r="J37" s="205">
        <f>MARZO!L37</f>
        <v>0</v>
      </c>
      <c r="K37" s="208">
        <v>0</v>
      </c>
      <c r="L37" s="205">
        <f t="shared" si="37"/>
        <v>0</v>
      </c>
      <c r="M37" s="205">
        <f t="shared" si="38"/>
        <v>0</v>
      </c>
      <c r="N37" s="206">
        <f t="shared" si="39"/>
        <v>0</v>
      </c>
      <c r="O37" s="67"/>
      <c r="P37" s="204">
        <v>0</v>
      </c>
      <c r="Q37" s="210">
        <v>0</v>
      </c>
      <c r="R37" s="101"/>
      <c r="S37" s="266" t="str">
        <f>+IF(MARZO!S37=0,"",MARZO!S37)</f>
        <v>1010200-2</v>
      </c>
      <c r="T37" s="267" t="str">
        <f>+IF(MARZO!T37=0,"",MARZO!T37)</f>
        <v>Personal Supernumerario</v>
      </c>
      <c r="U37" s="373">
        <f>+ENERO!U37</f>
        <v>0</v>
      </c>
      <c r="V37" s="220">
        <f>MARZO!V37+ABRIL!AL37</f>
        <v>0</v>
      </c>
      <c r="W37" s="220">
        <f>MARZO!W37+ABRIL!AM37</f>
        <v>0</v>
      </c>
      <c r="X37" s="271">
        <f t="shared" si="40"/>
        <v>0</v>
      </c>
      <c r="Y37" s="270">
        <f>MARZO!AA37</f>
        <v>0</v>
      </c>
      <c r="Z37" s="208">
        <v>0</v>
      </c>
      <c r="AA37" s="271">
        <f t="shared" si="41"/>
        <v>0</v>
      </c>
      <c r="AB37" s="270">
        <f>MARZO!AD37</f>
        <v>0</v>
      </c>
      <c r="AC37" s="208">
        <v>0</v>
      </c>
      <c r="AD37" s="271">
        <f t="shared" si="42"/>
        <v>0</v>
      </c>
      <c r="AE37" s="270">
        <f>MARZO!AG37</f>
        <v>0</v>
      </c>
      <c r="AF37" s="208">
        <v>0</v>
      </c>
      <c r="AG37" s="271">
        <f t="shared" si="43"/>
        <v>0</v>
      </c>
      <c r="AH37" s="270">
        <f t="shared" si="44"/>
        <v>0</v>
      </c>
      <c r="AI37" s="220">
        <f t="shared" si="45"/>
        <v>0</v>
      </c>
      <c r="AJ37" s="269">
        <f t="shared" si="46"/>
        <v>0</v>
      </c>
      <c r="AK37" s="101"/>
      <c r="AL37" s="204">
        <v>0</v>
      </c>
      <c r="AM37" s="210">
        <v>0</v>
      </c>
      <c r="AN37" s="101"/>
      <c r="AO37" s="366" t="s">
        <v>209</v>
      </c>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row>
    <row r="38" spans="1:69" ht="24.75" customHeight="1">
      <c r="A38" s="367" t="str">
        <f>+IF(MARZO!A38=0,"",MARZO!A38)</f>
        <v>1130103-4</v>
      </c>
      <c r="B38" s="368" t="str">
        <f>+IF(MARZO!B38=0,"",MARZO!B38)</f>
        <v xml:space="preserve"> Aportes Patronales  1o. Nivel</v>
      </c>
      <c r="C38" s="204">
        <f>+ENERO!C38</f>
        <v>0</v>
      </c>
      <c r="D38" s="205">
        <f>MARZO!D38+ABRIL!P38</f>
        <v>0</v>
      </c>
      <c r="E38" s="205">
        <f>MARZO!E38+ABRIL!Q38</f>
        <v>0</v>
      </c>
      <c r="F38" s="205">
        <f t="shared" si="35"/>
        <v>0</v>
      </c>
      <c r="G38" s="205">
        <f>MARZO!I38</f>
        <v>0</v>
      </c>
      <c r="H38" s="208">
        <v>0</v>
      </c>
      <c r="I38" s="205">
        <f t="shared" si="36"/>
        <v>0</v>
      </c>
      <c r="J38" s="205">
        <f>MARZO!L38</f>
        <v>0</v>
      </c>
      <c r="K38" s="208">
        <v>0</v>
      </c>
      <c r="L38" s="205">
        <f t="shared" si="37"/>
        <v>0</v>
      </c>
      <c r="M38" s="205">
        <f t="shared" si="38"/>
        <v>0</v>
      </c>
      <c r="N38" s="206">
        <f t="shared" si="39"/>
        <v>0</v>
      </c>
      <c r="O38" s="369"/>
      <c r="P38" s="204">
        <v>0</v>
      </c>
      <c r="Q38" s="210">
        <v>0</v>
      </c>
      <c r="R38" s="101"/>
      <c r="S38" s="266" t="str">
        <f>+IF(MARZO!S38=0,"",MARZO!S38)</f>
        <v>2.1.2.02.02.008.810</v>
      </c>
      <c r="T38" s="267" t="str">
        <f>+IF(MARZO!T38=0,"",MARZO!T38)</f>
        <v>Honorarios de la Junta Directiva</v>
      </c>
      <c r="U38" s="373">
        <f>+ENERO!U38</f>
        <v>38518134</v>
      </c>
      <c r="V38" s="220">
        <f>MARZO!V38+ABRIL!AL38</f>
        <v>0</v>
      </c>
      <c r="W38" s="220">
        <f>MARZO!W38+ABRIL!AM38</f>
        <v>0</v>
      </c>
      <c r="X38" s="271">
        <f t="shared" si="40"/>
        <v>38518134</v>
      </c>
      <c r="Y38" s="270">
        <f>MARZO!AA38</f>
        <v>3558750</v>
      </c>
      <c r="Z38" s="208">
        <v>5694000</v>
      </c>
      <c r="AA38" s="271">
        <f t="shared" si="41"/>
        <v>9252750</v>
      </c>
      <c r="AB38" s="270">
        <f>MARZO!AD38</f>
        <v>3558750</v>
      </c>
      <c r="AC38" s="208">
        <v>0</v>
      </c>
      <c r="AD38" s="271">
        <f t="shared" si="42"/>
        <v>3558750</v>
      </c>
      <c r="AE38" s="270">
        <f>MARZO!AG38</f>
        <v>3558750</v>
      </c>
      <c r="AF38" s="208">
        <v>0</v>
      </c>
      <c r="AG38" s="271">
        <f t="shared" si="43"/>
        <v>3558750</v>
      </c>
      <c r="AH38" s="270">
        <f t="shared" si="44"/>
        <v>29265384</v>
      </c>
      <c r="AI38" s="220">
        <f t="shared" si="45"/>
        <v>34959384</v>
      </c>
      <c r="AJ38" s="269">
        <f t="shared" si="46"/>
        <v>34959384</v>
      </c>
      <c r="AK38" s="101"/>
      <c r="AL38" s="204">
        <v>0</v>
      </c>
      <c r="AM38" s="210">
        <v>0</v>
      </c>
      <c r="AN38" s="101"/>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row>
    <row r="39" spans="1:69" ht="24.75" customHeight="1">
      <c r="A39" s="367" t="str">
        <f>+IF(MARZO!A39=0,"",MARZO!A39)</f>
        <v>1130103-5</v>
      </c>
      <c r="B39" s="368" t="str">
        <f>+IF(MARZO!B39=0,"",MARZO!B39)</f>
        <v xml:space="preserve"> Aportes Patronales  2o. Nivel</v>
      </c>
      <c r="C39" s="204">
        <f>+ENERO!C39</f>
        <v>0</v>
      </c>
      <c r="D39" s="205">
        <f>MARZO!D39+ABRIL!P39</f>
        <v>0</v>
      </c>
      <c r="E39" s="205">
        <f>MARZO!E39+ABRIL!Q39</f>
        <v>0</v>
      </c>
      <c r="F39" s="205">
        <f t="shared" si="35"/>
        <v>0</v>
      </c>
      <c r="G39" s="205">
        <f>MARZO!I39</f>
        <v>0</v>
      </c>
      <c r="H39" s="208"/>
      <c r="I39" s="205">
        <f t="shared" si="36"/>
        <v>0</v>
      </c>
      <c r="J39" s="205">
        <f>MARZO!L39</f>
        <v>0</v>
      </c>
      <c r="K39" s="208">
        <v>0</v>
      </c>
      <c r="L39" s="205">
        <f t="shared" si="37"/>
        <v>0</v>
      </c>
      <c r="M39" s="205">
        <f t="shared" si="38"/>
        <v>0</v>
      </c>
      <c r="N39" s="206">
        <f t="shared" si="39"/>
        <v>0</v>
      </c>
      <c r="O39" s="369"/>
      <c r="P39" s="204">
        <v>0</v>
      </c>
      <c r="Q39" s="210">
        <v>0</v>
      </c>
      <c r="R39" s="101"/>
      <c r="S39" s="266" t="str">
        <f>+IF(MARZO!S39=0,"",MARZO!S39)</f>
        <v>2.1.2.02.02.009.906</v>
      </c>
      <c r="T39" s="267" t="str">
        <f>+IF(MARZO!T39=0,"",MARZO!T39)</f>
        <v>Servicios de Agremiación (administrativo)</v>
      </c>
      <c r="U39" s="373">
        <f>+ENERO!U39</f>
        <v>9849382921</v>
      </c>
      <c r="V39" s="220">
        <f>MARZO!V39+ABRIL!AL39</f>
        <v>0</v>
      </c>
      <c r="W39" s="220">
        <f>MARZO!W39+ABRIL!AM39</f>
        <v>0</v>
      </c>
      <c r="X39" s="271">
        <f t="shared" si="40"/>
        <v>9849382921</v>
      </c>
      <c r="Y39" s="270">
        <f>MARZO!AA39</f>
        <v>7524030401</v>
      </c>
      <c r="Z39" s="208">
        <v>0</v>
      </c>
      <c r="AA39" s="271">
        <f t="shared" si="41"/>
        <v>7524030401</v>
      </c>
      <c r="AB39" s="270">
        <f>MARZO!AD39</f>
        <v>3156666239</v>
      </c>
      <c r="AC39" s="208">
        <v>1323024581</v>
      </c>
      <c r="AD39" s="271">
        <f t="shared" si="42"/>
        <v>4479690820</v>
      </c>
      <c r="AE39" s="270">
        <f>MARZO!AG39</f>
        <v>0</v>
      </c>
      <c r="AF39" s="208">
        <v>1072114152</v>
      </c>
      <c r="AG39" s="271">
        <f t="shared" si="43"/>
        <v>1072114152</v>
      </c>
      <c r="AH39" s="270">
        <f t="shared" si="44"/>
        <v>2325352520</v>
      </c>
      <c r="AI39" s="220">
        <f t="shared" si="45"/>
        <v>5369692101</v>
      </c>
      <c r="AJ39" s="269">
        <f t="shared" si="46"/>
        <v>8777268769</v>
      </c>
      <c r="AK39" s="101"/>
      <c r="AL39" s="204">
        <v>0</v>
      </c>
      <c r="AM39" s="210">
        <v>0</v>
      </c>
      <c r="AN39" s="101"/>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row>
    <row r="40" spans="1:69" ht="24.75" customHeight="1">
      <c r="A40" s="367" t="str">
        <f>+IF(MARZO!A40=0,"",MARZO!A40)</f>
        <v>1130103-6</v>
      </c>
      <c r="B40" s="368" t="str">
        <f>+IF(MARZO!B40=0,"",MARZO!B40)</f>
        <v xml:space="preserve"> Aportes Patronales  3er. Nivel</v>
      </c>
      <c r="C40" s="204">
        <f>+ENERO!C40</f>
        <v>0</v>
      </c>
      <c r="D40" s="205">
        <f>MARZO!D40+ABRIL!P40</f>
        <v>0</v>
      </c>
      <c r="E40" s="205">
        <f>MARZO!E40+ABRIL!Q40</f>
        <v>0</v>
      </c>
      <c r="F40" s="205">
        <f t="shared" si="35"/>
        <v>0</v>
      </c>
      <c r="G40" s="205">
        <f>MARZO!I40</f>
        <v>0</v>
      </c>
      <c r="H40" s="208">
        <v>0</v>
      </c>
      <c r="I40" s="205">
        <f t="shared" si="36"/>
        <v>0</v>
      </c>
      <c r="J40" s="205">
        <f>MARZO!L40</f>
        <v>0</v>
      </c>
      <c r="K40" s="208">
        <v>0</v>
      </c>
      <c r="L40" s="205">
        <f t="shared" si="37"/>
        <v>0</v>
      </c>
      <c r="M40" s="205">
        <f t="shared" si="38"/>
        <v>0</v>
      </c>
      <c r="N40" s="206">
        <f t="shared" si="39"/>
        <v>0</v>
      </c>
      <c r="O40" s="369"/>
      <c r="P40" s="204">
        <v>0</v>
      </c>
      <c r="Q40" s="210">
        <v>0</v>
      </c>
      <c r="R40" s="101"/>
      <c r="S40" s="266" t="str">
        <f>+IF(MARZO!S40=0,"",MARZO!S40)</f>
        <v/>
      </c>
      <c r="T40" s="267" t="str">
        <f>+IF(MARZO!T40=0,"",MARZO!T40)</f>
        <v>Certificación, Habilitación y Acreditación</v>
      </c>
      <c r="U40" s="373">
        <f>+ENERO!U40</f>
        <v>0</v>
      </c>
      <c r="V40" s="220">
        <f>MARZO!V40+ABRIL!AL40</f>
        <v>0</v>
      </c>
      <c r="W40" s="220">
        <f>MARZO!W40+ABRIL!AM40</f>
        <v>0</v>
      </c>
      <c r="X40" s="271">
        <f t="shared" si="40"/>
        <v>0</v>
      </c>
      <c r="Y40" s="270">
        <f>MARZO!AA40</f>
        <v>0</v>
      </c>
      <c r="Z40" s="208">
        <v>0</v>
      </c>
      <c r="AA40" s="271">
        <f t="shared" si="41"/>
        <v>0</v>
      </c>
      <c r="AB40" s="270">
        <f>MARZO!AD40</f>
        <v>0</v>
      </c>
      <c r="AC40" s="208">
        <v>0</v>
      </c>
      <c r="AD40" s="271">
        <f t="shared" si="42"/>
        <v>0</v>
      </c>
      <c r="AE40" s="270">
        <f>MARZO!AG40</f>
        <v>0</v>
      </c>
      <c r="AF40" s="208">
        <v>0</v>
      </c>
      <c r="AG40" s="271">
        <f t="shared" si="43"/>
        <v>0</v>
      </c>
      <c r="AH40" s="270">
        <f t="shared" si="44"/>
        <v>0</v>
      </c>
      <c r="AI40" s="220">
        <f t="shared" si="45"/>
        <v>0</v>
      </c>
      <c r="AJ40" s="269">
        <f t="shared" si="46"/>
        <v>0</v>
      </c>
      <c r="AK40" s="101"/>
      <c r="AL40" s="204">
        <v>0</v>
      </c>
      <c r="AM40" s="210">
        <v>0</v>
      </c>
      <c r="AN40" s="101"/>
      <c r="AO40" s="67"/>
      <c r="AP40" s="67"/>
      <c r="AQ40" s="67"/>
      <c r="AR40" s="67"/>
      <c r="AS40" s="67"/>
      <c r="AT40" s="67"/>
      <c r="AU40" s="67"/>
      <c r="AV40" s="67"/>
      <c r="AW40" s="67"/>
      <c r="AX40" s="67"/>
      <c r="AY40" s="67"/>
      <c r="AZ40" s="67"/>
      <c r="BA40" s="67"/>
      <c r="BB40" s="336"/>
      <c r="BC40" s="336"/>
      <c r="BD40" s="336"/>
      <c r="BE40" s="336"/>
      <c r="BF40" s="67"/>
      <c r="BG40" s="67"/>
      <c r="BH40" s="67"/>
      <c r="BI40" s="67"/>
      <c r="BJ40" s="67"/>
      <c r="BK40" s="67"/>
      <c r="BL40" s="67"/>
      <c r="BM40" s="67"/>
      <c r="BN40" s="67"/>
      <c r="BO40" s="67"/>
      <c r="BP40" s="67"/>
      <c r="BQ40" s="67"/>
    </row>
    <row r="41" spans="1:69" ht="24.75" customHeight="1">
      <c r="A41" s="286">
        <f>+IF(MARZO!A41=0,"",MARZO!A41)</f>
        <v>1130104</v>
      </c>
      <c r="B41" s="319" t="str">
        <f>+IF(MARZO!B41=0,"",MARZO!B41)</f>
        <v>SUBSIDIO A LA OFERTA- ACTIVIDADES NO POS-S</v>
      </c>
      <c r="C41" s="204">
        <f>+ENERO!C41</f>
        <v>0</v>
      </c>
      <c r="D41" s="231">
        <f>MARZO!D41+ABRIL!P41</f>
        <v>0</v>
      </c>
      <c r="E41" s="231">
        <f>MARZO!E41+ABRIL!Q41</f>
        <v>0</v>
      </c>
      <c r="F41" s="231">
        <f t="shared" si="35"/>
        <v>0</v>
      </c>
      <c r="G41" s="231">
        <f>MARZO!I41</f>
        <v>0</v>
      </c>
      <c r="H41" s="208">
        <v>0</v>
      </c>
      <c r="I41" s="231">
        <f t="shared" si="36"/>
        <v>0</v>
      </c>
      <c r="J41" s="231">
        <f>MARZO!L41</f>
        <v>0</v>
      </c>
      <c r="K41" s="208">
        <v>0</v>
      </c>
      <c r="L41" s="231">
        <f t="shared" si="37"/>
        <v>0</v>
      </c>
      <c r="M41" s="231">
        <f t="shared" si="38"/>
        <v>0</v>
      </c>
      <c r="N41" s="232">
        <f t="shared" si="39"/>
        <v>0</v>
      </c>
      <c r="O41" s="67"/>
      <c r="P41" s="208">
        <v>0</v>
      </c>
      <c r="Q41" s="210">
        <v>0</v>
      </c>
      <c r="R41" s="101"/>
      <c r="S41" s="266" t="str">
        <f>+IF(MARZO!S41=0,"",MARZO!S41)</f>
        <v>2.1.2.02.02.009.99.02</v>
      </c>
      <c r="T41" s="267" t="str">
        <f>+IF(MARZO!T41=0,"",MARZO!T41)</f>
        <v>Vigencias Anteriores servicios de agremiacion</v>
      </c>
      <c r="U41" s="373">
        <f>+ENERO!U41</f>
        <v>1854990987</v>
      </c>
      <c r="V41" s="220">
        <f>MARZO!V41+ABRIL!AL41</f>
        <v>783000000</v>
      </c>
      <c r="W41" s="220">
        <f>MARZO!W41+ABRIL!AM41</f>
        <v>0</v>
      </c>
      <c r="X41" s="271">
        <f t="shared" si="40"/>
        <v>2637990987</v>
      </c>
      <c r="Y41" s="270">
        <f>MARZO!AA41</f>
        <v>2637110434</v>
      </c>
      <c r="Z41" s="208">
        <v>0</v>
      </c>
      <c r="AA41" s="271">
        <f t="shared" si="41"/>
        <v>2637110434</v>
      </c>
      <c r="AB41" s="270">
        <f>MARZO!AD41</f>
        <v>2637110434</v>
      </c>
      <c r="AC41" s="208">
        <v>0</v>
      </c>
      <c r="AD41" s="271">
        <f t="shared" si="42"/>
        <v>2637110434</v>
      </c>
      <c r="AE41" s="270">
        <f>MARZO!AG41</f>
        <v>2637110434</v>
      </c>
      <c r="AF41" s="208">
        <v>0</v>
      </c>
      <c r="AG41" s="271">
        <f t="shared" si="43"/>
        <v>2637110434</v>
      </c>
      <c r="AH41" s="270">
        <f t="shared" si="44"/>
        <v>880553</v>
      </c>
      <c r="AI41" s="220">
        <f t="shared" si="45"/>
        <v>880553</v>
      </c>
      <c r="AJ41" s="269">
        <f t="shared" si="46"/>
        <v>880553</v>
      </c>
      <c r="AK41" s="101"/>
      <c r="AL41" s="204">
        <v>0</v>
      </c>
      <c r="AM41" s="210">
        <v>0</v>
      </c>
      <c r="AN41" s="101"/>
      <c r="AO41" s="67"/>
      <c r="AP41" s="67"/>
      <c r="AQ41" s="67"/>
      <c r="AR41" s="67"/>
      <c r="AS41" s="67"/>
      <c r="AT41" s="67"/>
      <c r="AU41" s="67"/>
      <c r="AV41" s="67"/>
      <c r="AW41" s="67"/>
      <c r="AX41" s="67"/>
      <c r="AY41" s="67"/>
      <c r="AZ41" s="67"/>
      <c r="BA41" s="67"/>
      <c r="BB41" s="336"/>
      <c r="BC41" s="336"/>
      <c r="BD41" s="336"/>
      <c r="BE41" s="336"/>
      <c r="BF41" s="67"/>
      <c r="BG41" s="67"/>
      <c r="BH41" s="67"/>
      <c r="BI41" s="67"/>
      <c r="BJ41" s="67"/>
      <c r="BK41" s="67"/>
      <c r="BL41" s="67"/>
      <c r="BM41" s="336"/>
      <c r="BN41" s="336"/>
      <c r="BO41" s="336"/>
      <c r="BP41" s="336"/>
      <c r="BQ41" s="336"/>
    </row>
    <row r="42" spans="1:69" ht="24.75" customHeight="1">
      <c r="A42" s="286" t="str">
        <f>+IF(MARZO!A42=0,"",MARZO!A42)</f>
        <v>1.1.02.05.001.09.02.03</v>
      </c>
      <c r="B42" s="319" t="str">
        <f>+IF(MARZO!B42=0,"",MARZO!B42)</f>
        <v>SALUD PUBLICA - PLAN DE INTERVENCIONES COLECTIVAS</v>
      </c>
      <c r="C42" s="288">
        <f t="shared" ref="C42:N42" si="47">SUM(C43:C44)</f>
        <v>287170800</v>
      </c>
      <c r="D42" s="320">
        <f t="shared" si="47"/>
        <v>0</v>
      </c>
      <c r="E42" s="320">
        <f t="shared" si="47"/>
        <v>0</v>
      </c>
      <c r="F42" s="320">
        <f t="shared" si="47"/>
        <v>287170800</v>
      </c>
      <c r="G42" s="320">
        <f t="shared" si="47"/>
        <v>155213650</v>
      </c>
      <c r="H42" s="320">
        <f t="shared" si="47"/>
        <v>1738437</v>
      </c>
      <c r="I42" s="320">
        <f t="shared" si="47"/>
        <v>156952087</v>
      </c>
      <c r="J42" s="320">
        <f t="shared" si="47"/>
        <v>142945149</v>
      </c>
      <c r="K42" s="320">
        <f t="shared" si="47"/>
        <v>796800</v>
      </c>
      <c r="L42" s="320">
        <f t="shared" si="47"/>
        <v>143741949</v>
      </c>
      <c r="M42" s="320">
        <f t="shared" si="47"/>
        <v>130218713</v>
      </c>
      <c r="N42" s="289">
        <f t="shared" si="47"/>
        <v>143428851</v>
      </c>
      <c r="O42" s="67"/>
      <c r="P42" s="288">
        <f>SUM(P43:P44)</f>
        <v>0</v>
      </c>
      <c r="Q42" s="289">
        <f>SUM(Q43:Q44)</f>
        <v>0</v>
      </c>
      <c r="R42" s="101"/>
      <c r="S42" s="189">
        <f>+IF(MARZO!S42=0,"",MARZO!S42)</f>
        <v>1130106</v>
      </c>
      <c r="T42" s="488" t="str">
        <f>+IF(MARZO!T42=0,"",MARZO!T42)</f>
        <v/>
      </c>
      <c r="U42" s="191"/>
      <c r="V42" s="191"/>
      <c r="W42" s="191"/>
      <c r="X42" s="191"/>
      <c r="Y42" s="191"/>
      <c r="Z42" s="191"/>
      <c r="AA42" s="191"/>
      <c r="AB42" s="191"/>
      <c r="AC42" s="191"/>
      <c r="AD42" s="271"/>
      <c r="AE42" s="191"/>
      <c r="AF42" s="191"/>
      <c r="AG42" s="191"/>
      <c r="AH42" s="191"/>
      <c r="AI42" s="191"/>
      <c r="AJ42" s="192"/>
      <c r="AK42" s="216"/>
      <c r="AL42" s="370"/>
      <c r="AM42" s="371"/>
      <c r="AN42" s="101"/>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row>
    <row r="43" spans="1:69" ht="24.75" customHeight="1">
      <c r="A43" s="202" t="str">
        <f>+IF(MARZO!A43=0,"",MARZO!A43)</f>
        <v>1.1.02.05.001.09.02.03</v>
      </c>
      <c r="B43" s="331" t="str">
        <f>+CONCATENATE("Vigencia ",INSTRUCCIONES!$F$3)</f>
        <v>Vigencia 2025</v>
      </c>
      <c r="C43" s="204">
        <f>+ENERO!C43</f>
        <v>0</v>
      </c>
      <c r="D43" s="205">
        <f>MARZO!D43+ABRIL!P43</f>
        <v>0</v>
      </c>
      <c r="E43" s="205">
        <f>MARZO!E43+ABRIL!Q43</f>
        <v>0</v>
      </c>
      <c r="F43" s="205">
        <f>SUM(C43:E43)</f>
        <v>0</v>
      </c>
      <c r="G43" s="205">
        <f>MARZO!I43</f>
        <v>15112734</v>
      </c>
      <c r="H43" s="208">
        <f>301600+1441237-85800</f>
        <v>1657037</v>
      </c>
      <c r="I43" s="205">
        <f>SUM(G43:H43)</f>
        <v>16769771</v>
      </c>
      <c r="J43" s="205">
        <f>MARZO!L43</f>
        <v>2844233</v>
      </c>
      <c r="K43" s="208">
        <v>715400</v>
      </c>
      <c r="L43" s="205">
        <f>SUM(J43:K43)</f>
        <v>3559633</v>
      </c>
      <c r="M43" s="205">
        <f>F43-I43</f>
        <v>-16769771</v>
      </c>
      <c r="N43" s="206">
        <f>F43-L43</f>
        <v>-3559633</v>
      </c>
      <c r="O43" s="67"/>
      <c r="P43" s="204">
        <v>0</v>
      </c>
      <c r="Q43" s="210">
        <v>0</v>
      </c>
      <c r="R43" s="101"/>
      <c r="S43" s="257">
        <f>+IF(MARZO!S43=0,"",MARZO!S43)</f>
        <v>1010300</v>
      </c>
      <c r="T43" s="546" t="str">
        <f>+IF(MARZO!T43=0,"",MARZO!T43)</f>
        <v>Contribuciones Inherentes nómina al Sector Privado</v>
      </c>
      <c r="U43" s="230">
        <f t="shared" ref="U43:AJ43" si="48">U44+U49+U55</f>
        <v>2871199937.9625015</v>
      </c>
      <c r="V43" s="231">
        <f t="shared" si="48"/>
        <v>0</v>
      </c>
      <c r="W43" s="231">
        <f t="shared" si="48"/>
        <v>0</v>
      </c>
      <c r="X43" s="234">
        <f t="shared" si="48"/>
        <v>2871199937.9625015</v>
      </c>
      <c r="Y43" s="233">
        <f t="shared" si="48"/>
        <v>899255381</v>
      </c>
      <c r="Z43" s="231">
        <f t="shared" si="48"/>
        <v>176827081</v>
      </c>
      <c r="AA43" s="234">
        <f t="shared" si="48"/>
        <v>1076082462</v>
      </c>
      <c r="AB43" s="233">
        <f t="shared" si="48"/>
        <v>899255381</v>
      </c>
      <c r="AC43" s="231">
        <f t="shared" si="48"/>
        <v>176827081</v>
      </c>
      <c r="AD43" s="271">
        <f t="shared" si="48"/>
        <v>1076082462</v>
      </c>
      <c r="AE43" s="233">
        <f t="shared" si="48"/>
        <v>899255381</v>
      </c>
      <c r="AF43" s="231">
        <f t="shared" si="48"/>
        <v>114753797</v>
      </c>
      <c r="AG43" s="234">
        <f t="shared" si="48"/>
        <v>1014009178</v>
      </c>
      <c r="AH43" s="233">
        <f t="shared" si="48"/>
        <v>1795117475.9625013</v>
      </c>
      <c r="AI43" s="231">
        <f t="shared" si="48"/>
        <v>1795117475.9625013</v>
      </c>
      <c r="AJ43" s="232">
        <f t="shared" si="48"/>
        <v>1857190759.9625013</v>
      </c>
      <c r="AK43" s="101"/>
      <c r="AL43" s="233">
        <f>AL44+AL49+AL55</f>
        <v>0</v>
      </c>
      <c r="AM43" s="232">
        <f>AM44+AM49+AM55</f>
        <v>0</v>
      </c>
      <c r="AN43" s="101"/>
      <c r="AO43" s="67"/>
      <c r="AP43" s="372"/>
      <c r="AQ43" s="67"/>
      <c r="AR43" s="67"/>
      <c r="AS43" s="67"/>
      <c r="AT43" s="67"/>
      <c r="AU43" s="67"/>
      <c r="AV43" s="67"/>
      <c r="AW43" s="67"/>
      <c r="AX43" s="67"/>
      <c r="AY43" s="67"/>
      <c r="AZ43" s="67"/>
      <c r="BA43" s="67"/>
      <c r="BB43" s="336"/>
      <c r="BC43" s="336"/>
      <c r="BD43" s="336"/>
      <c r="BE43" s="336"/>
      <c r="BF43" s="67"/>
      <c r="BG43" s="67"/>
      <c r="BH43" s="67"/>
      <c r="BI43" s="67"/>
      <c r="BJ43" s="67"/>
      <c r="BK43" s="67"/>
      <c r="BL43" s="67"/>
      <c r="BM43" s="67"/>
      <c r="BN43" s="67"/>
      <c r="BO43" s="67"/>
      <c r="BP43" s="67"/>
      <c r="BQ43" s="67"/>
    </row>
    <row r="44" spans="1:69" ht="24.75" customHeight="1">
      <c r="A44" s="202" t="str">
        <f>+IF(MARZO!A44=0,"",MARZO!A44)</f>
        <v>1.1.02.05.001.09.02.03.99</v>
      </c>
      <c r="B44" s="331" t="str">
        <f>+IF(MARZO!B44=0,"",MARZO!B44)</f>
        <v>Vigencia Anterior</v>
      </c>
      <c r="C44" s="204">
        <f>+ENERO!C44</f>
        <v>287170800</v>
      </c>
      <c r="D44" s="205">
        <f>MARZO!D44+ABRIL!P44</f>
        <v>0</v>
      </c>
      <c r="E44" s="205">
        <f>MARZO!E44+ABRIL!Q44</f>
        <v>0</v>
      </c>
      <c r="F44" s="205">
        <f>SUM(C44:E44)</f>
        <v>287170800</v>
      </c>
      <c r="G44" s="205">
        <f>MARZO!I44</f>
        <v>140100916</v>
      </c>
      <c r="H44" s="208">
        <v>81400</v>
      </c>
      <c r="I44" s="205">
        <f>SUM(G44:H44)</f>
        <v>140182316</v>
      </c>
      <c r="J44" s="205">
        <f>MARZO!L44</f>
        <v>140100916</v>
      </c>
      <c r="K44" s="208">
        <v>81400</v>
      </c>
      <c r="L44" s="205">
        <f>SUM(J44:K44)</f>
        <v>140182316</v>
      </c>
      <c r="M44" s="205">
        <f>F44-I44</f>
        <v>146988484</v>
      </c>
      <c r="N44" s="206">
        <f>F44-L44</f>
        <v>146988484</v>
      </c>
      <c r="O44" s="67"/>
      <c r="P44" s="204">
        <v>0</v>
      </c>
      <c r="Q44" s="210">
        <v>0</v>
      </c>
      <c r="R44" s="101"/>
      <c r="S44" s="266">
        <f>+IF(MARZO!S44=0,"",MARZO!S44)</f>
        <v>1010301</v>
      </c>
      <c r="T44" s="267" t="str">
        <f>+IF(MARZO!T44=0,"",MARZO!T44)</f>
        <v>Contribuciones - SGP - Aportes Patronales - Cuenta Maestra</v>
      </c>
      <c r="U44" s="373">
        <f t="shared" ref="U44:AJ44" si="49">SUM(U45:U48)</f>
        <v>0</v>
      </c>
      <c r="V44" s="220">
        <f t="shared" si="49"/>
        <v>0</v>
      </c>
      <c r="W44" s="220">
        <f t="shared" si="49"/>
        <v>0</v>
      </c>
      <c r="X44" s="271">
        <f t="shared" si="49"/>
        <v>0</v>
      </c>
      <c r="Y44" s="270">
        <f t="shared" si="49"/>
        <v>0</v>
      </c>
      <c r="Z44" s="300">
        <f t="shared" si="49"/>
        <v>0</v>
      </c>
      <c r="AA44" s="271">
        <f t="shared" si="49"/>
        <v>0</v>
      </c>
      <c r="AB44" s="270">
        <f t="shared" si="49"/>
        <v>0</v>
      </c>
      <c r="AC44" s="300">
        <f t="shared" si="49"/>
        <v>0</v>
      </c>
      <c r="AD44" s="271">
        <f t="shared" si="49"/>
        <v>0</v>
      </c>
      <c r="AE44" s="270">
        <f t="shared" si="49"/>
        <v>0</v>
      </c>
      <c r="AF44" s="300">
        <f t="shared" si="49"/>
        <v>0</v>
      </c>
      <c r="AG44" s="271">
        <f t="shared" si="49"/>
        <v>0</v>
      </c>
      <c r="AH44" s="270">
        <f t="shared" si="49"/>
        <v>0</v>
      </c>
      <c r="AI44" s="220">
        <f t="shared" si="49"/>
        <v>0</v>
      </c>
      <c r="AJ44" s="269">
        <f t="shared" si="49"/>
        <v>0</v>
      </c>
      <c r="AK44" s="101"/>
      <c r="AL44" s="301">
        <f>SUM(AL45:AL48)</f>
        <v>0</v>
      </c>
      <c r="AM44" s="302">
        <f>SUM(AM45:AM48)</f>
        <v>0</v>
      </c>
      <c r="AN44" s="101"/>
      <c r="AO44" s="67"/>
      <c r="AP44" s="67"/>
      <c r="AQ44" s="67"/>
      <c r="AR44" s="67"/>
      <c r="AS44" s="67"/>
      <c r="AT44" s="67"/>
      <c r="AU44" s="67"/>
      <c r="AV44" s="67"/>
      <c r="AW44" s="67"/>
      <c r="AX44" s="67"/>
      <c r="AY44" s="67"/>
      <c r="AZ44" s="67"/>
      <c r="BA44" s="67"/>
      <c r="BB44" s="336"/>
      <c r="BC44" s="336"/>
      <c r="BD44" s="336"/>
      <c r="BE44" s="336"/>
      <c r="BF44" s="67"/>
      <c r="BG44" s="67"/>
      <c r="BH44" s="67"/>
      <c r="BI44" s="67"/>
      <c r="BJ44" s="67"/>
      <c r="BK44" s="67"/>
      <c r="BL44" s="67"/>
      <c r="BM44" s="67"/>
      <c r="BN44" s="67"/>
      <c r="BO44" s="67"/>
      <c r="BP44" s="67"/>
      <c r="BQ44" s="67"/>
    </row>
    <row r="45" spans="1:69" ht="24.75" customHeight="1">
      <c r="A45" s="286" t="str">
        <f>+IF(MARZO!A45=0,"",MARZO!A45)</f>
        <v>1.1.02.05.001.09.02.04</v>
      </c>
      <c r="B45" s="319" t="str">
        <f>+IF(MARZO!B45=0,"",MARZO!B45)</f>
        <v>EVENTOS CATASTROFICOS Y ACCIDENTES DE TRANSITO</v>
      </c>
      <c r="C45" s="288">
        <f t="shared" ref="C45:N45" si="50">SUM(C46:C47)</f>
        <v>1301505717</v>
      </c>
      <c r="D45" s="320">
        <f t="shared" si="50"/>
        <v>0</v>
      </c>
      <c r="E45" s="320">
        <f t="shared" si="50"/>
        <v>0</v>
      </c>
      <c r="F45" s="320">
        <f t="shared" si="50"/>
        <v>1301505717</v>
      </c>
      <c r="G45" s="320">
        <f t="shared" si="50"/>
        <v>185318299</v>
      </c>
      <c r="H45" s="320">
        <f t="shared" si="50"/>
        <v>48646739</v>
      </c>
      <c r="I45" s="320">
        <f t="shared" si="50"/>
        <v>233965038</v>
      </c>
      <c r="J45" s="320">
        <f t="shared" si="50"/>
        <v>61316442</v>
      </c>
      <c r="K45" s="320">
        <f t="shared" si="50"/>
        <v>27853418</v>
      </c>
      <c r="L45" s="320">
        <f t="shared" si="50"/>
        <v>89169860</v>
      </c>
      <c r="M45" s="320">
        <f t="shared" si="50"/>
        <v>1067540679</v>
      </c>
      <c r="N45" s="289">
        <f t="shared" si="50"/>
        <v>1212335857</v>
      </c>
      <c r="O45" s="67"/>
      <c r="P45" s="288">
        <f>SUM(P46:P47)</f>
        <v>0</v>
      </c>
      <c r="Q45" s="289">
        <f>SUM(Q46:Q47)</f>
        <v>0</v>
      </c>
      <c r="R45" s="101"/>
      <c r="S45" s="311" t="str">
        <f>+IF(MARZO!S45=0,"",MARZO!S45)</f>
        <v>1010301-1</v>
      </c>
      <c r="T45" s="312" t="str">
        <f>+IF(MARZO!T45=0,"",MARZO!T45)</f>
        <v>E.P.S. - Aportes cuenta maestra</v>
      </c>
      <c r="U45" s="373">
        <f>+ENERO!U45</f>
        <v>0</v>
      </c>
      <c r="V45" s="220">
        <f>MARZO!V45+ABRIL!AL45</f>
        <v>0</v>
      </c>
      <c r="W45" s="220">
        <f>MARZO!W45+ABRIL!AM45</f>
        <v>0</v>
      </c>
      <c r="X45" s="271">
        <f>SUM(U45:W45)</f>
        <v>0</v>
      </c>
      <c r="Y45" s="270">
        <f>MARZO!AA45</f>
        <v>0</v>
      </c>
      <c r="Z45" s="208">
        <v>0</v>
      </c>
      <c r="AA45" s="271">
        <f>SUM(Y45:Z45)</f>
        <v>0</v>
      </c>
      <c r="AB45" s="270">
        <f>MARZO!AD45</f>
        <v>0</v>
      </c>
      <c r="AC45" s="208">
        <v>0</v>
      </c>
      <c r="AD45" s="271">
        <f>SUM(AB45:AC45)</f>
        <v>0</v>
      </c>
      <c r="AE45" s="270">
        <f>MARZO!AG45</f>
        <v>0</v>
      </c>
      <c r="AF45" s="208">
        <v>0</v>
      </c>
      <c r="AG45" s="271">
        <f>SUM(AE45:AF45)</f>
        <v>0</v>
      </c>
      <c r="AH45" s="270">
        <f>X45-AA45</f>
        <v>0</v>
      </c>
      <c r="AI45" s="220">
        <f>X45-AD45</f>
        <v>0</v>
      </c>
      <c r="AJ45" s="269">
        <f>X45-AG45</f>
        <v>0</v>
      </c>
      <c r="AK45" s="101"/>
      <c r="AL45" s="204">
        <v>0</v>
      </c>
      <c r="AM45" s="210">
        <v>0</v>
      </c>
      <c r="AN45" s="101"/>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row>
    <row r="46" spans="1:69" ht="24.75" customHeight="1">
      <c r="A46" s="202" t="str">
        <f>+IF(MARZO!A46=0,"",MARZO!A46)</f>
        <v>1.1.02.05.001.09.02.04</v>
      </c>
      <c r="B46" s="331" t="str">
        <f>+CONCATENATE("Vigencia ",INSTRUCCIONES!$F$3)</f>
        <v>Vigencia 2025</v>
      </c>
      <c r="C46" s="204">
        <f>+ENERO!C46</f>
        <v>795758987</v>
      </c>
      <c r="D46" s="205">
        <f>MARZO!D46+ABRIL!P46</f>
        <v>0</v>
      </c>
      <c r="E46" s="205">
        <f>MARZO!E46+ABRIL!Q46</f>
        <v>0</v>
      </c>
      <c r="F46" s="205">
        <f>SUM(C46:E46)</f>
        <v>795758987</v>
      </c>
      <c r="G46" s="205">
        <f>MARZO!I46</f>
        <v>128217244</v>
      </c>
      <c r="H46" s="208">
        <f>21049721-256400</f>
        <v>20793321</v>
      </c>
      <c r="I46" s="205">
        <f>SUM(G46:H46)</f>
        <v>149010565</v>
      </c>
      <c r="J46" s="205">
        <f>MARZO!L46</f>
        <v>4215387</v>
      </c>
      <c r="K46" s="208">
        <v>0</v>
      </c>
      <c r="L46" s="205">
        <f>SUM(J46:K46)</f>
        <v>4215387</v>
      </c>
      <c r="M46" s="205">
        <f>F46-I46</f>
        <v>646748422</v>
      </c>
      <c r="N46" s="206">
        <f>F46-L46</f>
        <v>791543600</v>
      </c>
      <c r="O46" s="67"/>
      <c r="P46" s="204">
        <v>0</v>
      </c>
      <c r="Q46" s="210">
        <v>0</v>
      </c>
      <c r="R46" s="101"/>
      <c r="S46" s="311" t="str">
        <f>+IF(MARZO!S46=0,"",MARZO!S46)</f>
        <v>1010301-2</v>
      </c>
      <c r="T46" s="312" t="str">
        <f>+IF(MARZO!T46=0,"",MARZO!T46)</f>
        <v>Fondos pensionales - Aportes cuenta maestra</v>
      </c>
      <c r="U46" s="373">
        <f>+ENERO!U46</f>
        <v>0</v>
      </c>
      <c r="V46" s="220">
        <f>MARZO!V46+ABRIL!AL46</f>
        <v>0</v>
      </c>
      <c r="W46" s="220">
        <f>MARZO!W46+ABRIL!AM46</f>
        <v>0</v>
      </c>
      <c r="X46" s="271">
        <f>SUM(U46:W46)</f>
        <v>0</v>
      </c>
      <c r="Y46" s="270">
        <f>MARZO!AA46</f>
        <v>0</v>
      </c>
      <c r="Z46" s="208">
        <v>0</v>
      </c>
      <c r="AA46" s="271">
        <f>SUM(Y46:Z46)</f>
        <v>0</v>
      </c>
      <c r="AB46" s="270">
        <f>MARZO!AD46</f>
        <v>0</v>
      </c>
      <c r="AC46" s="208">
        <v>0</v>
      </c>
      <c r="AD46" s="271">
        <f>SUM(AB46:AC46)</f>
        <v>0</v>
      </c>
      <c r="AE46" s="270">
        <f>MARZO!AG46</f>
        <v>0</v>
      </c>
      <c r="AF46" s="208">
        <v>0</v>
      </c>
      <c r="AG46" s="271">
        <f>SUM(AE46:AF46)</f>
        <v>0</v>
      </c>
      <c r="AH46" s="270">
        <f>X46-AA46</f>
        <v>0</v>
      </c>
      <c r="AI46" s="220">
        <f>X46-AD46</f>
        <v>0</v>
      </c>
      <c r="AJ46" s="269">
        <f>X46-AG46</f>
        <v>0</v>
      </c>
      <c r="AK46" s="101"/>
      <c r="AL46" s="204">
        <v>0</v>
      </c>
      <c r="AM46" s="210">
        <v>0</v>
      </c>
      <c r="AN46" s="101"/>
      <c r="AO46" s="376"/>
      <c r="AP46" s="372"/>
      <c r="AQ46" s="67"/>
      <c r="AR46" s="67"/>
      <c r="AS46" s="67"/>
      <c r="AT46" s="67"/>
      <c r="AU46" s="67"/>
      <c r="AV46" s="67"/>
      <c r="AW46" s="67"/>
      <c r="AX46" s="67"/>
      <c r="AY46" s="67"/>
      <c r="AZ46" s="67"/>
      <c r="BA46" s="67"/>
      <c r="BB46" s="336"/>
      <c r="BC46" s="336"/>
      <c r="BD46" s="336"/>
      <c r="BE46" s="336"/>
      <c r="BF46" s="67"/>
      <c r="BG46" s="67"/>
      <c r="BH46" s="67"/>
      <c r="BI46" s="67"/>
      <c r="BJ46" s="67"/>
      <c r="BK46" s="67"/>
      <c r="BL46" s="67"/>
      <c r="BM46" s="336"/>
      <c r="BN46" s="336"/>
      <c r="BO46" s="336"/>
      <c r="BP46" s="336"/>
      <c r="BQ46" s="336"/>
    </row>
    <row r="47" spans="1:69" ht="24.75" customHeight="1">
      <c r="A47" s="202" t="str">
        <f>+IF(MARZO!A47=0,"",MARZO!A47)</f>
        <v>1.1.02.05.001.09.02.04.99</v>
      </c>
      <c r="B47" s="331" t="str">
        <f>+IF(MARZO!B47=0,"",MARZO!B47)</f>
        <v>Vigencia Anterior</v>
      </c>
      <c r="C47" s="204">
        <f>+ENERO!C47</f>
        <v>505746730</v>
      </c>
      <c r="D47" s="205">
        <f>MARZO!D47+ABRIL!P47</f>
        <v>0</v>
      </c>
      <c r="E47" s="205">
        <f>MARZO!E47+ABRIL!Q47</f>
        <v>0</v>
      </c>
      <c r="F47" s="205">
        <f>SUM(C47:E47)</f>
        <v>505746730</v>
      </c>
      <c r="G47" s="205">
        <f>MARZO!I47</f>
        <v>57101055</v>
      </c>
      <c r="H47" s="208">
        <v>27853418</v>
      </c>
      <c r="I47" s="205">
        <f>SUM(G47:H47)</f>
        <v>84954473</v>
      </c>
      <c r="J47" s="205">
        <f>MARZO!L47</f>
        <v>57101055</v>
      </c>
      <c r="K47" s="208">
        <v>27853418</v>
      </c>
      <c r="L47" s="205">
        <f>SUM(J47:K47)</f>
        <v>84954473</v>
      </c>
      <c r="M47" s="205">
        <f>F47-I47</f>
        <v>420792257</v>
      </c>
      <c r="N47" s="206">
        <f>F47-L47</f>
        <v>420792257</v>
      </c>
      <c r="O47" s="67"/>
      <c r="P47" s="204">
        <v>0</v>
      </c>
      <c r="Q47" s="210">
        <v>0</v>
      </c>
      <c r="R47" s="101"/>
      <c r="S47" s="311" t="str">
        <f>+IF(MARZO!S47=0,"",MARZO!S47)</f>
        <v>1010301-3</v>
      </c>
      <c r="T47" s="312" t="str">
        <f>+IF(MARZO!T47=0,"",MARZO!T47)</f>
        <v>Fondos de cesantías - Aportes cuenta maestra</v>
      </c>
      <c r="U47" s="373">
        <f>+ENERO!U47</f>
        <v>0</v>
      </c>
      <c r="V47" s="220">
        <f>MARZO!V47+ABRIL!AL47</f>
        <v>0</v>
      </c>
      <c r="W47" s="220">
        <f>MARZO!W47+ABRIL!AM47</f>
        <v>0</v>
      </c>
      <c r="X47" s="271">
        <f>SUM(U47:W47)</f>
        <v>0</v>
      </c>
      <c r="Y47" s="270">
        <f>MARZO!AA47</f>
        <v>0</v>
      </c>
      <c r="Z47" s="208">
        <v>0</v>
      </c>
      <c r="AA47" s="271">
        <f>SUM(Y47:Z47)</f>
        <v>0</v>
      </c>
      <c r="AB47" s="270">
        <f>MARZO!AD47</f>
        <v>0</v>
      </c>
      <c r="AC47" s="208">
        <v>0</v>
      </c>
      <c r="AD47" s="271">
        <f>SUM(AB47:AC47)</f>
        <v>0</v>
      </c>
      <c r="AE47" s="270">
        <f>MARZO!AG47</f>
        <v>0</v>
      </c>
      <c r="AF47" s="208">
        <v>0</v>
      </c>
      <c r="AG47" s="271">
        <f>SUM(AE47:AF47)</f>
        <v>0</v>
      </c>
      <c r="AH47" s="270">
        <f>X47-AA47</f>
        <v>0</v>
      </c>
      <c r="AI47" s="220">
        <f>X47-AD47</f>
        <v>0</v>
      </c>
      <c r="AJ47" s="269">
        <f>X47-AG47</f>
        <v>0</v>
      </c>
      <c r="AK47" s="101"/>
      <c r="AL47" s="204">
        <v>0</v>
      </c>
      <c r="AM47" s="210">
        <v>0</v>
      </c>
      <c r="AN47" s="101"/>
      <c r="AO47" s="67"/>
      <c r="AP47" s="67"/>
      <c r="AQ47" s="67"/>
      <c r="AR47" s="67"/>
      <c r="AS47" s="67"/>
      <c r="AT47" s="67"/>
      <c r="AU47" s="67"/>
      <c r="AV47" s="67"/>
      <c r="AW47" s="67"/>
      <c r="AX47" s="67"/>
      <c r="AY47" s="67"/>
      <c r="AZ47" s="67"/>
      <c r="BA47" s="67"/>
      <c r="BB47" s="336"/>
      <c r="BC47" s="336"/>
      <c r="BD47" s="336"/>
      <c r="BE47" s="336"/>
      <c r="BF47" s="67"/>
      <c r="BG47" s="67"/>
      <c r="BH47" s="67"/>
      <c r="BI47" s="67"/>
      <c r="BJ47" s="67"/>
      <c r="BK47" s="67"/>
      <c r="BL47" s="67"/>
      <c r="BM47" s="67"/>
      <c r="BN47" s="67"/>
      <c r="BO47" s="67"/>
      <c r="BP47" s="67"/>
      <c r="BQ47" s="67"/>
    </row>
    <row r="48" spans="1:69" ht="24.75" customHeight="1">
      <c r="A48" s="286" t="str">
        <f>+IF(MARZO!A48=0,"",MARZO!A48)</f>
        <v>1.1.02.05.001.09.02.11</v>
      </c>
      <c r="B48" s="319" t="str">
        <f>+IF(MARZO!B48=0,"",MARZO!B48)</f>
        <v>Poblacion Especial</v>
      </c>
      <c r="C48" s="288">
        <f t="shared" ref="C48:N48" si="51">SUM(C49:C50)</f>
        <v>225672391</v>
      </c>
      <c r="D48" s="320">
        <f t="shared" si="51"/>
        <v>0</v>
      </c>
      <c r="E48" s="320">
        <f t="shared" si="51"/>
        <v>0</v>
      </c>
      <c r="F48" s="320">
        <f t="shared" si="51"/>
        <v>225672391</v>
      </c>
      <c r="G48" s="320">
        <f t="shared" si="51"/>
        <v>60484919</v>
      </c>
      <c r="H48" s="320">
        <f t="shared" si="51"/>
        <v>23968068</v>
      </c>
      <c r="I48" s="320">
        <f t="shared" si="51"/>
        <v>84452987</v>
      </c>
      <c r="J48" s="320">
        <f t="shared" si="51"/>
        <v>27579637</v>
      </c>
      <c r="K48" s="320">
        <f t="shared" si="51"/>
        <v>11622707</v>
      </c>
      <c r="L48" s="320">
        <f t="shared" si="51"/>
        <v>39202344</v>
      </c>
      <c r="M48" s="320">
        <f t="shared" si="51"/>
        <v>141219404</v>
      </c>
      <c r="N48" s="289">
        <f t="shared" si="51"/>
        <v>186470047</v>
      </c>
      <c r="O48" s="67"/>
      <c r="P48" s="288">
        <f>SUM(P49:P50)</f>
        <v>0</v>
      </c>
      <c r="Q48" s="289">
        <f>SUM(Q49:Q50)</f>
        <v>0</v>
      </c>
      <c r="R48" s="101"/>
      <c r="S48" s="311" t="str">
        <f>+IF(MARZO!S48=0,"",MARZO!S48)</f>
        <v>1010301-4</v>
      </c>
      <c r="T48" s="312" t="str">
        <f>+IF(MARZO!T48=0,"",MARZO!T48)</f>
        <v>Riesgos laborales - Aportes cuenta maestra</v>
      </c>
      <c r="U48" s="373">
        <f>+ENERO!U48</f>
        <v>0</v>
      </c>
      <c r="V48" s="220">
        <f>MARZO!V48+ABRIL!AL48</f>
        <v>0</v>
      </c>
      <c r="W48" s="220">
        <f>MARZO!W48+ABRIL!AM48</f>
        <v>0</v>
      </c>
      <c r="X48" s="271">
        <f>SUM(U48:W48)</f>
        <v>0</v>
      </c>
      <c r="Y48" s="270">
        <f>MARZO!AA48</f>
        <v>0</v>
      </c>
      <c r="Z48" s="208">
        <v>0</v>
      </c>
      <c r="AA48" s="271">
        <f>SUM(Y48:Z48)</f>
        <v>0</v>
      </c>
      <c r="AB48" s="270">
        <f>MARZO!AD48</f>
        <v>0</v>
      </c>
      <c r="AC48" s="208">
        <v>0</v>
      </c>
      <c r="AD48" s="271">
        <f>SUM(AB48:AC48)</f>
        <v>0</v>
      </c>
      <c r="AE48" s="270">
        <f>MARZO!AG48</f>
        <v>0</v>
      </c>
      <c r="AF48" s="208">
        <v>0</v>
      </c>
      <c r="AG48" s="271">
        <f>SUM(AE48:AF48)</f>
        <v>0</v>
      </c>
      <c r="AH48" s="270">
        <f>X48-AA48</f>
        <v>0</v>
      </c>
      <c r="AI48" s="220">
        <f>X48-AD48</f>
        <v>0</v>
      </c>
      <c r="AJ48" s="269">
        <f>X48-AG48</f>
        <v>0</v>
      </c>
      <c r="AK48" s="101"/>
      <c r="AL48" s="204">
        <v>0</v>
      </c>
      <c r="AM48" s="210">
        <v>0</v>
      </c>
      <c r="AN48" s="101"/>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row>
    <row r="49" spans="1:39" ht="24.75" customHeight="1">
      <c r="A49" s="202" t="str">
        <f>+IF(MARZO!A49=0,"",MARZO!A49)</f>
        <v>1.1.02.05.001.09.02.11</v>
      </c>
      <c r="B49" s="331" t="str">
        <f>+CONCATENATE("Vigencia ",INSTRUCCIONES!$F$3)</f>
        <v>Vigencia 2025</v>
      </c>
      <c r="C49" s="204">
        <f>+ENERO!C49</f>
        <v>180672391</v>
      </c>
      <c r="D49" s="205">
        <f>MARZO!D49+ABRIL!P49</f>
        <v>0</v>
      </c>
      <c r="E49" s="205">
        <f>MARZO!E49+ABRIL!Q49</f>
        <v>0</v>
      </c>
      <c r="F49" s="205">
        <f>SUM(C49:E49)</f>
        <v>180672391</v>
      </c>
      <c r="G49" s="205">
        <f>MARZO!I49</f>
        <v>32905282</v>
      </c>
      <c r="H49" s="208">
        <v>12345361</v>
      </c>
      <c r="I49" s="205">
        <f>SUM(G49:H49)</f>
        <v>45250643</v>
      </c>
      <c r="J49" s="205">
        <f>MARZO!L49</f>
        <v>0</v>
      </c>
      <c r="K49" s="208">
        <v>0</v>
      </c>
      <c r="L49" s="205">
        <f>SUM(J49:K49)</f>
        <v>0</v>
      </c>
      <c r="M49" s="205">
        <f>F49-I49</f>
        <v>135421748</v>
      </c>
      <c r="N49" s="206">
        <f>F49-L49</f>
        <v>180672391</v>
      </c>
      <c r="O49" s="67"/>
      <c r="P49" s="204">
        <v>0</v>
      </c>
      <c r="Q49" s="210">
        <v>0</v>
      </c>
      <c r="R49" s="101"/>
      <c r="S49" s="266">
        <f>+IF(MARZO!S49=0,"",MARZO!S49)</f>
        <v>1010302</v>
      </c>
      <c r="T49" s="267" t="str">
        <f>+IF(MARZO!T49=0,"",MARZO!T49)</f>
        <v>Contribuciones - Otros</v>
      </c>
      <c r="U49" s="373">
        <f t="shared" ref="U49:AJ49" si="52">SUM(U50:U54)</f>
        <v>2369058848.2960005</v>
      </c>
      <c r="V49" s="220">
        <f t="shared" si="52"/>
        <v>-30000000</v>
      </c>
      <c r="W49" s="220">
        <f t="shared" si="52"/>
        <v>0</v>
      </c>
      <c r="X49" s="271">
        <f t="shared" si="52"/>
        <v>2339058848.2960005</v>
      </c>
      <c r="Y49" s="270">
        <f t="shared" si="52"/>
        <v>377187403</v>
      </c>
      <c r="Z49" s="300">
        <f t="shared" si="52"/>
        <v>176827081</v>
      </c>
      <c r="AA49" s="271">
        <f t="shared" si="52"/>
        <v>554014484</v>
      </c>
      <c r="AB49" s="270">
        <f t="shared" si="52"/>
        <v>377187403</v>
      </c>
      <c r="AC49" s="300">
        <f t="shared" si="52"/>
        <v>176827081</v>
      </c>
      <c r="AD49" s="271">
        <f t="shared" si="52"/>
        <v>554014484</v>
      </c>
      <c r="AE49" s="270">
        <f t="shared" si="52"/>
        <v>377187403</v>
      </c>
      <c r="AF49" s="300">
        <f t="shared" si="52"/>
        <v>114753797</v>
      </c>
      <c r="AG49" s="271">
        <f t="shared" si="52"/>
        <v>491941200</v>
      </c>
      <c r="AH49" s="270">
        <f t="shared" si="52"/>
        <v>1785044364.2960002</v>
      </c>
      <c r="AI49" s="220">
        <f t="shared" si="52"/>
        <v>1785044364.2960002</v>
      </c>
      <c r="AJ49" s="269">
        <f t="shared" si="52"/>
        <v>1847117648.2960002</v>
      </c>
      <c r="AK49" s="101"/>
      <c r="AL49" s="301">
        <f>SUM(AL50:AL54)</f>
        <v>0</v>
      </c>
      <c r="AM49" s="302">
        <f>SUM(AM50:AM54)</f>
        <v>0</v>
      </c>
    </row>
    <row r="50" spans="1:39" ht="24.75" customHeight="1">
      <c r="A50" s="202" t="str">
        <f>+IF(MARZO!A50=0,"",MARZO!A50)</f>
        <v>1.1.02.05.001.09.02.11.99</v>
      </c>
      <c r="B50" s="331" t="str">
        <f>+IF(MARZO!B50=0,"",MARZO!B50)</f>
        <v>Vigencia Anterior</v>
      </c>
      <c r="C50" s="204">
        <f>+ENERO!C50</f>
        <v>45000000</v>
      </c>
      <c r="D50" s="205">
        <f>MARZO!D50+ABRIL!P50</f>
        <v>0</v>
      </c>
      <c r="E50" s="205">
        <f>MARZO!E50+ABRIL!Q50</f>
        <v>0</v>
      </c>
      <c r="F50" s="205">
        <f>SUM(C50:E50)</f>
        <v>45000000</v>
      </c>
      <c r="G50" s="205">
        <f>MARZO!I50</f>
        <v>27579637</v>
      </c>
      <c r="H50" s="208">
        <v>11622707</v>
      </c>
      <c r="I50" s="205">
        <f>SUM(G50:H50)</f>
        <v>39202344</v>
      </c>
      <c r="J50" s="205">
        <f>MARZO!L50</f>
        <v>27579637</v>
      </c>
      <c r="K50" s="208">
        <v>11622707</v>
      </c>
      <c r="L50" s="205">
        <f>SUM(J50:K50)</f>
        <v>39202344</v>
      </c>
      <c r="M50" s="205">
        <f>F50-I50</f>
        <v>5797656</v>
      </c>
      <c r="N50" s="206">
        <f>F50-L50</f>
        <v>5797656</v>
      </c>
      <c r="O50" s="67"/>
      <c r="P50" s="204">
        <v>0</v>
      </c>
      <c r="Q50" s="210">
        <v>0</v>
      </c>
      <c r="R50" s="101"/>
      <c r="S50" s="311" t="str">
        <f>+IF(MARZO!S50=0,"",MARZO!S50)</f>
        <v>2.1.1.01.02.002</v>
      </c>
      <c r="T50" s="312" t="str">
        <f>+IF(MARZO!T50=0,"",MARZO!T50)</f>
        <v>Aportes a E.P.S. - recursos propios</v>
      </c>
      <c r="U50" s="373">
        <f>+ENERO!U50</f>
        <v>555207343.50000024</v>
      </c>
      <c r="V50" s="220">
        <f>MARZO!V50+ABRIL!AL50</f>
        <v>0</v>
      </c>
      <c r="W50" s="220">
        <f>MARZO!W50+ABRIL!AM50</f>
        <v>0</v>
      </c>
      <c r="X50" s="271">
        <f t="shared" ref="X50:X55" si="53">SUM(U50:W50)</f>
        <v>555207343.50000024</v>
      </c>
      <c r="Y50" s="270">
        <f>MARZO!AA50</f>
        <v>118751300</v>
      </c>
      <c r="Z50" s="208">
        <v>37319800</v>
      </c>
      <c r="AA50" s="271">
        <f t="shared" ref="AA50:AA55" si="54">SUM(Y50:Z50)</f>
        <v>156071100</v>
      </c>
      <c r="AB50" s="270">
        <f>MARZO!AD50</f>
        <v>118751300</v>
      </c>
      <c r="AC50" s="208">
        <v>37319800</v>
      </c>
      <c r="AD50" s="271">
        <f t="shared" ref="AD50:AD55" si="55">SUM(AB50:AC50)</f>
        <v>156071100</v>
      </c>
      <c r="AE50" s="270">
        <f>MARZO!AG50</f>
        <v>118751300</v>
      </c>
      <c r="AF50" s="208">
        <v>37319800</v>
      </c>
      <c r="AG50" s="271">
        <f t="shared" ref="AG50:AG55" si="56">SUM(AE50:AF50)</f>
        <v>156071100</v>
      </c>
      <c r="AH50" s="270">
        <f t="shared" ref="AH50:AH55" si="57">X50-AA50</f>
        <v>399136243.50000024</v>
      </c>
      <c r="AI50" s="220">
        <f t="shared" ref="AI50:AI55" si="58">X50-AD50</f>
        <v>399136243.50000024</v>
      </c>
      <c r="AJ50" s="269">
        <f t="shared" ref="AJ50:AJ55" si="59">X50-AG50</f>
        <v>399136243.50000024</v>
      </c>
      <c r="AK50" s="101"/>
      <c r="AL50" s="204">
        <v>0</v>
      </c>
      <c r="AM50" s="210">
        <v>0</v>
      </c>
    </row>
    <row r="51" spans="1:39" ht="24.75" customHeight="1">
      <c r="A51" s="286" t="str">
        <f>+IF(MARZO!A51=0,"",MARZO!A51)</f>
        <v>1.1.02.05.001.09.02.16</v>
      </c>
      <c r="B51" s="319" t="str">
        <f>+IF(MARZO!B51=0,"",MARZO!B51)</f>
        <v>Fondo Nacional de la Salud personas privadas de la Libertad</v>
      </c>
      <c r="C51" s="288">
        <f t="shared" ref="C51:N51" si="60">SUM(C52:C53)</f>
        <v>168856</v>
      </c>
      <c r="D51" s="320">
        <f t="shared" si="60"/>
        <v>0</v>
      </c>
      <c r="E51" s="320">
        <f t="shared" si="60"/>
        <v>0</v>
      </c>
      <c r="F51" s="320">
        <f t="shared" si="60"/>
        <v>168856</v>
      </c>
      <c r="G51" s="320">
        <f t="shared" si="60"/>
        <v>9601130</v>
      </c>
      <c r="H51" s="320">
        <f t="shared" si="60"/>
        <v>5216835</v>
      </c>
      <c r="I51" s="320">
        <f t="shared" si="60"/>
        <v>14817965</v>
      </c>
      <c r="J51" s="320">
        <f t="shared" si="60"/>
        <v>0</v>
      </c>
      <c r="K51" s="320">
        <f t="shared" si="60"/>
        <v>0</v>
      </c>
      <c r="L51" s="320">
        <f t="shared" si="60"/>
        <v>0</v>
      </c>
      <c r="M51" s="320">
        <f t="shared" si="60"/>
        <v>-14649109</v>
      </c>
      <c r="N51" s="289">
        <f t="shared" si="60"/>
        <v>168856</v>
      </c>
      <c r="O51" s="67"/>
      <c r="P51" s="288">
        <f>SUM(P52:P53)</f>
        <v>0</v>
      </c>
      <c r="Q51" s="289">
        <f>SUM(Q52:Q53)</f>
        <v>0</v>
      </c>
      <c r="R51" s="101"/>
      <c r="S51" s="311" t="str">
        <f>+IF(MARZO!S51=0,"",MARZO!S51)</f>
        <v>2.1.1.01.02.001</v>
      </c>
      <c r="T51" s="312" t="str">
        <f>+IF(MARZO!T51=0,"",MARZO!T51)</f>
        <v>Aportes Fondos Pensionales - recursos propios</v>
      </c>
      <c r="U51" s="373">
        <f>+ENERO!U51</f>
        <v>783822132</v>
      </c>
      <c r="V51" s="220">
        <f>MARZO!V51+ABRIL!AL51</f>
        <v>0</v>
      </c>
      <c r="W51" s="220">
        <f>MARZO!W51+ABRIL!AM51</f>
        <v>0</v>
      </c>
      <c r="X51" s="271">
        <f t="shared" si="53"/>
        <v>783822132</v>
      </c>
      <c r="Y51" s="270">
        <f>MARZO!AA51</f>
        <v>169938603</v>
      </c>
      <c r="Z51" s="208">
        <v>52347097</v>
      </c>
      <c r="AA51" s="271">
        <f t="shared" si="54"/>
        <v>222285700</v>
      </c>
      <c r="AB51" s="270">
        <f>MARZO!AD51</f>
        <v>169938603</v>
      </c>
      <c r="AC51" s="208">
        <v>52347097</v>
      </c>
      <c r="AD51" s="271">
        <f t="shared" si="55"/>
        <v>222285700</v>
      </c>
      <c r="AE51" s="270">
        <f>MARZO!AG51</f>
        <v>169938603</v>
      </c>
      <c r="AF51" s="208">
        <v>52347097</v>
      </c>
      <c r="AG51" s="271">
        <f t="shared" si="56"/>
        <v>222285700</v>
      </c>
      <c r="AH51" s="270">
        <f t="shared" si="57"/>
        <v>561536432</v>
      </c>
      <c r="AI51" s="220">
        <f t="shared" si="58"/>
        <v>561536432</v>
      </c>
      <c r="AJ51" s="269">
        <f t="shared" si="59"/>
        <v>561536432</v>
      </c>
      <c r="AK51" s="101"/>
      <c r="AL51" s="204">
        <v>0</v>
      </c>
      <c r="AM51" s="210">
        <v>0</v>
      </c>
    </row>
    <row r="52" spans="1:39" ht="24.75" customHeight="1">
      <c r="A52" s="202" t="str">
        <f>+IF(MARZO!A52=0,"",MARZO!A52)</f>
        <v>1.1.02.05.001.09.02.16</v>
      </c>
      <c r="B52" s="331" t="str">
        <f>+CONCATENATE("Vigencia ",INSTRUCCIONES!$F$3)</f>
        <v>Vigencia 2025</v>
      </c>
      <c r="C52" s="204">
        <f>+ENERO!C52</f>
        <v>168856</v>
      </c>
      <c r="D52" s="205">
        <f>MARZO!D52+ABRIL!P52</f>
        <v>0</v>
      </c>
      <c r="E52" s="205">
        <f>MARZO!E52+ABRIL!Q52</f>
        <v>0</v>
      </c>
      <c r="F52" s="205">
        <f>SUM(C52:E52)</f>
        <v>168856</v>
      </c>
      <c r="G52" s="205">
        <f>MARZO!I52</f>
        <v>9601130</v>
      </c>
      <c r="H52" s="208">
        <v>5216835</v>
      </c>
      <c r="I52" s="205">
        <f>SUM(G52:H52)</f>
        <v>14817965</v>
      </c>
      <c r="J52" s="205">
        <f>MARZO!L52</f>
        <v>0</v>
      </c>
      <c r="K52" s="208">
        <v>0</v>
      </c>
      <c r="L52" s="205">
        <f>SUM(J52:K52)</f>
        <v>0</v>
      </c>
      <c r="M52" s="205">
        <f>F52-I52</f>
        <v>-14649109</v>
      </c>
      <c r="N52" s="206">
        <f>F52-L52</f>
        <v>168856</v>
      </c>
      <c r="O52" s="67"/>
      <c r="P52" s="204">
        <v>0</v>
      </c>
      <c r="Q52" s="210">
        <v>0</v>
      </c>
      <c r="R52" s="101"/>
      <c r="S52" s="311" t="str">
        <f>+IF(MARZO!S52=0,"",MARZO!S52)</f>
        <v>2.1.1.01.02.003</v>
      </c>
      <c r="T52" s="312" t="str">
        <f>+IF(MARZO!T52=0,"",MARZO!T52)</f>
        <v>Aportes a Fondos de Cesantia - recursos propios</v>
      </c>
      <c r="U52" s="373">
        <f>+ENERO!U52</f>
        <v>609639436</v>
      </c>
      <c r="V52" s="220">
        <f>MARZO!V52+ABRIL!AL52</f>
        <v>-30000000</v>
      </c>
      <c r="W52" s="220">
        <f>MARZO!W52+ABRIL!AM52</f>
        <v>0</v>
      </c>
      <c r="X52" s="271">
        <f t="shared" si="53"/>
        <v>579639436</v>
      </c>
      <c r="Y52" s="270">
        <f>MARZO!AA52</f>
        <v>8118700</v>
      </c>
      <c r="Z52" s="208">
        <v>62073284</v>
      </c>
      <c r="AA52" s="271">
        <f t="shared" si="54"/>
        <v>70191984</v>
      </c>
      <c r="AB52" s="270">
        <f>MARZO!AD52</f>
        <v>8118700</v>
      </c>
      <c r="AC52" s="208">
        <v>62073284</v>
      </c>
      <c r="AD52" s="271">
        <f t="shared" si="55"/>
        <v>70191984</v>
      </c>
      <c r="AE52" s="270">
        <f>MARZO!AG52</f>
        <v>8118700</v>
      </c>
      <c r="AF52" s="208">
        <v>0</v>
      </c>
      <c r="AG52" s="271">
        <f t="shared" si="56"/>
        <v>8118700</v>
      </c>
      <c r="AH52" s="270">
        <f t="shared" si="57"/>
        <v>509447452</v>
      </c>
      <c r="AI52" s="220">
        <f t="shared" si="58"/>
        <v>509447452</v>
      </c>
      <c r="AJ52" s="269">
        <f t="shared" si="59"/>
        <v>571520736</v>
      </c>
      <c r="AK52" s="101"/>
      <c r="AL52" s="204">
        <v>0</v>
      </c>
      <c r="AM52" s="210">
        <v>0</v>
      </c>
    </row>
    <row r="53" spans="1:39" ht="24.75" customHeight="1">
      <c r="A53" s="202" t="str">
        <f>+IF(MARZO!A53=0,"",MARZO!A53)</f>
        <v>1.1.02.05.001.09.02.16.99</v>
      </c>
      <c r="B53" s="331" t="str">
        <f>+IF(MARZO!B53=0,"",MARZO!B53)</f>
        <v>Vigencia Anterior</v>
      </c>
      <c r="C53" s="204">
        <f>+ENERO!C53</f>
        <v>0</v>
      </c>
      <c r="D53" s="205">
        <f>MARZO!D53+ABRIL!P53</f>
        <v>0</v>
      </c>
      <c r="E53" s="205">
        <f>MARZO!E53+ABRIL!Q53</f>
        <v>0</v>
      </c>
      <c r="F53" s="205">
        <f>SUM(C53:E53)</f>
        <v>0</v>
      </c>
      <c r="G53" s="205">
        <f>MARZO!I53</f>
        <v>0</v>
      </c>
      <c r="H53" s="208">
        <v>0</v>
      </c>
      <c r="I53" s="205">
        <f>SUM(G53:H53)</f>
        <v>0</v>
      </c>
      <c r="J53" s="205">
        <f>MARZO!L53</f>
        <v>0</v>
      </c>
      <c r="K53" s="208">
        <v>0</v>
      </c>
      <c r="L53" s="205">
        <f>SUM(J53:K53)</f>
        <v>0</v>
      </c>
      <c r="M53" s="205">
        <f>F53-I53</f>
        <v>0</v>
      </c>
      <c r="N53" s="206">
        <f>F53-L53</f>
        <v>0</v>
      </c>
      <c r="O53" s="67"/>
      <c r="P53" s="204">
        <v>0</v>
      </c>
      <c r="Q53" s="210">
        <v>0</v>
      </c>
      <c r="R53" s="101"/>
      <c r="S53" s="311" t="str">
        <f>+IF(MARZO!S53=0,"",MARZO!S53)</f>
        <v>2.1.1.01.02.005</v>
      </c>
      <c r="T53" s="312" t="str">
        <f>+IF(MARZO!T53=0,"",MARZO!T53)</f>
        <v>Aporte a ARL. - recursos propios</v>
      </c>
      <c r="U53" s="373">
        <f>+ENERO!U53</f>
        <v>159115892.79599997</v>
      </c>
      <c r="V53" s="220">
        <f>MARZO!V53+ABRIL!AL53</f>
        <v>0</v>
      </c>
      <c r="W53" s="220">
        <f>MARZO!W53+ABRIL!AM53</f>
        <v>0</v>
      </c>
      <c r="X53" s="271">
        <f t="shared" si="53"/>
        <v>159115892.79599997</v>
      </c>
      <c r="Y53" s="270">
        <f>MARZO!AA53</f>
        <v>23997100</v>
      </c>
      <c r="Z53" s="208">
        <v>7490000</v>
      </c>
      <c r="AA53" s="271">
        <f t="shared" si="54"/>
        <v>31487100</v>
      </c>
      <c r="AB53" s="270">
        <f>MARZO!AD53</f>
        <v>23997100</v>
      </c>
      <c r="AC53" s="208">
        <v>7490000</v>
      </c>
      <c r="AD53" s="271">
        <f t="shared" si="55"/>
        <v>31487100</v>
      </c>
      <c r="AE53" s="270">
        <f>MARZO!AG53</f>
        <v>23997100</v>
      </c>
      <c r="AF53" s="208">
        <v>7490000</v>
      </c>
      <c r="AG53" s="271">
        <f t="shared" si="56"/>
        <v>31487100</v>
      </c>
      <c r="AH53" s="270">
        <f t="shared" si="57"/>
        <v>127628792.79599997</v>
      </c>
      <c r="AI53" s="220">
        <f t="shared" si="58"/>
        <v>127628792.79599997</v>
      </c>
      <c r="AJ53" s="269">
        <f t="shared" si="59"/>
        <v>127628792.79599997</v>
      </c>
      <c r="AK53" s="101"/>
      <c r="AL53" s="204">
        <v>0</v>
      </c>
      <c r="AM53" s="210">
        <v>0</v>
      </c>
    </row>
    <row r="54" spans="1:39" ht="24.75" customHeight="1">
      <c r="A54" s="286" t="str">
        <f>+IF(MARZO!A54=0,"",MARZO!A54)</f>
        <v>1.1.02.05.001.09.02.17</v>
      </c>
      <c r="B54" s="319" t="str">
        <f>+IF(MARZO!B54=0,"",MARZO!B54)</f>
        <v>EMPRESAS MEDICINA PREPAGADA</v>
      </c>
      <c r="C54" s="288">
        <f t="shared" ref="C54:N54" si="61">SUM(C55:C56)</f>
        <v>968592.84788797423</v>
      </c>
      <c r="D54" s="320">
        <f t="shared" si="61"/>
        <v>0</v>
      </c>
      <c r="E54" s="320">
        <f t="shared" si="61"/>
        <v>0</v>
      </c>
      <c r="F54" s="320">
        <f t="shared" si="61"/>
        <v>968592.84788797423</v>
      </c>
      <c r="G54" s="320">
        <f t="shared" si="61"/>
        <v>13073443</v>
      </c>
      <c r="H54" s="320">
        <f t="shared" si="61"/>
        <v>0</v>
      </c>
      <c r="I54" s="320">
        <f t="shared" si="61"/>
        <v>13073443</v>
      </c>
      <c r="J54" s="320">
        <f t="shared" si="61"/>
        <v>11142773</v>
      </c>
      <c r="K54" s="320">
        <f t="shared" si="61"/>
        <v>0</v>
      </c>
      <c r="L54" s="320">
        <f t="shared" si="61"/>
        <v>11142773</v>
      </c>
      <c r="M54" s="320">
        <f t="shared" si="61"/>
        <v>-12104850.152112026</v>
      </c>
      <c r="N54" s="289">
        <f t="shared" si="61"/>
        <v>-10174180.152112026</v>
      </c>
      <c r="O54" s="67"/>
      <c r="P54" s="288">
        <f>SUM(P55:P56)</f>
        <v>0</v>
      </c>
      <c r="Q54" s="289">
        <f>SUM(Q55:Q56)</f>
        <v>0</v>
      </c>
      <c r="R54" s="101"/>
      <c r="S54" s="311" t="str">
        <f>+IF(MARZO!S54=0,"",MARZO!S54)</f>
        <v>2.1.1.01.02.004</v>
      </c>
      <c r="T54" s="312" t="str">
        <f>+IF(MARZO!T54=0,"",MARZO!T54)</f>
        <v>Aporte a Caja Compensación Familiar</v>
      </c>
      <c r="U54" s="373">
        <f>+ENERO!U54</f>
        <v>261274044</v>
      </c>
      <c r="V54" s="220">
        <f>MARZO!V54+ABRIL!AL54</f>
        <v>0</v>
      </c>
      <c r="W54" s="220">
        <f>MARZO!W54+ABRIL!AM54</f>
        <v>0</v>
      </c>
      <c r="X54" s="271">
        <f t="shared" si="53"/>
        <v>261274044</v>
      </c>
      <c r="Y54" s="270">
        <f>MARZO!AA54</f>
        <v>56381700</v>
      </c>
      <c r="Z54" s="208">
        <v>17596900</v>
      </c>
      <c r="AA54" s="271">
        <f t="shared" si="54"/>
        <v>73978600</v>
      </c>
      <c r="AB54" s="270">
        <f>MARZO!AD54</f>
        <v>56381700</v>
      </c>
      <c r="AC54" s="208">
        <v>17596900</v>
      </c>
      <c r="AD54" s="271">
        <f t="shared" si="55"/>
        <v>73978600</v>
      </c>
      <c r="AE54" s="270">
        <f>MARZO!AG54</f>
        <v>56381700</v>
      </c>
      <c r="AF54" s="208">
        <v>17596900</v>
      </c>
      <c r="AG54" s="271">
        <f t="shared" si="56"/>
        <v>73978600</v>
      </c>
      <c r="AH54" s="270">
        <f t="shared" si="57"/>
        <v>187295444</v>
      </c>
      <c r="AI54" s="220">
        <f t="shared" si="58"/>
        <v>187295444</v>
      </c>
      <c r="AJ54" s="269">
        <f t="shared" si="59"/>
        <v>187295444</v>
      </c>
      <c r="AK54" s="101"/>
      <c r="AL54" s="204">
        <v>0</v>
      </c>
      <c r="AM54" s="210">
        <v>0</v>
      </c>
    </row>
    <row r="55" spans="1:39" ht="24.75" customHeight="1">
      <c r="A55" s="202" t="str">
        <f>+IF(MARZO!A55=0,"",MARZO!A55)</f>
        <v>1.1.02.05.001.09.02.17</v>
      </c>
      <c r="B55" s="331" t="str">
        <f>+CONCATENATE("Vigencia ",INSTRUCCIONES!$F$3)</f>
        <v>Vigencia 2025</v>
      </c>
      <c r="C55" s="204">
        <f>+ENERO!C55</f>
        <v>968592.84788797423</v>
      </c>
      <c r="D55" s="205">
        <f>MARZO!D55+ABRIL!P55</f>
        <v>0</v>
      </c>
      <c r="E55" s="205">
        <f>MARZO!E55+ABRIL!Q55</f>
        <v>0</v>
      </c>
      <c r="F55" s="205">
        <f>SUM(C55:E55)</f>
        <v>968592.84788797423</v>
      </c>
      <c r="G55" s="205">
        <f>MARZO!I55</f>
        <v>2732534</v>
      </c>
      <c r="H55" s="208">
        <v>0</v>
      </c>
      <c r="I55" s="205">
        <f>SUM(G55:H55)</f>
        <v>2732534</v>
      </c>
      <c r="J55" s="205">
        <f>MARZO!L55</f>
        <v>801864</v>
      </c>
      <c r="K55" s="208">
        <v>0</v>
      </c>
      <c r="L55" s="205">
        <f>SUM(J55:K55)</f>
        <v>801864</v>
      </c>
      <c r="M55" s="205">
        <f>F55-I55</f>
        <v>-1763941.1521120258</v>
      </c>
      <c r="N55" s="206">
        <f>F55-L55</f>
        <v>166728.84788797423</v>
      </c>
      <c r="O55" s="67"/>
      <c r="P55" s="204">
        <v>0</v>
      </c>
      <c r="Q55" s="210">
        <v>0</v>
      </c>
      <c r="R55" s="101"/>
      <c r="S55" s="266" t="str">
        <f>+IF(MARZO!S55=0,"",MARZO!S55)</f>
        <v>2.1.1.01.02.003.99</v>
      </c>
      <c r="T55" s="267" t="str">
        <f>+IF(MARZO!T55=0,"",MARZO!T55)</f>
        <v>Vigencias Anteriores Aportes a cesantías</v>
      </c>
      <c r="U55" s="373">
        <f>+ENERO!U55</f>
        <v>502141089.6665011</v>
      </c>
      <c r="V55" s="220">
        <f>MARZO!V55+ABRIL!AL55</f>
        <v>30000000</v>
      </c>
      <c r="W55" s="220">
        <f>MARZO!W55+ABRIL!AM55</f>
        <v>0</v>
      </c>
      <c r="X55" s="271">
        <f t="shared" si="53"/>
        <v>532141089.6665011</v>
      </c>
      <c r="Y55" s="270">
        <f>MARZO!AA55</f>
        <v>522067978</v>
      </c>
      <c r="Z55" s="208">
        <v>0</v>
      </c>
      <c r="AA55" s="271">
        <f t="shared" si="54"/>
        <v>522067978</v>
      </c>
      <c r="AB55" s="270">
        <f>MARZO!AD55</f>
        <v>522067978</v>
      </c>
      <c r="AC55" s="208">
        <v>0</v>
      </c>
      <c r="AD55" s="271">
        <f t="shared" si="55"/>
        <v>522067978</v>
      </c>
      <c r="AE55" s="270">
        <f>MARZO!AG55</f>
        <v>522067978</v>
      </c>
      <c r="AF55" s="208">
        <v>0</v>
      </c>
      <c r="AG55" s="271">
        <f t="shared" si="56"/>
        <v>522067978</v>
      </c>
      <c r="AH55" s="270">
        <f t="shared" si="57"/>
        <v>10073111.666501105</v>
      </c>
      <c r="AI55" s="220">
        <f t="shared" si="58"/>
        <v>10073111.666501105</v>
      </c>
      <c r="AJ55" s="269">
        <f t="shared" si="59"/>
        <v>10073111.666501105</v>
      </c>
      <c r="AK55" s="101"/>
      <c r="AL55" s="204">
        <v>0</v>
      </c>
      <c r="AM55" s="210">
        <v>0</v>
      </c>
    </row>
    <row r="56" spans="1:39" ht="24.75" customHeight="1">
      <c r="A56" s="202" t="str">
        <f>+IF(MARZO!A56=0,"",MARZO!A56)</f>
        <v>1.1.02.05.001.09.02.17.99</v>
      </c>
      <c r="B56" s="331" t="str">
        <f>+IF(MARZO!B56=0,"",MARZO!B56)</f>
        <v>Vigencia Anterior</v>
      </c>
      <c r="C56" s="204">
        <f>+ENERO!C56</f>
        <v>0</v>
      </c>
      <c r="D56" s="205">
        <f>MARZO!D56+ABRIL!P56</f>
        <v>0</v>
      </c>
      <c r="E56" s="205">
        <f>MARZO!E56+ABRIL!Q56</f>
        <v>0</v>
      </c>
      <c r="F56" s="205">
        <f>SUM(C56:E56)</f>
        <v>0</v>
      </c>
      <c r="G56" s="205">
        <f>MARZO!I56</f>
        <v>10340909</v>
      </c>
      <c r="H56" s="208">
        <v>0</v>
      </c>
      <c r="I56" s="205">
        <f>SUM(G56:H56)</f>
        <v>10340909</v>
      </c>
      <c r="J56" s="205">
        <f>MARZO!L56</f>
        <v>10340909</v>
      </c>
      <c r="K56" s="208">
        <v>0</v>
      </c>
      <c r="L56" s="205">
        <f>SUM(J56:K56)</f>
        <v>10340909</v>
      </c>
      <c r="M56" s="205">
        <f>F56-I56</f>
        <v>-10340909</v>
      </c>
      <c r="N56" s="206">
        <f>F56-L56</f>
        <v>-10340909</v>
      </c>
      <c r="O56" s="67"/>
      <c r="P56" s="204">
        <v>0</v>
      </c>
      <c r="Q56" s="210">
        <v>0</v>
      </c>
      <c r="R56" s="101"/>
      <c r="S56" s="189">
        <f>+IF(MARZO!S56=0,"",MARZO!S56)</f>
        <v>10340904</v>
      </c>
      <c r="T56" s="488" t="str">
        <f>+IF(MARZO!T56=0,"",MARZO!T56)</f>
        <v/>
      </c>
      <c r="U56" s="191"/>
      <c r="V56" s="191"/>
      <c r="W56" s="191"/>
      <c r="X56" s="191"/>
      <c r="Y56" s="191"/>
      <c r="Z56" s="191"/>
      <c r="AA56" s="191"/>
      <c r="AB56" s="191"/>
      <c r="AC56" s="191"/>
      <c r="AD56" s="191"/>
      <c r="AE56" s="191"/>
      <c r="AF56" s="191"/>
      <c r="AG56" s="191"/>
      <c r="AH56" s="191"/>
      <c r="AI56" s="191"/>
      <c r="AJ56" s="192"/>
      <c r="AK56" s="216"/>
      <c r="AL56" s="370"/>
      <c r="AM56" s="371"/>
    </row>
    <row r="57" spans="1:39" ht="24.75" customHeight="1">
      <c r="A57" s="286" t="str">
        <f>+IF(MARZO!A57=0,"",MARZO!A57)</f>
        <v>1.1.02.05.001.09.02.09</v>
      </c>
      <c r="B57" s="319" t="str">
        <f>+IF(MARZO!B57=0,"",MARZO!B57)</f>
        <v>IPS PRIVADAS</v>
      </c>
      <c r="C57" s="288">
        <f t="shared" ref="C57:N57" si="62">SUM(C58:C59)</f>
        <v>8042608</v>
      </c>
      <c r="D57" s="320">
        <f t="shared" si="62"/>
        <v>0</v>
      </c>
      <c r="E57" s="320">
        <f t="shared" si="62"/>
        <v>0</v>
      </c>
      <c r="F57" s="320">
        <f t="shared" si="62"/>
        <v>8042608</v>
      </c>
      <c r="G57" s="320">
        <f t="shared" si="62"/>
        <v>0</v>
      </c>
      <c r="H57" s="320">
        <f t="shared" si="62"/>
        <v>0</v>
      </c>
      <c r="I57" s="320">
        <f t="shared" si="62"/>
        <v>0</v>
      </c>
      <c r="J57" s="320">
        <f t="shared" si="62"/>
        <v>0</v>
      </c>
      <c r="K57" s="320">
        <f t="shared" si="62"/>
        <v>0</v>
      </c>
      <c r="L57" s="320">
        <f t="shared" si="62"/>
        <v>0</v>
      </c>
      <c r="M57" s="320">
        <f t="shared" si="62"/>
        <v>8042608</v>
      </c>
      <c r="N57" s="289">
        <f t="shared" si="62"/>
        <v>8042608</v>
      </c>
      <c r="O57" s="67"/>
      <c r="P57" s="288">
        <f>SUM(P58:P59)</f>
        <v>0</v>
      </c>
      <c r="Q57" s="289">
        <f>SUM(Q58:Q59)</f>
        <v>0</v>
      </c>
      <c r="R57" s="101"/>
      <c r="S57" s="257">
        <f>+IF(MARZO!S57=0,"",MARZO!S57)</f>
        <v>1010400</v>
      </c>
      <c r="T57" s="546" t="str">
        <f>+IF(MARZO!T57=0,"",MARZO!T57)</f>
        <v>Contribuciones Inherentes nómina del Sector Publico</v>
      </c>
      <c r="U57" s="230">
        <f t="shared" ref="U57:AJ57" si="63">U58+U61</f>
        <v>326592555</v>
      </c>
      <c r="V57" s="231">
        <f t="shared" si="63"/>
        <v>0</v>
      </c>
      <c r="W57" s="231">
        <f t="shared" si="63"/>
        <v>0</v>
      </c>
      <c r="X57" s="234">
        <f t="shared" si="63"/>
        <v>326592555</v>
      </c>
      <c r="Y57" s="233">
        <f t="shared" si="63"/>
        <v>70487800</v>
      </c>
      <c r="Z57" s="231">
        <f t="shared" si="63"/>
        <v>22000600</v>
      </c>
      <c r="AA57" s="234">
        <f t="shared" si="63"/>
        <v>92488400</v>
      </c>
      <c r="AB57" s="233">
        <f t="shared" si="63"/>
        <v>70487800</v>
      </c>
      <c r="AC57" s="231">
        <f t="shared" si="63"/>
        <v>22000600</v>
      </c>
      <c r="AD57" s="234">
        <f t="shared" si="63"/>
        <v>92488400</v>
      </c>
      <c r="AE57" s="233">
        <f t="shared" si="63"/>
        <v>70487800</v>
      </c>
      <c r="AF57" s="231">
        <f t="shared" si="63"/>
        <v>22000600</v>
      </c>
      <c r="AG57" s="234">
        <f t="shared" si="63"/>
        <v>92488400</v>
      </c>
      <c r="AH57" s="233">
        <f t="shared" si="63"/>
        <v>234104155</v>
      </c>
      <c r="AI57" s="231">
        <f t="shared" si="63"/>
        <v>234104155</v>
      </c>
      <c r="AJ57" s="232">
        <f t="shared" si="63"/>
        <v>234104155</v>
      </c>
      <c r="AK57" s="101"/>
      <c r="AL57" s="233">
        <f>AL58+AL61</f>
        <v>0</v>
      </c>
      <c r="AM57" s="232">
        <f>AM58+AM61</f>
        <v>0</v>
      </c>
    </row>
    <row r="58" spans="1:39" ht="24.75" customHeight="1">
      <c r="A58" s="202" t="str">
        <f>+IF(MARZO!A58=0,"",MARZO!A58)</f>
        <v>1.1.02.05.001.09.02.09</v>
      </c>
      <c r="B58" s="331" t="str">
        <f>+CONCATENATE("Vigencia ",INSTRUCCIONES!$F$3)</f>
        <v>Vigencia 2025</v>
      </c>
      <c r="C58" s="204">
        <f>+ENERO!C58</f>
        <v>8042608</v>
      </c>
      <c r="D58" s="205">
        <f>MARZO!D58+ABRIL!P58</f>
        <v>0</v>
      </c>
      <c r="E58" s="205">
        <f>MARZO!E58+ABRIL!Q58</f>
        <v>0</v>
      </c>
      <c r="F58" s="205">
        <f>SUM(C58:E58)</f>
        <v>8042608</v>
      </c>
      <c r="G58" s="205">
        <f>MARZO!I58</f>
        <v>0</v>
      </c>
      <c r="H58" s="208">
        <v>0</v>
      </c>
      <c r="I58" s="205">
        <f>SUM(G58:H58)</f>
        <v>0</v>
      </c>
      <c r="J58" s="205">
        <f>MARZO!L58</f>
        <v>0</v>
      </c>
      <c r="K58" s="208">
        <v>0</v>
      </c>
      <c r="L58" s="205">
        <f>SUM(J58:K58)</f>
        <v>0</v>
      </c>
      <c r="M58" s="205">
        <f>F58-I58</f>
        <v>8042608</v>
      </c>
      <c r="N58" s="206">
        <f>F58-L58</f>
        <v>8042608</v>
      </c>
      <c r="O58" s="67"/>
      <c r="P58" s="204">
        <v>0</v>
      </c>
      <c r="Q58" s="210">
        <v>0</v>
      </c>
      <c r="R58" s="101"/>
      <c r="S58" s="266">
        <f>+IF(MARZO!S58=0,"",MARZO!S58)</f>
        <v>1010402</v>
      </c>
      <c r="T58" s="267" t="str">
        <f>+IF(MARZO!T58=0,"",MARZO!T58)</f>
        <v>Contribuciones - Otros</v>
      </c>
      <c r="U58" s="373">
        <f t="shared" ref="U58:AJ58" si="64">SUM(U59:U60)</f>
        <v>326592555</v>
      </c>
      <c r="V58" s="220">
        <f t="shared" si="64"/>
        <v>0</v>
      </c>
      <c r="W58" s="220">
        <f t="shared" si="64"/>
        <v>0</v>
      </c>
      <c r="X58" s="271">
        <f t="shared" si="64"/>
        <v>326592555</v>
      </c>
      <c r="Y58" s="270">
        <f t="shared" si="64"/>
        <v>70487800</v>
      </c>
      <c r="Z58" s="300">
        <f t="shared" si="64"/>
        <v>22000600</v>
      </c>
      <c r="AA58" s="271">
        <f t="shared" si="64"/>
        <v>92488400</v>
      </c>
      <c r="AB58" s="270">
        <f t="shared" si="64"/>
        <v>70487800</v>
      </c>
      <c r="AC58" s="300">
        <f t="shared" si="64"/>
        <v>22000600</v>
      </c>
      <c r="AD58" s="271">
        <f t="shared" si="64"/>
        <v>92488400</v>
      </c>
      <c r="AE58" s="270">
        <f t="shared" si="64"/>
        <v>70487800</v>
      </c>
      <c r="AF58" s="300">
        <f t="shared" si="64"/>
        <v>22000600</v>
      </c>
      <c r="AG58" s="271">
        <f t="shared" si="64"/>
        <v>92488400</v>
      </c>
      <c r="AH58" s="270">
        <f t="shared" si="64"/>
        <v>234104155</v>
      </c>
      <c r="AI58" s="220">
        <f t="shared" si="64"/>
        <v>234104155</v>
      </c>
      <c r="AJ58" s="269">
        <f t="shared" si="64"/>
        <v>234104155</v>
      </c>
      <c r="AK58" s="101"/>
      <c r="AL58" s="301">
        <f>SUM(AL59:AL60)</f>
        <v>0</v>
      </c>
      <c r="AM58" s="302">
        <f>SUM(AM59:AM60)</f>
        <v>0</v>
      </c>
    </row>
    <row r="59" spans="1:39" ht="24.75" customHeight="1">
      <c r="A59" s="202" t="str">
        <f>+IF(MARZO!A59=0,"",MARZO!A59)</f>
        <v>1.1.02.05.001.09.02.09.99</v>
      </c>
      <c r="B59" s="331" t="str">
        <f>+IF(MARZO!B59=0,"",MARZO!B59)</f>
        <v>Vigencia Anterior</v>
      </c>
      <c r="C59" s="204">
        <f>+ENERO!C59</f>
        <v>0</v>
      </c>
      <c r="D59" s="205">
        <f>MARZO!D59+ABRIL!P59</f>
        <v>0</v>
      </c>
      <c r="E59" s="205">
        <f>MARZO!E59+ABRIL!Q59</f>
        <v>0</v>
      </c>
      <c r="F59" s="205">
        <f>SUM(C59:E59)</f>
        <v>0</v>
      </c>
      <c r="G59" s="205">
        <f>MARZO!I59</f>
        <v>0</v>
      </c>
      <c r="H59" s="208">
        <v>0</v>
      </c>
      <c r="I59" s="205">
        <f>SUM(G59:H59)</f>
        <v>0</v>
      </c>
      <c r="J59" s="205">
        <f>MARZO!L59</f>
        <v>0</v>
      </c>
      <c r="K59" s="208">
        <v>0</v>
      </c>
      <c r="L59" s="205">
        <f>SUM(J59:K59)</f>
        <v>0</v>
      </c>
      <c r="M59" s="205">
        <f>F59-I59</f>
        <v>0</v>
      </c>
      <c r="N59" s="206">
        <f>F59-L59</f>
        <v>0</v>
      </c>
      <c r="O59" s="67"/>
      <c r="P59" s="204">
        <v>0</v>
      </c>
      <c r="Q59" s="210">
        <v>0</v>
      </c>
      <c r="R59" s="101"/>
      <c r="S59" s="311" t="str">
        <f>+IF(MARZO!S59=0,"",MARZO!S59)</f>
        <v>2.1.1.01.02.006</v>
      </c>
      <c r="T59" s="267" t="str">
        <f>+IF(MARZO!T59=0,"",MARZO!T59)</f>
        <v>I.C.B.F.</v>
      </c>
      <c r="U59" s="373">
        <f>+ENERO!U59</f>
        <v>195955533</v>
      </c>
      <c r="V59" s="220">
        <f>MARZO!V59+ABRIL!AL59</f>
        <v>0</v>
      </c>
      <c r="W59" s="220">
        <f>MARZO!W59+ABRIL!AM59</f>
        <v>0</v>
      </c>
      <c r="X59" s="271">
        <f>SUM(U59:W59)</f>
        <v>195955533</v>
      </c>
      <c r="Y59" s="270">
        <f>MARZO!AA59</f>
        <v>42288900</v>
      </c>
      <c r="Z59" s="208">
        <v>13198000</v>
      </c>
      <c r="AA59" s="271">
        <f>SUM(Y59:Z59)</f>
        <v>55486900</v>
      </c>
      <c r="AB59" s="270">
        <f>MARZO!AD59</f>
        <v>42288900</v>
      </c>
      <c r="AC59" s="208">
        <v>13198000</v>
      </c>
      <c r="AD59" s="271">
        <f>SUM(AB59:AC59)</f>
        <v>55486900</v>
      </c>
      <c r="AE59" s="270">
        <f>MARZO!AG59</f>
        <v>42288900</v>
      </c>
      <c r="AF59" s="208">
        <v>13198000</v>
      </c>
      <c r="AG59" s="271">
        <f>SUM(AE59:AF59)</f>
        <v>55486900</v>
      </c>
      <c r="AH59" s="270">
        <f>X59-AA59</f>
        <v>140468633</v>
      </c>
      <c r="AI59" s="220">
        <f>X59-AD59</f>
        <v>140468633</v>
      </c>
      <c r="AJ59" s="269">
        <f>X59-AG59</f>
        <v>140468633</v>
      </c>
      <c r="AK59" s="101"/>
      <c r="AL59" s="204">
        <v>0</v>
      </c>
      <c r="AM59" s="210">
        <v>0</v>
      </c>
    </row>
    <row r="60" spans="1:39" ht="24.75" customHeight="1">
      <c r="A60" s="286" t="str">
        <f>+IF(MARZO!A60=0,"",MARZO!A60)</f>
        <v>1.1.02.05.001.09.02.10</v>
      </c>
      <c r="B60" s="319" t="str">
        <f>+IF(MARZO!B60=0,"",MARZO!B60)</f>
        <v>IPS PUBLICAS</v>
      </c>
      <c r="C60" s="288">
        <f t="shared" ref="C60:N60" si="65">SUM(C61:C62)</f>
        <v>46623238</v>
      </c>
      <c r="D60" s="320">
        <f t="shared" si="65"/>
        <v>0</v>
      </c>
      <c r="E60" s="320">
        <f t="shared" si="65"/>
        <v>0</v>
      </c>
      <c r="F60" s="320">
        <f t="shared" si="65"/>
        <v>46623238</v>
      </c>
      <c r="G60" s="320">
        <f t="shared" si="65"/>
        <v>13196277</v>
      </c>
      <c r="H60" s="320">
        <f t="shared" si="65"/>
        <v>111333</v>
      </c>
      <c r="I60" s="320">
        <f t="shared" si="65"/>
        <v>13307610</v>
      </c>
      <c r="J60" s="320">
        <f t="shared" si="65"/>
        <v>9802861</v>
      </c>
      <c r="K60" s="320">
        <f t="shared" si="65"/>
        <v>111333</v>
      </c>
      <c r="L60" s="320">
        <f t="shared" si="65"/>
        <v>9914194</v>
      </c>
      <c r="M60" s="320">
        <f t="shared" si="65"/>
        <v>33315628</v>
      </c>
      <c r="N60" s="289">
        <f t="shared" si="65"/>
        <v>36709044</v>
      </c>
      <c r="O60" s="67"/>
      <c r="P60" s="288">
        <f>SUM(P61:P62)</f>
        <v>0</v>
      </c>
      <c r="Q60" s="289">
        <f>SUM(Q61:Q62)</f>
        <v>0</v>
      </c>
      <c r="R60" s="101"/>
      <c r="S60" s="311" t="str">
        <f>+IF(MARZO!S60=0,"",MARZO!S60)</f>
        <v>2.1.1.01.02.007</v>
      </c>
      <c r="T60" s="267" t="str">
        <f>+IF(MARZO!T60=0,"",MARZO!T60)</f>
        <v>SENA</v>
      </c>
      <c r="U60" s="373">
        <f>+ENERO!U60</f>
        <v>130637022</v>
      </c>
      <c r="V60" s="220">
        <f>MARZO!V60+ABRIL!AL60</f>
        <v>0</v>
      </c>
      <c r="W60" s="220">
        <f>MARZO!W60+ABRIL!AM60</f>
        <v>0</v>
      </c>
      <c r="X60" s="271">
        <f>SUM(U60:W60)</f>
        <v>130637022</v>
      </c>
      <c r="Y60" s="270">
        <f>MARZO!AA60</f>
        <v>28198900</v>
      </c>
      <c r="Z60" s="208">
        <v>8802600</v>
      </c>
      <c r="AA60" s="271">
        <f>SUM(Y60:Z60)</f>
        <v>37001500</v>
      </c>
      <c r="AB60" s="270">
        <f>MARZO!AD60</f>
        <v>28198900</v>
      </c>
      <c r="AC60" s="208">
        <v>8802600</v>
      </c>
      <c r="AD60" s="271">
        <f>SUM(AB60:AC60)</f>
        <v>37001500</v>
      </c>
      <c r="AE60" s="270">
        <f>MARZO!AG60</f>
        <v>28198900</v>
      </c>
      <c r="AF60" s="208">
        <v>8802600</v>
      </c>
      <c r="AG60" s="271">
        <f>SUM(AE60:AF60)</f>
        <v>37001500</v>
      </c>
      <c r="AH60" s="270">
        <f>X60-AA60</f>
        <v>93635522</v>
      </c>
      <c r="AI60" s="220">
        <f>X60-AD60</f>
        <v>93635522</v>
      </c>
      <c r="AJ60" s="269">
        <f>X60-AG60</f>
        <v>93635522</v>
      </c>
      <c r="AK60" s="101"/>
      <c r="AL60" s="204">
        <v>0</v>
      </c>
      <c r="AM60" s="210">
        <v>0</v>
      </c>
    </row>
    <row r="61" spans="1:39" ht="24.75" customHeight="1">
      <c r="A61" s="202" t="str">
        <f>+IF(MARZO!A61=0,"",MARZO!A61)</f>
        <v>1.1.02.05.001.09.02.10</v>
      </c>
      <c r="B61" s="331" t="str">
        <f>+CONCATENATE("Vigencia ",INSTRUCCIONES!$F$3)</f>
        <v>Vigencia 2025</v>
      </c>
      <c r="C61" s="204">
        <f>+ENERO!C61</f>
        <v>46623238</v>
      </c>
      <c r="D61" s="205">
        <f>MARZO!D61+ABRIL!P61</f>
        <v>0</v>
      </c>
      <c r="E61" s="205">
        <f>MARZO!E61+ABRIL!Q61</f>
        <v>0</v>
      </c>
      <c r="F61" s="205">
        <f>SUM(C61:E61)</f>
        <v>46623238</v>
      </c>
      <c r="G61" s="205">
        <f>MARZO!I61</f>
        <v>3393416</v>
      </c>
      <c r="H61" s="208">
        <v>111333</v>
      </c>
      <c r="I61" s="205">
        <f>SUM(G61:H61)</f>
        <v>3504749</v>
      </c>
      <c r="J61" s="205">
        <f>MARZO!L61</f>
        <v>0</v>
      </c>
      <c r="K61" s="208">
        <v>111333</v>
      </c>
      <c r="L61" s="205">
        <f>SUM(J61:K61)</f>
        <v>111333</v>
      </c>
      <c r="M61" s="205">
        <f>F61-I61</f>
        <v>43118489</v>
      </c>
      <c r="N61" s="206">
        <f>F61-L61</f>
        <v>46511905</v>
      </c>
      <c r="O61" s="67"/>
      <c r="P61" s="204">
        <v>0</v>
      </c>
      <c r="Q61" s="210">
        <v>0</v>
      </c>
      <c r="R61" s="101"/>
      <c r="S61" s="266">
        <f>+IF(MARZO!S61=0,"",MARZO!S61)</f>
        <v>1010499</v>
      </c>
      <c r="T61" s="267" t="str">
        <f>+IF(MARZO!T61=0,"",MARZO!T61)</f>
        <v>Vigencias Anteriores</v>
      </c>
      <c r="U61" s="373">
        <f>+ENERO!U61</f>
        <v>0</v>
      </c>
      <c r="V61" s="220">
        <f>MARZO!V61+ABRIL!AL61</f>
        <v>0</v>
      </c>
      <c r="W61" s="220">
        <f>MARZO!W61+ABRIL!AM61</f>
        <v>0</v>
      </c>
      <c r="X61" s="271">
        <f>SUM(U61:W61)</f>
        <v>0</v>
      </c>
      <c r="Y61" s="270">
        <f>MARZO!AA61</f>
        <v>0</v>
      </c>
      <c r="Z61" s="208">
        <v>0</v>
      </c>
      <c r="AA61" s="271">
        <f>SUM(Y61:Z61)</f>
        <v>0</v>
      </c>
      <c r="AB61" s="270">
        <f>MARZO!AD61</f>
        <v>0</v>
      </c>
      <c r="AC61" s="208">
        <v>0</v>
      </c>
      <c r="AD61" s="271">
        <f>SUM(AB61:AC61)</f>
        <v>0</v>
      </c>
      <c r="AE61" s="270">
        <f>MARZO!AG61</f>
        <v>0</v>
      </c>
      <c r="AF61" s="208">
        <v>0</v>
      </c>
      <c r="AG61" s="271">
        <f>SUM(AE61:AF61)</f>
        <v>0</v>
      </c>
      <c r="AH61" s="270">
        <f>X61-AA61</f>
        <v>0</v>
      </c>
      <c r="AI61" s="220">
        <f>X61-AD61</f>
        <v>0</v>
      </c>
      <c r="AJ61" s="269">
        <f>X61-AG61</f>
        <v>0</v>
      </c>
      <c r="AK61" s="101"/>
      <c r="AL61" s="204">
        <v>0</v>
      </c>
      <c r="AM61" s="210">
        <v>0</v>
      </c>
    </row>
    <row r="62" spans="1:39" ht="24.75" customHeight="1">
      <c r="A62" s="202" t="str">
        <f>+IF(MARZO!A62=0,"",MARZO!A62)</f>
        <v>1.1.02.05.001.09.02.10.99</v>
      </c>
      <c r="B62" s="331" t="str">
        <f>+IF(MARZO!B62=0,"",MARZO!B62)</f>
        <v>Vigencia Anterior</v>
      </c>
      <c r="C62" s="204">
        <f>+ENERO!C62</f>
        <v>0</v>
      </c>
      <c r="D62" s="205">
        <f>MARZO!D62+ABRIL!P62</f>
        <v>0</v>
      </c>
      <c r="E62" s="205">
        <f>MARZO!E62+ABRIL!Q62</f>
        <v>0</v>
      </c>
      <c r="F62" s="205">
        <f>SUM(C62:E62)</f>
        <v>0</v>
      </c>
      <c r="G62" s="205">
        <f>MARZO!I62</f>
        <v>9802861</v>
      </c>
      <c r="H62" s="208">
        <v>0</v>
      </c>
      <c r="I62" s="205">
        <f>SUM(G62:H62)</f>
        <v>9802861</v>
      </c>
      <c r="J62" s="205">
        <f>MARZO!L62</f>
        <v>9802861</v>
      </c>
      <c r="K62" s="208">
        <v>0</v>
      </c>
      <c r="L62" s="205">
        <f>SUM(J62:K62)</f>
        <v>9802861</v>
      </c>
      <c r="M62" s="205">
        <f>F62-I62</f>
        <v>-9802861</v>
      </c>
      <c r="N62" s="205">
        <f>F62-L62</f>
        <v>-9802861</v>
      </c>
      <c r="O62" s="67"/>
      <c r="P62" s="204">
        <v>0</v>
      </c>
      <c r="Q62" s="210">
        <v>0</v>
      </c>
      <c r="R62" s="101"/>
      <c r="S62" s="189">
        <f>+IF(MARZO!S62=0,"",MARZO!S62)</f>
        <v>1174808</v>
      </c>
      <c r="T62" s="488" t="str">
        <f>+IF(MARZO!T62=0,"",MARZO!T62)</f>
        <v/>
      </c>
      <c r="U62" s="191"/>
      <c r="V62" s="191"/>
      <c r="W62" s="191"/>
      <c r="X62" s="191"/>
      <c r="Y62" s="191"/>
      <c r="Z62" s="191"/>
      <c r="AA62" s="191"/>
      <c r="AB62" s="191"/>
      <c r="AC62" s="191"/>
      <c r="AD62" s="191"/>
      <c r="AE62" s="191"/>
      <c r="AF62" s="191"/>
      <c r="AG62" s="191"/>
      <c r="AH62" s="191"/>
      <c r="AI62" s="191"/>
      <c r="AJ62" s="192"/>
      <c r="AK62" s="216"/>
      <c r="AL62" s="370"/>
      <c r="AM62" s="371"/>
    </row>
    <row r="63" spans="1:39" ht="24.75" customHeight="1">
      <c r="A63" s="286" t="str">
        <f>+IF(MARZO!A63=0,"",MARZO!A63)</f>
        <v>1.1.02.05.001.09.02.90.01</v>
      </c>
      <c r="B63" s="319" t="str">
        <f>+IF(MARZO!B63=0,"",MARZO!B63)</f>
        <v>COMPAÑIAS DE SEGUROS  - ACCIDENTES DE TRANSITO (SOAT)</v>
      </c>
      <c r="C63" s="288">
        <f t="shared" ref="C63:N63" si="66">SUM(C64:C65)</f>
        <v>2461795617.04175</v>
      </c>
      <c r="D63" s="320">
        <f t="shared" si="66"/>
        <v>0</v>
      </c>
      <c r="E63" s="320">
        <f t="shared" si="66"/>
        <v>0</v>
      </c>
      <c r="F63" s="320">
        <f t="shared" si="66"/>
        <v>2461795617.04175</v>
      </c>
      <c r="G63" s="320">
        <f t="shared" si="66"/>
        <v>863575977</v>
      </c>
      <c r="H63" s="320">
        <f t="shared" si="66"/>
        <v>165623264</v>
      </c>
      <c r="I63" s="320">
        <f t="shared" si="66"/>
        <v>1029199241</v>
      </c>
      <c r="J63" s="320">
        <f t="shared" si="66"/>
        <v>484948364</v>
      </c>
      <c r="K63" s="320">
        <f t="shared" si="66"/>
        <v>59126973</v>
      </c>
      <c r="L63" s="320">
        <f t="shared" si="66"/>
        <v>544075337</v>
      </c>
      <c r="M63" s="320">
        <f t="shared" si="66"/>
        <v>1432596376.04175</v>
      </c>
      <c r="N63" s="289">
        <f t="shared" si="66"/>
        <v>1917720280.04175</v>
      </c>
      <c r="O63" s="67"/>
      <c r="P63" s="288">
        <f>SUM(P64:P65)</f>
        <v>0</v>
      </c>
      <c r="Q63" s="289">
        <f>SUM(Q64:Q65)</f>
        <v>0</v>
      </c>
      <c r="R63" s="101"/>
      <c r="S63" s="228">
        <f>+IF(MARZO!S63=0,"",MARZO!S63)</f>
        <v>1020010</v>
      </c>
      <c r="T63" s="229" t="str">
        <f>+IF(MARZO!T63=0,"",MARZO!T63)</f>
        <v>Gastos de Operación</v>
      </c>
      <c r="U63" s="230">
        <f t="shared" ref="U63:AJ63" si="67">U65+U83+U90+U104</f>
        <v>64518803470</v>
      </c>
      <c r="V63" s="231">
        <f t="shared" si="67"/>
        <v>-73000000</v>
      </c>
      <c r="W63" s="231">
        <f t="shared" si="67"/>
        <v>2928182761</v>
      </c>
      <c r="X63" s="234">
        <f t="shared" si="67"/>
        <v>67373986231</v>
      </c>
      <c r="Y63" s="233">
        <f t="shared" si="67"/>
        <v>44245523772</v>
      </c>
      <c r="Z63" s="231">
        <f t="shared" si="67"/>
        <v>2594004580</v>
      </c>
      <c r="AA63" s="234">
        <f t="shared" si="67"/>
        <v>46839528352</v>
      </c>
      <c r="AB63" s="233">
        <f t="shared" si="67"/>
        <v>26585946846</v>
      </c>
      <c r="AC63" s="231">
        <f t="shared" si="67"/>
        <v>5144416970</v>
      </c>
      <c r="AD63" s="234">
        <f t="shared" si="67"/>
        <v>31730363816</v>
      </c>
      <c r="AE63" s="233">
        <f t="shared" si="67"/>
        <v>13644914173</v>
      </c>
      <c r="AF63" s="231">
        <f t="shared" si="67"/>
        <v>4657829017</v>
      </c>
      <c r="AG63" s="234">
        <f t="shared" si="67"/>
        <v>18302743190</v>
      </c>
      <c r="AH63" s="233">
        <f t="shared" si="67"/>
        <v>20534457879</v>
      </c>
      <c r="AI63" s="231">
        <f t="shared" si="67"/>
        <v>35643622415</v>
      </c>
      <c r="AJ63" s="232">
        <f t="shared" si="67"/>
        <v>49071243041</v>
      </c>
      <c r="AK63" s="101"/>
      <c r="AL63" s="233">
        <f>AL65+AL83+AL90+AL104</f>
        <v>0</v>
      </c>
      <c r="AM63" s="232">
        <f>AM65+AM83+AM90+AM104</f>
        <v>2928182761</v>
      </c>
    </row>
    <row r="64" spans="1:39" ht="24.75" customHeight="1">
      <c r="A64" s="202" t="str">
        <f>+IF(MARZO!A64=0,"",MARZO!A64)</f>
        <v>1.1.02.05.001.09.02.90.01</v>
      </c>
      <c r="B64" s="331" t="str">
        <f>+CONCATENATE("Vigencia ",INSTRUCCIONES!$F$3)</f>
        <v>Vigencia 2025</v>
      </c>
      <c r="C64" s="204">
        <f>+ENERO!C64</f>
        <v>2137731076.9417498</v>
      </c>
      <c r="D64" s="205">
        <f>MARZO!D64+ABRIL!P64</f>
        <v>0</v>
      </c>
      <c r="E64" s="205">
        <f>MARZO!E64+ABRIL!Q64</f>
        <v>0</v>
      </c>
      <c r="F64" s="205">
        <f>SUM(C64:E64)</f>
        <v>2137731076.9417498</v>
      </c>
      <c r="G64" s="205">
        <f>MARZO!I64</f>
        <v>550310921</v>
      </c>
      <c r="H64" s="208">
        <v>151790474</v>
      </c>
      <c r="I64" s="205">
        <f>SUM(G64:H64)</f>
        <v>702101395</v>
      </c>
      <c r="J64" s="205">
        <f>MARZO!L64</f>
        <v>171683308</v>
      </c>
      <c r="K64" s="208">
        <v>45294183</v>
      </c>
      <c r="L64" s="205">
        <f>SUM(J64:K64)</f>
        <v>216977491</v>
      </c>
      <c r="M64" s="205">
        <f>F64-I64</f>
        <v>1435629681.9417498</v>
      </c>
      <c r="N64" s="206">
        <f>F64-L64</f>
        <v>1920753585.9417498</v>
      </c>
      <c r="O64" s="67"/>
      <c r="P64" s="204">
        <v>0</v>
      </c>
      <c r="Q64" s="210">
        <v>0</v>
      </c>
      <c r="R64" s="101"/>
      <c r="S64" s="189">
        <f>+IF(MARZO!S64=0,"",MARZO!S64)</f>
        <v>2290826</v>
      </c>
      <c r="T64" s="488" t="str">
        <f>+IF(MARZO!T64=0,"",MARZO!T64)</f>
        <v/>
      </c>
      <c r="U64" s="191"/>
      <c r="V64" s="191"/>
      <c r="W64" s="191"/>
      <c r="X64" s="191"/>
      <c r="Y64" s="191"/>
      <c r="Z64" s="191"/>
      <c r="AA64" s="191"/>
      <c r="AB64" s="191"/>
      <c r="AC64" s="191"/>
      <c r="AD64" s="191"/>
      <c r="AE64" s="191"/>
      <c r="AF64" s="191"/>
      <c r="AG64" s="191"/>
      <c r="AH64" s="191"/>
      <c r="AI64" s="191"/>
      <c r="AJ64" s="192"/>
      <c r="AK64" s="101"/>
      <c r="AL64" s="249"/>
      <c r="AM64" s="250"/>
    </row>
    <row r="65" spans="1:39" ht="24.75" customHeight="1">
      <c r="A65" s="202" t="str">
        <f>+IF(MARZO!A65=0,"",MARZO!A65)</f>
        <v>1.1.02.05.001.09.02.90.01.99</v>
      </c>
      <c r="B65" s="331" t="str">
        <f>+IF(MARZO!B65=0,"",MARZO!B65)</f>
        <v>Vigencia Anterior</v>
      </c>
      <c r="C65" s="204">
        <f>+ENERO!C65</f>
        <v>324064540.10000002</v>
      </c>
      <c r="D65" s="205">
        <f>MARZO!D65+ABRIL!P65</f>
        <v>0</v>
      </c>
      <c r="E65" s="205">
        <f>MARZO!E65+ABRIL!Q65</f>
        <v>0</v>
      </c>
      <c r="F65" s="205">
        <f>SUM(C65:E65)</f>
        <v>324064540.10000002</v>
      </c>
      <c r="G65" s="205">
        <f>MARZO!I65</f>
        <v>313265056</v>
      </c>
      <c r="H65" s="208">
        <f>9879381+3953409</f>
        <v>13832790</v>
      </c>
      <c r="I65" s="205">
        <f>SUM(G65:H65)</f>
        <v>327097846</v>
      </c>
      <c r="J65" s="205">
        <f>MARZO!L65</f>
        <v>313265056</v>
      </c>
      <c r="K65" s="208">
        <f>9879381+3953409</f>
        <v>13832790</v>
      </c>
      <c r="L65" s="205">
        <f>SUM(J65:K65)</f>
        <v>327097846</v>
      </c>
      <c r="M65" s="205">
        <f>F65-I65</f>
        <v>-3033305.8999999762</v>
      </c>
      <c r="N65" s="206">
        <f>F65-L65</f>
        <v>-3033305.8999999762</v>
      </c>
      <c r="O65" s="67"/>
      <c r="P65" s="204">
        <v>0</v>
      </c>
      <c r="Q65" s="210">
        <v>0</v>
      </c>
      <c r="R65" s="101"/>
      <c r="S65" s="257" t="str">
        <f>+IF(MARZO!S65=0,"",MARZO!S65)</f>
        <v>2.1.1.01.01-1</v>
      </c>
      <c r="T65" s="546" t="str">
        <f>+IF(MARZO!T65=0,"",MARZO!T65)</f>
        <v>Servicios Personales Asociados a Nómina</v>
      </c>
      <c r="U65" s="230">
        <f t="shared" ref="U65:AJ65" si="68">SUM(U66:U69)+U81</f>
        <v>0</v>
      </c>
      <c r="V65" s="231">
        <f t="shared" si="68"/>
        <v>0</v>
      </c>
      <c r="W65" s="231">
        <f t="shared" si="68"/>
        <v>0</v>
      </c>
      <c r="X65" s="234">
        <f t="shared" si="68"/>
        <v>0</v>
      </c>
      <c r="Y65" s="233">
        <f t="shared" si="68"/>
        <v>0</v>
      </c>
      <c r="Z65" s="231">
        <f t="shared" si="68"/>
        <v>0</v>
      </c>
      <c r="AA65" s="234">
        <f t="shared" si="68"/>
        <v>0</v>
      </c>
      <c r="AB65" s="233">
        <f t="shared" si="68"/>
        <v>0</v>
      </c>
      <c r="AC65" s="231">
        <f t="shared" si="68"/>
        <v>0</v>
      </c>
      <c r="AD65" s="234">
        <f t="shared" si="68"/>
        <v>0</v>
      </c>
      <c r="AE65" s="233">
        <f t="shared" si="68"/>
        <v>0</v>
      </c>
      <c r="AF65" s="231">
        <f t="shared" si="68"/>
        <v>0</v>
      </c>
      <c r="AG65" s="234">
        <f t="shared" si="68"/>
        <v>0</v>
      </c>
      <c r="AH65" s="233">
        <f t="shared" si="68"/>
        <v>0</v>
      </c>
      <c r="AI65" s="231">
        <f t="shared" si="68"/>
        <v>0</v>
      </c>
      <c r="AJ65" s="232">
        <f t="shared" si="68"/>
        <v>0</v>
      </c>
      <c r="AK65" s="101"/>
      <c r="AL65" s="233">
        <f>SUM(AL66:AL69)+AL81</f>
        <v>0</v>
      </c>
      <c r="AM65" s="232">
        <f>SUM(AM66:AM69)+AM81</f>
        <v>0</v>
      </c>
    </row>
    <row r="66" spans="1:39" ht="24.75" customHeight="1">
      <c r="A66" s="286" t="str">
        <f>+IF(MARZO!A66=0,"",MARZO!A66)</f>
        <v>1.1.02.05.001.09.02.18.01</v>
      </c>
      <c r="B66" s="319" t="str">
        <f>+IF(MARZO!B66=0,"",MARZO!B66)</f>
        <v xml:space="preserve">COMPAÑIAS DE SEGUROS  - PLANES DE SALUD </v>
      </c>
      <c r="C66" s="288">
        <f t="shared" ref="C66:N66" si="69">SUM(C67:C68)</f>
        <v>185631948</v>
      </c>
      <c r="D66" s="320">
        <f t="shared" si="69"/>
        <v>0</v>
      </c>
      <c r="E66" s="320">
        <f t="shared" si="69"/>
        <v>0</v>
      </c>
      <c r="F66" s="320">
        <f t="shared" si="69"/>
        <v>185631948</v>
      </c>
      <c r="G66" s="320">
        <f t="shared" si="69"/>
        <v>35578725</v>
      </c>
      <c r="H66" s="320">
        <f t="shared" si="69"/>
        <v>7817932</v>
      </c>
      <c r="I66" s="320">
        <f t="shared" si="69"/>
        <v>43396657</v>
      </c>
      <c r="J66" s="320">
        <f t="shared" si="69"/>
        <v>7302892</v>
      </c>
      <c r="K66" s="320">
        <f t="shared" si="69"/>
        <v>877581</v>
      </c>
      <c r="L66" s="320">
        <f t="shared" si="69"/>
        <v>8180473</v>
      </c>
      <c r="M66" s="320">
        <f t="shared" si="69"/>
        <v>142235291</v>
      </c>
      <c r="N66" s="289">
        <f t="shared" si="69"/>
        <v>177451475</v>
      </c>
      <c r="O66" s="67"/>
      <c r="P66" s="288">
        <f>SUM(P67:P68)</f>
        <v>0</v>
      </c>
      <c r="Q66" s="289">
        <f>SUM(Q67:Q68)</f>
        <v>0</v>
      </c>
      <c r="R66" s="101"/>
      <c r="S66" s="266" t="str">
        <f>+IF(MARZO!S66=0,"",MARZO!S66)</f>
        <v>2.1.1.01.01.001.01-1</v>
      </c>
      <c r="T66" s="267" t="str">
        <f>+IF(MARZO!T66=0,"",MARZO!T66)</f>
        <v>Sueldos del Personal de nómina</v>
      </c>
      <c r="U66" s="373">
        <f>+ENERO!U66</f>
        <v>0</v>
      </c>
      <c r="V66" s="220">
        <f>MARZO!V66+ABRIL!AL66</f>
        <v>0</v>
      </c>
      <c r="W66" s="220">
        <f>MARZO!W66+ABRIL!AM66</f>
        <v>0</v>
      </c>
      <c r="X66" s="271">
        <f>SUM(U66:W66)</f>
        <v>0</v>
      </c>
      <c r="Y66" s="270">
        <f>MARZO!AA66</f>
        <v>0</v>
      </c>
      <c r="Z66" s="208">
        <v>0</v>
      </c>
      <c r="AA66" s="271">
        <f>SUM(Y66:Z66)</f>
        <v>0</v>
      </c>
      <c r="AB66" s="270">
        <f>MARZO!AD66</f>
        <v>0</v>
      </c>
      <c r="AC66" s="208">
        <v>0</v>
      </c>
      <c r="AD66" s="271">
        <f>SUM(AB66:AC66)</f>
        <v>0</v>
      </c>
      <c r="AE66" s="270">
        <f>MARZO!AG66</f>
        <v>0</v>
      </c>
      <c r="AF66" s="208">
        <v>0</v>
      </c>
      <c r="AG66" s="271">
        <f>SUM(AE66:AF66)</f>
        <v>0</v>
      </c>
      <c r="AH66" s="270">
        <f>X66-AA66</f>
        <v>0</v>
      </c>
      <c r="AI66" s="220">
        <f>X66-AD66</f>
        <v>0</v>
      </c>
      <c r="AJ66" s="269">
        <f>X66-AG66</f>
        <v>0</v>
      </c>
      <c r="AK66" s="101"/>
      <c r="AL66" s="204">
        <v>0</v>
      </c>
      <c r="AM66" s="210">
        <v>0</v>
      </c>
    </row>
    <row r="67" spans="1:39" ht="24.75" customHeight="1">
      <c r="A67" s="202" t="str">
        <f>+IF(MARZO!A67=0,"",MARZO!A67)</f>
        <v>1.1.02.05.001.09.02.18.01</v>
      </c>
      <c r="B67" s="331" t="str">
        <f>+CONCATENATE("Vigencia ",INSTRUCCIONES!$F$3)</f>
        <v>Vigencia 2025</v>
      </c>
      <c r="C67" s="204">
        <f>+ENERO!C67</f>
        <v>111911928</v>
      </c>
      <c r="D67" s="205">
        <f>MARZO!D67+ABRIL!P67</f>
        <v>0</v>
      </c>
      <c r="E67" s="205">
        <f>MARZO!E67+ABRIL!Q67</f>
        <v>0</v>
      </c>
      <c r="F67" s="205">
        <f>SUM(C67:E67)</f>
        <v>111911928</v>
      </c>
      <c r="G67" s="205">
        <f>MARZO!I67</f>
        <v>28595916</v>
      </c>
      <c r="H67" s="208">
        <v>7497093</v>
      </c>
      <c r="I67" s="205">
        <f>SUM(G67:H67)</f>
        <v>36093009</v>
      </c>
      <c r="J67" s="205">
        <f>MARZO!L67</f>
        <v>320083</v>
      </c>
      <c r="K67" s="208">
        <v>556742</v>
      </c>
      <c r="L67" s="205">
        <f>SUM(J67:K67)</f>
        <v>876825</v>
      </c>
      <c r="M67" s="205">
        <f>F67-I67</f>
        <v>75818919</v>
      </c>
      <c r="N67" s="206">
        <f>F67-L67</f>
        <v>111035103</v>
      </c>
      <c r="O67" s="67"/>
      <c r="P67" s="204">
        <v>0</v>
      </c>
      <c r="Q67" s="210">
        <v>0</v>
      </c>
      <c r="R67" s="101"/>
      <c r="S67" s="266" t="str">
        <f>+IF(MARZO!S67=0,"",MARZO!S67)</f>
        <v>2.1.1.01.01.001.02-1</v>
      </c>
      <c r="T67" s="267" t="str">
        <f>+IF(MARZO!T67=0,"",MARZO!T67)</f>
        <v>Horas Extras,Dominic.,Festivos y Rec. Nocturnos</v>
      </c>
      <c r="U67" s="373">
        <f>+ENERO!U67</f>
        <v>0</v>
      </c>
      <c r="V67" s="220">
        <f>MARZO!V67+ABRIL!AL67</f>
        <v>0</v>
      </c>
      <c r="W67" s="220">
        <f>MARZO!W67+ABRIL!AM67</f>
        <v>0</v>
      </c>
      <c r="X67" s="271">
        <f>SUM(U67:W67)</f>
        <v>0</v>
      </c>
      <c r="Y67" s="270">
        <f>MARZO!AA67</f>
        <v>0</v>
      </c>
      <c r="Z67" s="208">
        <v>0</v>
      </c>
      <c r="AA67" s="271">
        <f>SUM(Y67:Z67)</f>
        <v>0</v>
      </c>
      <c r="AB67" s="270">
        <f>MARZO!AD67</f>
        <v>0</v>
      </c>
      <c r="AC67" s="208">
        <v>0</v>
      </c>
      <c r="AD67" s="271">
        <f>SUM(AB67:AC67)</f>
        <v>0</v>
      </c>
      <c r="AE67" s="270">
        <f>MARZO!AG67</f>
        <v>0</v>
      </c>
      <c r="AF67" s="208">
        <v>0</v>
      </c>
      <c r="AG67" s="271">
        <f>SUM(AE67:AF67)</f>
        <v>0</v>
      </c>
      <c r="AH67" s="270">
        <f>X67-AA67</f>
        <v>0</v>
      </c>
      <c r="AI67" s="220">
        <f>X67-AD67</f>
        <v>0</v>
      </c>
      <c r="AJ67" s="269">
        <f>X67-AG67</f>
        <v>0</v>
      </c>
      <c r="AK67" s="101"/>
      <c r="AL67" s="204">
        <v>0</v>
      </c>
      <c r="AM67" s="210">
        <v>0</v>
      </c>
    </row>
    <row r="68" spans="1:39" ht="24.75" customHeight="1">
      <c r="A68" s="202" t="str">
        <f>+IF(MARZO!A68=0,"",MARZO!A68)</f>
        <v>1.1.02.05.001.09.02.18.01.99</v>
      </c>
      <c r="B68" s="331" t="str">
        <f>+IF(MARZO!B68=0,"",MARZO!B68)</f>
        <v>Vigencia Anterior</v>
      </c>
      <c r="C68" s="204">
        <f>+ENERO!C68</f>
        <v>73720020</v>
      </c>
      <c r="D68" s="205">
        <f>MARZO!D68+ABRIL!P68</f>
        <v>0</v>
      </c>
      <c r="E68" s="205">
        <f>MARZO!E68+ABRIL!Q68</f>
        <v>0</v>
      </c>
      <c r="F68" s="205">
        <f>SUM(C68:E68)</f>
        <v>73720020</v>
      </c>
      <c r="G68" s="205">
        <f>MARZO!I68</f>
        <v>6982809</v>
      </c>
      <c r="H68" s="208">
        <v>320839</v>
      </c>
      <c r="I68" s="205">
        <f>SUM(G68:H68)</f>
        <v>7303648</v>
      </c>
      <c r="J68" s="205">
        <f>MARZO!L68</f>
        <v>6982809</v>
      </c>
      <c r="K68" s="208">
        <v>320839</v>
      </c>
      <c r="L68" s="205">
        <f>SUM(J68:K68)</f>
        <v>7303648</v>
      </c>
      <c r="M68" s="205">
        <f>F68-I68</f>
        <v>66416372</v>
      </c>
      <c r="N68" s="206">
        <f>F68-L68</f>
        <v>66416372</v>
      </c>
      <c r="O68" s="67"/>
      <c r="P68" s="204">
        <v>0</v>
      </c>
      <c r="Q68" s="210">
        <v>0</v>
      </c>
      <c r="R68" s="101"/>
      <c r="S68" s="266">
        <f>+IF(MARZO!S68=0,"",MARZO!S68)</f>
        <v>1010103</v>
      </c>
      <c r="T68" s="267" t="str">
        <f>+IF(MARZO!T68=0,"",MARZO!T68)</f>
        <v>Prima Técnica</v>
      </c>
      <c r="U68" s="373">
        <f>+ENERO!U68</f>
        <v>0</v>
      </c>
      <c r="V68" s="220">
        <f>MARZO!V68+ABRIL!AL68</f>
        <v>0</v>
      </c>
      <c r="W68" s="220">
        <f>MARZO!W68+ABRIL!AM68</f>
        <v>0</v>
      </c>
      <c r="X68" s="271">
        <f>SUM(U68:W68)</f>
        <v>0</v>
      </c>
      <c r="Y68" s="270">
        <f>MARZO!AA68</f>
        <v>0</v>
      </c>
      <c r="Z68" s="208">
        <v>0</v>
      </c>
      <c r="AA68" s="271">
        <f>SUM(Y68:Z68)</f>
        <v>0</v>
      </c>
      <c r="AB68" s="270">
        <f>MARZO!AD68</f>
        <v>0</v>
      </c>
      <c r="AC68" s="208">
        <v>0</v>
      </c>
      <c r="AD68" s="271">
        <f>SUM(AB68:AC68)</f>
        <v>0</v>
      </c>
      <c r="AE68" s="270">
        <f>MARZO!AG68</f>
        <v>0</v>
      </c>
      <c r="AF68" s="208">
        <v>0</v>
      </c>
      <c r="AG68" s="271">
        <f>SUM(AE68:AF68)</f>
        <v>0</v>
      </c>
      <c r="AH68" s="270">
        <f>X68-AA68</f>
        <v>0</v>
      </c>
      <c r="AI68" s="220">
        <f>X68-AD68</f>
        <v>0</v>
      </c>
      <c r="AJ68" s="269">
        <f>X68-AG68</f>
        <v>0</v>
      </c>
      <c r="AK68" s="101"/>
      <c r="AL68" s="204">
        <v>0</v>
      </c>
      <c r="AM68" s="210">
        <v>0</v>
      </c>
    </row>
    <row r="69" spans="1:39" ht="24.75" customHeight="1">
      <c r="A69" s="286" t="str">
        <f>+IF(MARZO!A69=0,"",MARZO!A69)</f>
        <v>1.1.02.05.001.09.02.90.02</v>
      </c>
      <c r="B69" s="319" t="str">
        <f>+IF(MARZO!B69=0,"",MARZO!B69)</f>
        <v>ENTIDADES DE REGIMEN ESPECIAL (Magisterio, Fuerza Pca.)</v>
      </c>
      <c r="C69" s="288">
        <f t="shared" ref="C69:N69" si="70">SUM(C70:C71)</f>
        <v>1378696551</v>
      </c>
      <c r="D69" s="320">
        <f t="shared" si="70"/>
        <v>0</v>
      </c>
      <c r="E69" s="320">
        <f t="shared" si="70"/>
        <v>0</v>
      </c>
      <c r="F69" s="320">
        <f t="shared" si="70"/>
        <v>1378696551</v>
      </c>
      <c r="G69" s="320">
        <f t="shared" si="70"/>
        <v>882472092</v>
      </c>
      <c r="H69" s="320">
        <f t="shared" si="70"/>
        <v>293206607</v>
      </c>
      <c r="I69" s="320">
        <f t="shared" si="70"/>
        <v>1175678699</v>
      </c>
      <c r="J69" s="320">
        <f t="shared" si="70"/>
        <v>277569216</v>
      </c>
      <c r="K69" s="320">
        <f t="shared" si="70"/>
        <v>201361757</v>
      </c>
      <c r="L69" s="320">
        <f t="shared" si="70"/>
        <v>478930973</v>
      </c>
      <c r="M69" s="320">
        <f t="shared" si="70"/>
        <v>203017852</v>
      </c>
      <c r="N69" s="289">
        <f t="shared" si="70"/>
        <v>899765578</v>
      </c>
      <c r="O69" s="67"/>
      <c r="P69" s="288">
        <f>SUM(P70:P71)</f>
        <v>0</v>
      </c>
      <c r="Q69" s="289">
        <f>SUM(Q70:Q71)</f>
        <v>0</v>
      </c>
      <c r="R69" s="101"/>
      <c r="S69" s="266">
        <f>+IF(MARZO!S69=0,"",MARZO!S69)</f>
        <v>1010104</v>
      </c>
      <c r="T69" s="267" t="str">
        <f>+IF(MARZO!T69=0,"",MARZO!T69)</f>
        <v>Otros</v>
      </c>
      <c r="U69" s="373">
        <f t="shared" ref="U69:AJ69" si="71">SUM(U70:U80)</f>
        <v>0</v>
      </c>
      <c r="V69" s="220">
        <f t="shared" si="71"/>
        <v>0</v>
      </c>
      <c r="W69" s="220">
        <f t="shared" si="71"/>
        <v>0</v>
      </c>
      <c r="X69" s="271">
        <f t="shared" si="71"/>
        <v>0</v>
      </c>
      <c r="Y69" s="270">
        <f t="shared" si="71"/>
        <v>0</v>
      </c>
      <c r="Z69" s="300">
        <f t="shared" si="71"/>
        <v>0</v>
      </c>
      <c r="AA69" s="271">
        <f t="shared" si="71"/>
        <v>0</v>
      </c>
      <c r="AB69" s="270">
        <f t="shared" si="71"/>
        <v>0</v>
      </c>
      <c r="AC69" s="300">
        <f t="shared" si="71"/>
        <v>0</v>
      </c>
      <c r="AD69" s="271">
        <f t="shared" si="71"/>
        <v>0</v>
      </c>
      <c r="AE69" s="270">
        <f t="shared" si="71"/>
        <v>0</v>
      </c>
      <c r="AF69" s="300">
        <f t="shared" si="71"/>
        <v>0</v>
      </c>
      <c r="AG69" s="271">
        <f t="shared" si="71"/>
        <v>0</v>
      </c>
      <c r="AH69" s="270">
        <f t="shared" si="71"/>
        <v>0</v>
      </c>
      <c r="AI69" s="220">
        <f t="shared" si="71"/>
        <v>0</v>
      </c>
      <c r="AJ69" s="269">
        <f t="shared" si="71"/>
        <v>0</v>
      </c>
      <c r="AK69" s="101"/>
      <c r="AL69" s="301">
        <f>SUM(AL70:AL80)</f>
        <v>0</v>
      </c>
      <c r="AM69" s="302">
        <f>SUM(AM70:AM80)</f>
        <v>0</v>
      </c>
    </row>
    <row r="70" spans="1:39" ht="24.75" customHeight="1">
      <c r="A70" s="202" t="str">
        <f>+IF(MARZO!A70=0,"",MARZO!A70)</f>
        <v>1.1.02.05.001.09.02.90.02</v>
      </c>
      <c r="B70" s="331" t="str">
        <f>+CONCATENATE("Vigencia ",INSTRUCCIONES!$F$3)</f>
        <v>Vigencia 2025</v>
      </c>
      <c r="C70" s="204">
        <f>+ENERO!C70</f>
        <v>898696551</v>
      </c>
      <c r="D70" s="205">
        <f>MARZO!D70+ABRIL!P70</f>
        <v>0</v>
      </c>
      <c r="E70" s="205">
        <f>MARZO!E70+ABRIL!Q70</f>
        <v>0</v>
      </c>
      <c r="F70" s="205">
        <f>SUM(C70:E70)</f>
        <v>898696551</v>
      </c>
      <c r="G70" s="205">
        <f>MARZO!I70</f>
        <v>611088821</v>
      </c>
      <c r="H70" s="208">
        <v>91844850</v>
      </c>
      <c r="I70" s="205">
        <f>SUM(G70:H70)</f>
        <v>702933671</v>
      </c>
      <c r="J70" s="205">
        <f>MARZO!L70</f>
        <v>6185945</v>
      </c>
      <c r="K70" s="208">
        <v>0</v>
      </c>
      <c r="L70" s="205">
        <f>SUM(J70:K70)</f>
        <v>6185945</v>
      </c>
      <c r="M70" s="205">
        <f>F70-I70</f>
        <v>195762880</v>
      </c>
      <c r="N70" s="206">
        <f>F70-L70</f>
        <v>892510606</v>
      </c>
      <c r="O70" s="67"/>
      <c r="P70" s="204">
        <v>0</v>
      </c>
      <c r="Q70" s="210">
        <v>0</v>
      </c>
      <c r="R70" s="101"/>
      <c r="S70" s="311" t="str">
        <f>+IF(MARZO!S70=0,"",MARZO!S70)</f>
        <v>2.1.1.01.01.001.08.01-1</v>
      </c>
      <c r="T70" s="312" t="str">
        <f>+IF(MARZO!T70=0,"",MARZO!T70)</f>
        <v xml:space="preserve">Prima de Navidad </v>
      </c>
      <c r="U70" s="373">
        <f>+ENERO!U70</f>
        <v>0</v>
      </c>
      <c r="V70" s="220">
        <f>MARZO!V70+ABRIL!AL70</f>
        <v>0</v>
      </c>
      <c r="W70" s="220">
        <f>MARZO!W70+ABRIL!AM70</f>
        <v>0</v>
      </c>
      <c r="X70" s="271">
        <f t="shared" ref="X70:X81" si="72">SUM(U70:W70)</f>
        <v>0</v>
      </c>
      <c r="Y70" s="270">
        <f>MARZO!AA70</f>
        <v>0</v>
      </c>
      <c r="Z70" s="208">
        <v>0</v>
      </c>
      <c r="AA70" s="271">
        <f t="shared" ref="AA70:AA81" si="73">SUM(Y70:Z70)</f>
        <v>0</v>
      </c>
      <c r="AB70" s="270">
        <f>MARZO!AD70</f>
        <v>0</v>
      </c>
      <c r="AC70" s="208">
        <v>0</v>
      </c>
      <c r="AD70" s="271">
        <f t="shared" ref="AD70:AD81" si="74">SUM(AB70:AC70)</f>
        <v>0</v>
      </c>
      <c r="AE70" s="270">
        <f>MARZO!AG70</f>
        <v>0</v>
      </c>
      <c r="AF70" s="208">
        <v>0</v>
      </c>
      <c r="AG70" s="271">
        <f t="shared" ref="AG70:AG81" si="75">SUM(AE70:AF70)</f>
        <v>0</v>
      </c>
      <c r="AH70" s="270">
        <f t="shared" ref="AH70:AH81" si="76">X70-AA70</f>
        <v>0</v>
      </c>
      <c r="AI70" s="220">
        <f t="shared" ref="AI70:AI81" si="77">X70-AD70</f>
        <v>0</v>
      </c>
      <c r="AJ70" s="269">
        <f t="shared" ref="AJ70:AJ81" si="78">X70-AG70</f>
        <v>0</v>
      </c>
      <c r="AK70" s="101"/>
      <c r="AL70" s="204">
        <v>0</v>
      </c>
      <c r="AM70" s="210">
        <v>0</v>
      </c>
    </row>
    <row r="71" spans="1:39" ht="24.75" customHeight="1">
      <c r="A71" s="202" t="str">
        <f>+IF(MARZO!A71=0,"",MARZO!A71)</f>
        <v>1.1.02.05.001.09.02.90.02.99</v>
      </c>
      <c r="B71" s="331" t="str">
        <f>+IF(MARZO!B71=0,"",MARZO!B71)</f>
        <v>Vigencia Anterior</v>
      </c>
      <c r="C71" s="204">
        <f>+ENERO!C71</f>
        <v>480000000</v>
      </c>
      <c r="D71" s="205">
        <f>MARZO!D71+ABRIL!P71</f>
        <v>0</v>
      </c>
      <c r="E71" s="205">
        <f>MARZO!E71+ABRIL!Q71</f>
        <v>0</v>
      </c>
      <c r="F71" s="205">
        <f>SUM(C71:E71)</f>
        <v>480000000</v>
      </c>
      <c r="G71" s="205">
        <f>MARZO!I71</f>
        <v>271383271</v>
      </c>
      <c r="H71" s="208">
        <f>125031331+76330426</f>
        <v>201361757</v>
      </c>
      <c r="I71" s="205">
        <f>SUM(G71:H71)</f>
        <v>472745028</v>
      </c>
      <c r="J71" s="205">
        <f>MARZO!L71</f>
        <v>271383271</v>
      </c>
      <c r="K71" s="208">
        <f>125031331+76330426</f>
        <v>201361757</v>
      </c>
      <c r="L71" s="205">
        <f>SUM(J71:K71)</f>
        <v>472745028</v>
      </c>
      <c r="M71" s="205">
        <f>F71-I71</f>
        <v>7254972</v>
      </c>
      <c r="N71" s="206">
        <f>F71-L71</f>
        <v>7254972</v>
      </c>
      <c r="O71" s="67"/>
      <c r="P71" s="204">
        <v>0</v>
      </c>
      <c r="Q71" s="210">
        <v>0</v>
      </c>
      <c r="R71" s="101"/>
      <c r="S71" s="311" t="str">
        <f>+IF(MARZO!S71=0,"",MARZO!S71)</f>
        <v>2.1.1.01.01.001.08.02-1</v>
      </c>
      <c r="T71" s="312" t="str">
        <f>+IF(MARZO!T71=0,"",MARZO!T71)</f>
        <v>Prima de Vacaciones</v>
      </c>
      <c r="U71" s="373">
        <f>+ENERO!U71</f>
        <v>0</v>
      </c>
      <c r="V71" s="220">
        <f>MARZO!V71+ABRIL!AL71</f>
        <v>0</v>
      </c>
      <c r="W71" s="220">
        <f>MARZO!W71+ABRIL!AM71</f>
        <v>0</v>
      </c>
      <c r="X71" s="271">
        <f t="shared" si="72"/>
        <v>0</v>
      </c>
      <c r="Y71" s="270">
        <f>MARZO!AA71</f>
        <v>0</v>
      </c>
      <c r="Z71" s="208">
        <v>0</v>
      </c>
      <c r="AA71" s="271">
        <f t="shared" si="73"/>
        <v>0</v>
      </c>
      <c r="AB71" s="270">
        <f>MARZO!AD71</f>
        <v>0</v>
      </c>
      <c r="AC71" s="208">
        <v>0</v>
      </c>
      <c r="AD71" s="271">
        <f t="shared" si="74"/>
        <v>0</v>
      </c>
      <c r="AE71" s="270">
        <f>MARZO!AG71</f>
        <v>0</v>
      </c>
      <c r="AF71" s="208">
        <v>0</v>
      </c>
      <c r="AG71" s="271">
        <f t="shared" si="75"/>
        <v>0</v>
      </c>
      <c r="AH71" s="270">
        <f t="shared" si="76"/>
        <v>0</v>
      </c>
      <c r="AI71" s="220">
        <f t="shared" si="77"/>
        <v>0</v>
      </c>
      <c r="AJ71" s="269">
        <f t="shared" si="78"/>
        <v>0</v>
      </c>
      <c r="AK71" s="101"/>
      <c r="AL71" s="204">
        <v>0</v>
      </c>
      <c r="AM71" s="210">
        <v>0</v>
      </c>
    </row>
    <row r="72" spans="1:39" ht="24.75" customHeight="1">
      <c r="A72" s="286" t="str">
        <f>+IF(MARZO!A72=0,"",MARZO!A72)</f>
        <v>1.1.02.05.001.09.02.06</v>
      </c>
      <c r="B72" s="319" t="str">
        <f>+IF(MARZO!B72=0,"",MARZO!B72)</f>
        <v>ADMINISTRADORAS DE RIESGOS LABORALES</v>
      </c>
      <c r="C72" s="288">
        <f t="shared" ref="C72:N72" si="79">SUM(C73:C74)</f>
        <v>374950682</v>
      </c>
      <c r="D72" s="320">
        <f t="shared" si="79"/>
        <v>0</v>
      </c>
      <c r="E72" s="320">
        <f t="shared" si="79"/>
        <v>0</v>
      </c>
      <c r="F72" s="320">
        <f t="shared" si="79"/>
        <v>374950682</v>
      </c>
      <c r="G72" s="320">
        <f t="shared" si="79"/>
        <v>128925938</v>
      </c>
      <c r="H72" s="320">
        <f t="shared" si="79"/>
        <v>22508573</v>
      </c>
      <c r="I72" s="320">
        <f t="shared" si="79"/>
        <v>151434511</v>
      </c>
      <c r="J72" s="320">
        <f t="shared" si="79"/>
        <v>91441167</v>
      </c>
      <c r="K72" s="320">
        <f t="shared" si="79"/>
        <v>23758660</v>
      </c>
      <c r="L72" s="320">
        <f t="shared" si="79"/>
        <v>115199827</v>
      </c>
      <c r="M72" s="320">
        <f t="shared" si="79"/>
        <v>223516171</v>
      </c>
      <c r="N72" s="289">
        <f t="shared" si="79"/>
        <v>259750855</v>
      </c>
      <c r="O72" s="67"/>
      <c r="P72" s="288">
        <f>SUM(P73:P74)</f>
        <v>0</v>
      </c>
      <c r="Q72" s="289">
        <f>SUM(Q73:Q74)</f>
        <v>0</v>
      </c>
      <c r="R72" s="101"/>
      <c r="S72" s="311" t="str">
        <f>+IF(MARZO!S72=0,"",MARZO!S72)</f>
        <v>2.1.1.01.01.001.07-1</v>
      </c>
      <c r="T72" s="312" t="str">
        <f>+IF(MARZO!T72=0,"",MARZO!T72)</f>
        <v>Bonificación  por servicios prestados</v>
      </c>
      <c r="U72" s="373">
        <f>+ENERO!U72</f>
        <v>0</v>
      </c>
      <c r="V72" s="220">
        <f>MARZO!V72+ABRIL!AL72</f>
        <v>0</v>
      </c>
      <c r="W72" s="220">
        <f>MARZO!W72+ABRIL!AM72</f>
        <v>0</v>
      </c>
      <c r="X72" s="271">
        <f t="shared" si="72"/>
        <v>0</v>
      </c>
      <c r="Y72" s="270">
        <f>MARZO!AA72</f>
        <v>0</v>
      </c>
      <c r="Z72" s="208">
        <v>0</v>
      </c>
      <c r="AA72" s="271">
        <f t="shared" si="73"/>
        <v>0</v>
      </c>
      <c r="AB72" s="270">
        <f>MARZO!AD72</f>
        <v>0</v>
      </c>
      <c r="AC72" s="208">
        <v>0</v>
      </c>
      <c r="AD72" s="271">
        <f t="shared" si="74"/>
        <v>0</v>
      </c>
      <c r="AE72" s="270">
        <f>MARZO!AG72</f>
        <v>0</v>
      </c>
      <c r="AF72" s="208">
        <v>0</v>
      </c>
      <c r="AG72" s="271">
        <f t="shared" si="75"/>
        <v>0</v>
      </c>
      <c r="AH72" s="270">
        <f t="shared" si="76"/>
        <v>0</v>
      </c>
      <c r="AI72" s="220">
        <f t="shared" si="77"/>
        <v>0</v>
      </c>
      <c r="AJ72" s="269">
        <f t="shared" si="78"/>
        <v>0</v>
      </c>
      <c r="AK72" s="101"/>
      <c r="AL72" s="204">
        <v>0</v>
      </c>
      <c r="AM72" s="210">
        <v>0</v>
      </c>
    </row>
    <row r="73" spans="1:39" ht="24.75" customHeight="1">
      <c r="A73" s="202" t="str">
        <f>+IF(MARZO!A73=0,"",MARZO!A73)</f>
        <v>1.1.02.05.001.09.02.06</v>
      </c>
      <c r="B73" s="331" t="str">
        <f>+CONCATENATE("Vigencia ",INSTRUCCIONES!$F$3)</f>
        <v>Vigencia 2025</v>
      </c>
      <c r="C73" s="204">
        <f>+ENERO!C73</f>
        <v>337999834</v>
      </c>
      <c r="D73" s="205">
        <f>MARZO!D73+ABRIL!P73</f>
        <v>0</v>
      </c>
      <c r="E73" s="205">
        <f>MARZO!E73+ABRIL!Q73</f>
        <v>0</v>
      </c>
      <c r="F73" s="205">
        <f>SUM(C73:E73)</f>
        <v>337999834</v>
      </c>
      <c r="G73" s="205">
        <f>MARZO!I73</f>
        <v>73344900</v>
      </c>
      <c r="H73" s="208">
        <v>21437219</v>
      </c>
      <c r="I73" s="205">
        <f>SUM(G73:H73)</f>
        <v>94782119</v>
      </c>
      <c r="J73" s="205">
        <f>MARZO!L73</f>
        <v>35860129</v>
      </c>
      <c r="K73" s="208">
        <v>22687306</v>
      </c>
      <c r="L73" s="205">
        <f>SUM(J73:K73)</f>
        <v>58547435</v>
      </c>
      <c r="M73" s="205">
        <f>F73-I73</f>
        <v>243217715</v>
      </c>
      <c r="N73" s="206">
        <f>F73-L73</f>
        <v>279452399</v>
      </c>
      <c r="O73" s="67"/>
      <c r="P73" s="204">
        <v>0</v>
      </c>
      <c r="Q73" s="210">
        <v>0</v>
      </c>
      <c r="R73" s="101"/>
      <c r="S73" s="311" t="str">
        <f>+IF(MARZO!S73=0,"",MARZO!S73)</f>
        <v>2.1.1.01.01.001.06-1</v>
      </c>
      <c r="T73" s="312" t="str">
        <f>+IF(MARZO!T73=0,"",MARZO!T73)</f>
        <v>Prima de Servicios</v>
      </c>
      <c r="U73" s="373">
        <f>+ENERO!U73</f>
        <v>0</v>
      </c>
      <c r="V73" s="220">
        <f>MARZO!V73+ABRIL!AL73</f>
        <v>0</v>
      </c>
      <c r="W73" s="220">
        <f>MARZO!W73+ABRIL!AM73</f>
        <v>0</v>
      </c>
      <c r="X73" s="271">
        <f t="shared" si="72"/>
        <v>0</v>
      </c>
      <c r="Y73" s="270">
        <f>MARZO!AA73</f>
        <v>0</v>
      </c>
      <c r="Z73" s="208">
        <v>0</v>
      </c>
      <c r="AA73" s="271">
        <f t="shared" si="73"/>
        <v>0</v>
      </c>
      <c r="AB73" s="270">
        <f>MARZO!AD73</f>
        <v>0</v>
      </c>
      <c r="AC73" s="208">
        <v>0</v>
      </c>
      <c r="AD73" s="271">
        <f t="shared" si="74"/>
        <v>0</v>
      </c>
      <c r="AE73" s="270">
        <f>MARZO!AG73</f>
        <v>0</v>
      </c>
      <c r="AF73" s="208">
        <v>0</v>
      </c>
      <c r="AG73" s="271">
        <f t="shared" si="75"/>
        <v>0</v>
      </c>
      <c r="AH73" s="270">
        <f t="shared" si="76"/>
        <v>0</v>
      </c>
      <c r="AI73" s="220">
        <f t="shared" si="77"/>
        <v>0</v>
      </c>
      <c r="AJ73" s="269">
        <f t="shared" si="78"/>
        <v>0</v>
      </c>
      <c r="AK73" s="101"/>
      <c r="AL73" s="204">
        <v>0</v>
      </c>
      <c r="AM73" s="210">
        <v>0</v>
      </c>
    </row>
    <row r="74" spans="1:39" ht="24.75" customHeight="1">
      <c r="A74" s="202" t="str">
        <f>+IF(MARZO!A74=0,"",MARZO!A74)</f>
        <v>1.1.02.05.001.09.02.06.99</v>
      </c>
      <c r="B74" s="331" t="str">
        <f>+IF(MARZO!B74=0,"",MARZO!B74)</f>
        <v>Vigencia Anterior</v>
      </c>
      <c r="C74" s="204">
        <f>+ENERO!C74</f>
        <v>36950848</v>
      </c>
      <c r="D74" s="205">
        <f>MARZO!D74+ABRIL!P74</f>
        <v>0</v>
      </c>
      <c r="E74" s="205">
        <f>MARZO!E74+ABRIL!Q74</f>
        <v>0</v>
      </c>
      <c r="F74" s="205">
        <f>SUM(C74:E74)</f>
        <v>36950848</v>
      </c>
      <c r="G74" s="205">
        <f>MARZO!I74</f>
        <v>55581038</v>
      </c>
      <c r="H74" s="208">
        <f>1005654+65700</f>
        <v>1071354</v>
      </c>
      <c r="I74" s="205">
        <f>SUM(G74:H74)</f>
        <v>56652392</v>
      </c>
      <c r="J74" s="205">
        <f>MARZO!L74</f>
        <v>55581038</v>
      </c>
      <c r="K74" s="208">
        <f>1005654+65700</f>
        <v>1071354</v>
      </c>
      <c r="L74" s="205">
        <f>SUM(J74:K74)</f>
        <v>56652392</v>
      </c>
      <c r="M74" s="205">
        <f>F74-I74</f>
        <v>-19701544</v>
      </c>
      <c r="N74" s="205">
        <f>F74-L74</f>
        <v>-19701544</v>
      </c>
      <c r="O74" s="67"/>
      <c r="P74" s="204">
        <v>0</v>
      </c>
      <c r="Q74" s="210">
        <v>0</v>
      </c>
      <c r="R74" s="101"/>
      <c r="S74" s="311" t="str">
        <f>+IF(MARZO!S74=0,"",MARZO!S74)</f>
        <v>1010104-5</v>
      </c>
      <c r="T74" s="312" t="str">
        <f>+IF(MARZO!T74=0,"",MARZO!T74)</f>
        <v>Bonificación Convencional</v>
      </c>
      <c r="U74" s="373">
        <f>+ENERO!U74</f>
        <v>0</v>
      </c>
      <c r="V74" s="220">
        <f>MARZO!V74+ABRIL!AL74</f>
        <v>0</v>
      </c>
      <c r="W74" s="220">
        <f>MARZO!W74+ABRIL!AM74</f>
        <v>0</v>
      </c>
      <c r="X74" s="271">
        <f t="shared" si="72"/>
        <v>0</v>
      </c>
      <c r="Y74" s="270">
        <f>MARZO!AA74</f>
        <v>0</v>
      </c>
      <c r="Z74" s="208">
        <v>0</v>
      </c>
      <c r="AA74" s="271">
        <f t="shared" si="73"/>
        <v>0</v>
      </c>
      <c r="AB74" s="270">
        <f>MARZO!AD74</f>
        <v>0</v>
      </c>
      <c r="AC74" s="208">
        <v>0</v>
      </c>
      <c r="AD74" s="271">
        <f t="shared" si="74"/>
        <v>0</v>
      </c>
      <c r="AE74" s="270">
        <f>MARZO!AG74</f>
        <v>0</v>
      </c>
      <c r="AF74" s="208">
        <v>0</v>
      </c>
      <c r="AG74" s="271">
        <f t="shared" si="75"/>
        <v>0</v>
      </c>
      <c r="AH74" s="270">
        <f t="shared" si="76"/>
        <v>0</v>
      </c>
      <c r="AI74" s="220">
        <f t="shared" si="77"/>
        <v>0</v>
      </c>
      <c r="AJ74" s="269">
        <f t="shared" si="78"/>
        <v>0</v>
      </c>
      <c r="AK74" s="101"/>
      <c r="AL74" s="204">
        <v>0</v>
      </c>
      <c r="AM74" s="210">
        <v>0</v>
      </c>
    </row>
    <row r="75" spans="1:39" ht="24.75" customHeight="1">
      <c r="A75" s="286" t="str">
        <f>+IF(MARZO!A75=0,"",MARZO!A75)</f>
        <v>1.1.02.05.001.09.02.07</v>
      </c>
      <c r="B75" s="319" t="str">
        <f>+IF(MARZO!B75=0,"",MARZO!B75)</f>
        <v>FUERZAS MILITARES</v>
      </c>
      <c r="C75" s="288">
        <f t="shared" ref="C75:N75" si="80">SUM(C76:C77)</f>
        <v>448721976</v>
      </c>
      <c r="D75" s="320">
        <f t="shared" si="80"/>
        <v>0</v>
      </c>
      <c r="E75" s="320">
        <f t="shared" si="80"/>
        <v>0</v>
      </c>
      <c r="F75" s="320">
        <f t="shared" si="80"/>
        <v>448721976</v>
      </c>
      <c r="G75" s="320">
        <f t="shared" si="80"/>
        <v>53866884</v>
      </c>
      <c r="H75" s="320">
        <f t="shared" si="80"/>
        <v>6617911</v>
      </c>
      <c r="I75" s="320">
        <f t="shared" si="80"/>
        <v>60484795</v>
      </c>
      <c r="J75" s="320">
        <f t="shared" si="80"/>
        <v>0</v>
      </c>
      <c r="K75" s="320">
        <f t="shared" si="80"/>
        <v>0</v>
      </c>
      <c r="L75" s="320">
        <f t="shared" si="80"/>
        <v>0</v>
      </c>
      <c r="M75" s="320">
        <f t="shared" si="80"/>
        <v>388237181</v>
      </c>
      <c r="N75" s="289">
        <f t="shared" si="80"/>
        <v>448721976</v>
      </c>
      <c r="O75" s="67"/>
      <c r="P75" s="288">
        <f>SUM(P76:P77)</f>
        <v>0</v>
      </c>
      <c r="Q75" s="289">
        <f>SUM(Q76:Q77)</f>
        <v>0</v>
      </c>
      <c r="R75" s="101"/>
      <c r="S75" s="311" t="str">
        <f>+IF(MARZO!S75=0,"",MARZO!S75)</f>
        <v>2.1.1.01.01.001.05-1</v>
      </c>
      <c r="T75" s="312" t="str">
        <f>+IF(MARZO!T75=0,"",MARZO!T75)</f>
        <v>Auxilio de Transporte</v>
      </c>
      <c r="U75" s="373">
        <f>+ENERO!U75</f>
        <v>0</v>
      </c>
      <c r="V75" s="220">
        <f>MARZO!V75+ABRIL!AL75</f>
        <v>0</v>
      </c>
      <c r="W75" s="220">
        <f>MARZO!W75+ABRIL!AM75</f>
        <v>0</v>
      </c>
      <c r="X75" s="271">
        <f t="shared" si="72"/>
        <v>0</v>
      </c>
      <c r="Y75" s="270">
        <f>MARZO!AA75</f>
        <v>0</v>
      </c>
      <c r="Z75" s="208">
        <v>0</v>
      </c>
      <c r="AA75" s="271">
        <f t="shared" si="73"/>
        <v>0</v>
      </c>
      <c r="AB75" s="270">
        <f>MARZO!AD75</f>
        <v>0</v>
      </c>
      <c r="AC75" s="208">
        <v>0</v>
      </c>
      <c r="AD75" s="271">
        <f t="shared" si="74"/>
        <v>0</v>
      </c>
      <c r="AE75" s="270">
        <f>MARZO!AG75</f>
        <v>0</v>
      </c>
      <c r="AF75" s="208">
        <v>0</v>
      </c>
      <c r="AG75" s="271">
        <f t="shared" si="75"/>
        <v>0</v>
      </c>
      <c r="AH75" s="270">
        <f t="shared" si="76"/>
        <v>0</v>
      </c>
      <c r="AI75" s="220">
        <f t="shared" si="77"/>
        <v>0</v>
      </c>
      <c r="AJ75" s="269">
        <f t="shared" si="78"/>
        <v>0</v>
      </c>
      <c r="AK75" s="101"/>
      <c r="AL75" s="204">
        <v>0</v>
      </c>
      <c r="AM75" s="210">
        <v>0</v>
      </c>
    </row>
    <row r="76" spans="1:39" ht="24.75" customHeight="1">
      <c r="A76" s="202" t="str">
        <f>+IF(MARZO!A76=0,"",MARZO!A76)</f>
        <v>1.1.02.05.001.09.02.07</v>
      </c>
      <c r="B76" s="331" t="str">
        <f>+CONCATENATE("Vigencia ",INSTRUCCIONES!$F$3)</f>
        <v>Vigencia 2025</v>
      </c>
      <c r="C76" s="204">
        <f>+ENERO!C76</f>
        <v>341067989</v>
      </c>
      <c r="D76" s="205">
        <f>MARZO!D76+ABRIL!P76</f>
        <v>0</v>
      </c>
      <c r="E76" s="205">
        <f>MARZO!E76+ABRIL!Q76</f>
        <v>0</v>
      </c>
      <c r="F76" s="205">
        <f>SUM(C76:E76)</f>
        <v>341067989</v>
      </c>
      <c r="G76" s="205">
        <f>MARZO!I76</f>
        <v>53866884</v>
      </c>
      <c r="H76" s="208">
        <v>6617911</v>
      </c>
      <c r="I76" s="205">
        <f>SUM(G76:H76)</f>
        <v>60484795</v>
      </c>
      <c r="J76" s="205">
        <f>MARZO!L76</f>
        <v>0</v>
      </c>
      <c r="K76" s="208">
        <v>0</v>
      </c>
      <c r="L76" s="205">
        <f>SUM(J76:K76)</f>
        <v>0</v>
      </c>
      <c r="M76" s="205">
        <f>F76-I76</f>
        <v>280583194</v>
      </c>
      <c r="N76" s="206">
        <f>F76-L76</f>
        <v>341067989</v>
      </c>
      <c r="O76" s="67"/>
      <c r="P76" s="204">
        <v>0</v>
      </c>
      <c r="Q76" s="210">
        <v>0</v>
      </c>
      <c r="R76" s="101"/>
      <c r="S76" s="311" t="str">
        <f>+IF(MARZO!S76=0,"",MARZO!S76)</f>
        <v>2.1.1.01.01.001.04-1</v>
      </c>
      <c r="T76" s="312" t="str">
        <f>+IF(MARZO!T76=0,"",MARZO!T76)</f>
        <v>Auxilio de Alimentación</v>
      </c>
      <c r="U76" s="373">
        <f>+ENERO!U76</f>
        <v>0</v>
      </c>
      <c r="V76" s="220">
        <f>MARZO!V76+ABRIL!AL76</f>
        <v>0</v>
      </c>
      <c r="W76" s="220">
        <f>MARZO!W76+ABRIL!AM76</f>
        <v>0</v>
      </c>
      <c r="X76" s="271">
        <f t="shared" si="72"/>
        <v>0</v>
      </c>
      <c r="Y76" s="270">
        <f>MARZO!AA76</f>
        <v>0</v>
      </c>
      <c r="Z76" s="208">
        <v>0</v>
      </c>
      <c r="AA76" s="271">
        <f t="shared" si="73"/>
        <v>0</v>
      </c>
      <c r="AB76" s="270">
        <f>MARZO!AD76</f>
        <v>0</v>
      </c>
      <c r="AC76" s="208">
        <v>0</v>
      </c>
      <c r="AD76" s="271">
        <f t="shared" si="74"/>
        <v>0</v>
      </c>
      <c r="AE76" s="270">
        <f>MARZO!AG76</f>
        <v>0</v>
      </c>
      <c r="AF76" s="208">
        <v>0</v>
      </c>
      <c r="AG76" s="271">
        <f t="shared" si="75"/>
        <v>0</v>
      </c>
      <c r="AH76" s="270">
        <f t="shared" si="76"/>
        <v>0</v>
      </c>
      <c r="AI76" s="220">
        <f t="shared" si="77"/>
        <v>0</v>
      </c>
      <c r="AJ76" s="269">
        <f t="shared" si="78"/>
        <v>0</v>
      </c>
      <c r="AK76" s="101"/>
      <c r="AL76" s="204">
        <v>0</v>
      </c>
      <c r="AM76" s="210">
        <v>0</v>
      </c>
    </row>
    <row r="77" spans="1:39" ht="24.75" customHeight="1">
      <c r="A77" s="202" t="str">
        <f>+IF(MARZO!A77=0,"",MARZO!A77)</f>
        <v>1.1.02.05.001.09.02.07.99</v>
      </c>
      <c r="B77" s="331" t="str">
        <f>+IF(MARZO!B77=0,"",MARZO!B77)</f>
        <v>Vigencia Anterior</v>
      </c>
      <c r="C77" s="204">
        <f>+ENERO!C77</f>
        <v>107653987</v>
      </c>
      <c r="D77" s="205">
        <f>MARZO!D77+ABRIL!P77</f>
        <v>0</v>
      </c>
      <c r="E77" s="205">
        <f>MARZO!E77+ABRIL!Q77</f>
        <v>0</v>
      </c>
      <c r="F77" s="205">
        <f>SUM(C77:E77)</f>
        <v>107653987</v>
      </c>
      <c r="G77" s="205">
        <f>MARZO!I77</f>
        <v>0</v>
      </c>
      <c r="H77" s="208">
        <v>0</v>
      </c>
      <c r="I77" s="205">
        <f>SUM(G77:H77)</f>
        <v>0</v>
      </c>
      <c r="J77" s="205">
        <f>MARZO!L77</f>
        <v>0</v>
      </c>
      <c r="K77" s="208">
        <v>0</v>
      </c>
      <c r="L77" s="205">
        <f>SUM(J77:K77)</f>
        <v>0</v>
      </c>
      <c r="M77" s="205">
        <f>F77-I77</f>
        <v>107653987</v>
      </c>
      <c r="N77" s="206">
        <f>F77-L77</f>
        <v>107653987</v>
      </c>
      <c r="O77" s="67"/>
      <c r="P77" s="204">
        <v>0</v>
      </c>
      <c r="Q77" s="210">
        <v>0</v>
      </c>
      <c r="R77" s="101"/>
      <c r="S77" s="311" t="str">
        <f>+IF(MARZO!S77=0,"",MARZO!S77)</f>
        <v>1010104-8</v>
      </c>
      <c r="T77" s="312" t="str">
        <f>+IF(MARZO!T77=0,"",MARZO!T77)</f>
        <v>Indemnizaciones por Vacaciones o Supresión de Cargos por Reestructuración</v>
      </c>
      <c r="U77" s="373">
        <f>+ENERO!U77</f>
        <v>0</v>
      </c>
      <c r="V77" s="220">
        <f>MARZO!V77+ABRIL!AL77</f>
        <v>0</v>
      </c>
      <c r="W77" s="220">
        <f>MARZO!W77+ABRIL!AM77</f>
        <v>0</v>
      </c>
      <c r="X77" s="271">
        <f t="shared" si="72"/>
        <v>0</v>
      </c>
      <c r="Y77" s="270">
        <f>MARZO!AA77</f>
        <v>0</v>
      </c>
      <c r="Z77" s="208">
        <v>0</v>
      </c>
      <c r="AA77" s="271">
        <f t="shared" si="73"/>
        <v>0</v>
      </c>
      <c r="AB77" s="270">
        <f>MARZO!AD77</f>
        <v>0</v>
      </c>
      <c r="AC77" s="208">
        <v>0</v>
      </c>
      <c r="AD77" s="271">
        <f t="shared" si="74"/>
        <v>0</v>
      </c>
      <c r="AE77" s="270">
        <f>MARZO!AG77</f>
        <v>0</v>
      </c>
      <c r="AF77" s="208">
        <v>0</v>
      </c>
      <c r="AG77" s="271">
        <f t="shared" si="75"/>
        <v>0</v>
      </c>
      <c r="AH77" s="270">
        <f t="shared" si="76"/>
        <v>0</v>
      </c>
      <c r="AI77" s="220">
        <f t="shared" si="77"/>
        <v>0</v>
      </c>
      <c r="AJ77" s="269">
        <f t="shared" si="78"/>
        <v>0</v>
      </c>
      <c r="AK77" s="101"/>
      <c r="AL77" s="204">
        <v>0</v>
      </c>
      <c r="AM77" s="210">
        <v>0</v>
      </c>
    </row>
    <row r="78" spans="1:39" ht="24.75" customHeight="1">
      <c r="A78" s="286" t="str">
        <f>+IF(MARZO!A78=0,"",MARZO!A78)</f>
        <v>1.1.02.05.001.09.02.13-1</v>
      </c>
      <c r="B78" s="319" t="str">
        <f>+IF(MARZO!B78=0,"",MARZO!B78)</f>
        <v>PARTICULARES   (Venta de Contado)</v>
      </c>
      <c r="C78" s="288">
        <f>SUM(C79:C80)</f>
        <v>681131551</v>
      </c>
      <c r="D78" s="320">
        <f>SUM(D79:D80)</f>
        <v>0</v>
      </c>
      <c r="E78" s="320">
        <f>SUM(E79:E80)</f>
        <v>0</v>
      </c>
      <c r="F78" s="320">
        <f>SUM(C78:E78)</f>
        <v>681131551</v>
      </c>
      <c r="G78" s="320">
        <f>SUM(G79:G80)</f>
        <v>125991700</v>
      </c>
      <c r="H78" s="320">
        <f>SUM(H79:H80)</f>
        <v>25296100</v>
      </c>
      <c r="I78" s="320">
        <f>SUM(G78:H78)</f>
        <v>151287800</v>
      </c>
      <c r="J78" s="320">
        <f>SUM(J79:J80)</f>
        <v>8669200</v>
      </c>
      <c r="K78" s="320">
        <f>SUM(K79:K80)</f>
        <v>18527030</v>
      </c>
      <c r="L78" s="320">
        <f>SUM(J78:K78)</f>
        <v>27196230</v>
      </c>
      <c r="M78" s="320">
        <f>F78-I78</f>
        <v>529843751</v>
      </c>
      <c r="N78" s="289">
        <f>F78-L78</f>
        <v>653935321</v>
      </c>
      <c r="O78" s="67"/>
      <c r="P78" s="288">
        <f>SUM(P79:P80)</f>
        <v>0</v>
      </c>
      <c r="Q78" s="289">
        <f>SUM(Q79:Q80)</f>
        <v>0</v>
      </c>
      <c r="R78" s="101"/>
      <c r="S78" s="311" t="str">
        <f>+IF(MARZO!S78=0,"",MARZO!S78)</f>
        <v>1010104-9</v>
      </c>
      <c r="T78" s="312"/>
      <c r="U78" s="373">
        <f>+ENERO!U78</f>
        <v>0</v>
      </c>
      <c r="V78" s="220">
        <f>MARZO!V78+ABRIL!AL78</f>
        <v>0</v>
      </c>
      <c r="W78" s="220">
        <f>MARZO!W78+ABRIL!AM78</f>
        <v>0</v>
      </c>
      <c r="X78" s="271">
        <f t="shared" si="72"/>
        <v>0</v>
      </c>
      <c r="Y78" s="270">
        <f>MARZO!AA78</f>
        <v>0</v>
      </c>
      <c r="Z78" s="208">
        <v>0</v>
      </c>
      <c r="AA78" s="271">
        <f t="shared" si="73"/>
        <v>0</v>
      </c>
      <c r="AB78" s="270">
        <f>MARZO!AD78</f>
        <v>0</v>
      </c>
      <c r="AC78" s="208">
        <v>0</v>
      </c>
      <c r="AD78" s="271">
        <f t="shared" si="74"/>
        <v>0</v>
      </c>
      <c r="AE78" s="270">
        <f>MARZO!AG78</f>
        <v>0</v>
      </c>
      <c r="AF78" s="208">
        <v>0</v>
      </c>
      <c r="AG78" s="271">
        <f t="shared" si="75"/>
        <v>0</v>
      </c>
      <c r="AH78" s="270">
        <f t="shared" si="76"/>
        <v>0</v>
      </c>
      <c r="AI78" s="220">
        <f t="shared" si="77"/>
        <v>0</v>
      </c>
      <c r="AJ78" s="269">
        <f t="shared" si="78"/>
        <v>0</v>
      </c>
      <c r="AK78" s="101"/>
      <c r="AL78" s="204">
        <v>0</v>
      </c>
      <c r="AM78" s="210">
        <v>0</v>
      </c>
    </row>
    <row r="79" spans="1:39" ht="24.75" customHeight="1">
      <c r="A79" s="202" t="str">
        <f>+IF(MARZO!A79=0,"",MARZO!A79)</f>
        <v>1.1.02.05.001.09.02.13-1</v>
      </c>
      <c r="B79" s="331" t="str">
        <f>+CONCATENATE("Vigencia ",INSTRUCCIONES!$F$3)</f>
        <v>Vigencia 2025</v>
      </c>
      <c r="C79" s="204">
        <f>+ENERO!C79</f>
        <v>531131551</v>
      </c>
      <c r="D79" s="205">
        <f>MARZO!D79+ABRIL!P79</f>
        <v>0</v>
      </c>
      <c r="E79" s="205">
        <f>MARZO!E79+ABRIL!Q79</f>
        <v>0</v>
      </c>
      <c r="F79" s="205">
        <f>SUM(C79:E79)</f>
        <v>531131551</v>
      </c>
      <c r="G79" s="205">
        <f>MARZO!I79</f>
        <v>117322500</v>
      </c>
      <c r="H79" s="208">
        <v>25296100</v>
      </c>
      <c r="I79" s="205">
        <f>SUM(G79:H79)</f>
        <v>142618600</v>
      </c>
      <c r="J79" s="205">
        <f>MARZO!L79</f>
        <v>0</v>
      </c>
      <c r="K79" s="208">
        <v>18527030</v>
      </c>
      <c r="L79" s="205">
        <f>SUM(J79:K79)</f>
        <v>18527030</v>
      </c>
      <c r="M79" s="205">
        <f>F79-I79</f>
        <v>388512951</v>
      </c>
      <c r="N79" s="206">
        <f>F79-L79</f>
        <v>512604521</v>
      </c>
      <c r="O79" s="67"/>
      <c r="P79" s="204">
        <v>0</v>
      </c>
      <c r="Q79" s="210">
        <v>0</v>
      </c>
      <c r="R79" s="101"/>
      <c r="S79" s="311" t="str">
        <f>+IF(MARZO!S79=0,"",MARZO!S79)</f>
        <v>2.1.1.01.03.001.03-1</v>
      </c>
      <c r="T79" s="312" t="str">
        <f>+IF(MARZO!T79=0,"",MARZO!T79)</f>
        <v>Bonificación Especial por Recreación</v>
      </c>
      <c r="U79" s="373">
        <f>+ENERO!U79</f>
        <v>0</v>
      </c>
      <c r="V79" s="220">
        <f>MARZO!V79+ABRIL!AL79</f>
        <v>0</v>
      </c>
      <c r="W79" s="220">
        <f>MARZO!W79+ABRIL!AM79</f>
        <v>0</v>
      </c>
      <c r="X79" s="271">
        <f t="shared" si="72"/>
        <v>0</v>
      </c>
      <c r="Y79" s="270">
        <f>MARZO!AA79</f>
        <v>0</v>
      </c>
      <c r="Z79" s="208">
        <v>0</v>
      </c>
      <c r="AA79" s="271">
        <f t="shared" si="73"/>
        <v>0</v>
      </c>
      <c r="AB79" s="270">
        <f>MARZO!AD79</f>
        <v>0</v>
      </c>
      <c r="AC79" s="208">
        <v>0</v>
      </c>
      <c r="AD79" s="271">
        <f t="shared" si="74"/>
        <v>0</v>
      </c>
      <c r="AE79" s="270">
        <f>MARZO!AG79</f>
        <v>0</v>
      </c>
      <c r="AF79" s="208">
        <v>0</v>
      </c>
      <c r="AG79" s="271">
        <f t="shared" si="75"/>
        <v>0</v>
      </c>
      <c r="AH79" s="270">
        <f t="shared" si="76"/>
        <v>0</v>
      </c>
      <c r="AI79" s="220">
        <f t="shared" si="77"/>
        <v>0</v>
      </c>
      <c r="AJ79" s="269">
        <f t="shared" si="78"/>
        <v>0</v>
      </c>
      <c r="AK79" s="101"/>
      <c r="AL79" s="204">
        <v>0</v>
      </c>
      <c r="AM79" s="210">
        <v>0</v>
      </c>
    </row>
    <row r="80" spans="1:39" ht="24.75" customHeight="1">
      <c r="A80" s="202" t="str">
        <f>+IF(MARZO!A80=0,"",MARZO!A80)</f>
        <v>1.1.02.05.001.09.02.13.99-1</v>
      </c>
      <c r="B80" s="331" t="str">
        <f>+IF(MARZO!B80=0,"",MARZO!B80)</f>
        <v>Vigencia Anterior</v>
      </c>
      <c r="C80" s="204">
        <f>+ENERO!C80</f>
        <v>150000000</v>
      </c>
      <c r="D80" s="205">
        <f>MARZO!D80+ABRIL!P80</f>
        <v>0</v>
      </c>
      <c r="E80" s="205">
        <f>MARZO!E80+ABRIL!Q80</f>
        <v>0</v>
      </c>
      <c r="F80" s="205">
        <f>SUM(C80:E80)</f>
        <v>150000000</v>
      </c>
      <c r="G80" s="205">
        <f>MARZO!I80</f>
        <v>8669200</v>
      </c>
      <c r="H80" s="208">
        <v>0</v>
      </c>
      <c r="I80" s="205">
        <f>SUM(G80:H80)</f>
        <v>8669200</v>
      </c>
      <c r="J80" s="205">
        <f>MARZO!L80</f>
        <v>8669200</v>
      </c>
      <c r="K80" s="208">
        <v>0</v>
      </c>
      <c r="L80" s="205">
        <f>SUM(J80:K80)</f>
        <v>8669200</v>
      </c>
      <c r="M80" s="205">
        <f>F80-I80</f>
        <v>141330800</v>
      </c>
      <c r="N80" s="205">
        <f>F80-L80</f>
        <v>141330800</v>
      </c>
      <c r="O80" s="67"/>
      <c r="P80" s="204">
        <v>0</v>
      </c>
      <c r="Q80" s="210">
        <v>0</v>
      </c>
      <c r="R80" s="101"/>
      <c r="S80" s="311" t="str">
        <f>+IF(MARZO!S80=0,"",MARZO!S80)</f>
        <v>2.1.1.01.03.001.01-1</v>
      </c>
      <c r="T80" s="312" t="s">
        <v>545</v>
      </c>
      <c r="U80" s="373">
        <f>+ENERO!U80</f>
        <v>0</v>
      </c>
      <c r="V80" s="220">
        <f>MARZO!V80+ABRIL!AL80</f>
        <v>0</v>
      </c>
      <c r="W80" s="220">
        <f>MARZO!W80+ABRIL!AM80</f>
        <v>0</v>
      </c>
      <c r="X80" s="271">
        <f t="shared" si="72"/>
        <v>0</v>
      </c>
      <c r="Y80" s="270">
        <f>MARZO!AA80</f>
        <v>0</v>
      </c>
      <c r="Z80" s="208">
        <v>0</v>
      </c>
      <c r="AA80" s="271">
        <f t="shared" si="73"/>
        <v>0</v>
      </c>
      <c r="AB80" s="270">
        <f>MARZO!AD80</f>
        <v>0</v>
      </c>
      <c r="AC80" s="208">
        <v>0</v>
      </c>
      <c r="AD80" s="271">
        <f t="shared" si="74"/>
        <v>0</v>
      </c>
      <c r="AE80" s="270">
        <f>MARZO!AG80</f>
        <v>0</v>
      </c>
      <c r="AF80" s="208">
        <v>0</v>
      </c>
      <c r="AG80" s="271">
        <f t="shared" si="75"/>
        <v>0</v>
      </c>
      <c r="AH80" s="270">
        <f t="shared" si="76"/>
        <v>0</v>
      </c>
      <c r="AI80" s="220">
        <f t="shared" si="77"/>
        <v>0</v>
      </c>
      <c r="AJ80" s="269">
        <f t="shared" si="78"/>
        <v>0</v>
      </c>
      <c r="AK80" s="101"/>
      <c r="AL80" s="204">
        <v>0</v>
      </c>
      <c r="AM80" s="210">
        <v>0</v>
      </c>
    </row>
    <row r="81" spans="1:39" ht="24.75" customHeight="1">
      <c r="A81" s="286" t="str">
        <f>+IF(MARZO!A81=0,"",MARZO!A81)</f>
        <v>1.1.02.05.001.09.02.08</v>
      </c>
      <c r="B81" s="319" t="str">
        <f>+IF(MARZO!B81=0,"",MARZO!B81)</f>
        <v>POLICIA NACIONAL</v>
      </c>
      <c r="C81" s="288">
        <f>ENERO!C81</f>
        <v>386698320</v>
      </c>
      <c r="D81" s="320">
        <f t="shared" ref="D81:N81" si="81">SUM(D82:D83)</f>
        <v>0</v>
      </c>
      <c r="E81" s="320">
        <f t="shared" si="81"/>
        <v>0</v>
      </c>
      <c r="F81" s="320">
        <f t="shared" si="81"/>
        <v>386698320</v>
      </c>
      <c r="G81" s="320">
        <f t="shared" si="81"/>
        <v>135185962</v>
      </c>
      <c r="H81" s="320">
        <f t="shared" si="81"/>
        <v>4784702</v>
      </c>
      <c r="I81" s="320">
        <f t="shared" si="81"/>
        <v>139970664</v>
      </c>
      <c r="J81" s="320">
        <f t="shared" si="81"/>
        <v>50826128</v>
      </c>
      <c r="K81" s="320">
        <f t="shared" si="81"/>
        <v>71123548</v>
      </c>
      <c r="L81" s="320">
        <f t="shared" si="81"/>
        <v>121949676</v>
      </c>
      <c r="M81" s="320">
        <f t="shared" si="81"/>
        <v>246727656</v>
      </c>
      <c r="N81" s="289">
        <f t="shared" si="81"/>
        <v>264748644</v>
      </c>
      <c r="O81" s="67"/>
      <c r="P81" s="288">
        <f>SUM(P82:P83)</f>
        <v>0</v>
      </c>
      <c r="Q81" s="289">
        <f>SUM(Q82:Q83)</f>
        <v>0</v>
      </c>
      <c r="R81" s="101"/>
      <c r="S81" s="266" t="str">
        <f>+IF(MARZO!S81=0,"",MARZO!S81)</f>
        <v>2.1.2.02.02.009.902.99</v>
      </c>
      <c r="T81" s="267" t="str">
        <f>+IF(MARZO!T81=0,"",MARZO!T81)</f>
        <v xml:space="preserve">Vigencia Anterior </v>
      </c>
      <c r="U81" s="373">
        <f>+ENERO!U81</f>
        <v>0</v>
      </c>
      <c r="V81" s="220">
        <f>MARZO!V81+ABRIL!AL81</f>
        <v>0</v>
      </c>
      <c r="W81" s="220">
        <f>MARZO!W81+ABRIL!AM81</f>
        <v>0</v>
      </c>
      <c r="X81" s="271">
        <f t="shared" si="72"/>
        <v>0</v>
      </c>
      <c r="Y81" s="270">
        <f>MARZO!AA81</f>
        <v>0</v>
      </c>
      <c r="Z81" s="208">
        <v>0</v>
      </c>
      <c r="AA81" s="271">
        <f t="shared" si="73"/>
        <v>0</v>
      </c>
      <c r="AB81" s="270">
        <f>MARZO!AD81</f>
        <v>0</v>
      </c>
      <c r="AC81" s="208">
        <v>0</v>
      </c>
      <c r="AD81" s="271">
        <f t="shared" si="74"/>
        <v>0</v>
      </c>
      <c r="AE81" s="270">
        <f>MARZO!AG81</f>
        <v>0</v>
      </c>
      <c r="AF81" s="208">
        <v>0</v>
      </c>
      <c r="AG81" s="271">
        <f t="shared" si="75"/>
        <v>0</v>
      </c>
      <c r="AH81" s="270">
        <f t="shared" si="76"/>
        <v>0</v>
      </c>
      <c r="AI81" s="220">
        <f t="shared" si="77"/>
        <v>0</v>
      </c>
      <c r="AJ81" s="269">
        <f t="shared" si="78"/>
        <v>0</v>
      </c>
      <c r="AK81" s="101"/>
      <c r="AL81" s="204">
        <v>0</v>
      </c>
      <c r="AM81" s="210">
        <v>0</v>
      </c>
    </row>
    <row r="82" spans="1:39" ht="24.75" customHeight="1">
      <c r="A82" s="202" t="str">
        <f>+IF(MARZO!A82=0,"",MARZO!A82)</f>
        <v>1.1.02.05.001.09.02.08</v>
      </c>
      <c r="B82" s="331" t="str">
        <f>+CONCATENATE("Vigencia ",INSTRUCCIONES!$F$3)</f>
        <v>Vigencia 2025</v>
      </c>
      <c r="C82" s="204">
        <f>+ENERO!C82</f>
        <v>376911385</v>
      </c>
      <c r="D82" s="205">
        <f>MARZO!D82+ABRIL!P82</f>
        <v>0</v>
      </c>
      <c r="E82" s="205">
        <f>MARZO!E82+ABRIL!Q82</f>
        <v>0</v>
      </c>
      <c r="F82" s="205">
        <f>SUM(C82:E82)</f>
        <v>376911385</v>
      </c>
      <c r="G82" s="205">
        <f>MARZO!I82</f>
        <v>84359834</v>
      </c>
      <c r="H82" s="208">
        <v>3921275</v>
      </c>
      <c r="I82" s="205">
        <f>SUM(G82:H82)</f>
        <v>88281109</v>
      </c>
      <c r="J82" s="205">
        <f>MARZO!L82</f>
        <v>0</v>
      </c>
      <c r="K82" s="208">
        <v>70260121</v>
      </c>
      <c r="L82" s="205">
        <f>SUM(J82:K82)</f>
        <v>70260121</v>
      </c>
      <c r="M82" s="205">
        <f>F82-I82</f>
        <v>288630276</v>
      </c>
      <c r="N82" s="206">
        <f>F82-L82</f>
        <v>306651264</v>
      </c>
      <c r="O82" s="67"/>
      <c r="P82" s="204">
        <v>0</v>
      </c>
      <c r="Q82" s="210">
        <v>0</v>
      </c>
      <c r="R82" s="101"/>
      <c r="S82" s="189" t="str">
        <f>+IF(MARZO!S82=0,"",MARZO!S82)</f>
        <v/>
      </c>
      <c r="T82" s="488" t="str">
        <f>+IF(MARZO!T82=0,"",MARZO!T82)</f>
        <v/>
      </c>
      <c r="U82" s="191"/>
      <c r="V82" s="191"/>
      <c r="W82" s="191"/>
      <c r="X82" s="191"/>
      <c r="Y82" s="191"/>
      <c r="Z82" s="191"/>
      <c r="AA82" s="191"/>
      <c r="AB82" s="191"/>
      <c r="AC82" s="191"/>
      <c r="AD82" s="191"/>
      <c r="AE82" s="191"/>
      <c r="AF82" s="191"/>
      <c r="AG82" s="191"/>
      <c r="AH82" s="191"/>
      <c r="AI82" s="191"/>
      <c r="AJ82" s="192"/>
      <c r="AK82" s="101"/>
      <c r="AL82" s="370"/>
      <c r="AM82" s="371"/>
    </row>
    <row r="83" spans="1:39" ht="24.75" customHeight="1">
      <c r="A83" s="202" t="str">
        <f>+IF(MARZO!A83=0,"",MARZO!A83)</f>
        <v>1.1.02.05.001.09.02.08,99</v>
      </c>
      <c r="B83" s="377" t="str">
        <f>+IF(MARZO!B83=0,"",MARZO!B83)</f>
        <v>Vigencia Anterior</v>
      </c>
      <c r="C83" s="242">
        <f>+ENERO!C83</f>
        <v>9786935</v>
      </c>
      <c r="D83" s="243">
        <f>MARZO!D83+ABRIL!P83</f>
        <v>0</v>
      </c>
      <c r="E83" s="243">
        <f>MARZO!E83+ABRIL!Q83</f>
        <v>0</v>
      </c>
      <c r="F83" s="243">
        <f>SUM(C83:E83)</f>
        <v>9786935</v>
      </c>
      <c r="G83" s="243">
        <f>MARZO!I83</f>
        <v>50826128</v>
      </c>
      <c r="H83" s="246">
        <v>863427</v>
      </c>
      <c r="I83" s="243">
        <f>SUM(G83:H83)</f>
        <v>51689555</v>
      </c>
      <c r="J83" s="243">
        <f>MARZO!L83</f>
        <v>50826128</v>
      </c>
      <c r="K83" s="246">
        <v>863427</v>
      </c>
      <c r="L83" s="243">
        <f>SUM(J83:K83)</f>
        <v>51689555</v>
      </c>
      <c r="M83" s="243">
        <f>F83-I83</f>
        <v>-41902620</v>
      </c>
      <c r="N83" s="244">
        <f>F83-L83</f>
        <v>-41902620</v>
      </c>
      <c r="O83" s="67"/>
      <c r="P83" s="204">
        <v>0</v>
      </c>
      <c r="Q83" s="210">
        <v>0</v>
      </c>
      <c r="R83" s="101"/>
      <c r="S83" s="257">
        <f>+IF(MARZO!S83=0,"",MARZO!S83)</f>
        <v>1020200</v>
      </c>
      <c r="T83" s="546" t="str">
        <f>+IF(MARZO!T83=0,"",MARZO!T83)</f>
        <v>Servicios Personales Indirectos</v>
      </c>
      <c r="U83" s="230">
        <f t="shared" ref="U83:AJ83" si="82">SUM(U84:U88)</f>
        <v>64518803470</v>
      </c>
      <c r="V83" s="231">
        <f t="shared" si="82"/>
        <v>-73000000</v>
      </c>
      <c r="W83" s="231">
        <f t="shared" si="82"/>
        <v>2908182761</v>
      </c>
      <c r="X83" s="234">
        <f t="shared" si="82"/>
        <v>67353986231</v>
      </c>
      <c r="Y83" s="233">
        <f t="shared" si="82"/>
        <v>44245523772</v>
      </c>
      <c r="Z83" s="231">
        <f t="shared" si="82"/>
        <v>2575743009</v>
      </c>
      <c r="AA83" s="234">
        <f t="shared" si="82"/>
        <v>46821266781</v>
      </c>
      <c r="AB83" s="233">
        <f t="shared" si="82"/>
        <v>26585946846</v>
      </c>
      <c r="AC83" s="231">
        <f t="shared" si="82"/>
        <v>5126155399</v>
      </c>
      <c r="AD83" s="234">
        <f t="shared" si="82"/>
        <v>31712102245</v>
      </c>
      <c r="AE83" s="233">
        <f t="shared" si="82"/>
        <v>13644914173</v>
      </c>
      <c r="AF83" s="231">
        <f t="shared" si="82"/>
        <v>4639567446</v>
      </c>
      <c r="AG83" s="234">
        <f t="shared" si="82"/>
        <v>18284481619</v>
      </c>
      <c r="AH83" s="233">
        <f t="shared" si="82"/>
        <v>20532719450</v>
      </c>
      <c r="AI83" s="231">
        <f t="shared" si="82"/>
        <v>35641883986</v>
      </c>
      <c r="AJ83" s="232">
        <f t="shared" si="82"/>
        <v>49069504612</v>
      </c>
      <c r="AK83" s="101"/>
      <c r="AL83" s="233">
        <f>SUM(AL84:AL88)</f>
        <v>0</v>
      </c>
      <c r="AM83" s="232">
        <f>SUM(AM84:AM88)</f>
        <v>2908182761</v>
      </c>
    </row>
    <row r="84" spans="1:39" ht="24.75" customHeight="1">
      <c r="A84" s="378" t="str">
        <f>+IF(MARZO!A84=0,"",MARZO!A84)</f>
        <v/>
      </c>
      <c r="B84" s="379" t="str">
        <f>+IF(MARZO!B84=0,"",MARZO!B84)</f>
        <v/>
      </c>
      <c r="C84" s="67"/>
      <c r="D84" s="67"/>
      <c r="E84" s="67"/>
      <c r="F84" s="67"/>
      <c r="G84" s="67"/>
      <c r="H84" s="67"/>
      <c r="I84" s="67"/>
      <c r="J84" s="67"/>
      <c r="K84" s="67"/>
      <c r="L84" s="67"/>
      <c r="M84" s="67"/>
      <c r="N84" s="283"/>
      <c r="O84" s="369"/>
      <c r="P84" s="380"/>
      <c r="Q84" s="254"/>
      <c r="R84" s="101"/>
      <c r="S84" s="266" t="str">
        <f>+IF(MARZO!S84=0,"",MARZO!S84)</f>
        <v>2.1.2.02.02.009.902</v>
      </c>
      <c r="T84" s="267" t="str">
        <f>+IF(MARZO!T84=0,"",MARZO!T84)</f>
        <v>Servicios Personales (Personal Asistencial)</v>
      </c>
      <c r="U84" s="373">
        <f>+ENERO!U84</f>
        <v>55683487770</v>
      </c>
      <c r="V84" s="220">
        <f>MARZO!V84+ABRIL!AL84</f>
        <v>-4585698533</v>
      </c>
      <c r="W84" s="220">
        <f>MARZO!W84+ABRIL!AM84</f>
        <v>0</v>
      </c>
      <c r="X84" s="271">
        <f>SUM(U84:W84)</f>
        <v>51097789237</v>
      </c>
      <c r="Y84" s="270">
        <f>MARZO!AA84</f>
        <v>30996505902</v>
      </c>
      <c r="Z84" s="208">
        <v>2215701798</v>
      </c>
      <c r="AA84" s="271">
        <f>SUM(Y84:Z84)</f>
        <v>33212207700</v>
      </c>
      <c r="AB84" s="270">
        <f>MARZO!AD84</f>
        <v>13336928976</v>
      </c>
      <c r="AC84" s="208">
        <v>4766114188</v>
      </c>
      <c r="AD84" s="271">
        <f>SUM(AB84:AC84)</f>
        <v>18103043164</v>
      </c>
      <c r="AE84" s="270">
        <f>MARZO!AG84</f>
        <v>395896303</v>
      </c>
      <c r="AF84" s="208">
        <v>4279526235</v>
      </c>
      <c r="AG84" s="271">
        <f>SUM(AE84:AF84)</f>
        <v>4675422538</v>
      </c>
      <c r="AH84" s="270">
        <f>X84-AA84</f>
        <v>17885581537</v>
      </c>
      <c r="AI84" s="220">
        <f>X84-AD84</f>
        <v>32994746073</v>
      </c>
      <c r="AJ84" s="269">
        <f>X84-AG84</f>
        <v>46422366699</v>
      </c>
      <c r="AK84" s="101"/>
      <c r="AL84" s="204">
        <v>0</v>
      </c>
      <c r="AM84" s="210">
        <v>0</v>
      </c>
    </row>
    <row r="85" spans="1:39" ht="24.75" customHeight="1">
      <c r="A85" s="381" t="str">
        <f>+IF(MARZO!A85=0,"",MARZO!A85)</f>
        <v>1.1.02.05.001.09.02.90</v>
      </c>
      <c r="B85" s="382" t="str">
        <f>+IF(MARZO!B85=0,"",MARZO!B85)</f>
        <v>Otras Ventas de Servicios de Salud</v>
      </c>
      <c r="C85" s="383">
        <f t="shared" ref="C85:N85" si="83">SUM(C86:C92)</f>
        <v>0</v>
      </c>
      <c r="D85" s="384">
        <f t="shared" si="83"/>
        <v>0</v>
      </c>
      <c r="E85" s="384">
        <f t="shared" si="83"/>
        <v>14520480408</v>
      </c>
      <c r="F85" s="384">
        <f t="shared" si="83"/>
        <v>14520480408</v>
      </c>
      <c r="G85" s="384">
        <f t="shared" si="83"/>
        <v>5306917958</v>
      </c>
      <c r="H85" s="384">
        <f t="shared" si="83"/>
        <v>2452316703</v>
      </c>
      <c r="I85" s="384">
        <f t="shared" si="83"/>
        <v>7759234661</v>
      </c>
      <c r="J85" s="384">
        <f t="shared" si="83"/>
        <v>1943884387</v>
      </c>
      <c r="K85" s="384">
        <f t="shared" si="83"/>
        <v>2167296223</v>
      </c>
      <c r="L85" s="384">
        <f t="shared" si="83"/>
        <v>4111180610</v>
      </c>
      <c r="M85" s="384">
        <f t="shared" si="83"/>
        <v>6761245747</v>
      </c>
      <c r="N85" s="385">
        <f t="shared" si="83"/>
        <v>10409299798</v>
      </c>
      <c r="O85" s="67"/>
      <c r="P85" s="288">
        <f>SUM(P86:P92)</f>
        <v>0</v>
      </c>
      <c r="Q85" s="289">
        <f>SUM(Q86:Q92)</f>
        <v>653254378</v>
      </c>
      <c r="R85" s="101"/>
      <c r="S85" s="266" t="str">
        <f>+IF(MARZO!S85=0,"",MARZO!S85)</f>
        <v>1020200-2</v>
      </c>
      <c r="T85" s="267" t="str">
        <f>+IF(MARZO!T85=0,"",MARZO!T85)</f>
        <v>Personal Supernumerario</v>
      </c>
      <c r="U85" s="373">
        <f>+ENERO!U85</f>
        <v>0</v>
      </c>
      <c r="V85" s="220">
        <f>MARZO!V85+ABRIL!AL85</f>
        <v>0</v>
      </c>
      <c r="W85" s="220">
        <f>MARZO!W85+ABRIL!AM85</f>
        <v>0</v>
      </c>
      <c r="X85" s="271">
        <f>SUM(U85:W85)</f>
        <v>0</v>
      </c>
      <c r="Y85" s="270">
        <f>MARZO!AA85</f>
        <v>0</v>
      </c>
      <c r="Z85" s="208">
        <v>0</v>
      </c>
      <c r="AA85" s="271">
        <f>SUM(Y85:Z85)</f>
        <v>0</v>
      </c>
      <c r="AB85" s="270">
        <f>MARZO!AD85</f>
        <v>0</v>
      </c>
      <c r="AC85" s="208">
        <v>0</v>
      </c>
      <c r="AD85" s="271">
        <f>SUM(AB85:AC85)</f>
        <v>0</v>
      </c>
      <c r="AE85" s="270">
        <f>MARZO!AG85</f>
        <v>0</v>
      </c>
      <c r="AF85" s="208">
        <v>0</v>
      </c>
      <c r="AG85" s="271">
        <f>SUM(AE85:AF85)</f>
        <v>0</v>
      </c>
      <c r="AH85" s="270">
        <f>X85-AA85</f>
        <v>0</v>
      </c>
      <c r="AI85" s="220">
        <f>X85-AD85</f>
        <v>0</v>
      </c>
      <c r="AJ85" s="269">
        <f>X85-AG85</f>
        <v>0</v>
      </c>
      <c r="AK85" s="101"/>
      <c r="AL85" s="204">
        <v>0</v>
      </c>
      <c r="AM85" s="210">
        <v>0</v>
      </c>
    </row>
    <row r="86" spans="1:39" ht="24.75" customHeight="1">
      <c r="A86" s="386" t="s">
        <v>670</v>
      </c>
      <c r="B86" s="387" t="str">
        <f>+IF(MARZO!B86=0,"",MARZO!B86)</f>
        <v>Agendamiento y aplicación de la vacuna COVID 19(Res.166/2021) INSTITUCIONAL</v>
      </c>
      <c r="C86" s="268">
        <f>+ENERO!C86</f>
        <v>0</v>
      </c>
      <c r="D86" s="205">
        <f>MARZO!D86+ABRIL!P86</f>
        <v>0</v>
      </c>
      <c r="E86" s="205">
        <f>MARZO!E86+ABRIL!Q86</f>
        <v>0</v>
      </c>
      <c r="F86" s="205">
        <f t="shared" ref="F86:F92" si="84">SUM(C86:E86)</f>
        <v>0</v>
      </c>
      <c r="G86" s="205">
        <f>MARZO!I86</f>
        <v>0</v>
      </c>
      <c r="H86" s="208">
        <v>0</v>
      </c>
      <c r="I86" s="205">
        <f t="shared" ref="I86:I92" si="85">SUM(G86:H86)</f>
        <v>0</v>
      </c>
      <c r="J86" s="205">
        <f>MARZO!L86</f>
        <v>0</v>
      </c>
      <c r="K86" s="208">
        <v>0</v>
      </c>
      <c r="L86" s="205">
        <f t="shared" ref="L86:L92" si="86">SUM(J86:K86)</f>
        <v>0</v>
      </c>
      <c r="M86" s="205">
        <f t="shared" ref="M86:M92" si="87">F86-I86</f>
        <v>0</v>
      </c>
      <c r="N86" s="206">
        <f t="shared" ref="N86:N92" si="88">F86-L86</f>
        <v>0</v>
      </c>
      <c r="O86" s="67"/>
      <c r="P86" s="204">
        <v>0</v>
      </c>
      <c r="Q86" s="210">
        <v>0</v>
      </c>
      <c r="R86" s="101"/>
      <c r="S86" s="266" t="str">
        <f>+IF(MARZO!S86=0,"",MARZO!S86)</f>
        <v>1020200-3</v>
      </c>
      <c r="T86" s="267" t="str">
        <f>+IF(MARZO!T86=0,"",MARZO!T86)</f>
        <v>Otros Honorarios</v>
      </c>
      <c r="U86" s="373">
        <f>+ENERO!U86</f>
        <v>0</v>
      </c>
      <c r="V86" s="220">
        <f>MARZO!V86+ABRIL!AL86</f>
        <v>0</v>
      </c>
      <c r="W86" s="220">
        <f>MARZO!W86+ABRIL!AM86</f>
        <v>0</v>
      </c>
      <c r="X86" s="271">
        <f>SUM(U86:W86)</f>
        <v>0</v>
      </c>
      <c r="Y86" s="270">
        <f>MARZO!AA86</f>
        <v>0</v>
      </c>
      <c r="Z86" s="208">
        <v>0</v>
      </c>
      <c r="AA86" s="271">
        <f>SUM(Y86:Z86)</f>
        <v>0</v>
      </c>
      <c r="AB86" s="270">
        <f>MARZO!AD86</f>
        <v>0</v>
      </c>
      <c r="AC86" s="208">
        <v>0</v>
      </c>
      <c r="AD86" s="271">
        <f>SUM(AB86:AC86)</f>
        <v>0</v>
      </c>
      <c r="AE86" s="270">
        <f>MARZO!AG86</f>
        <v>0</v>
      </c>
      <c r="AF86" s="208">
        <v>0</v>
      </c>
      <c r="AG86" s="271">
        <f>SUM(AE86:AF86)</f>
        <v>0</v>
      </c>
      <c r="AH86" s="270">
        <f>X86-AA86</f>
        <v>0</v>
      </c>
      <c r="AI86" s="220">
        <f>X86-AD86</f>
        <v>0</v>
      </c>
      <c r="AJ86" s="269">
        <f>X86-AG86</f>
        <v>0</v>
      </c>
      <c r="AK86" s="101"/>
      <c r="AL86" s="204">
        <v>0</v>
      </c>
      <c r="AM86" s="210">
        <v>0</v>
      </c>
    </row>
    <row r="87" spans="1:39" ht="24.75" customHeight="1">
      <c r="A87" s="386">
        <f>+IF(MARZO!A87=0,"",MARZO!A87)</f>
        <v>1130202</v>
      </c>
      <c r="B87" s="387">
        <f>+IF(MARZO!B87=0,"",MARZO!B87)</f>
        <v>1130202</v>
      </c>
      <c r="C87" s="268">
        <f>+ENERO!C87</f>
        <v>0</v>
      </c>
      <c r="D87" s="205">
        <f>MARZO!D87+ABRIL!P87</f>
        <v>0</v>
      </c>
      <c r="E87" s="205">
        <f>MARZO!E87+ABRIL!Q87</f>
        <v>0</v>
      </c>
      <c r="F87" s="205">
        <f t="shared" si="84"/>
        <v>0</v>
      </c>
      <c r="G87" s="205">
        <f>MARZO!I87</f>
        <v>0</v>
      </c>
      <c r="H87" s="208">
        <v>0</v>
      </c>
      <c r="I87" s="205">
        <f t="shared" si="85"/>
        <v>0</v>
      </c>
      <c r="J87" s="205">
        <f>MARZO!L87</f>
        <v>0</v>
      </c>
      <c r="K87" s="208">
        <v>0</v>
      </c>
      <c r="L87" s="205">
        <f t="shared" si="86"/>
        <v>0</v>
      </c>
      <c r="M87" s="205">
        <f t="shared" si="87"/>
        <v>0</v>
      </c>
      <c r="N87" s="206">
        <f t="shared" si="88"/>
        <v>0</v>
      </c>
      <c r="O87" s="67"/>
      <c r="P87" s="204">
        <v>0</v>
      </c>
      <c r="Q87" s="210">
        <v>0</v>
      </c>
      <c r="R87" s="101"/>
      <c r="S87" s="266" t="str">
        <f>+IF(MARZO!S87=0,"",MARZO!S87)</f>
        <v>1020200-4</v>
      </c>
      <c r="T87" s="267" t="str">
        <f>+IF(MARZO!T87=0,"",MARZO!T87)</f>
        <v>Otros Honorarios</v>
      </c>
      <c r="U87" s="373">
        <f>+ENERO!U87</f>
        <v>0</v>
      </c>
      <c r="V87" s="220">
        <f>MARZO!V87+ABRIL!AL87</f>
        <v>0</v>
      </c>
      <c r="W87" s="220">
        <f>MARZO!W87+ABRIL!AM87</f>
        <v>0</v>
      </c>
      <c r="X87" s="271">
        <f>SUM(U87:W87)</f>
        <v>0</v>
      </c>
      <c r="Y87" s="270">
        <f>MARZO!AA87</f>
        <v>0</v>
      </c>
      <c r="Z87" s="208">
        <v>0</v>
      </c>
      <c r="AA87" s="271">
        <f>SUM(Y87:Z87)</f>
        <v>0</v>
      </c>
      <c r="AB87" s="270">
        <f>MARZO!AD87</f>
        <v>0</v>
      </c>
      <c r="AC87" s="208">
        <v>0</v>
      </c>
      <c r="AD87" s="271">
        <f>SUM(AB87:AC87)</f>
        <v>0</v>
      </c>
      <c r="AE87" s="270">
        <f>MARZO!AG87</f>
        <v>0</v>
      </c>
      <c r="AF87" s="208">
        <v>0</v>
      </c>
      <c r="AG87" s="271">
        <f>SUM(AE87:AF87)</f>
        <v>0</v>
      </c>
      <c r="AH87" s="270">
        <f>X87-AA87</f>
        <v>0</v>
      </c>
      <c r="AI87" s="220">
        <f>X87-AD87</f>
        <v>0</v>
      </c>
      <c r="AJ87" s="269">
        <f>X87-AG87</f>
        <v>0</v>
      </c>
      <c r="AK87" s="101"/>
      <c r="AL87" s="204">
        <v>0</v>
      </c>
      <c r="AM87" s="210">
        <v>0</v>
      </c>
    </row>
    <row r="88" spans="1:39" ht="24.75" customHeight="1">
      <c r="A88" s="386" t="str">
        <f>+IF(MARZO!A88=0,"",MARZO!A88)</f>
        <v>1.1.02.05.001.08</v>
      </c>
      <c r="B88" s="388" t="str">
        <f>+IF(MARZO!B88=0,"",MARZO!B88)</f>
        <v>Servicios Prestados a las empresas y servicios de produccion</v>
      </c>
      <c r="C88" s="268">
        <f>+ENERO!C88</f>
        <v>0</v>
      </c>
      <c r="D88" s="205">
        <f>MARZO!D88+ABRIL!P88</f>
        <v>0</v>
      </c>
      <c r="E88" s="205">
        <f>MARZO!E88+ABRIL!Q88</f>
        <v>2337265046</v>
      </c>
      <c r="F88" s="205">
        <f t="shared" si="84"/>
        <v>2337265046</v>
      </c>
      <c r="G88" s="205">
        <f>MARZO!I88</f>
        <v>850085355</v>
      </c>
      <c r="H88" s="208">
        <v>532994454</v>
      </c>
      <c r="I88" s="205">
        <f t="shared" si="85"/>
        <v>1383079809</v>
      </c>
      <c r="J88" s="205">
        <f>MARZO!L88</f>
        <v>646375737</v>
      </c>
      <c r="K88" s="208">
        <v>519669593</v>
      </c>
      <c r="L88" s="205">
        <f t="shared" si="86"/>
        <v>1166045330</v>
      </c>
      <c r="M88" s="205">
        <f t="shared" si="87"/>
        <v>954185237</v>
      </c>
      <c r="N88" s="206">
        <f t="shared" si="88"/>
        <v>1171219716</v>
      </c>
      <c r="O88" s="67"/>
      <c r="P88" s="204">
        <v>0</v>
      </c>
      <c r="Q88" s="210">
        <v>653254378</v>
      </c>
      <c r="R88" s="101"/>
      <c r="S88" s="266" t="str">
        <f>+IF(MARZO!S88=0,"",MARZO!S88)</f>
        <v>2.1.2.02.02.009.99.01</v>
      </c>
      <c r="T88" s="267" t="str">
        <f>+IF(MARZO!T88=0,"",MARZO!T88)</f>
        <v>Vigencia Anterior Servicios Personales</v>
      </c>
      <c r="U88" s="373">
        <f>+ENERO!U88</f>
        <v>8835315700</v>
      </c>
      <c r="V88" s="220">
        <f>MARZO!V88+ABRIL!AL88</f>
        <v>4512698533</v>
      </c>
      <c r="W88" s="220">
        <f>MARZO!W88+ABRIL!AM88</f>
        <v>2908182761</v>
      </c>
      <c r="X88" s="271">
        <f>SUM(U88:W88)</f>
        <v>16256196994</v>
      </c>
      <c r="Y88" s="270">
        <f>MARZO!AA88</f>
        <v>13249017870</v>
      </c>
      <c r="Z88" s="208">
        <v>360041211</v>
      </c>
      <c r="AA88" s="271">
        <f>SUM(Y88:Z88)</f>
        <v>13609059081</v>
      </c>
      <c r="AB88" s="270">
        <f>MARZO!AD88</f>
        <v>13249017870</v>
      </c>
      <c r="AC88" s="208">
        <v>360041211</v>
      </c>
      <c r="AD88" s="271">
        <f>SUM(AB88:AC88)</f>
        <v>13609059081</v>
      </c>
      <c r="AE88" s="270">
        <f>MARZO!AG88</f>
        <v>13249017870</v>
      </c>
      <c r="AF88" s="208">
        <v>360041211</v>
      </c>
      <c r="AG88" s="271">
        <f>SUM(AE88:AF88)</f>
        <v>13609059081</v>
      </c>
      <c r="AH88" s="270">
        <f>X88-AA88</f>
        <v>2647137913</v>
      </c>
      <c r="AI88" s="220">
        <f>X88-AD88</f>
        <v>2647137913</v>
      </c>
      <c r="AJ88" s="269">
        <f>X88-AG88</f>
        <v>2647137913</v>
      </c>
      <c r="AK88" s="101"/>
      <c r="AL88" s="204">
        <v>0</v>
      </c>
      <c r="AM88" s="210">
        <v>2908182761</v>
      </c>
    </row>
    <row r="89" spans="1:39" ht="24.75" customHeight="1">
      <c r="A89" s="386" t="str">
        <f>+IF(MARZO!A89=0,"",MARZO!A89)</f>
        <v>1.1.02.05.001.09.02.90.04</v>
      </c>
      <c r="B89" s="388" t="str">
        <f>+IF(MARZO!B89=0,"",MARZO!B89)</f>
        <v>CONVENIOS CON EL DEPARTAMENTO LIGADOS A LA VENTA SERVICIOS</v>
      </c>
      <c r="C89" s="268">
        <f>+ENERO!C89</f>
        <v>0</v>
      </c>
      <c r="D89" s="205">
        <f>MARZO!D89+ABRIL!P89</f>
        <v>0</v>
      </c>
      <c r="E89" s="205">
        <f>MARZO!E89+ABRIL!Q89</f>
        <v>2520457839</v>
      </c>
      <c r="F89" s="205">
        <f t="shared" si="84"/>
        <v>2520457839</v>
      </c>
      <c r="G89" s="205">
        <f>MARZO!I89</f>
        <v>840152613</v>
      </c>
      <c r="H89" s="208">
        <v>1260228919</v>
      </c>
      <c r="I89" s="205">
        <f t="shared" si="85"/>
        <v>2100381532</v>
      </c>
      <c r="J89" s="205">
        <f>MARZO!L89</f>
        <v>831751087</v>
      </c>
      <c r="K89" s="208">
        <v>1247626630</v>
      </c>
      <c r="L89" s="205">
        <f t="shared" si="86"/>
        <v>2079377717</v>
      </c>
      <c r="M89" s="205">
        <f t="shared" si="87"/>
        <v>420076307</v>
      </c>
      <c r="N89" s="206">
        <f t="shared" si="88"/>
        <v>441080122</v>
      </c>
      <c r="O89" s="67"/>
      <c r="P89" s="204">
        <v>0</v>
      </c>
      <c r="Q89" s="210">
        <v>0</v>
      </c>
      <c r="R89" s="101"/>
      <c r="S89" s="189" t="str">
        <f>+IF(MARZO!S89=0,"",MARZO!S89)</f>
        <v/>
      </c>
      <c r="T89" s="488" t="str">
        <f>+IF(MARZO!T89=0,"",MARZO!T89)</f>
        <v/>
      </c>
      <c r="U89" s="191"/>
      <c r="V89" s="191"/>
      <c r="W89" s="191"/>
      <c r="X89" s="191"/>
      <c r="Y89" s="191"/>
      <c r="Z89" s="191"/>
      <c r="AA89" s="191"/>
      <c r="AB89" s="191"/>
      <c r="AC89" s="191"/>
      <c r="AD89" s="191"/>
      <c r="AE89" s="191"/>
      <c r="AF89" s="191"/>
      <c r="AG89" s="191"/>
      <c r="AH89" s="191"/>
      <c r="AI89" s="191"/>
      <c r="AJ89" s="192"/>
      <c r="AK89" s="101"/>
      <c r="AL89" s="370"/>
      <c r="AM89" s="371"/>
    </row>
    <row r="90" spans="1:39" ht="24.75" customHeight="1">
      <c r="A90" s="386" t="str">
        <f>+IF(MARZO!A90=0,"",MARZO!A90)</f>
        <v>1.1.02.05.001.09.02.18.03</v>
      </c>
      <c r="B90" s="388" t="str">
        <f>+IF(MARZO!B90=0,"",MARZO!B90)</f>
        <v xml:space="preserve">CONVENIOS CON EL MUNICIPIO LIGADOS A LA VENTA DE SERVICIOS </v>
      </c>
      <c r="C90" s="268">
        <f>+ENERO!C90</f>
        <v>0</v>
      </c>
      <c r="D90" s="205">
        <f>MARZO!D90+ABRIL!P90</f>
        <v>0</v>
      </c>
      <c r="E90" s="205">
        <f>MARZO!E90+ABRIL!Q90</f>
        <v>9662757523</v>
      </c>
      <c r="F90" s="205">
        <f t="shared" si="84"/>
        <v>9662757523</v>
      </c>
      <c r="G90" s="205">
        <f>MARZO!I90</f>
        <v>3616679990</v>
      </c>
      <c r="H90" s="208">
        <f>175760000+400000000+83333330</f>
        <v>659093330</v>
      </c>
      <c r="I90" s="205">
        <f t="shared" si="85"/>
        <v>4275773320</v>
      </c>
      <c r="J90" s="205">
        <f>MARZO!L90</f>
        <v>465757563</v>
      </c>
      <c r="K90" s="208">
        <v>400000000</v>
      </c>
      <c r="L90" s="205">
        <f t="shared" si="86"/>
        <v>865757563</v>
      </c>
      <c r="M90" s="205">
        <f t="shared" si="87"/>
        <v>5386984203</v>
      </c>
      <c r="N90" s="206">
        <f t="shared" si="88"/>
        <v>8796999960</v>
      </c>
      <c r="O90" s="67"/>
      <c r="P90" s="204">
        <v>0</v>
      </c>
      <c r="Q90" s="210">
        <v>0</v>
      </c>
      <c r="R90" s="389"/>
      <c r="S90" s="257">
        <f>+IF(MARZO!S90=0,"",MARZO!S90)</f>
        <v>1020300</v>
      </c>
      <c r="T90" s="546" t="str">
        <f>+IF(MARZO!T90=0,"",MARZO!T90)</f>
        <v>Contribuciones Inherentes nómina al Sector Privado</v>
      </c>
      <c r="U90" s="230">
        <f t="shared" ref="U90:AJ90" si="89">U91+U96+U102</f>
        <v>0</v>
      </c>
      <c r="V90" s="231">
        <f t="shared" si="89"/>
        <v>0</v>
      </c>
      <c r="W90" s="231">
        <f t="shared" si="89"/>
        <v>0</v>
      </c>
      <c r="X90" s="234">
        <f t="shared" si="89"/>
        <v>0</v>
      </c>
      <c r="Y90" s="233">
        <f t="shared" si="89"/>
        <v>0</v>
      </c>
      <c r="Z90" s="231">
        <f t="shared" si="89"/>
        <v>0</v>
      </c>
      <c r="AA90" s="234">
        <f t="shared" si="89"/>
        <v>0</v>
      </c>
      <c r="AB90" s="233">
        <f t="shared" si="89"/>
        <v>0</v>
      </c>
      <c r="AC90" s="231">
        <f t="shared" si="89"/>
        <v>0</v>
      </c>
      <c r="AD90" s="234">
        <f t="shared" si="89"/>
        <v>0</v>
      </c>
      <c r="AE90" s="233">
        <f t="shared" si="89"/>
        <v>0</v>
      </c>
      <c r="AF90" s="231">
        <f t="shared" si="89"/>
        <v>0</v>
      </c>
      <c r="AG90" s="234">
        <f t="shared" si="89"/>
        <v>0</v>
      </c>
      <c r="AH90" s="233">
        <f t="shared" si="89"/>
        <v>0</v>
      </c>
      <c r="AI90" s="231">
        <f t="shared" si="89"/>
        <v>0</v>
      </c>
      <c r="AJ90" s="232">
        <f t="shared" si="89"/>
        <v>0</v>
      </c>
      <c r="AK90" s="101"/>
      <c r="AL90" s="233">
        <f>AL91+AL96+AL102</f>
        <v>0</v>
      </c>
      <c r="AM90" s="232">
        <f>AM91+AM96+AM102</f>
        <v>0</v>
      </c>
    </row>
    <row r="91" spans="1:39" ht="24.75" customHeight="1">
      <c r="A91" s="386">
        <f>+IF(MARZO!A91=0,"",MARZO!A91)</f>
        <v>1130206</v>
      </c>
      <c r="B91" s="388" t="str">
        <f>+IF(MARZO!B91=0,"",MARZO!B91)</f>
        <v>OTROS CONVENIOS LIGADOS A LA VENTA DE SERVICIOS</v>
      </c>
      <c r="C91" s="268">
        <f>+ENERO!C91</f>
        <v>0</v>
      </c>
      <c r="D91" s="205">
        <f>MARZO!D91+ABRIL!P91</f>
        <v>0</v>
      </c>
      <c r="E91" s="205">
        <f>MARZO!E91+ABRIL!Q91</f>
        <v>0</v>
      </c>
      <c r="F91" s="205">
        <f t="shared" si="84"/>
        <v>0</v>
      </c>
      <c r="G91" s="205">
        <f>MARZO!I91</f>
        <v>0</v>
      </c>
      <c r="H91" s="208">
        <v>0</v>
      </c>
      <c r="I91" s="205">
        <f t="shared" si="85"/>
        <v>0</v>
      </c>
      <c r="J91" s="205">
        <f>MARZO!L91</f>
        <v>0</v>
      </c>
      <c r="K91" s="208">
        <v>0</v>
      </c>
      <c r="L91" s="205">
        <f t="shared" si="86"/>
        <v>0</v>
      </c>
      <c r="M91" s="205">
        <f t="shared" si="87"/>
        <v>0</v>
      </c>
      <c r="N91" s="206">
        <f t="shared" si="88"/>
        <v>0</v>
      </c>
      <c r="O91" s="67"/>
      <c r="P91" s="204">
        <v>0</v>
      </c>
      <c r="Q91" s="210">
        <v>0</v>
      </c>
      <c r="R91" s="389"/>
      <c r="S91" s="266">
        <f>+IF(MARZO!S91=0,"",MARZO!S91)</f>
        <v>1020301</v>
      </c>
      <c r="T91" s="267" t="str">
        <f>+IF(MARZO!T91=0,"",MARZO!T91)</f>
        <v>Contribuciones - SGP - Aportes Patronales - Cuenta Maestra</v>
      </c>
      <c r="U91" s="373">
        <f t="shared" ref="U91:AJ91" si="90">SUM(U92:U95)</f>
        <v>0</v>
      </c>
      <c r="V91" s="220">
        <f t="shared" si="90"/>
        <v>0</v>
      </c>
      <c r="W91" s="220">
        <f t="shared" si="90"/>
        <v>0</v>
      </c>
      <c r="X91" s="271">
        <f t="shared" si="90"/>
        <v>0</v>
      </c>
      <c r="Y91" s="270">
        <f t="shared" si="90"/>
        <v>0</v>
      </c>
      <c r="Z91" s="300">
        <f t="shared" si="90"/>
        <v>0</v>
      </c>
      <c r="AA91" s="271">
        <f t="shared" si="90"/>
        <v>0</v>
      </c>
      <c r="AB91" s="270">
        <f t="shared" si="90"/>
        <v>0</v>
      </c>
      <c r="AC91" s="300">
        <f t="shared" si="90"/>
        <v>0</v>
      </c>
      <c r="AD91" s="271">
        <f t="shared" si="90"/>
        <v>0</v>
      </c>
      <c r="AE91" s="270">
        <f t="shared" si="90"/>
        <v>0</v>
      </c>
      <c r="AF91" s="300">
        <f t="shared" si="90"/>
        <v>0</v>
      </c>
      <c r="AG91" s="271">
        <f t="shared" si="90"/>
        <v>0</v>
      </c>
      <c r="AH91" s="270">
        <f t="shared" si="90"/>
        <v>0</v>
      </c>
      <c r="AI91" s="220">
        <f t="shared" si="90"/>
        <v>0</v>
      </c>
      <c r="AJ91" s="269">
        <f t="shared" si="90"/>
        <v>0</v>
      </c>
      <c r="AK91" s="101"/>
      <c r="AL91" s="301">
        <f>SUM(AL92:AL95)</f>
        <v>0</v>
      </c>
      <c r="AM91" s="302">
        <f>SUM(AM92:AM95)</f>
        <v>0</v>
      </c>
    </row>
    <row r="92" spans="1:39" ht="24.75" customHeight="1">
      <c r="A92" s="386" t="str">
        <f>+IF(MARZO!A92=0,"",MARZO!A92)</f>
        <v>1.1.02.05.001.09.02.90.05.99</v>
      </c>
      <c r="B92" s="390" t="str">
        <f>+IF(MARZO!B92=0,"",MARZO!B92)</f>
        <v>Vigencia Anterior de Otros Convenios de Salud Nacionales (vacunacion covid-19 agendamiento y aplicación)</v>
      </c>
      <c r="C92" s="391">
        <f>+ENERO!C92</f>
        <v>0</v>
      </c>
      <c r="D92" s="243">
        <f>MARZO!D92+ABRIL!P92</f>
        <v>0</v>
      </c>
      <c r="E92" s="243">
        <f>MARZO!E92+ABRIL!Q92</f>
        <v>0</v>
      </c>
      <c r="F92" s="243">
        <f t="shared" si="84"/>
        <v>0</v>
      </c>
      <c r="G92" s="243">
        <f>MARZO!I92</f>
        <v>0</v>
      </c>
      <c r="H92" s="246">
        <v>0</v>
      </c>
      <c r="I92" s="243">
        <f t="shared" si="85"/>
        <v>0</v>
      </c>
      <c r="J92" s="243">
        <f>MARZO!L92</f>
        <v>0</v>
      </c>
      <c r="K92" s="246">
        <v>0</v>
      </c>
      <c r="L92" s="243">
        <f t="shared" si="86"/>
        <v>0</v>
      </c>
      <c r="M92" s="243">
        <f t="shared" si="87"/>
        <v>0</v>
      </c>
      <c r="N92" s="244">
        <f t="shared" si="88"/>
        <v>0</v>
      </c>
      <c r="O92" s="67"/>
      <c r="P92" s="204">
        <v>0</v>
      </c>
      <c r="Q92" s="210">
        <v>0</v>
      </c>
      <c r="R92" s="389"/>
      <c r="S92" s="311" t="str">
        <f>+IF(MARZO!S92=0,"",MARZO!S92)</f>
        <v>1020301-1</v>
      </c>
      <c r="T92" s="312" t="str">
        <f>+IF(MARZO!T92=0,"",MARZO!T92)</f>
        <v>E.P.S. - Aportes cuenta maestra</v>
      </c>
      <c r="U92" s="373">
        <f>+ENERO!U92</f>
        <v>0</v>
      </c>
      <c r="V92" s="220">
        <f>MARZO!V92+ABRIL!AL92</f>
        <v>0</v>
      </c>
      <c r="W92" s="220">
        <f>MARZO!W92+ABRIL!AM92</f>
        <v>0</v>
      </c>
      <c r="X92" s="271">
        <f>SUM(U92:W92)</f>
        <v>0</v>
      </c>
      <c r="Y92" s="270">
        <f>MARZO!AA92</f>
        <v>0</v>
      </c>
      <c r="Z92" s="208">
        <v>0</v>
      </c>
      <c r="AA92" s="271">
        <f>SUM(Y92:Z92)</f>
        <v>0</v>
      </c>
      <c r="AB92" s="270">
        <f>MARZO!AD92</f>
        <v>0</v>
      </c>
      <c r="AC92" s="208">
        <v>0</v>
      </c>
      <c r="AD92" s="271">
        <f>SUM(AB92:AC92)</f>
        <v>0</v>
      </c>
      <c r="AE92" s="270">
        <f>MARZO!AG92</f>
        <v>0</v>
      </c>
      <c r="AF92" s="208">
        <v>0</v>
      </c>
      <c r="AG92" s="271">
        <f>SUM(AE92:AF92)</f>
        <v>0</v>
      </c>
      <c r="AH92" s="270">
        <f>X92-AA92</f>
        <v>0</v>
      </c>
      <c r="AI92" s="220">
        <f>X92-AD92</f>
        <v>0</v>
      </c>
      <c r="AJ92" s="269">
        <f>X92-AG92</f>
        <v>0</v>
      </c>
      <c r="AK92" s="101"/>
      <c r="AL92" s="204">
        <v>0</v>
      </c>
      <c r="AM92" s="210">
        <v>0</v>
      </c>
    </row>
    <row r="93" spans="1:39" ht="24.75" customHeight="1">
      <c r="A93" s="378" t="str">
        <f>+IF(MARZO!A93=0,"",MARZO!A93)</f>
        <v/>
      </c>
      <c r="B93" s="379" t="str">
        <f>+IF(MARZO!B93=0,"",MARZO!B93)</f>
        <v/>
      </c>
      <c r="C93" s="67"/>
      <c r="D93" s="67"/>
      <c r="E93" s="67"/>
      <c r="F93" s="67"/>
      <c r="G93" s="67"/>
      <c r="H93" s="67"/>
      <c r="I93" s="67"/>
      <c r="J93" s="67"/>
      <c r="K93" s="67"/>
      <c r="L93" s="67"/>
      <c r="M93" s="67"/>
      <c r="N93" s="283"/>
      <c r="O93" s="369"/>
      <c r="P93" s="380"/>
      <c r="Q93" s="254"/>
      <c r="R93" s="389"/>
      <c r="S93" s="311" t="str">
        <f>+IF(MARZO!S93=0,"",MARZO!S93)</f>
        <v>1020301-2</v>
      </c>
      <c r="T93" s="312" t="str">
        <f>+IF(MARZO!T93=0,"",MARZO!T93)</f>
        <v>Fondos pensionales - Aportes cuenta maestra</v>
      </c>
      <c r="U93" s="373">
        <f>+ENERO!U93</f>
        <v>0</v>
      </c>
      <c r="V93" s="220">
        <f>MARZO!V93+ABRIL!AL93</f>
        <v>0</v>
      </c>
      <c r="W93" s="220">
        <f>MARZO!W93+ABRIL!AM93</f>
        <v>0</v>
      </c>
      <c r="X93" s="271">
        <f>SUM(U93:W93)</f>
        <v>0</v>
      </c>
      <c r="Y93" s="270">
        <f>MARZO!AA93</f>
        <v>0</v>
      </c>
      <c r="Z93" s="208">
        <v>0</v>
      </c>
      <c r="AA93" s="271">
        <f>SUM(Y93:Z93)</f>
        <v>0</v>
      </c>
      <c r="AB93" s="270">
        <f>MARZO!AD93</f>
        <v>0</v>
      </c>
      <c r="AC93" s="208">
        <v>0</v>
      </c>
      <c r="AD93" s="271">
        <f>SUM(AB93:AC93)</f>
        <v>0</v>
      </c>
      <c r="AE93" s="270">
        <f>MARZO!AG93</f>
        <v>0</v>
      </c>
      <c r="AF93" s="208">
        <v>0</v>
      </c>
      <c r="AG93" s="271">
        <f>SUM(AE93:AF93)</f>
        <v>0</v>
      </c>
      <c r="AH93" s="270">
        <f>X93-AA93</f>
        <v>0</v>
      </c>
      <c r="AI93" s="220">
        <f>X93-AD93</f>
        <v>0</v>
      </c>
      <c r="AJ93" s="269">
        <f>X93-AG93</f>
        <v>0</v>
      </c>
      <c r="AK93" s="101"/>
      <c r="AL93" s="204">
        <v>0</v>
      </c>
      <c r="AM93" s="210">
        <v>0</v>
      </c>
    </row>
    <row r="94" spans="1:39" ht="39" customHeight="1">
      <c r="A94" s="392" t="str">
        <f>+IF(MARZO!A94=0,"",MARZO!A94)</f>
        <v>1.1.02.06.006.06</v>
      </c>
      <c r="B94" s="393" t="str">
        <f>+IF(MARZO!B94=0,"",MARZO!B94)</f>
        <v>Aportes (No ligados a la venta de servicios de salud)</v>
      </c>
      <c r="C94" s="383">
        <f t="shared" ref="C94:N94" si="91">SUM(C95:C102)</f>
        <v>650000000</v>
      </c>
      <c r="D94" s="384">
        <f t="shared" si="91"/>
        <v>0</v>
      </c>
      <c r="E94" s="384">
        <f t="shared" si="91"/>
        <v>0</v>
      </c>
      <c r="F94" s="384">
        <f t="shared" si="91"/>
        <v>650000000</v>
      </c>
      <c r="G94" s="384">
        <f t="shared" si="91"/>
        <v>0</v>
      </c>
      <c r="H94" s="384">
        <f t="shared" si="91"/>
        <v>0</v>
      </c>
      <c r="I94" s="384">
        <f t="shared" si="91"/>
        <v>0</v>
      </c>
      <c r="J94" s="384">
        <f t="shared" si="91"/>
        <v>0</v>
      </c>
      <c r="K94" s="384">
        <f t="shared" si="91"/>
        <v>0</v>
      </c>
      <c r="L94" s="384">
        <f t="shared" si="91"/>
        <v>0</v>
      </c>
      <c r="M94" s="384">
        <f t="shared" si="91"/>
        <v>650000000</v>
      </c>
      <c r="N94" s="385">
        <f t="shared" si="91"/>
        <v>650000000</v>
      </c>
      <c r="O94" s="67"/>
      <c r="P94" s="288">
        <f>SUM(P95:P102)</f>
        <v>0</v>
      </c>
      <c r="Q94" s="289">
        <f>SUM(Q95:Q102)</f>
        <v>0</v>
      </c>
      <c r="R94" s="389"/>
      <c r="S94" s="311" t="str">
        <f>+IF(MARZO!S94=0,"",MARZO!S94)</f>
        <v>1020301-3</v>
      </c>
      <c r="T94" s="312" t="str">
        <f>+IF(MARZO!T94=0,"",MARZO!T94)</f>
        <v>Fondos de cesantías - Aportes cuenta maestra</v>
      </c>
      <c r="U94" s="373">
        <f>+ENERO!U94</f>
        <v>0</v>
      </c>
      <c r="V94" s="220">
        <f>MARZO!V94+ABRIL!AL94</f>
        <v>0</v>
      </c>
      <c r="W94" s="220">
        <f>MARZO!W94+ABRIL!AM94</f>
        <v>0</v>
      </c>
      <c r="X94" s="271">
        <f>SUM(U94:W94)</f>
        <v>0</v>
      </c>
      <c r="Y94" s="270">
        <f>MARZO!AA94</f>
        <v>0</v>
      </c>
      <c r="Z94" s="208">
        <v>0</v>
      </c>
      <c r="AA94" s="271">
        <f>SUM(Y94:Z94)</f>
        <v>0</v>
      </c>
      <c r="AB94" s="270">
        <f>MARZO!AD94</f>
        <v>0</v>
      </c>
      <c r="AC94" s="208">
        <v>0</v>
      </c>
      <c r="AD94" s="271">
        <f>SUM(AB94:AC94)</f>
        <v>0</v>
      </c>
      <c r="AE94" s="270">
        <f>MARZO!AG94</f>
        <v>0</v>
      </c>
      <c r="AF94" s="208">
        <v>0</v>
      </c>
      <c r="AG94" s="271">
        <f>SUM(AE94:AF94)</f>
        <v>0</v>
      </c>
      <c r="AH94" s="270">
        <f>X94-AA94</f>
        <v>0</v>
      </c>
      <c r="AI94" s="220">
        <f>X94-AD94</f>
        <v>0</v>
      </c>
      <c r="AJ94" s="269">
        <f>X94-AG94</f>
        <v>0</v>
      </c>
      <c r="AK94" s="101"/>
      <c r="AL94" s="204">
        <v>0</v>
      </c>
      <c r="AM94" s="210">
        <v>0</v>
      </c>
    </row>
    <row r="95" spans="1:39" ht="24.75" customHeight="1">
      <c r="A95" s="394" t="str">
        <f>+IF(MARZO!A95=0,"",MARZO!A95)</f>
        <v>1.2.08.06.002</v>
      </c>
      <c r="B95" s="397" t="str">
        <f>+IF(MARZO!B95=0,"",MARZO!B95)</f>
        <v>Condicionadas a la adquisicion de un activo</v>
      </c>
      <c r="C95" s="268">
        <f>+ENERO!C95</f>
        <v>0</v>
      </c>
      <c r="D95" s="205">
        <f>MARZO!D95+ABRIL!P95</f>
        <v>0</v>
      </c>
      <c r="E95" s="205">
        <f>MARZO!E95+ABRIL!Q95</f>
        <v>0</v>
      </c>
      <c r="F95" s="205">
        <f t="shared" ref="F95:F102" si="92">SUM(C95:E95)</f>
        <v>0</v>
      </c>
      <c r="G95" s="205">
        <f>MARZO!I95</f>
        <v>0</v>
      </c>
      <c r="H95" s="208">
        <v>0</v>
      </c>
      <c r="I95" s="205">
        <f t="shared" ref="I95:I102" si="93">SUM(G95:H95)</f>
        <v>0</v>
      </c>
      <c r="J95" s="205">
        <f>MARZO!L95</f>
        <v>0</v>
      </c>
      <c r="K95" s="208">
        <v>0</v>
      </c>
      <c r="L95" s="205">
        <f t="shared" ref="L95:L102" si="94">SUM(J95:K95)</f>
        <v>0</v>
      </c>
      <c r="M95" s="205">
        <f t="shared" ref="M95:M102" si="95">F95-I95</f>
        <v>0</v>
      </c>
      <c r="N95" s="206">
        <f t="shared" ref="N95:N102" si="96">F95-L95</f>
        <v>0</v>
      </c>
      <c r="O95" s="67"/>
      <c r="P95" s="204">
        <v>0</v>
      </c>
      <c r="Q95" s="210">
        <v>0</v>
      </c>
      <c r="R95" s="389"/>
      <c r="S95" s="311" t="str">
        <f>+IF(MARZO!S95=0,"",MARZO!S95)</f>
        <v>1020301-4</v>
      </c>
      <c r="T95" s="312" t="str">
        <f>+IF(MARZO!T95=0,"",MARZO!T95)</f>
        <v>Riesgos laborales - Aportes cuenta maestra</v>
      </c>
      <c r="U95" s="373">
        <f>+ENERO!U95</f>
        <v>0</v>
      </c>
      <c r="V95" s="220">
        <f>MARZO!V95+ABRIL!AL95</f>
        <v>0</v>
      </c>
      <c r="W95" s="220">
        <f>MARZO!W95+ABRIL!AM95</f>
        <v>0</v>
      </c>
      <c r="X95" s="271">
        <f>SUM(U95:W95)</f>
        <v>0</v>
      </c>
      <c r="Y95" s="270">
        <f>MARZO!AA95</f>
        <v>0</v>
      </c>
      <c r="Z95" s="208">
        <v>0</v>
      </c>
      <c r="AA95" s="271">
        <f>SUM(Y95:Z95)</f>
        <v>0</v>
      </c>
      <c r="AB95" s="270">
        <f>MARZO!AD95</f>
        <v>0</v>
      </c>
      <c r="AC95" s="208">
        <v>0</v>
      </c>
      <c r="AD95" s="271">
        <f>SUM(AB95:AC95)</f>
        <v>0</v>
      </c>
      <c r="AE95" s="270">
        <f>MARZO!AG95</f>
        <v>0</v>
      </c>
      <c r="AF95" s="208">
        <v>0</v>
      </c>
      <c r="AG95" s="271">
        <f>SUM(AE95:AF95)</f>
        <v>0</v>
      </c>
      <c r="AH95" s="270">
        <f>X95-AA95</f>
        <v>0</v>
      </c>
      <c r="AI95" s="220">
        <f>X95-AD95</f>
        <v>0</v>
      </c>
      <c r="AJ95" s="269">
        <f>X95-AG95</f>
        <v>0</v>
      </c>
      <c r="AK95" s="101"/>
      <c r="AL95" s="204">
        <v>0</v>
      </c>
      <c r="AM95" s="210">
        <v>0</v>
      </c>
    </row>
    <row r="96" spans="1:39" ht="24.75" customHeight="1">
      <c r="A96" s="394" t="str">
        <f>+IF(MARZO!A96=0,"",MARZO!A96)</f>
        <v>1.1.02.06.007.02.08</v>
      </c>
      <c r="B96" s="397" t="str">
        <f>+IF(MARZO!B96=0,"",MARZO!B96)</f>
        <v>Aportes del Departamento - Subsidio a la Oferta</v>
      </c>
      <c r="C96" s="268">
        <f>+ENERO!C96</f>
        <v>0</v>
      </c>
      <c r="D96" s="205">
        <f>MARZO!D96+ABRIL!P96</f>
        <v>0</v>
      </c>
      <c r="E96" s="205">
        <f>MARZO!E96+ABRIL!Q96</f>
        <v>0</v>
      </c>
      <c r="F96" s="205">
        <f t="shared" si="92"/>
        <v>0</v>
      </c>
      <c r="G96" s="205">
        <f>MARZO!I96</f>
        <v>0</v>
      </c>
      <c r="H96" s="208">
        <v>0</v>
      </c>
      <c r="I96" s="205">
        <f t="shared" si="93"/>
        <v>0</v>
      </c>
      <c r="J96" s="205">
        <f>MARZO!L96</f>
        <v>0</v>
      </c>
      <c r="K96" s="208">
        <v>0</v>
      </c>
      <c r="L96" s="205">
        <f t="shared" si="94"/>
        <v>0</v>
      </c>
      <c r="M96" s="205">
        <f t="shared" si="95"/>
        <v>0</v>
      </c>
      <c r="N96" s="206">
        <f t="shared" si="96"/>
        <v>0</v>
      </c>
      <c r="O96" s="67"/>
      <c r="P96" s="204">
        <v>0</v>
      </c>
      <c r="Q96" s="210">
        <v>0</v>
      </c>
      <c r="R96" s="389"/>
      <c r="S96" s="266">
        <f>+IF(MARZO!S96=0,"",MARZO!S96)</f>
        <v>1020302</v>
      </c>
      <c r="T96" s="267" t="str">
        <f>+IF(MARZO!T96=0,"",MARZO!T96)</f>
        <v>Contribuciones - Otros</v>
      </c>
      <c r="U96" s="373">
        <f t="shared" ref="U96:AJ96" si="97">SUM(U97:U101)</f>
        <v>0</v>
      </c>
      <c r="V96" s="220">
        <f t="shared" si="97"/>
        <v>0</v>
      </c>
      <c r="W96" s="220">
        <f t="shared" si="97"/>
        <v>0</v>
      </c>
      <c r="X96" s="271">
        <f t="shared" si="97"/>
        <v>0</v>
      </c>
      <c r="Y96" s="270">
        <f t="shared" si="97"/>
        <v>0</v>
      </c>
      <c r="Z96" s="300">
        <f t="shared" si="97"/>
        <v>0</v>
      </c>
      <c r="AA96" s="271">
        <f t="shared" si="97"/>
        <v>0</v>
      </c>
      <c r="AB96" s="270">
        <f t="shared" si="97"/>
        <v>0</v>
      </c>
      <c r="AC96" s="300">
        <f t="shared" si="97"/>
        <v>0</v>
      </c>
      <c r="AD96" s="271">
        <f t="shared" si="97"/>
        <v>0</v>
      </c>
      <c r="AE96" s="270">
        <f t="shared" si="97"/>
        <v>0</v>
      </c>
      <c r="AF96" s="300">
        <f t="shared" si="97"/>
        <v>0</v>
      </c>
      <c r="AG96" s="271">
        <f t="shared" si="97"/>
        <v>0</v>
      </c>
      <c r="AH96" s="270">
        <f t="shared" si="97"/>
        <v>0</v>
      </c>
      <c r="AI96" s="220">
        <f t="shared" si="97"/>
        <v>0</v>
      </c>
      <c r="AJ96" s="269">
        <f t="shared" si="97"/>
        <v>0</v>
      </c>
      <c r="AK96" s="389"/>
      <c r="AL96" s="395">
        <f>SUM(AL97:AL101)</f>
        <v>0</v>
      </c>
      <c r="AM96" s="396">
        <f>SUM(AM97:AM101)</f>
        <v>0</v>
      </c>
    </row>
    <row r="97" spans="1:39" ht="24.75" customHeight="1">
      <c r="A97" s="394" t="str">
        <f>+IF(MARZO!A97=0,"",MARZO!A97)</f>
        <v>1.1.02.06.007.02.08</v>
      </c>
      <c r="B97" s="397" t="str">
        <f>+IF(MARZO!B97=0,"",MARZO!B97)</f>
        <v>Aportes del Municipio para fortalecimiento</v>
      </c>
      <c r="C97" s="268">
        <f>+ENERO!C97</f>
        <v>0</v>
      </c>
      <c r="D97" s="205">
        <f>MARZO!D97+ABRIL!P97</f>
        <v>0</v>
      </c>
      <c r="E97" s="205">
        <f>MARZO!E97+ABRIL!Q97</f>
        <v>0</v>
      </c>
      <c r="F97" s="205">
        <f t="shared" si="92"/>
        <v>0</v>
      </c>
      <c r="G97" s="205">
        <f>MARZO!I97</f>
        <v>0</v>
      </c>
      <c r="H97" s="208">
        <v>0</v>
      </c>
      <c r="I97" s="205">
        <f t="shared" si="93"/>
        <v>0</v>
      </c>
      <c r="J97" s="205">
        <f>MARZO!L97</f>
        <v>0</v>
      </c>
      <c r="K97" s="208">
        <v>0</v>
      </c>
      <c r="L97" s="205">
        <f t="shared" si="94"/>
        <v>0</v>
      </c>
      <c r="M97" s="205">
        <f t="shared" si="95"/>
        <v>0</v>
      </c>
      <c r="N97" s="206">
        <f t="shared" si="96"/>
        <v>0</v>
      </c>
      <c r="O97" s="67"/>
      <c r="P97" s="204">
        <v>0</v>
      </c>
      <c r="Q97" s="210">
        <v>0</v>
      </c>
      <c r="R97" s="389"/>
      <c r="S97" s="311" t="str">
        <f>+IF(MARZO!S97=0,"",MARZO!S97)</f>
        <v>2.1.1.01.02.002-1</v>
      </c>
      <c r="T97" s="312" t="str">
        <f>+IF(MARZO!T97=0,"",MARZO!T97)</f>
        <v>Aportes a E.P.S. - recursos propios</v>
      </c>
      <c r="U97" s="373">
        <f>+ENERO!U97</f>
        <v>0</v>
      </c>
      <c r="V97" s="220">
        <f>MARZO!V97+ABRIL!AL97</f>
        <v>0</v>
      </c>
      <c r="W97" s="220">
        <f>MARZO!W97+ABRIL!AM97</f>
        <v>0</v>
      </c>
      <c r="X97" s="271">
        <f t="shared" ref="X97:X102" si="98">SUM(U97:W97)</f>
        <v>0</v>
      </c>
      <c r="Y97" s="270">
        <f>MARZO!AA97</f>
        <v>0</v>
      </c>
      <c r="Z97" s="208">
        <v>0</v>
      </c>
      <c r="AA97" s="271">
        <f t="shared" ref="AA97:AA102" si="99">SUM(Y97:Z97)</f>
        <v>0</v>
      </c>
      <c r="AB97" s="270">
        <f>MARZO!AD97</f>
        <v>0</v>
      </c>
      <c r="AC97" s="208">
        <v>0</v>
      </c>
      <c r="AD97" s="271">
        <f t="shared" ref="AD97:AD102" si="100">SUM(AB97:AC97)</f>
        <v>0</v>
      </c>
      <c r="AE97" s="270">
        <f>MARZO!AG97</f>
        <v>0</v>
      </c>
      <c r="AF97" s="208">
        <v>0</v>
      </c>
      <c r="AG97" s="271">
        <f t="shared" ref="AG97:AG102" si="101">SUM(AE97:AF97)</f>
        <v>0</v>
      </c>
      <c r="AH97" s="270">
        <f t="shared" ref="AH97:AH102" si="102">X97-AA97</f>
        <v>0</v>
      </c>
      <c r="AI97" s="220">
        <f t="shared" ref="AI97:AI102" si="103">X97-AD97</f>
        <v>0</v>
      </c>
      <c r="AJ97" s="269">
        <f t="shared" ref="AJ97:AJ102" si="104">X97-AG97</f>
        <v>0</v>
      </c>
      <c r="AK97" s="389"/>
      <c r="AL97" s="204">
        <v>0</v>
      </c>
      <c r="AM97" s="210">
        <v>0</v>
      </c>
    </row>
    <row r="98" spans="1:39" ht="24.75" customHeight="1">
      <c r="A98" s="394" t="str">
        <f>+IF(MARZO!A98=0,"",MARZO!A98)</f>
        <v>1.1.02.06.007.02.08</v>
      </c>
      <c r="B98" s="397" t="str">
        <f>+IF(MARZO!B98=0,"",MARZO!B98)</f>
        <v>Transferencias para las Empresas Sociales del Estado</v>
      </c>
      <c r="C98" s="268">
        <f>+ENERO!C98</f>
        <v>0</v>
      </c>
      <c r="D98" s="205">
        <f>MARZO!D98+ABRIL!P98</f>
        <v>0</v>
      </c>
      <c r="E98" s="205">
        <f>MARZO!E98+ABRIL!Q98</f>
        <v>0</v>
      </c>
      <c r="F98" s="205">
        <f t="shared" si="92"/>
        <v>0</v>
      </c>
      <c r="G98" s="205">
        <f>MARZO!I98</f>
        <v>0</v>
      </c>
      <c r="H98" s="208">
        <v>0</v>
      </c>
      <c r="I98" s="205">
        <f t="shared" si="93"/>
        <v>0</v>
      </c>
      <c r="J98" s="205">
        <f>MARZO!L98</f>
        <v>0</v>
      </c>
      <c r="K98" s="208">
        <v>0</v>
      </c>
      <c r="L98" s="205">
        <f t="shared" si="94"/>
        <v>0</v>
      </c>
      <c r="M98" s="205">
        <f t="shared" si="95"/>
        <v>0</v>
      </c>
      <c r="N98" s="206">
        <f t="shared" si="96"/>
        <v>0</v>
      </c>
      <c r="O98" s="67"/>
      <c r="P98" s="204">
        <v>0</v>
      </c>
      <c r="Q98" s="210">
        <v>0</v>
      </c>
      <c r="R98" s="389"/>
      <c r="S98" s="311" t="str">
        <f>+IF(MARZO!S98=0,"",MARZO!S98)</f>
        <v>2.1.1.01.02.001-1</v>
      </c>
      <c r="T98" s="312" t="str">
        <f>+IF(MARZO!T98=0,"",MARZO!T98)</f>
        <v>Aportes Fondos Pensionales - recursos propios</v>
      </c>
      <c r="U98" s="373">
        <f>+ENERO!U98</f>
        <v>0</v>
      </c>
      <c r="V98" s="220">
        <f>MARZO!V98+ABRIL!AL98</f>
        <v>0</v>
      </c>
      <c r="W98" s="220">
        <f>MARZO!W98+ABRIL!AM98</f>
        <v>0</v>
      </c>
      <c r="X98" s="271">
        <f t="shared" si="98"/>
        <v>0</v>
      </c>
      <c r="Y98" s="270">
        <f>MARZO!AA98</f>
        <v>0</v>
      </c>
      <c r="Z98" s="208">
        <v>0</v>
      </c>
      <c r="AA98" s="271">
        <f t="shared" si="99"/>
        <v>0</v>
      </c>
      <c r="AB98" s="270">
        <f>MARZO!AD98</f>
        <v>0</v>
      </c>
      <c r="AC98" s="208">
        <v>0</v>
      </c>
      <c r="AD98" s="271">
        <f t="shared" si="100"/>
        <v>0</v>
      </c>
      <c r="AE98" s="270">
        <f>MARZO!AG98</f>
        <v>0</v>
      </c>
      <c r="AF98" s="208">
        <v>0</v>
      </c>
      <c r="AG98" s="271">
        <f t="shared" si="101"/>
        <v>0</v>
      </c>
      <c r="AH98" s="270">
        <f t="shared" si="102"/>
        <v>0</v>
      </c>
      <c r="AI98" s="220">
        <f t="shared" si="103"/>
        <v>0</v>
      </c>
      <c r="AJ98" s="269">
        <f t="shared" si="104"/>
        <v>0</v>
      </c>
      <c r="AK98" s="389"/>
      <c r="AL98" s="204">
        <v>0</v>
      </c>
      <c r="AM98" s="210">
        <v>0</v>
      </c>
    </row>
    <row r="99" spans="1:39" ht="24.75" customHeight="1">
      <c r="A99" s="394" t="str">
        <f>+IF(MARZO!A99=0,"",MARZO!A99)</f>
        <v>11303-5</v>
      </c>
      <c r="B99" s="397" t="str">
        <f>+IF(MARZO!B99=0,"",MARZO!B99)</f>
        <v>RECURSOS PARA PROGRAMA DE SANEAMIENTO FINANCIERO</v>
      </c>
      <c r="C99" s="268">
        <f>+ENERO!C99</f>
        <v>0</v>
      </c>
      <c r="D99" s="205">
        <f>MARZO!D99+ABRIL!P99</f>
        <v>0</v>
      </c>
      <c r="E99" s="205">
        <f>MARZO!E99+ABRIL!Q99</f>
        <v>0</v>
      </c>
      <c r="F99" s="205">
        <f t="shared" si="92"/>
        <v>0</v>
      </c>
      <c r="G99" s="205">
        <f>MARZO!I99</f>
        <v>0</v>
      </c>
      <c r="H99" s="208">
        <v>0</v>
      </c>
      <c r="I99" s="205">
        <f t="shared" si="93"/>
        <v>0</v>
      </c>
      <c r="J99" s="205">
        <f>MARZO!L99</f>
        <v>0</v>
      </c>
      <c r="K99" s="208">
        <v>0</v>
      </c>
      <c r="L99" s="205">
        <f t="shared" si="94"/>
        <v>0</v>
      </c>
      <c r="M99" s="205">
        <f t="shared" si="95"/>
        <v>0</v>
      </c>
      <c r="N99" s="206">
        <f t="shared" si="96"/>
        <v>0</v>
      </c>
      <c r="O99" s="67"/>
      <c r="P99" s="204">
        <v>0</v>
      </c>
      <c r="Q99" s="210">
        <v>0</v>
      </c>
      <c r="R99" s="389"/>
      <c r="S99" s="311" t="str">
        <f>+IF(MARZO!S99=0,"",MARZO!S99)</f>
        <v>2.1.1.01.02.003-1</v>
      </c>
      <c r="T99" s="312" t="str">
        <f>+IF(MARZO!T99=0,"",MARZO!T99)</f>
        <v>Aportes a Fondos de Cesantia - recursos propios</v>
      </c>
      <c r="U99" s="373">
        <f>+ENERO!U99</f>
        <v>0</v>
      </c>
      <c r="V99" s="220">
        <f>MARZO!V99+ABRIL!AL99</f>
        <v>0</v>
      </c>
      <c r="W99" s="220">
        <f>MARZO!W99+ABRIL!AM99</f>
        <v>0</v>
      </c>
      <c r="X99" s="271">
        <f t="shared" si="98"/>
        <v>0</v>
      </c>
      <c r="Y99" s="270">
        <f>MARZO!AA99</f>
        <v>0</v>
      </c>
      <c r="Z99" s="208">
        <v>0</v>
      </c>
      <c r="AA99" s="271">
        <f t="shared" si="99"/>
        <v>0</v>
      </c>
      <c r="AB99" s="270">
        <f>MARZO!AD99</f>
        <v>0</v>
      </c>
      <c r="AC99" s="208">
        <v>0</v>
      </c>
      <c r="AD99" s="271">
        <f t="shared" si="100"/>
        <v>0</v>
      </c>
      <c r="AE99" s="270">
        <f>MARZO!AG99</f>
        <v>0</v>
      </c>
      <c r="AF99" s="208">
        <v>0</v>
      </c>
      <c r="AG99" s="271">
        <f t="shared" si="101"/>
        <v>0</v>
      </c>
      <c r="AH99" s="270">
        <f t="shared" si="102"/>
        <v>0</v>
      </c>
      <c r="AI99" s="220">
        <f t="shared" si="103"/>
        <v>0</v>
      </c>
      <c r="AJ99" s="269">
        <f t="shared" si="104"/>
        <v>0</v>
      </c>
      <c r="AK99" s="389"/>
      <c r="AL99" s="204">
        <v>0</v>
      </c>
      <c r="AM99" s="210">
        <v>0</v>
      </c>
    </row>
    <row r="100" spans="1:39" ht="24.75" customHeight="1">
      <c r="A100" s="394" t="str">
        <f>+IF(MARZO!A100=0,"",MARZO!A100)</f>
        <v>1.1.02.06.006.07</v>
      </c>
      <c r="B100" s="397" t="str">
        <f>+IF(MARZO!B100=0,"",MARZO!B100)</f>
        <v>ESTAMPILLA PROHOSPITALES</v>
      </c>
      <c r="C100" s="268">
        <f>+ENERO!C100</f>
        <v>650000000</v>
      </c>
      <c r="D100" s="205">
        <f>MARZO!D100+ABRIL!P100</f>
        <v>0</v>
      </c>
      <c r="E100" s="205">
        <f>MARZO!E100+ABRIL!Q100</f>
        <v>0</v>
      </c>
      <c r="F100" s="205">
        <f t="shared" si="92"/>
        <v>650000000</v>
      </c>
      <c r="G100" s="205">
        <f>MARZO!I100</f>
        <v>0</v>
      </c>
      <c r="H100" s="208">
        <v>0</v>
      </c>
      <c r="I100" s="205">
        <f t="shared" si="93"/>
        <v>0</v>
      </c>
      <c r="J100" s="205">
        <f>MARZO!L100</f>
        <v>0</v>
      </c>
      <c r="K100" s="208">
        <v>0</v>
      </c>
      <c r="L100" s="205">
        <f t="shared" si="94"/>
        <v>0</v>
      </c>
      <c r="M100" s="205">
        <f t="shared" si="95"/>
        <v>650000000</v>
      </c>
      <c r="N100" s="206">
        <f t="shared" si="96"/>
        <v>650000000</v>
      </c>
      <c r="O100" s="67"/>
      <c r="P100" s="204">
        <v>0</v>
      </c>
      <c r="Q100" s="210">
        <v>0</v>
      </c>
      <c r="R100" s="101"/>
      <c r="S100" s="311" t="str">
        <f>+IF(MARZO!S100=0,"",MARZO!S100)</f>
        <v>2.1.1.01.02.005-1</v>
      </c>
      <c r="T100" s="312" t="str">
        <f>+IF(MARZO!T100=0,"",MARZO!T100)</f>
        <v>Aporte a ARL. - recursos propios</v>
      </c>
      <c r="U100" s="373">
        <f>+ENERO!U100</f>
        <v>0</v>
      </c>
      <c r="V100" s="220">
        <f>MARZO!V100+ABRIL!AL100</f>
        <v>0</v>
      </c>
      <c r="W100" s="220">
        <f>MARZO!W100+ABRIL!AM100</f>
        <v>0</v>
      </c>
      <c r="X100" s="271">
        <f t="shared" si="98"/>
        <v>0</v>
      </c>
      <c r="Y100" s="270">
        <f>MARZO!AA100</f>
        <v>0</v>
      </c>
      <c r="Z100" s="208">
        <v>0</v>
      </c>
      <c r="AA100" s="271">
        <f t="shared" si="99"/>
        <v>0</v>
      </c>
      <c r="AB100" s="270">
        <f>MARZO!AD100</f>
        <v>0</v>
      </c>
      <c r="AC100" s="208">
        <v>0</v>
      </c>
      <c r="AD100" s="271">
        <f t="shared" si="100"/>
        <v>0</v>
      </c>
      <c r="AE100" s="270">
        <f>MARZO!AG100</f>
        <v>0</v>
      </c>
      <c r="AF100" s="208">
        <v>0</v>
      </c>
      <c r="AG100" s="271">
        <f t="shared" si="101"/>
        <v>0</v>
      </c>
      <c r="AH100" s="270">
        <f t="shared" si="102"/>
        <v>0</v>
      </c>
      <c r="AI100" s="220">
        <f t="shared" si="103"/>
        <v>0</v>
      </c>
      <c r="AJ100" s="269">
        <f t="shared" si="104"/>
        <v>0</v>
      </c>
      <c r="AK100" s="389"/>
      <c r="AL100" s="204">
        <v>0</v>
      </c>
      <c r="AM100" s="210">
        <v>0</v>
      </c>
    </row>
    <row r="101" spans="1:39" ht="24.75" customHeight="1">
      <c r="A101" s="394" t="str">
        <f>+IF(MARZO!A101=0,"",MARZO!A101)</f>
        <v>11303-7</v>
      </c>
      <c r="B101" s="397" t="str">
        <f>+IF(MARZO!B101=0,"",MARZO!B101)</f>
        <v>SUBSIDIO A LA OFERTA (ART. 2.4.2.6 DECRETO 268 DE 2020)</v>
      </c>
      <c r="C101" s="268">
        <f>+ENERO!C101</f>
        <v>0</v>
      </c>
      <c r="D101" s="205">
        <f>MARZO!D101+ABRIL!P101</f>
        <v>0</v>
      </c>
      <c r="E101" s="205">
        <f>MARZO!E101+ABRIL!Q101</f>
        <v>0</v>
      </c>
      <c r="F101" s="205">
        <f t="shared" si="92"/>
        <v>0</v>
      </c>
      <c r="G101" s="205">
        <f>MARZO!I101</f>
        <v>0</v>
      </c>
      <c r="H101" s="208">
        <v>0</v>
      </c>
      <c r="I101" s="205">
        <f t="shared" si="93"/>
        <v>0</v>
      </c>
      <c r="J101" s="205">
        <f>MARZO!L101</f>
        <v>0</v>
      </c>
      <c r="K101" s="208">
        <v>0</v>
      </c>
      <c r="L101" s="205">
        <f t="shared" si="94"/>
        <v>0</v>
      </c>
      <c r="M101" s="205">
        <f t="shared" si="95"/>
        <v>0</v>
      </c>
      <c r="N101" s="206">
        <f t="shared" si="96"/>
        <v>0</v>
      </c>
      <c r="O101" s="67"/>
      <c r="P101" s="204">
        <v>0</v>
      </c>
      <c r="Q101" s="210">
        <v>0</v>
      </c>
      <c r="R101" s="101"/>
      <c r="S101" s="311" t="str">
        <f>+IF(MARZO!S101=0,"",MARZO!S101)</f>
        <v>2.1.1.01.02.004-1</v>
      </c>
      <c r="T101" s="312" t="str">
        <f>+IF(MARZO!T101=0,"",MARZO!T101)</f>
        <v>Aporte a Caja Compensación Familiar</v>
      </c>
      <c r="U101" s="373">
        <f>+ENERO!U101</f>
        <v>0</v>
      </c>
      <c r="V101" s="220">
        <f>MARZO!V101+ABRIL!AL101</f>
        <v>0</v>
      </c>
      <c r="W101" s="220">
        <f>MARZO!W101+ABRIL!AM101</f>
        <v>0</v>
      </c>
      <c r="X101" s="271">
        <f t="shared" si="98"/>
        <v>0</v>
      </c>
      <c r="Y101" s="270">
        <f>MARZO!AA101</f>
        <v>0</v>
      </c>
      <c r="Z101" s="208">
        <v>0</v>
      </c>
      <c r="AA101" s="271">
        <f t="shared" si="99"/>
        <v>0</v>
      </c>
      <c r="AB101" s="270">
        <f>MARZO!AD101</f>
        <v>0</v>
      </c>
      <c r="AC101" s="208">
        <v>0</v>
      </c>
      <c r="AD101" s="271">
        <f t="shared" si="100"/>
        <v>0</v>
      </c>
      <c r="AE101" s="270">
        <f>MARZO!AG101</f>
        <v>0</v>
      </c>
      <c r="AF101" s="208">
        <v>0</v>
      </c>
      <c r="AG101" s="271">
        <f t="shared" si="101"/>
        <v>0</v>
      </c>
      <c r="AH101" s="270">
        <f t="shared" si="102"/>
        <v>0</v>
      </c>
      <c r="AI101" s="220">
        <f t="shared" si="103"/>
        <v>0</v>
      </c>
      <c r="AJ101" s="269">
        <f t="shared" si="104"/>
        <v>0</v>
      </c>
      <c r="AK101" s="389"/>
      <c r="AL101" s="204">
        <v>0</v>
      </c>
      <c r="AM101" s="210">
        <v>0</v>
      </c>
    </row>
    <row r="102" spans="1:39" ht="24.75" customHeight="1">
      <c r="A102" s="394" t="str">
        <f>+IF(MARZO!A102=0,"",MARZO!A102)</f>
        <v>1.1.02.06.006.07.99</v>
      </c>
      <c r="B102" s="390" t="str">
        <f>+IF(MARZO!B102=0,"",MARZO!B102)</f>
        <v>Vigencia Anterior estampilla</v>
      </c>
      <c r="C102" s="391">
        <f>+ENERO!C102</f>
        <v>0</v>
      </c>
      <c r="D102" s="243">
        <f>MARZO!D102+ABRIL!P102</f>
        <v>0</v>
      </c>
      <c r="E102" s="243">
        <f>MARZO!E102+ABRIL!Q102</f>
        <v>0</v>
      </c>
      <c r="F102" s="243">
        <f t="shared" si="92"/>
        <v>0</v>
      </c>
      <c r="G102" s="243">
        <f>MARZO!I102</f>
        <v>0</v>
      </c>
      <c r="H102" s="246">
        <v>0</v>
      </c>
      <c r="I102" s="243">
        <f t="shared" si="93"/>
        <v>0</v>
      </c>
      <c r="J102" s="243">
        <f>MARZO!L102</f>
        <v>0</v>
      </c>
      <c r="K102" s="246">
        <v>0</v>
      </c>
      <c r="L102" s="243">
        <f t="shared" si="94"/>
        <v>0</v>
      </c>
      <c r="M102" s="243">
        <f t="shared" si="95"/>
        <v>0</v>
      </c>
      <c r="N102" s="244">
        <f t="shared" si="96"/>
        <v>0</v>
      </c>
      <c r="O102" s="67"/>
      <c r="P102" s="204">
        <v>0</v>
      </c>
      <c r="Q102" s="210">
        <v>0</v>
      </c>
      <c r="R102" s="101"/>
      <c r="S102" s="266">
        <f>+IF(MARZO!S102=0,"",MARZO!S102)</f>
        <v>1020399</v>
      </c>
      <c r="T102" s="267" t="str">
        <f>+IF(MARZO!T102=0,"",MARZO!T102)</f>
        <v>Vigencias Anteriores</v>
      </c>
      <c r="U102" s="373">
        <f>+ENERO!U102</f>
        <v>0</v>
      </c>
      <c r="V102" s="220">
        <f>MARZO!V102+ABRIL!AL102</f>
        <v>0</v>
      </c>
      <c r="W102" s="220">
        <f>MARZO!W102+ABRIL!AM102</f>
        <v>0</v>
      </c>
      <c r="X102" s="271">
        <f t="shared" si="98"/>
        <v>0</v>
      </c>
      <c r="Y102" s="270">
        <f>MARZO!AA102</f>
        <v>0</v>
      </c>
      <c r="Z102" s="208">
        <v>0</v>
      </c>
      <c r="AA102" s="271">
        <f t="shared" si="99"/>
        <v>0</v>
      </c>
      <c r="AB102" s="270">
        <f>MARZO!AD102</f>
        <v>0</v>
      </c>
      <c r="AC102" s="208">
        <v>0</v>
      </c>
      <c r="AD102" s="271">
        <f t="shared" si="100"/>
        <v>0</v>
      </c>
      <c r="AE102" s="270">
        <f>MARZO!AG102</f>
        <v>0</v>
      </c>
      <c r="AF102" s="208">
        <v>0</v>
      </c>
      <c r="AG102" s="271">
        <f t="shared" si="101"/>
        <v>0</v>
      </c>
      <c r="AH102" s="270">
        <f t="shared" si="102"/>
        <v>0</v>
      </c>
      <c r="AI102" s="220">
        <f t="shared" si="103"/>
        <v>0</v>
      </c>
      <c r="AJ102" s="269">
        <f t="shared" si="104"/>
        <v>0</v>
      </c>
      <c r="AK102" s="101"/>
      <c r="AL102" s="204">
        <v>0</v>
      </c>
      <c r="AM102" s="210">
        <v>0</v>
      </c>
    </row>
    <row r="103" spans="1:39" ht="24.75" customHeight="1">
      <c r="A103" s="398" t="str">
        <f>+IF(MARZO!A103=0,"",MARZO!A103)</f>
        <v/>
      </c>
      <c r="B103" s="399" t="str">
        <f>+IF(MARZO!B103=0,"",MARZO!B103)</f>
        <v/>
      </c>
      <c r="C103" s="400"/>
      <c r="D103" s="400"/>
      <c r="E103" s="400"/>
      <c r="F103" s="400"/>
      <c r="G103" s="400"/>
      <c r="H103" s="400"/>
      <c r="I103" s="400"/>
      <c r="J103" s="400"/>
      <c r="K103" s="400"/>
      <c r="L103" s="400"/>
      <c r="M103" s="400"/>
      <c r="N103" s="401"/>
      <c r="O103" s="67"/>
      <c r="P103" s="402"/>
      <c r="Q103" s="401"/>
      <c r="R103" s="101"/>
      <c r="S103" s="189" t="str">
        <f>+IF(MARZO!S103=0,"",MARZO!S103)</f>
        <v/>
      </c>
      <c r="T103" s="488" t="str">
        <f>+IF(MARZO!T103=0,"",MARZO!T103)</f>
        <v/>
      </c>
      <c r="U103" s="191"/>
      <c r="V103" s="191"/>
      <c r="W103" s="191"/>
      <c r="X103" s="191"/>
      <c r="Y103" s="191"/>
      <c r="Z103" s="191"/>
      <c r="AA103" s="191"/>
      <c r="AB103" s="191"/>
      <c r="AC103" s="191"/>
      <c r="AD103" s="191"/>
      <c r="AE103" s="191"/>
      <c r="AF103" s="191"/>
      <c r="AG103" s="191"/>
      <c r="AH103" s="191"/>
      <c r="AI103" s="191"/>
      <c r="AJ103" s="192"/>
      <c r="AK103" s="101"/>
      <c r="AL103" s="370"/>
      <c r="AM103" s="371"/>
    </row>
    <row r="104" spans="1:39" ht="24.75" customHeight="1">
      <c r="A104" s="392">
        <f>+IF(MARZO!A104=0,"",MARZO!A104)</f>
        <v>11304</v>
      </c>
      <c r="B104" s="393" t="str">
        <f>+IF(MARZO!B104=0,"",MARZO!B104)</f>
        <v>Otros ingresos corrientes</v>
      </c>
      <c r="C104" s="383">
        <f t="shared" ref="C104:N104" si="105">SUM(C105:C111)</f>
        <v>235000000</v>
      </c>
      <c r="D104" s="384">
        <f t="shared" si="105"/>
        <v>0</v>
      </c>
      <c r="E104" s="384">
        <f t="shared" si="105"/>
        <v>46961679</v>
      </c>
      <c r="F104" s="384">
        <f t="shared" si="105"/>
        <v>281961679</v>
      </c>
      <c r="G104" s="384">
        <f t="shared" si="105"/>
        <v>119817231</v>
      </c>
      <c r="H104" s="384">
        <f t="shared" si="105"/>
        <v>30707989</v>
      </c>
      <c r="I104" s="384">
        <f t="shared" si="105"/>
        <v>150525220</v>
      </c>
      <c r="J104" s="384">
        <f t="shared" si="105"/>
        <v>107773029</v>
      </c>
      <c r="K104" s="384">
        <f t="shared" si="105"/>
        <v>39596338</v>
      </c>
      <c r="L104" s="384">
        <f t="shared" si="105"/>
        <v>147369367</v>
      </c>
      <c r="M104" s="384">
        <f t="shared" si="105"/>
        <v>131436459</v>
      </c>
      <c r="N104" s="385">
        <f t="shared" si="105"/>
        <v>134592312</v>
      </c>
      <c r="O104" s="67"/>
      <c r="P104" s="288">
        <f>SUM(P105:P111)</f>
        <v>0</v>
      </c>
      <c r="Q104" s="289">
        <f>SUM(Q105:Q111)</f>
        <v>46961679</v>
      </c>
      <c r="R104" s="101"/>
      <c r="S104" s="257">
        <f>+IF(MARZO!S104=0,"",MARZO!S104)</f>
        <v>1020400</v>
      </c>
      <c r="T104" s="546" t="str">
        <f>+IF(MARZO!T104=0,"",MARZO!T104)</f>
        <v>Contribuciones Inherentes nómina del Sector Publico</v>
      </c>
      <c r="U104" s="230">
        <f t="shared" ref="U104:AJ104" si="106">U105+U108</f>
        <v>0</v>
      </c>
      <c r="V104" s="231">
        <f t="shared" si="106"/>
        <v>0</v>
      </c>
      <c r="W104" s="231">
        <f t="shared" si="106"/>
        <v>20000000</v>
      </c>
      <c r="X104" s="234">
        <f t="shared" si="106"/>
        <v>20000000</v>
      </c>
      <c r="Y104" s="233">
        <f t="shared" si="106"/>
        <v>0</v>
      </c>
      <c r="Z104" s="231">
        <f t="shared" si="106"/>
        <v>18261571</v>
      </c>
      <c r="AA104" s="234">
        <f t="shared" si="106"/>
        <v>18261571</v>
      </c>
      <c r="AB104" s="233">
        <f t="shared" si="106"/>
        <v>0</v>
      </c>
      <c r="AC104" s="231">
        <f t="shared" si="106"/>
        <v>18261571</v>
      </c>
      <c r="AD104" s="234">
        <f t="shared" si="106"/>
        <v>18261571</v>
      </c>
      <c r="AE104" s="233">
        <f t="shared" si="106"/>
        <v>0</v>
      </c>
      <c r="AF104" s="231">
        <f t="shared" si="106"/>
        <v>18261571</v>
      </c>
      <c r="AG104" s="234">
        <f t="shared" si="106"/>
        <v>18261571</v>
      </c>
      <c r="AH104" s="233">
        <f t="shared" si="106"/>
        <v>1738429</v>
      </c>
      <c r="AI104" s="231">
        <f t="shared" si="106"/>
        <v>1738429</v>
      </c>
      <c r="AJ104" s="232">
        <f t="shared" si="106"/>
        <v>1738429</v>
      </c>
      <c r="AK104" s="101"/>
      <c r="AL104" s="233">
        <f>AL105+AL108</f>
        <v>0</v>
      </c>
      <c r="AM104" s="232">
        <f>AM105+AM108</f>
        <v>20000000</v>
      </c>
    </row>
    <row r="105" spans="1:39" ht="24.75" customHeight="1">
      <c r="A105" s="394" t="str">
        <f>+IF(MARZO!A105=0,"",MARZO!A105)</f>
        <v>1.1.02.05.002.07</v>
      </c>
      <c r="B105" s="397" t="str">
        <f>+IF(MARZO!B105=0,"",MARZO!B105)</f>
        <v>Servicios financieros y servicios conexos, servicios inmobiliarios y servicios de leasing (ARRENDAMIENTOS)</v>
      </c>
      <c r="C105" s="268">
        <f>+ENERO!C105</f>
        <v>235000000</v>
      </c>
      <c r="D105" s="205">
        <f>MARZO!D105+ABRIL!P105</f>
        <v>0</v>
      </c>
      <c r="E105" s="205">
        <f>MARZO!E105+ABRIL!Q105</f>
        <v>0</v>
      </c>
      <c r="F105" s="205">
        <f t="shared" ref="F105:F111" si="107">SUM(C105:E105)</f>
        <v>235000000</v>
      </c>
      <c r="G105" s="205">
        <f>MARZO!I105</f>
        <v>72855552</v>
      </c>
      <c r="H105" s="208">
        <v>28655257</v>
      </c>
      <c r="I105" s="205">
        <f t="shared" ref="I105:I111" si="108">SUM(G105:H105)</f>
        <v>101510809</v>
      </c>
      <c r="J105" s="205">
        <f>MARZO!L105</f>
        <v>60811350</v>
      </c>
      <c r="K105" s="208">
        <v>37543606</v>
      </c>
      <c r="L105" s="205">
        <f t="shared" ref="L105:L111" si="109">SUM(J105:K105)</f>
        <v>98354956</v>
      </c>
      <c r="M105" s="205">
        <f t="shared" ref="M105:M111" si="110">F105-I105</f>
        <v>133489191</v>
      </c>
      <c r="N105" s="205">
        <f t="shared" ref="N105:N111" si="111">F105-L105</f>
        <v>136645044</v>
      </c>
      <c r="O105" s="67"/>
      <c r="P105" s="204">
        <v>0</v>
      </c>
      <c r="Q105" s="210">
        <v>0</v>
      </c>
      <c r="R105" s="101"/>
      <c r="S105" s="266">
        <f>+IF(MARZO!S105=0,"",MARZO!S105)</f>
        <v>1020402</v>
      </c>
      <c r="T105" s="267" t="str">
        <f>+IF(MARZO!T105=0,"",MARZO!T105)</f>
        <v>Contribuciones - Otros</v>
      </c>
      <c r="U105" s="373">
        <f t="shared" ref="U105:AJ105" si="112">SUM(U106:U107)</f>
        <v>0</v>
      </c>
      <c r="V105" s="220">
        <f t="shared" si="112"/>
        <v>0</v>
      </c>
      <c r="W105" s="220">
        <f t="shared" si="112"/>
        <v>0</v>
      </c>
      <c r="X105" s="271">
        <f t="shared" si="112"/>
        <v>0</v>
      </c>
      <c r="Y105" s="270">
        <f t="shared" si="112"/>
        <v>0</v>
      </c>
      <c r="Z105" s="300">
        <f t="shared" si="112"/>
        <v>0</v>
      </c>
      <c r="AA105" s="271">
        <f t="shared" si="112"/>
        <v>0</v>
      </c>
      <c r="AB105" s="270">
        <f t="shared" si="112"/>
        <v>0</v>
      </c>
      <c r="AC105" s="300">
        <f t="shared" si="112"/>
        <v>0</v>
      </c>
      <c r="AD105" s="271">
        <f t="shared" si="112"/>
        <v>0</v>
      </c>
      <c r="AE105" s="270">
        <f t="shared" si="112"/>
        <v>0</v>
      </c>
      <c r="AF105" s="300">
        <f t="shared" si="112"/>
        <v>0</v>
      </c>
      <c r="AG105" s="271">
        <f t="shared" si="112"/>
        <v>0</v>
      </c>
      <c r="AH105" s="270">
        <f t="shared" si="112"/>
        <v>0</v>
      </c>
      <c r="AI105" s="220">
        <f t="shared" si="112"/>
        <v>0</v>
      </c>
      <c r="AJ105" s="269">
        <f t="shared" si="112"/>
        <v>0</v>
      </c>
      <c r="AK105" s="216"/>
      <c r="AL105" s="301">
        <f>SUM(AL106:AL107)</f>
        <v>0</v>
      </c>
      <c r="AM105" s="302">
        <f>SUM(AM106:AM107)</f>
        <v>0</v>
      </c>
    </row>
    <row r="106" spans="1:39" ht="24.75" customHeight="1">
      <c r="A106" s="394">
        <f>+IF(MARZO!A106=0,"",MARZO!A106)</f>
        <v>1020402</v>
      </c>
      <c r="B106" s="403" t="str">
        <f>+IF(MARZO!B106=0,"",MARZO!B106)</f>
        <v/>
      </c>
      <c r="C106" s="268">
        <f>+ENERO!C106</f>
        <v>0</v>
      </c>
      <c r="D106" s="205">
        <f>MARZO!D106+ABRIL!P106</f>
        <v>0</v>
      </c>
      <c r="E106" s="205">
        <f>MARZO!E106+ABRIL!Q106</f>
        <v>0</v>
      </c>
      <c r="F106" s="205">
        <f t="shared" si="107"/>
        <v>0</v>
      </c>
      <c r="G106" s="205">
        <f>MARZO!I106</f>
        <v>0</v>
      </c>
      <c r="H106" s="208">
        <v>0</v>
      </c>
      <c r="I106" s="205">
        <f t="shared" si="108"/>
        <v>0</v>
      </c>
      <c r="J106" s="205">
        <f>MARZO!L106</f>
        <v>0</v>
      </c>
      <c r="K106" s="208">
        <v>0</v>
      </c>
      <c r="L106" s="205">
        <f t="shared" si="109"/>
        <v>0</v>
      </c>
      <c r="M106" s="205">
        <f t="shared" si="110"/>
        <v>0</v>
      </c>
      <c r="N106" s="206">
        <f t="shared" si="111"/>
        <v>0</v>
      </c>
      <c r="O106" s="67"/>
      <c r="P106" s="204">
        <v>0</v>
      </c>
      <c r="Q106" s="210">
        <v>0</v>
      </c>
      <c r="R106" s="101"/>
      <c r="S106" s="311" t="str">
        <f>+IF(MARZO!S106=0,"",MARZO!S106)</f>
        <v>2.1.1.01.02.007-1</v>
      </c>
      <c r="T106" s="267" t="str">
        <f>+IF(MARZO!T106=0,"",MARZO!T106)</f>
        <v>S.E.N.A.</v>
      </c>
      <c r="U106" s="373">
        <f>+ENERO!U106</f>
        <v>0</v>
      </c>
      <c r="V106" s="220">
        <f>MARZO!V106+ABRIL!AL106</f>
        <v>0</v>
      </c>
      <c r="W106" s="220">
        <f>MARZO!W106+ABRIL!AM106</f>
        <v>0</v>
      </c>
      <c r="X106" s="271">
        <f>SUM(U106:W106)</f>
        <v>0</v>
      </c>
      <c r="Y106" s="270">
        <f>MARZO!AA106</f>
        <v>0</v>
      </c>
      <c r="Z106" s="208">
        <v>0</v>
      </c>
      <c r="AA106" s="271">
        <f>SUM(Y106:Z106)</f>
        <v>0</v>
      </c>
      <c r="AB106" s="270">
        <f>MARZO!AD106</f>
        <v>0</v>
      </c>
      <c r="AC106" s="208">
        <v>0</v>
      </c>
      <c r="AD106" s="271">
        <f>SUM(AB106:AC106)</f>
        <v>0</v>
      </c>
      <c r="AE106" s="270">
        <f>MARZO!AG106</f>
        <v>0</v>
      </c>
      <c r="AF106" s="208">
        <v>0</v>
      </c>
      <c r="AG106" s="271">
        <f>SUM(AE106:AF106)</f>
        <v>0</v>
      </c>
      <c r="AH106" s="270">
        <f>X106-AA106</f>
        <v>0</v>
      </c>
      <c r="AI106" s="220">
        <f>X106-AD106</f>
        <v>0</v>
      </c>
      <c r="AJ106" s="269">
        <f>X106-AG106</f>
        <v>0</v>
      </c>
      <c r="AK106" s="101"/>
      <c r="AL106" s="204">
        <v>0</v>
      </c>
      <c r="AM106" s="210">
        <v>0</v>
      </c>
    </row>
    <row r="107" spans="1:39" ht="24.75" customHeight="1">
      <c r="A107" s="394" t="str">
        <f>+IF(MARZO!A107=0,"",MARZO!A107)</f>
        <v/>
      </c>
      <c r="B107" s="397" t="str">
        <f>+IF(MARZO!B107=0,"",MARZO!B107)</f>
        <v/>
      </c>
      <c r="C107" s="268">
        <f>+ENERO!C107</f>
        <v>0</v>
      </c>
      <c r="D107" s="205">
        <f>MARZO!D107+ABRIL!P107</f>
        <v>0</v>
      </c>
      <c r="E107" s="205">
        <f>MARZO!E107+ABRIL!Q107</f>
        <v>0</v>
      </c>
      <c r="F107" s="205">
        <f t="shared" si="107"/>
        <v>0</v>
      </c>
      <c r="G107" s="205">
        <f>MARZO!I107</f>
        <v>0</v>
      </c>
      <c r="H107" s="208">
        <v>0</v>
      </c>
      <c r="I107" s="205">
        <f t="shared" si="108"/>
        <v>0</v>
      </c>
      <c r="J107" s="205">
        <f>MARZO!L107</f>
        <v>0</v>
      </c>
      <c r="K107" s="208">
        <v>0</v>
      </c>
      <c r="L107" s="205">
        <f t="shared" si="109"/>
        <v>0</v>
      </c>
      <c r="M107" s="205">
        <f t="shared" si="110"/>
        <v>0</v>
      </c>
      <c r="N107" s="206">
        <f t="shared" si="111"/>
        <v>0</v>
      </c>
      <c r="O107" s="67"/>
      <c r="P107" s="204">
        <v>0</v>
      </c>
      <c r="Q107" s="210">
        <v>0</v>
      </c>
      <c r="R107" s="101"/>
      <c r="S107" s="311" t="str">
        <f>+IF(MARZO!S107=0,"",MARZO!S107)</f>
        <v>2.1.1.01.02.006-1</v>
      </c>
      <c r="T107" s="267" t="str">
        <f>+IF(MARZO!T107=0,"",MARZO!T107)</f>
        <v>I.C.B.F.</v>
      </c>
      <c r="U107" s="373">
        <f>+ENERO!U107</f>
        <v>0</v>
      </c>
      <c r="V107" s="220">
        <f>MARZO!V107+ABRIL!AL107</f>
        <v>0</v>
      </c>
      <c r="W107" s="220">
        <f>MARZO!W107+ABRIL!AM107</f>
        <v>0</v>
      </c>
      <c r="X107" s="271">
        <f>SUM(U107:W107)</f>
        <v>0</v>
      </c>
      <c r="Y107" s="270">
        <f>MARZO!AA107</f>
        <v>0</v>
      </c>
      <c r="Z107" s="208">
        <v>0</v>
      </c>
      <c r="AA107" s="271">
        <f>SUM(Y107:Z107)</f>
        <v>0</v>
      </c>
      <c r="AB107" s="270">
        <f>MARZO!AD107</f>
        <v>0</v>
      </c>
      <c r="AC107" s="208">
        <v>0</v>
      </c>
      <c r="AD107" s="271">
        <f>SUM(AB107:AC107)</f>
        <v>0</v>
      </c>
      <c r="AE107" s="270">
        <f>MARZO!AG107</f>
        <v>0</v>
      </c>
      <c r="AF107" s="208">
        <v>0</v>
      </c>
      <c r="AG107" s="271">
        <f>SUM(AE107:AF107)</f>
        <v>0</v>
      </c>
      <c r="AH107" s="270">
        <f>X107-AA107</f>
        <v>0</v>
      </c>
      <c r="AI107" s="220">
        <f>X107-AD107</f>
        <v>0</v>
      </c>
      <c r="AJ107" s="269">
        <f>X107-AG107</f>
        <v>0</v>
      </c>
      <c r="AK107" s="101"/>
      <c r="AL107" s="204">
        <v>0</v>
      </c>
      <c r="AM107" s="210">
        <v>0</v>
      </c>
    </row>
    <row r="108" spans="1:39" ht="24.75" customHeight="1">
      <c r="A108" s="394" t="str">
        <f>+IF(MARZO!A108=0,"",MARZO!A108)</f>
        <v/>
      </c>
      <c r="B108" s="397" t="str">
        <f>+IF(MARZO!B108=0,"",MARZO!B108)</f>
        <v/>
      </c>
      <c r="C108" s="268">
        <f>+ENERO!C108</f>
        <v>0</v>
      </c>
      <c r="D108" s="205">
        <f>MARZO!D108+ABRIL!P108</f>
        <v>0</v>
      </c>
      <c r="E108" s="205">
        <f>MARZO!E108+ABRIL!Q108</f>
        <v>0</v>
      </c>
      <c r="F108" s="205">
        <f t="shared" si="107"/>
        <v>0</v>
      </c>
      <c r="G108" s="205">
        <f>MARZO!I108</f>
        <v>0</v>
      </c>
      <c r="H108" s="208">
        <v>0</v>
      </c>
      <c r="I108" s="205">
        <f t="shared" si="108"/>
        <v>0</v>
      </c>
      <c r="J108" s="205">
        <f>MARZO!L108</f>
        <v>0</v>
      </c>
      <c r="K108" s="208">
        <v>0</v>
      </c>
      <c r="L108" s="205">
        <f t="shared" si="109"/>
        <v>0</v>
      </c>
      <c r="M108" s="205">
        <f t="shared" si="110"/>
        <v>0</v>
      </c>
      <c r="N108" s="206">
        <f t="shared" si="111"/>
        <v>0</v>
      </c>
      <c r="O108" s="67"/>
      <c r="P108" s="204">
        <v>0</v>
      </c>
      <c r="Q108" s="210">
        <v>0</v>
      </c>
      <c r="R108" s="101"/>
      <c r="S108" s="266" t="s">
        <v>783</v>
      </c>
      <c r="T108" s="267" t="str">
        <f>+IF(MARZO!T108=0,"",MARZO!T108)</f>
        <v>Vigencias Anteriores Servicios personales administrativos</v>
      </c>
      <c r="U108" s="373">
        <f>+ENERO!U108</f>
        <v>0</v>
      </c>
      <c r="V108" s="220">
        <f>MARZO!V108+ABRIL!AL108</f>
        <v>0</v>
      </c>
      <c r="W108" s="220">
        <f>MARZO!W108+ABRIL!AM108</f>
        <v>20000000</v>
      </c>
      <c r="X108" s="271">
        <f>SUM(U108:W108)</f>
        <v>20000000</v>
      </c>
      <c r="Y108" s="270">
        <f>MARZO!AA108</f>
        <v>0</v>
      </c>
      <c r="Z108" s="208">
        <v>18261571</v>
      </c>
      <c r="AA108" s="271">
        <f>SUM(Y108:Z108)</f>
        <v>18261571</v>
      </c>
      <c r="AB108" s="270">
        <f>MARZO!AD108</f>
        <v>0</v>
      </c>
      <c r="AC108" s="208">
        <v>18261571</v>
      </c>
      <c r="AD108" s="271">
        <f>SUM(AB108:AC108)</f>
        <v>18261571</v>
      </c>
      <c r="AE108" s="270">
        <f>MARZO!AG108</f>
        <v>0</v>
      </c>
      <c r="AF108" s="208">
        <v>18261571</v>
      </c>
      <c r="AG108" s="271">
        <f>SUM(AE108:AF108)</f>
        <v>18261571</v>
      </c>
      <c r="AH108" s="270">
        <f>X108-AA108</f>
        <v>1738429</v>
      </c>
      <c r="AI108" s="220">
        <f>X108-AD108</f>
        <v>1738429</v>
      </c>
      <c r="AJ108" s="269">
        <f>X108-AG108</f>
        <v>1738429</v>
      </c>
      <c r="AK108" s="101"/>
      <c r="AL108" s="204">
        <v>0</v>
      </c>
      <c r="AM108" s="210">
        <v>20000000</v>
      </c>
    </row>
    <row r="109" spans="1:39" ht="24.75" customHeight="1">
      <c r="A109" s="394" t="str">
        <f>+IF(MARZO!A109=0,"",MARZO!A109)</f>
        <v>1.1.02.05.002.08</v>
      </c>
      <c r="B109" s="397" t="str">
        <f>+IF(MARZO!B109=0,"",MARZO!B109)</f>
        <v>Servicios prestados a las empresas y servicios de producción(APROVECHAMIENTOS)</v>
      </c>
      <c r="C109" s="268">
        <f>+ENERO!C109</f>
        <v>0</v>
      </c>
      <c r="D109" s="205">
        <f>MARZO!D109+ABRIL!P109</f>
        <v>0</v>
      </c>
      <c r="E109" s="205">
        <f>MARZO!E109+ABRIL!Q109</f>
        <v>27224890</v>
      </c>
      <c r="F109" s="205">
        <f t="shared" si="107"/>
        <v>27224890</v>
      </c>
      <c r="G109" s="205">
        <f>MARZO!I109</f>
        <v>27224890</v>
      </c>
      <c r="H109" s="208">
        <v>2052732</v>
      </c>
      <c r="I109" s="205">
        <f t="shared" si="108"/>
        <v>29277622</v>
      </c>
      <c r="J109" s="205">
        <f>MARZO!L109</f>
        <v>27224890</v>
      </c>
      <c r="K109" s="208">
        <v>2052732</v>
      </c>
      <c r="L109" s="205">
        <f t="shared" si="109"/>
        <v>29277622</v>
      </c>
      <c r="M109" s="205">
        <f t="shared" si="110"/>
        <v>-2052732</v>
      </c>
      <c r="N109" s="206">
        <f t="shared" si="111"/>
        <v>-2052732</v>
      </c>
      <c r="O109" s="67"/>
      <c r="P109" s="204">
        <v>0</v>
      </c>
      <c r="Q109" s="210">
        <v>27224890</v>
      </c>
      <c r="R109" s="101"/>
      <c r="S109" s="189">
        <f>+IF(MARZO!S109=0,"",MARZO!S109)</f>
        <v>23625024</v>
      </c>
      <c r="T109" s="488" t="str">
        <f>+IF(MARZO!T109=0,"",MARZO!T109)</f>
        <v/>
      </c>
      <c r="U109" s="191"/>
      <c r="V109" s="191"/>
      <c r="W109" s="191"/>
      <c r="X109" s="191"/>
      <c r="Y109" s="191"/>
      <c r="Z109" s="191"/>
      <c r="AA109" s="191"/>
      <c r="AB109" s="191"/>
      <c r="AC109" s="191"/>
      <c r="AD109" s="191"/>
      <c r="AE109" s="191"/>
      <c r="AF109" s="191"/>
      <c r="AG109" s="191"/>
      <c r="AH109" s="191"/>
      <c r="AI109" s="191"/>
      <c r="AJ109" s="192"/>
      <c r="AK109" s="216"/>
      <c r="AL109" s="370"/>
      <c r="AM109" s="371"/>
    </row>
    <row r="110" spans="1:39" ht="24.75" customHeight="1">
      <c r="A110" s="394" t="str">
        <f>+IF(MARZO!A110=0,"",MARZO!A110)</f>
        <v>1.1.02.05.002.09</v>
      </c>
      <c r="B110" s="397" t="str">
        <f>+IF(MARZO!B110=0,"",MARZO!B110)</f>
        <v>Convenio Docencia Servicio</v>
      </c>
      <c r="C110" s="268">
        <f>+ENERO!C110</f>
        <v>0</v>
      </c>
      <c r="D110" s="205">
        <f>MARZO!D110+ABRIL!P110</f>
        <v>0</v>
      </c>
      <c r="E110" s="205">
        <f>MARZO!E110+ABRIL!Q110</f>
        <v>0</v>
      </c>
      <c r="F110" s="205">
        <f t="shared" si="107"/>
        <v>0</v>
      </c>
      <c r="G110" s="205">
        <f>MARZO!I110</f>
        <v>0</v>
      </c>
      <c r="H110" s="208">
        <v>0</v>
      </c>
      <c r="I110" s="205">
        <f t="shared" si="108"/>
        <v>0</v>
      </c>
      <c r="J110" s="205">
        <f>MARZO!L110</f>
        <v>0</v>
      </c>
      <c r="K110" s="208">
        <v>0</v>
      </c>
      <c r="L110" s="205">
        <f t="shared" si="109"/>
        <v>0</v>
      </c>
      <c r="M110" s="205">
        <f t="shared" si="110"/>
        <v>0</v>
      </c>
      <c r="N110" s="205">
        <f t="shared" si="111"/>
        <v>0</v>
      </c>
      <c r="O110" s="67"/>
      <c r="P110" s="204">
        <v>0</v>
      </c>
      <c r="Q110" s="210">
        <v>0</v>
      </c>
      <c r="R110" s="101"/>
      <c r="S110" s="228">
        <f>+IF(MARZO!S110=0,"",MARZO!S110)</f>
        <v>2000000</v>
      </c>
      <c r="T110" s="404" t="str">
        <f>+IF(MARZO!T110=0,"",MARZO!T110)</f>
        <v>GASTOS GENERALES</v>
      </c>
      <c r="U110" s="405">
        <f t="shared" ref="U110:AJ110" si="113">U112+U145</f>
        <v>21968169670.620834</v>
      </c>
      <c r="V110" s="406">
        <f t="shared" si="113"/>
        <v>-680999693</v>
      </c>
      <c r="W110" s="406">
        <f t="shared" si="113"/>
        <v>628694736</v>
      </c>
      <c r="X110" s="407">
        <f t="shared" si="113"/>
        <v>21915864713.620834</v>
      </c>
      <c r="Y110" s="217">
        <f t="shared" si="113"/>
        <v>8912486153</v>
      </c>
      <c r="Z110" s="406">
        <f t="shared" si="113"/>
        <v>958025265</v>
      </c>
      <c r="AA110" s="407">
        <f t="shared" si="113"/>
        <v>9870511418</v>
      </c>
      <c r="AB110" s="217">
        <f t="shared" si="113"/>
        <v>4731005699</v>
      </c>
      <c r="AC110" s="406">
        <f t="shared" si="113"/>
        <v>1655600600</v>
      </c>
      <c r="AD110" s="407">
        <f t="shared" si="113"/>
        <v>6386606299</v>
      </c>
      <c r="AE110" s="217">
        <f t="shared" si="113"/>
        <v>2621505972</v>
      </c>
      <c r="AF110" s="406">
        <f t="shared" si="113"/>
        <v>1226152749</v>
      </c>
      <c r="AG110" s="407">
        <f t="shared" si="113"/>
        <v>3847658721</v>
      </c>
      <c r="AH110" s="217">
        <f t="shared" si="113"/>
        <v>12045353295.620832</v>
      </c>
      <c r="AI110" s="406">
        <f t="shared" si="113"/>
        <v>15529258414.620832</v>
      </c>
      <c r="AJ110" s="218">
        <f t="shared" si="113"/>
        <v>18068205992.620834</v>
      </c>
      <c r="AK110" s="216"/>
      <c r="AL110" s="233">
        <f>AL112+AL145</f>
        <v>0</v>
      </c>
      <c r="AM110" s="232">
        <f>AM112+AM145</f>
        <v>300000000</v>
      </c>
    </row>
    <row r="111" spans="1:39" ht="24.75" customHeight="1">
      <c r="A111" s="394" t="str">
        <f>+IF(MARZO!A111=0,"",MARZO!A111)</f>
        <v>1.1.02.05.002.07.99</v>
      </c>
      <c r="B111" s="408" t="str">
        <f>+IF(MARZO!B111=0,"",MARZO!B111)</f>
        <v>Vigencia anterior Servicios financieros y servicios conexos, servicios inmobiliarios y servicios de leasing (ARRENDAMIENTOS)</v>
      </c>
      <c r="C111" s="391">
        <f>+ENERO!C111</f>
        <v>0</v>
      </c>
      <c r="D111" s="243">
        <f>MARZO!D111+ABRIL!P111</f>
        <v>0</v>
      </c>
      <c r="E111" s="243">
        <f>MARZO!E111+ABRIL!Q111</f>
        <v>19736789</v>
      </c>
      <c r="F111" s="243">
        <f t="shared" si="107"/>
        <v>19736789</v>
      </c>
      <c r="G111" s="243">
        <f>MARZO!I111</f>
        <v>19736789</v>
      </c>
      <c r="H111" s="208">
        <v>0</v>
      </c>
      <c r="I111" s="243">
        <f t="shared" si="108"/>
        <v>19736789</v>
      </c>
      <c r="J111" s="243">
        <f>MARZO!L111</f>
        <v>19736789</v>
      </c>
      <c r="K111" s="246">
        <v>0</v>
      </c>
      <c r="L111" s="243">
        <f t="shared" si="109"/>
        <v>19736789</v>
      </c>
      <c r="M111" s="243">
        <f t="shared" si="110"/>
        <v>0</v>
      </c>
      <c r="N111" s="243">
        <f t="shared" si="111"/>
        <v>0</v>
      </c>
      <c r="O111" s="67"/>
      <c r="P111" s="204">
        <v>0</v>
      </c>
      <c r="Q111" s="210">
        <v>19736789</v>
      </c>
      <c r="R111" s="101"/>
      <c r="S111" s="189">
        <f>+IF(MARZO!S111=0,"",MARZO!S111)</f>
        <v>18355520</v>
      </c>
      <c r="T111" s="488" t="str">
        <f>+IF(MARZO!T111=0,"",MARZO!T111)</f>
        <v/>
      </c>
      <c r="U111" s="191"/>
      <c r="V111" s="191"/>
      <c r="W111" s="191"/>
      <c r="X111" s="191"/>
      <c r="Y111" s="191"/>
      <c r="Z111" s="191"/>
      <c r="AA111" s="191"/>
      <c r="AB111" s="191"/>
      <c r="AC111" s="191"/>
      <c r="AD111" s="191"/>
      <c r="AE111" s="191"/>
      <c r="AF111" s="191"/>
      <c r="AG111" s="191"/>
      <c r="AH111" s="191"/>
      <c r="AI111" s="191"/>
      <c r="AJ111" s="192"/>
      <c r="AK111" s="101"/>
      <c r="AL111" s="194"/>
      <c r="AM111" s="195"/>
    </row>
    <row r="112" spans="1:39" ht="24.75" customHeight="1">
      <c r="A112" s="398">
        <f>+IF(MARZO!A112=0,"",MARZO!A112)</f>
        <v>18355520</v>
      </c>
      <c r="B112" s="399">
        <f>+IF(MARZO!B112=0,"",MARZO!B112)</f>
        <v>18355520</v>
      </c>
      <c r="C112" s="400"/>
      <c r="D112" s="400"/>
      <c r="E112" s="400"/>
      <c r="F112" s="400"/>
      <c r="G112" s="400"/>
      <c r="H112" s="400"/>
      <c r="I112" s="400"/>
      <c r="J112" s="400"/>
      <c r="K112" s="400"/>
      <c r="L112" s="400"/>
      <c r="M112" s="400"/>
      <c r="N112" s="401"/>
      <c r="O112" s="67"/>
      <c r="P112" s="402"/>
      <c r="Q112" s="401"/>
      <c r="R112" s="101"/>
      <c r="S112" s="228">
        <f>+IF(MARZO!S112=0,"",MARZO!S112)</f>
        <v>2010000</v>
      </c>
      <c r="T112" s="229" t="str">
        <f>+IF(MARZO!T112=0,"",MARZO!T112)</f>
        <v>Gastos de Administración</v>
      </c>
      <c r="U112" s="230">
        <f t="shared" ref="U112:AJ112" si="114">U114+U123+U141</f>
        <v>10075238362.444445</v>
      </c>
      <c r="V112" s="231">
        <f t="shared" si="114"/>
        <v>-680999693</v>
      </c>
      <c r="W112" s="231">
        <f t="shared" si="114"/>
        <v>169879991</v>
      </c>
      <c r="X112" s="234">
        <f t="shared" si="114"/>
        <v>9564118660.4444447</v>
      </c>
      <c r="Y112" s="233">
        <f t="shared" si="114"/>
        <v>5328028798</v>
      </c>
      <c r="Z112" s="231">
        <f t="shared" si="114"/>
        <v>575721897</v>
      </c>
      <c r="AA112" s="234">
        <f t="shared" si="114"/>
        <v>5903750695</v>
      </c>
      <c r="AB112" s="233">
        <f t="shared" si="114"/>
        <v>2876122608</v>
      </c>
      <c r="AC112" s="231">
        <f t="shared" si="114"/>
        <v>1012163508</v>
      </c>
      <c r="AD112" s="234">
        <f t="shared" si="114"/>
        <v>3888286116</v>
      </c>
      <c r="AE112" s="233">
        <f t="shared" si="114"/>
        <v>1813850628</v>
      </c>
      <c r="AF112" s="231">
        <f t="shared" si="114"/>
        <v>948335128</v>
      </c>
      <c r="AG112" s="234">
        <f t="shared" si="114"/>
        <v>2762185756</v>
      </c>
      <c r="AH112" s="233">
        <f t="shared" si="114"/>
        <v>3660367965.4444442</v>
      </c>
      <c r="AI112" s="231">
        <f t="shared" si="114"/>
        <v>5675832544.4444447</v>
      </c>
      <c r="AJ112" s="232">
        <f t="shared" si="114"/>
        <v>6801932904.4444447</v>
      </c>
      <c r="AK112" s="101"/>
      <c r="AL112" s="233">
        <f>AL114+AL123+AL141</f>
        <v>0</v>
      </c>
      <c r="AM112" s="232">
        <f>AM114+AM123+AM141</f>
        <v>0</v>
      </c>
    </row>
    <row r="113" spans="1:39" ht="24.75" customHeight="1">
      <c r="A113" s="123">
        <f>+IF(MARZO!A113=0,"",MARZO!A113)</f>
        <v>2000</v>
      </c>
      <c r="B113" s="265" t="str">
        <f>+IF(MARZO!B113=0,"",MARZO!B113)</f>
        <v>INGRESOS DE CAPITAL</v>
      </c>
      <c r="C113" s="409">
        <f t="shared" ref="C113:N113" si="115">SUM(C115:C124)</f>
        <v>0</v>
      </c>
      <c r="D113" s="410">
        <f t="shared" si="115"/>
        <v>0</v>
      </c>
      <c r="E113" s="410">
        <f t="shared" si="115"/>
        <v>0</v>
      </c>
      <c r="F113" s="410">
        <f t="shared" si="115"/>
        <v>0</v>
      </c>
      <c r="G113" s="410">
        <f t="shared" si="115"/>
        <v>0</v>
      </c>
      <c r="H113" s="410">
        <f t="shared" si="115"/>
        <v>0</v>
      </c>
      <c r="I113" s="410">
        <f t="shared" si="115"/>
        <v>0</v>
      </c>
      <c r="J113" s="410">
        <f t="shared" si="115"/>
        <v>0</v>
      </c>
      <c r="K113" s="410">
        <f t="shared" si="115"/>
        <v>0</v>
      </c>
      <c r="L113" s="410">
        <f t="shared" si="115"/>
        <v>0</v>
      </c>
      <c r="M113" s="410">
        <f t="shared" si="115"/>
        <v>0</v>
      </c>
      <c r="N113" s="411">
        <f t="shared" si="115"/>
        <v>0</v>
      </c>
      <c r="O113" s="369"/>
      <c r="P113" s="171">
        <f>SUM(P115:P124)</f>
        <v>0</v>
      </c>
      <c r="Q113" s="173">
        <f>SUM(Q115:Q124)</f>
        <v>0</v>
      </c>
      <c r="R113" s="101"/>
      <c r="S113" s="189">
        <f>+IF(MARZO!S113=0,"",MARZO!S113)</f>
        <v>2000</v>
      </c>
      <c r="T113" s="488" t="str">
        <f>+IF(MARZO!T113=0,"",MARZO!T113)</f>
        <v/>
      </c>
      <c r="U113" s="191"/>
      <c r="V113" s="191"/>
      <c r="W113" s="191"/>
      <c r="X113" s="191"/>
      <c r="Y113" s="191"/>
      <c r="Z113" s="191"/>
      <c r="AA113" s="191"/>
      <c r="AB113" s="191"/>
      <c r="AC113" s="191"/>
      <c r="AD113" s="191"/>
      <c r="AE113" s="191"/>
      <c r="AF113" s="191"/>
      <c r="AG113" s="191"/>
      <c r="AH113" s="191"/>
      <c r="AI113" s="191"/>
      <c r="AJ113" s="192"/>
      <c r="AK113" s="101"/>
      <c r="AL113" s="194"/>
      <c r="AM113" s="195"/>
    </row>
    <row r="114" spans="1:39" ht="24.75" customHeight="1">
      <c r="A114" s="398">
        <f>+IF(MARZO!A114=0,"",MARZO!A114)</f>
        <v>2000</v>
      </c>
      <c r="B114" s="399">
        <f>+IF(MARZO!B114=0,"",MARZO!B114)</f>
        <v>2000</v>
      </c>
      <c r="C114" s="400"/>
      <c r="D114" s="400"/>
      <c r="E114" s="400"/>
      <c r="F114" s="400"/>
      <c r="G114" s="400"/>
      <c r="H114" s="400"/>
      <c r="I114" s="400"/>
      <c r="J114" s="400"/>
      <c r="K114" s="400"/>
      <c r="L114" s="400"/>
      <c r="M114" s="400"/>
      <c r="N114" s="401"/>
      <c r="O114" s="67"/>
      <c r="P114" s="402"/>
      <c r="Q114" s="401"/>
      <c r="R114" s="101"/>
      <c r="S114" s="257">
        <f>+IF(MARZO!S114=0,"",MARZO!S114)</f>
        <v>2010100</v>
      </c>
      <c r="T114" s="546" t="str">
        <f>+IF(MARZO!T114=0,"",MARZO!T114)</f>
        <v>Adquisición de bienes</v>
      </c>
      <c r="U114" s="230">
        <f t="shared" ref="U114:AJ114" si="116">SUM(U115:U121)</f>
        <v>1246863273.1666665</v>
      </c>
      <c r="V114" s="231">
        <f t="shared" si="116"/>
        <v>0</v>
      </c>
      <c r="W114" s="231">
        <f t="shared" si="116"/>
        <v>0</v>
      </c>
      <c r="X114" s="234">
        <f t="shared" si="116"/>
        <v>1246863273.1666665</v>
      </c>
      <c r="Y114" s="233">
        <f t="shared" si="116"/>
        <v>314797639</v>
      </c>
      <c r="Z114" s="231">
        <f t="shared" si="116"/>
        <v>15463628</v>
      </c>
      <c r="AA114" s="234">
        <f t="shared" si="116"/>
        <v>330261267</v>
      </c>
      <c r="AB114" s="233">
        <f t="shared" si="116"/>
        <v>237863138</v>
      </c>
      <c r="AC114" s="231">
        <f t="shared" si="116"/>
        <v>25920152</v>
      </c>
      <c r="AD114" s="234">
        <f t="shared" si="116"/>
        <v>263783290</v>
      </c>
      <c r="AE114" s="233">
        <f t="shared" si="116"/>
        <v>179189377</v>
      </c>
      <c r="AF114" s="231">
        <f t="shared" si="116"/>
        <v>1407934</v>
      </c>
      <c r="AG114" s="234">
        <f t="shared" si="116"/>
        <v>180597311</v>
      </c>
      <c r="AH114" s="233">
        <f t="shared" si="116"/>
        <v>916602006.16666663</v>
      </c>
      <c r="AI114" s="231">
        <f t="shared" si="116"/>
        <v>983079983.16666663</v>
      </c>
      <c r="AJ114" s="232">
        <f t="shared" si="116"/>
        <v>1066265962.1666666</v>
      </c>
      <c r="AK114" s="101"/>
      <c r="AL114" s="233">
        <f>SUM(AL115:AL121)</f>
        <v>0</v>
      </c>
      <c r="AM114" s="232">
        <f>SUM(AM115:AM121)</f>
        <v>0</v>
      </c>
    </row>
    <row r="115" spans="1:39" ht="24.75" customHeight="1">
      <c r="A115" s="412">
        <f>+IF(MARZO!A115=0,"",MARZO!A115)</f>
        <v>2100</v>
      </c>
      <c r="B115" s="387" t="str">
        <f>+IF(MARZO!B115=0,"",MARZO!B115)</f>
        <v>CREDITO INTERNO</v>
      </c>
      <c r="C115" s="204">
        <f>+ENERO!C115</f>
        <v>0</v>
      </c>
      <c r="D115" s="413">
        <f>MARZO!D115+ABRIL!P115</f>
        <v>0</v>
      </c>
      <c r="E115" s="413">
        <f>MARZO!E115+ABRIL!Q115</f>
        <v>0</v>
      </c>
      <c r="F115" s="414">
        <f t="shared" ref="F115:F124" si="117">SUM(C115:E115)</f>
        <v>0</v>
      </c>
      <c r="G115" s="415">
        <f>MARZO!I115</f>
        <v>0</v>
      </c>
      <c r="H115" s="208">
        <v>0</v>
      </c>
      <c r="I115" s="414">
        <f t="shared" ref="I115:I124" si="118">SUM(G115:H115)</f>
        <v>0</v>
      </c>
      <c r="J115" s="415">
        <f>MARZO!L115</f>
        <v>0</v>
      </c>
      <c r="K115" s="208">
        <v>0</v>
      </c>
      <c r="L115" s="416">
        <f t="shared" ref="L115:L124" si="119">SUM(J115:K115)</f>
        <v>0</v>
      </c>
      <c r="M115" s="417">
        <f t="shared" ref="M115:M124" si="120">F115-I115</f>
        <v>0</v>
      </c>
      <c r="N115" s="416">
        <f t="shared" ref="N115:N124" si="121">F115-L115</f>
        <v>0</v>
      </c>
      <c r="O115" s="369"/>
      <c r="P115" s="204">
        <v>0</v>
      </c>
      <c r="Q115" s="210">
        <v>0</v>
      </c>
      <c r="R115" s="101"/>
      <c r="S115" s="266" t="str">
        <f>+IF(MARZO!S115=0,"",MARZO!S115)</f>
        <v>2.1.2.02.01.003.302</v>
      </c>
      <c r="T115" s="267" t="str">
        <f>+IF(MARZO!T115=0,"",MARZO!T115)</f>
        <v>Papeleria</v>
      </c>
      <c r="U115" s="373">
        <f>+ENERO!U115</f>
        <v>252782338.5</v>
      </c>
      <c r="V115" s="220">
        <f>MARZO!V115+ABRIL!AL115</f>
        <v>0</v>
      </c>
      <c r="W115" s="220">
        <f>MARZO!W115+ABRIL!AM115</f>
        <v>0</v>
      </c>
      <c r="X115" s="271">
        <f t="shared" ref="X115:X121" si="122">SUM(U115:W115)</f>
        <v>252782338.5</v>
      </c>
      <c r="Y115" s="270">
        <f>MARZO!AA115</f>
        <v>81086733</v>
      </c>
      <c r="Z115" s="208">
        <v>15463628</v>
      </c>
      <c r="AA115" s="271">
        <f t="shared" ref="AA115:AA121" si="123">SUM(Y115:Z115)</f>
        <v>96550361</v>
      </c>
      <c r="AB115" s="270">
        <f>MARZO!AD115</f>
        <v>53995307</v>
      </c>
      <c r="AC115" s="208">
        <v>22704062</v>
      </c>
      <c r="AD115" s="271">
        <f t="shared" ref="AD115:AD121" si="124">SUM(AB115:AC115)</f>
        <v>76699369</v>
      </c>
      <c r="AE115" s="270">
        <f>MARZO!AG115</f>
        <v>3314173</v>
      </c>
      <c r="AF115" s="208">
        <v>1407934</v>
      </c>
      <c r="AG115" s="271">
        <f t="shared" ref="AG115:AG121" si="125">SUM(AE115:AF115)</f>
        <v>4722107</v>
      </c>
      <c r="AH115" s="270">
        <f t="shared" ref="AH115:AH121" si="126">X115-AA115</f>
        <v>156231977.5</v>
      </c>
      <c r="AI115" s="220">
        <f t="shared" ref="AI115:AI121" si="127">X115-AD115</f>
        <v>176082969.5</v>
      </c>
      <c r="AJ115" s="269">
        <f t="shared" ref="AJ115:AJ121" si="128">X115-AG115</f>
        <v>248060231.5</v>
      </c>
      <c r="AK115" s="101"/>
      <c r="AL115" s="204">
        <v>0</v>
      </c>
      <c r="AM115" s="210">
        <v>0</v>
      </c>
    </row>
    <row r="116" spans="1:39" ht="24.75" customHeight="1">
      <c r="A116" s="412" t="str">
        <f>+IF(MARZO!A116=0,"",MARZO!A116)</f>
        <v>2100-1</v>
      </c>
      <c r="B116" s="388" t="str">
        <f>+IF(MARZO!B116=0,"",MARZO!B116)</f>
        <v>Vigencia Anterior</v>
      </c>
      <c r="C116" s="204">
        <f>+ENERO!C116</f>
        <v>0</v>
      </c>
      <c r="D116" s="413">
        <f>MARZO!D116+ABRIL!P116</f>
        <v>0</v>
      </c>
      <c r="E116" s="413">
        <f>MARZO!E116+ABRIL!Q116</f>
        <v>0</v>
      </c>
      <c r="F116" s="414">
        <f t="shared" si="117"/>
        <v>0</v>
      </c>
      <c r="G116" s="415">
        <f>MARZO!I116</f>
        <v>0</v>
      </c>
      <c r="H116" s="208">
        <v>0</v>
      </c>
      <c r="I116" s="414">
        <f t="shared" si="118"/>
        <v>0</v>
      </c>
      <c r="J116" s="415">
        <f>MARZO!L116</f>
        <v>0</v>
      </c>
      <c r="K116" s="208">
        <v>0</v>
      </c>
      <c r="L116" s="416">
        <f t="shared" si="119"/>
        <v>0</v>
      </c>
      <c r="M116" s="417">
        <f t="shared" si="120"/>
        <v>0</v>
      </c>
      <c r="N116" s="416">
        <f t="shared" si="121"/>
        <v>0</v>
      </c>
      <c r="O116" s="369"/>
      <c r="P116" s="204">
        <v>0</v>
      </c>
      <c r="Q116" s="210">
        <v>0</v>
      </c>
      <c r="R116" s="101"/>
      <c r="S116" s="266" t="str">
        <f>+IF(MARZO!S116=0,"",MARZO!S116)</f>
        <v>2.1.2.02.01.003.301</v>
      </c>
      <c r="T116" s="267" t="str">
        <f>+IF(MARZO!T116=0,"",MARZO!T116)</f>
        <v>Combustible</v>
      </c>
      <c r="U116" s="373">
        <f>+ENERO!U116</f>
        <v>77916666.666666657</v>
      </c>
      <c r="V116" s="220">
        <f>MARZO!V116+ABRIL!AL116</f>
        <v>0</v>
      </c>
      <c r="W116" s="220">
        <f>MARZO!W116+ABRIL!AM116</f>
        <v>0</v>
      </c>
      <c r="X116" s="271">
        <f t="shared" si="122"/>
        <v>77916666.666666657</v>
      </c>
      <c r="Y116" s="270">
        <f>MARZO!AA116</f>
        <v>60000000</v>
      </c>
      <c r="Z116" s="208">
        <v>0</v>
      </c>
      <c r="AA116" s="271">
        <f t="shared" si="123"/>
        <v>60000000</v>
      </c>
      <c r="AB116" s="270">
        <f>MARZO!AD116</f>
        <v>10156925</v>
      </c>
      <c r="AC116" s="208">
        <v>3216090</v>
      </c>
      <c r="AD116" s="271">
        <f t="shared" si="124"/>
        <v>13373015</v>
      </c>
      <c r="AE116" s="270">
        <f>MARZO!AG116</f>
        <v>2164298</v>
      </c>
      <c r="AF116" s="208">
        <v>0</v>
      </c>
      <c r="AG116" s="271">
        <f t="shared" si="125"/>
        <v>2164298</v>
      </c>
      <c r="AH116" s="270">
        <f t="shared" si="126"/>
        <v>17916666.666666657</v>
      </c>
      <c r="AI116" s="220">
        <f t="shared" si="127"/>
        <v>64543651.666666657</v>
      </c>
      <c r="AJ116" s="269">
        <f t="shared" si="128"/>
        <v>75752368.666666657</v>
      </c>
      <c r="AK116" s="101"/>
      <c r="AL116" s="204">
        <v>0</v>
      </c>
      <c r="AM116" s="210">
        <v>0</v>
      </c>
    </row>
    <row r="117" spans="1:39" ht="24.75" customHeight="1">
      <c r="A117" s="412">
        <f>+IF(MARZO!A117=0,"",MARZO!A117)</f>
        <v>2200</v>
      </c>
      <c r="B117" s="387" t="str">
        <f>+IF(MARZO!B117=0,"",MARZO!B117)</f>
        <v>CREDITO EXTERNO</v>
      </c>
      <c r="C117" s="204">
        <f>+ENERO!C117</f>
        <v>0</v>
      </c>
      <c r="D117" s="413">
        <f>MARZO!D117+ABRIL!P117</f>
        <v>0</v>
      </c>
      <c r="E117" s="413">
        <f>MARZO!E117+ABRIL!Q117</f>
        <v>0</v>
      </c>
      <c r="F117" s="414">
        <f t="shared" si="117"/>
        <v>0</v>
      </c>
      <c r="G117" s="415">
        <f>MARZO!I117</f>
        <v>0</v>
      </c>
      <c r="H117" s="208">
        <v>0</v>
      </c>
      <c r="I117" s="414">
        <f t="shared" si="118"/>
        <v>0</v>
      </c>
      <c r="J117" s="415">
        <f>MARZO!L117</f>
        <v>0</v>
      </c>
      <c r="K117" s="208">
        <v>0</v>
      </c>
      <c r="L117" s="416">
        <f t="shared" si="119"/>
        <v>0</v>
      </c>
      <c r="M117" s="417">
        <f t="shared" si="120"/>
        <v>0</v>
      </c>
      <c r="N117" s="416">
        <f t="shared" si="121"/>
        <v>0</v>
      </c>
      <c r="O117" s="369"/>
      <c r="P117" s="204">
        <v>0</v>
      </c>
      <c r="Q117" s="210">
        <v>0</v>
      </c>
      <c r="R117" s="101"/>
      <c r="S117" s="266" t="str">
        <f>+IF(MARZO!S117=0,"",MARZO!S117)</f>
        <v>2.1.3.07.02.031</v>
      </c>
      <c r="T117" s="267" t="str">
        <f>+IF(MARZO!T117=0,"",MARZO!T117)</f>
        <v>Programa de Salud Ocupacional</v>
      </c>
      <c r="U117" s="373">
        <f>+ENERO!U117</f>
        <v>20000000</v>
      </c>
      <c r="V117" s="220">
        <f>MARZO!V117+ABRIL!AL117</f>
        <v>0</v>
      </c>
      <c r="W117" s="220">
        <f>MARZO!W117+ABRIL!AM117</f>
        <v>0</v>
      </c>
      <c r="X117" s="271">
        <f t="shared" si="122"/>
        <v>20000000</v>
      </c>
      <c r="Y117" s="270">
        <f>MARZO!AA117</f>
        <v>0</v>
      </c>
      <c r="Z117" s="208">
        <v>0</v>
      </c>
      <c r="AA117" s="271">
        <f t="shared" si="123"/>
        <v>0</v>
      </c>
      <c r="AB117" s="270">
        <f>MARZO!AD117</f>
        <v>0</v>
      </c>
      <c r="AC117" s="208">
        <v>0</v>
      </c>
      <c r="AD117" s="271">
        <f t="shared" si="124"/>
        <v>0</v>
      </c>
      <c r="AE117" s="270">
        <f>MARZO!AG117</f>
        <v>0</v>
      </c>
      <c r="AF117" s="208">
        <v>0</v>
      </c>
      <c r="AG117" s="271">
        <f t="shared" si="125"/>
        <v>0</v>
      </c>
      <c r="AH117" s="270">
        <f t="shared" si="126"/>
        <v>20000000</v>
      </c>
      <c r="AI117" s="220">
        <f t="shared" si="127"/>
        <v>20000000</v>
      </c>
      <c r="AJ117" s="269">
        <f t="shared" si="128"/>
        <v>20000000</v>
      </c>
      <c r="AK117" s="101"/>
      <c r="AL117" s="204">
        <v>0</v>
      </c>
      <c r="AM117" s="210">
        <v>0</v>
      </c>
    </row>
    <row r="118" spans="1:39" ht="24.75" customHeight="1">
      <c r="A118" s="412" t="str">
        <f>+IF(MARZO!A118=0,"",MARZO!A118)</f>
        <v>2200-1</v>
      </c>
      <c r="B118" s="388" t="str">
        <f>+IF(MARZO!B118=0,"",MARZO!B118)</f>
        <v>Vigencia Anterior</v>
      </c>
      <c r="C118" s="204">
        <f>+ENERO!C118</f>
        <v>0</v>
      </c>
      <c r="D118" s="413">
        <f>MARZO!D118+ABRIL!P118</f>
        <v>0</v>
      </c>
      <c r="E118" s="413">
        <f>MARZO!E118+ABRIL!Q118</f>
        <v>0</v>
      </c>
      <c r="F118" s="414">
        <f t="shared" si="117"/>
        <v>0</v>
      </c>
      <c r="G118" s="415">
        <f>MARZO!I118</f>
        <v>0</v>
      </c>
      <c r="H118" s="208">
        <v>0</v>
      </c>
      <c r="I118" s="414">
        <f t="shared" si="118"/>
        <v>0</v>
      </c>
      <c r="J118" s="415">
        <f>MARZO!L118</f>
        <v>0</v>
      </c>
      <c r="K118" s="208">
        <v>0</v>
      </c>
      <c r="L118" s="416">
        <f t="shared" si="119"/>
        <v>0</v>
      </c>
      <c r="M118" s="417">
        <f t="shared" si="120"/>
        <v>0</v>
      </c>
      <c r="N118" s="416">
        <f t="shared" si="121"/>
        <v>0</v>
      </c>
      <c r="O118" s="369"/>
      <c r="P118" s="204">
        <v>0</v>
      </c>
      <c r="Q118" s="210">
        <v>0</v>
      </c>
      <c r="R118" s="101"/>
      <c r="S118" s="266" t="str">
        <f>+IF(MARZO!S118=0,"",MARZO!S118)</f>
        <v>2.1.2.02.01.003.307</v>
      </c>
      <c r="T118" s="267" t="str">
        <f>+IF(MARZO!T118=0,"",MARZO!T118)</f>
        <v>Mantenimiento - Bienes Ambiental y Sanitaria</v>
      </c>
      <c r="U118" s="373">
        <f>+ENERO!U118</f>
        <v>15180000</v>
      </c>
      <c r="V118" s="220">
        <f>MARZO!V118+ABRIL!AL118</f>
        <v>0</v>
      </c>
      <c r="W118" s="220">
        <f>MARZO!W118+ABRIL!AM118</f>
        <v>0</v>
      </c>
      <c r="X118" s="271">
        <f t="shared" si="122"/>
        <v>15180000</v>
      </c>
      <c r="Y118" s="270">
        <f>MARZO!AA118</f>
        <v>0</v>
      </c>
      <c r="Z118" s="208">
        <v>0</v>
      </c>
      <c r="AA118" s="271">
        <f t="shared" si="123"/>
        <v>0</v>
      </c>
      <c r="AB118" s="270">
        <f>MARZO!AD118</f>
        <v>0</v>
      </c>
      <c r="AC118" s="208">
        <v>0</v>
      </c>
      <c r="AD118" s="271">
        <f t="shared" si="124"/>
        <v>0</v>
      </c>
      <c r="AE118" s="270">
        <f>MARZO!AG118</f>
        <v>0</v>
      </c>
      <c r="AF118" s="208">
        <v>0</v>
      </c>
      <c r="AG118" s="271">
        <f t="shared" si="125"/>
        <v>0</v>
      </c>
      <c r="AH118" s="270">
        <f t="shared" si="126"/>
        <v>15180000</v>
      </c>
      <c r="AI118" s="220">
        <f t="shared" si="127"/>
        <v>15180000</v>
      </c>
      <c r="AJ118" s="269">
        <f t="shared" si="128"/>
        <v>15180000</v>
      </c>
      <c r="AK118" s="101"/>
      <c r="AL118" s="204">
        <v>0</v>
      </c>
      <c r="AM118" s="210">
        <v>0</v>
      </c>
    </row>
    <row r="119" spans="1:39" ht="24.75" customHeight="1">
      <c r="A119" s="412" t="str">
        <f>+IF(MARZO!A119=0,"",MARZO!A119)</f>
        <v>1.2.05.02</v>
      </c>
      <c r="B119" s="387" t="str">
        <f>+IF(MARZO!B119=0,"",MARZO!B119)</f>
        <v>Depositos (RENDIMIENTOS FINANCIEROS)</v>
      </c>
      <c r="C119" s="204">
        <f>+ENERO!C119</f>
        <v>0</v>
      </c>
      <c r="D119" s="413">
        <f>MARZO!D119+ABRIL!P119</f>
        <v>0</v>
      </c>
      <c r="E119" s="413">
        <f>MARZO!E119+ABRIL!Q119</f>
        <v>0</v>
      </c>
      <c r="F119" s="414">
        <f t="shared" si="117"/>
        <v>0</v>
      </c>
      <c r="G119" s="207">
        <f>MARZO!I119</f>
        <v>0</v>
      </c>
      <c r="H119" s="208">
        <v>0</v>
      </c>
      <c r="I119" s="419">
        <f t="shared" si="118"/>
        <v>0</v>
      </c>
      <c r="J119" s="207">
        <f>MARZO!L119</f>
        <v>0</v>
      </c>
      <c r="K119" s="208">
        <v>0</v>
      </c>
      <c r="L119" s="206">
        <f t="shared" si="119"/>
        <v>0</v>
      </c>
      <c r="M119" s="420">
        <f t="shared" si="120"/>
        <v>0</v>
      </c>
      <c r="N119" s="206">
        <f t="shared" si="121"/>
        <v>0</v>
      </c>
      <c r="O119" s="369"/>
      <c r="P119" s="204">
        <v>0</v>
      </c>
      <c r="Q119" s="210">
        <v>0</v>
      </c>
      <c r="R119" s="101"/>
      <c r="S119" s="266" t="str">
        <f>+IF(MARZO!S119=0,"",MARZO!S119)</f>
        <v>2.1.2.02.01.003.305</v>
      </c>
      <c r="T119" s="267" t="str">
        <f>+IF(MARZO!T119=0,"",MARZO!T119)</f>
        <v>Mantenimiento -  Partes, accesorios, herramientas</v>
      </c>
      <c r="U119" s="373">
        <f>+ENERO!U119</f>
        <v>0</v>
      </c>
      <c r="V119" s="220">
        <f>MARZO!V119+ABRIL!AL119</f>
        <v>0</v>
      </c>
      <c r="W119" s="220">
        <f>MARZO!W119+ABRIL!AM119</f>
        <v>0</v>
      </c>
      <c r="X119" s="271">
        <f t="shared" si="122"/>
        <v>0</v>
      </c>
      <c r="Y119" s="270">
        <f>MARZO!AA119</f>
        <v>0</v>
      </c>
      <c r="Z119" s="208">
        <v>0</v>
      </c>
      <c r="AA119" s="271">
        <f t="shared" si="123"/>
        <v>0</v>
      </c>
      <c r="AB119" s="270">
        <f>MARZO!AD119</f>
        <v>0</v>
      </c>
      <c r="AC119" s="208">
        <v>0</v>
      </c>
      <c r="AD119" s="271">
        <f t="shared" si="124"/>
        <v>0</v>
      </c>
      <c r="AE119" s="270">
        <f>MARZO!AG119</f>
        <v>0</v>
      </c>
      <c r="AF119" s="208">
        <v>0</v>
      </c>
      <c r="AG119" s="271">
        <f t="shared" si="125"/>
        <v>0</v>
      </c>
      <c r="AH119" s="270">
        <f t="shared" si="126"/>
        <v>0</v>
      </c>
      <c r="AI119" s="220">
        <f t="shared" si="127"/>
        <v>0</v>
      </c>
      <c r="AJ119" s="269">
        <f t="shared" si="128"/>
        <v>0</v>
      </c>
      <c r="AK119" s="101"/>
      <c r="AL119" s="204">
        <v>0</v>
      </c>
      <c r="AM119" s="210">
        <v>0</v>
      </c>
    </row>
    <row r="120" spans="1:39" ht="24.75" customHeight="1">
      <c r="A120" s="421">
        <f>+IF(MARZO!A120=0,"",MARZO!A120)</f>
        <v>2400</v>
      </c>
      <c r="B120" s="388" t="str">
        <f>+IF(MARZO!B120=0,"",MARZO!B120)</f>
        <v>VENTA DE ACTIVOS</v>
      </c>
      <c r="C120" s="204">
        <f>+ENERO!C120</f>
        <v>0</v>
      </c>
      <c r="D120" s="413">
        <f>MARZO!D120+ABRIL!P120</f>
        <v>0</v>
      </c>
      <c r="E120" s="413">
        <f>MARZO!E120+ABRIL!Q120</f>
        <v>0</v>
      </c>
      <c r="F120" s="414">
        <f t="shared" si="117"/>
        <v>0</v>
      </c>
      <c r="G120" s="207">
        <f>MARZO!I120</f>
        <v>0</v>
      </c>
      <c r="H120" s="208">
        <v>0</v>
      </c>
      <c r="I120" s="419">
        <f t="shared" si="118"/>
        <v>0</v>
      </c>
      <c r="J120" s="207">
        <f>MARZO!L120</f>
        <v>0</v>
      </c>
      <c r="K120" s="208">
        <v>0</v>
      </c>
      <c r="L120" s="206">
        <f t="shared" si="119"/>
        <v>0</v>
      </c>
      <c r="M120" s="420">
        <f t="shared" si="120"/>
        <v>0</v>
      </c>
      <c r="N120" s="206">
        <f t="shared" si="121"/>
        <v>0</v>
      </c>
      <c r="O120" s="67"/>
      <c r="P120" s="204">
        <v>0</v>
      </c>
      <c r="Q120" s="210">
        <v>0</v>
      </c>
      <c r="R120" s="101"/>
      <c r="S120" s="266" t="str">
        <f>+IF(MARZO!S120=0,"",MARZO!S120)</f>
        <v>2.1.2.02.01.003.308</v>
      </c>
      <c r="T120" s="267" t="str">
        <f>+IF(MARZO!T120=0,"",MARZO!T120)</f>
        <v>Mantenimiento - Bienes Adecuaciones locativas</v>
      </c>
      <c r="U120" s="373">
        <f>+ENERO!U120</f>
        <v>704984268</v>
      </c>
      <c r="V120" s="220">
        <f>MARZO!V120+ABRIL!AL120</f>
        <v>0</v>
      </c>
      <c r="W120" s="220">
        <f>MARZO!W120+ABRIL!AM120</f>
        <v>0</v>
      </c>
      <c r="X120" s="271">
        <f t="shared" si="122"/>
        <v>704984268</v>
      </c>
      <c r="Y120" s="270">
        <f>MARZO!AA120</f>
        <v>0</v>
      </c>
      <c r="Z120" s="208">
        <v>0</v>
      </c>
      <c r="AA120" s="271">
        <f t="shared" si="123"/>
        <v>0</v>
      </c>
      <c r="AB120" s="270">
        <f>MARZO!AD120</f>
        <v>0</v>
      </c>
      <c r="AC120" s="208">
        <v>0</v>
      </c>
      <c r="AD120" s="271">
        <f t="shared" si="124"/>
        <v>0</v>
      </c>
      <c r="AE120" s="270">
        <f>MARZO!AG120</f>
        <v>0</v>
      </c>
      <c r="AF120" s="208">
        <v>0</v>
      </c>
      <c r="AG120" s="271">
        <f t="shared" si="125"/>
        <v>0</v>
      </c>
      <c r="AH120" s="270">
        <f t="shared" si="126"/>
        <v>704984268</v>
      </c>
      <c r="AI120" s="220">
        <f t="shared" si="127"/>
        <v>704984268</v>
      </c>
      <c r="AJ120" s="269">
        <f t="shared" si="128"/>
        <v>704984268</v>
      </c>
      <c r="AK120" s="101"/>
      <c r="AL120" s="204">
        <v>0</v>
      </c>
      <c r="AM120" s="210">
        <v>0</v>
      </c>
    </row>
    <row r="121" spans="1:39" ht="24.75" customHeight="1">
      <c r="A121" s="421">
        <f>+IF(MARZO!A121=0,"",MARZO!A121)</f>
        <v>2500</v>
      </c>
      <c r="B121" s="388" t="str">
        <f>+IF(MARZO!B121=0,"",MARZO!B121)</f>
        <v>DONACIONES</v>
      </c>
      <c r="C121" s="204">
        <f>+ENERO!C121</f>
        <v>0</v>
      </c>
      <c r="D121" s="413">
        <f>MARZO!D121+ABRIL!P121</f>
        <v>0</v>
      </c>
      <c r="E121" s="413">
        <f>MARZO!E121+ABRIL!Q121</f>
        <v>0</v>
      </c>
      <c r="F121" s="414">
        <f t="shared" si="117"/>
        <v>0</v>
      </c>
      <c r="G121" s="207">
        <f>MARZO!I121</f>
        <v>0</v>
      </c>
      <c r="H121" s="208">
        <v>0</v>
      </c>
      <c r="I121" s="419">
        <f t="shared" si="118"/>
        <v>0</v>
      </c>
      <c r="J121" s="207">
        <f>MARZO!L121</f>
        <v>0</v>
      </c>
      <c r="K121" s="208">
        <v>0</v>
      </c>
      <c r="L121" s="206">
        <f t="shared" si="119"/>
        <v>0</v>
      </c>
      <c r="M121" s="420">
        <f t="shared" si="120"/>
        <v>0</v>
      </c>
      <c r="N121" s="206">
        <f t="shared" si="121"/>
        <v>0</v>
      </c>
      <c r="O121" s="67"/>
      <c r="P121" s="204">
        <v>0</v>
      </c>
      <c r="Q121" s="210">
        <v>0</v>
      </c>
      <c r="R121" s="101"/>
      <c r="S121" s="266" t="str">
        <f>+IF(MARZO!S121=0,"",MARZO!S121)</f>
        <v>2.1.2.02.02.008.99.02</v>
      </c>
      <c r="T121" s="267" t="str">
        <f>+IF(MARZO!T121=0,"",MARZO!T121)</f>
        <v>Vigencias Anteriores Vigilancia</v>
      </c>
      <c r="U121" s="373">
        <f>+ENERO!U121</f>
        <v>176000000</v>
      </c>
      <c r="V121" s="220">
        <f>MARZO!V121+ABRIL!AL121</f>
        <v>0</v>
      </c>
      <c r="W121" s="220">
        <f>MARZO!W121+ABRIL!AM121</f>
        <v>0</v>
      </c>
      <c r="X121" s="271">
        <f t="shared" si="122"/>
        <v>176000000</v>
      </c>
      <c r="Y121" s="270">
        <f>MARZO!AA121</f>
        <v>173710906</v>
      </c>
      <c r="Z121" s="208">
        <v>0</v>
      </c>
      <c r="AA121" s="271">
        <f t="shared" si="123"/>
        <v>173710906</v>
      </c>
      <c r="AB121" s="270">
        <f>MARZO!AD121</f>
        <v>173710906</v>
      </c>
      <c r="AC121" s="208">
        <v>0</v>
      </c>
      <c r="AD121" s="271">
        <f t="shared" si="124"/>
        <v>173710906</v>
      </c>
      <c r="AE121" s="270">
        <f>MARZO!AG121</f>
        <v>173710906</v>
      </c>
      <c r="AF121" s="208">
        <v>0</v>
      </c>
      <c r="AG121" s="271">
        <f t="shared" si="125"/>
        <v>173710906</v>
      </c>
      <c r="AH121" s="270">
        <f t="shared" si="126"/>
        <v>2289094</v>
      </c>
      <c r="AI121" s="220">
        <f t="shared" si="127"/>
        <v>2289094</v>
      </c>
      <c r="AJ121" s="269">
        <f t="shared" si="128"/>
        <v>2289094</v>
      </c>
      <c r="AK121" s="101"/>
      <c r="AL121" s="204">
        <v>0</v>
      </c>
      <c r="AM121" s="210">
        <v>0</v>
      </c>
    </row>
    <row r="122" spans="1:39" ht="24.75" customHeight="1">
      <c r="A122" s="421">
        <f>+IF(MARZO!A122=0,"",MARZO!A122)</f>
        <v>2600</v>
      </c>
      <c r="B122" s="388" t="str">
        <f>+IF(MARZO!B122=0,"",MARZO!B122)</f>
        <v>RECUPERACIÓN DE CARTERA (AÑO 2023 Y ANTERIORES)</v>
      </c>
      <c r="C122" s="204">
        <f>+ENERO!C122</f>
        <v>0</v>
      </c>
      <c r="D122" s="413">
        <f>MARZO!D122+ABRIL!P122</f>
        <v>0</v>
      </c>
      <c r="E122" s="413">
        <f>MARZO!E122+ABRIL!Q122</f>
        <v>0</v>
      </c>
      <c r="F122" s="414">
        <f t="shared" si="117"/>
        <v>0</v>
      </c>
      <c r="G122" s="207">
        <f>MARZO!I122</f>
        <v>0</v>
      </c>
      <c r="H122" s="208">
        <v>0</v>
      </c>
      <c r="I122" s="419">
        <f t="shared" si="118"/>
        <v>0</v>
      </c>
      <c r="J122" s="207">
        <f>MARZO!L122</f>
        <v>0</v>
      </c>
      <c r="K122" s="208">
        <v>0</v>
      </c>
      <c r="L122" s="206">
        <f t="shared" si="119"/>
        <v>0</v>
      </c>
      <c r="M122" s="420">
        <f t="shared" si="120"/>
        <v>0</v>
      </c>
      <c r="N122" s="206">
        <f t="shared" si="121"/>
        <v>0</v>
      </c>
      <c r="O122" s="67"/>
      <c r="P122" s="204">
        <v>0</v>
      </c>
      <c r="Q122" s="210">
        <v>0</v>
      </c>
      <c r="R122" s="101"/>
      <c r="S122" s="189" t="str">
        <f>+IF(MARZO!S122=0,"",MARZO!S122)</f>
        <v/>
      </c>
      <c r="T122" s="488" t="str">
        <f>+IF(MARZO!T122=0,"",MARZO!T122)</f>
        <v/>
      </c>
      <c r="U122" s="191"/>
      <c r="V122" s="191"/>
      <c r="W122" s="191"/>
      <c r="X122" s="191"/>
      <c r="Y122" s="191"/>
      <c r="Z122" s="191"/>
      <c r="AA122" s="191"/>
      <c r="AB122" s="191"/>
      <c r="AC122" s="191"/>
      <c r="AD122" s="191"/>
      <c r="AE122" s="191"/>
      <c r="AF122" s="191"/>
      <c r="AG122" s="191"/>
      <c r="AH122" s="191"/>
      <c r="AI122" s="191"/>
      <c r="AJ122" s="192"/>
      <c r="AK122" s="101"/>
      <c r="AL122" s="370"/>
      <c r="AM122" s="371"/>
    </row>
    <row r="123" spans="1:39" ht="24.75" customHeight="1">
      <c r="A123" s="421">
        <f>+IF(MARZO!A123=0,"",MARZO!A123)</f>
        <v>2700</v>
      </c>
      <c r="B123" s="388" t="str">
        <f>+IF(MARZO!B123=0,"",MARZO!B123)</f>
        <v>OTROS INGRESOS DE CAPITAL</v>
      </c>
      <c r="C123" s="204">
        <f>+ENERO!C123</f>
        <v>0</v>
      </c>
      <c r="D123" s="413">
        <f>MARZO!D123+ABRIL!P123</f>
        <v>0</v>
      </c>
      <c r="E123" s="413">
        <f>MARZO!E123+ABRIL!Q123</f>
        <v>0</v>
      </c>
      <c r="F123" s="414">
        <f t="shared" si="117"/>
        <v>0</v>
      </c>
      <c r="G123" s="207">
        <f>MARZO!I123</f>
        <v>0</v>
      </c>
      <c r="H123" s="208">
        <v>0</v>
      </c>
      <c r="I123" s="419">
        <f t="shared" si="118"/>
        <v>0</v>
      </c>
      <c r="J123" s="207">
        <f>MARZO!L123</f>
        <v>0</v>
      </c>
      <c r="K123" s="208">
        <v>0</v>
      </c>
      <c r="L123" s="206">
        <f t="shared" si="119"/>
        <v>0</v>
      </c>
      <c r="M123" s="420">
        <f t="shared" si="120"/>
        <v>0</v>
      </c>
      <c r="N123" s="206">
        <f t="shared" si="121"/>
        <v>0</v>
      </c>
      <c r="O123" s="67"/>
      <c r="P123" s="204">
        <v>0</v>
      </c>
      <c r="Q123" s="210">
        <v>0</v>
      </c>
      <c r="R123" s="101"/>
      <c r="S123" s="257">
        <f>+IF(MARZO!S123=0,"",MARZO!S123)</f>
        <v>2010200</v>
      </c>
      <c r="T123" s="546" t="str">
        <f>+IF(MARZO!T123=0,"",MARZO!T123)</f>
        <v>Adquisición de Servicios</v>
      </c>
      <c r="U123" s="230">
        <f t="shared" ref="U123:AJ123" si="129">SUM(U124:U139)</f>
        <v>8280375089.2777777</v>
      </c>
      <c r="V123" s="231">
        <f t="shared" si="129"/>
        <v>-680999693</v>
      </c>
      <c r="W123" s="231">
        <f t="shared" si="129"/>
        <v>169879991</v>
      </c>
      <c r="X123" s="234">
        <f t="shared" si="129"/>
        <v>7769255387.2777777</v>
      </c>
      <c r="Y123" s="233">
        <f t="shared" si="129"/>
        <v>4944086219</v>
      </c>
      <c r="Z123" s="231">
        <f t="shared" si="129"/>
        <v>541798269</v>
      </c>
      <c r="AA123" s="234">
        <f t="shared" si="129"/>
        <v>5485884488</v>
      </c>
      <c r="AB123" s="233">
        <f t="shared" si="129"/>
        <v>2569114530</v>
      </c>
      <c r="AC123" s="231">
        <f t="shared" si="129"/>
        <v>967783356</v>
      </c>
      <c r="AD123" s="234">
        <f t="shared" si="129"/>
        <v>3536897886</v>
      </c>
      <c r="AE123" s="233">
        <f t="shared" si="129"/>
        <v>1565516311</v>
      </c>
      <c r="AF123" s="231">
        <f t="shared" si="129"/>
        <v>928467194</v>
      </c>
      <c r="AG123" s="234">
        <f t="shared" si="129"/>
        <v>2493983505</v>
      </c>
      <c r="AH123" s="233">
        <f t="shared" si="129"/>
        <v>2283370899.2777777</v>
      </c>
      <c r="AI123" s="231">
        <f t="shared" si="129"/>
        <v>4232357501.2777777</v>
      </c>
      <c r="AJ123" s="232">
        <f t="shared" si="129"/>
        <v>5275271882.2777777</v>
      </c>
      <c r="AK123" s="101"/>
      <c r="AL123" s="233">
        <f>SUM(AL124:AL139)</f>
        <v>0</v>
      </c>
      <c r="AM123" s="232">
        <f>SUM(AM124:AM139)</f>
        <v>0</v>
      </c>
    </row>
    <row r="124" spans="1:39" ht="24.75" customHeight="1">
      <c r="A124" s="428">
        <f>+IF(MARZO!A124=0,"",MARZO!A124)</f>
        <v>2800</v>
      </c>
      <c r="B124" s="390" t="str">
        <f>+IF(MARZO!B124=0,"",MARZO!B124)</f>
        <v/>
      </c>
      <c r="C124" s="242">
        <f>+ENERO!C124</f>
        <v>0</v>
      </c>
      <c r="D124" s="429">
        <f>MARZO!D124+ABRIL!P124</f>
        <v>0</v>
      </c>
      <c r="E124" s="429">
        <f>MARZO!E124+ABRIL!Q124</f>
        <v>0</v>
      </c>
      <c r="F124" s="430">
        <f t="shared" si="117"/>
        <v>0</v>
      </c>
      <c r="G124" s="245">
        <f>MARZO!I124</f>
        <v>0</v>
      </c>
      <c r="H124" s="246">
        <v>0</v>
      </c>
      <c r="I124" s="431">
        <f t="shared" si="118"/>
        <v>0</v>
      </c>
      <c r="J124" s="245">
        <f>MARZO!L124</f>
        <v>0</v>
      </c>
      <c r="K124" s="246">
        <v>0</v>
      </c>
      <c r="L124" s="244">
        <f t="shared" si="119"/>
        <v>0</v>
      </c>
      <c r="M124" s="432">
        <f t="shared" si="120"/>
        <v>0</v>
      </c>
      <c r="N124" s="244">
        <f t="shared" si="121"/>
        <v>0</v>
      </c>
      <c r="O124" s="67"/>
      <c r="P124" s="242">
        <v>0</v>
      </c>
      <c r="Q124" s="248">
        <v>0</v>
      </c>
      <c r="R124" s="101"/>
      <c r="S124" s="266" t="str">
        <f>+IF(MARZO!S124=0,"",MARZO!S124)</f>
        <v>2.1.2.02.02.007.702</v>
      </c>
      <c r="T124" s="267" t="str">
        <f>+IF(MARZO!T124=0,"",MARZO!T124)</f>
        <v>Seguros</v>
      </c>
      <c r="U124" s="373">
        <f>+ENERO!U124</f>
        <v>1040000000</v>
      </c>
      <c r="V124" s="220">
        <f>MARZO!V124+ABRIL!AL124</f>
        <v>0</v>
      </c>
      <c r="W124" s="220">
        <f>MARZO!W124+ABRIL!AM124</f>
        <v>0</v>
      </c>
      <c r="X124" s="271">
        <f t="shared" ref="X124:X139" si="130">SUM(U124:W124)</f>
        <v>1040000000</v>
      </c>
      <c r="Y124" s="270">
        <f>MARZO!AA124</f>
        <v>877239481</v>
      </c>
      <c r="Z124" s="208">
        <v>475413</v>
      </c>
      <c r="AA124" s="271">
        <f t="shared" ref="AA124:AA139" si="131">SUM(Y124:Z124)</f>
        <v>877714894</v>
      </c>
      <c r="AB124" s="270">
        <f>MARZO!AD124</f>
        <v>876468117</v>
      </c>
      <c r="AC124" s="208">
        <v>475413</v>
      </c>
      <c r="AD124" s="271">
        <f t="shared" ref="AD124:AD139" si="132">SUM(AB124:AC124)</f>
        <v>876943530</v>
      </c>
      <c r="AE124" s="270">
        <f>MARZO!AG124</f>
        <v>545722972</v>
      </c>
      <c r="AF124" s="208">
        <v>320813593</v>
      </c>
      <c r="AG124" s="271">
        <f t="shared" ref="AG124:AG139" si="133">SUM(AE124:AF124)</f>
        <v>866536565</v>
      </c>
      <c r="AH124" s="270">
        <f t="shared" ref="AH124:AH139" si="134">X124-AA124</f>
        <v>162285106</v>
      </c>
      <c r="AI124" s="220">
        <f t="shared" ref="AI124:AI139" si="135">X124-AD124</f>
        <v>163056470</v>
      </c>
      <c r="AJ124" s="269">
        <f t="shared" ref="AJ124:AJ139" si="136">X124-AG124</f>
        <v>173463435</v>
      </c>
      <c r="AK124" s="101"/>
      <c r="AL124" s="204">
        <v>0</v>
      </c>
      <c r="AM124" s="210">
        <v>0</v>
      </c>
    </row>
    <row r="125" spans="1:39" ht="24.75" customHeight="1">
      <c r="A125" s="398"/>
      <c r="B125" s="399"/>
      <c r="C125" s="400"/>
      <c r="D125" s="400"/>
      <c r="E125" s="400"/>
      <c r="F125" s="400"/>
      <c r="G125" s="400"/>
      <c r="H125" s="400"/>
      <c r="I125" s="400"/>
      <c r="J125" s="400"/>
      <c r="K125" s="400"/>
      <c r="L125" s="400"/>
      <c r="M125" s="400"/>
      <c r="N125" s="401"/>
      <c r="O125" s="67"/>
      <c r="P125" s="402"/>
      <c r="Q125" s="401"/>
      <c r="R125" s="101"/>
      <c r="S125" s="266" t="str">
        <f>+IF(MARZO!S125=0,"",MARZO!S125)</f>
        <v>2.1.2.02.02.007.703</v>
      </c>
      <c r="T125" s="267" t="str">
        <f>+IF(MARZO!T125=0,"",MARZO!T125)</f>
        <v>Arrendamientos</v>
      </c>
      <c r="U125" s="373">
        <f>+ENERO!U125</f>
        <v>75000000</v>
      </c>
      <c r="V125" s="220">
        <f>MARZO!V125+ABRIL!AL125</f>
        <v>10000000</v>
      </c>
      <c r="W125" s="220">
        <f>MARZO!W125+ABRIL!AM125</f>
        <v>0</v>
      </c>
      <c r="X125" s="271">
        <f t="shared" si="130"/>
        <v>85000000</v>
      </c>
      <c r="Y125" s="270">
        <f>MARZO!AA125</f>
        <v>80000000</v>
      </c>
      <c r="Z125" s="208">
        <v>0</v>
      </c>
      <c r="AA125" s="271">
        <f t="shared" si="131"/>
        <v>80000000</v>
      </c>
      <c r="AB125" s="270">
        <f>MARZO!AD125</f>
        <v>20000000</v>
      </c>
      <c r="AC125" s="208">
        <v>0</v>
      </c>
      <c r="AD125" s="271">
        <f t="shared" si="132"/>
        <v>20000000</v>
      </c>
      <c r="AE125" s="270">
        <f>MARZO!AG125</f>
        <v>10000000</v>
      </c>
      <c r="AF125" s="208">
        <v>10000000</v>
      </c>
      <c r="AG125" s="271">
        <f t="shared" si="133"/>
        <v>20000000</v>
      </c>
      <c r="AH125" s="270">
        <f t="shared" si="134"/>
        <v>5000000</v>
      </c>
      <c r="AI125" s="220">
        <f t="shared" si="135"/>
        <v>65000000</v>
      </c>
      <c r="AJ125" s="269">
        <f t="shared" si="136"/>
        <v>65000000</v>
      </c>
      <c r="AK125" s="101"/>
      <c r="AL125" s="204">
        <v>0</v>
      </c>
      <c r="AM125" s="210">
        <v>0</v>
      </c>
    </row>
    <row r="126" spans="1:39" ht="24.75" customHeight="1">
      <c r="A126" s="433" t="s">
        <v>278</v>
      </c>
      <c r="B126" s="434"/>
      <c r="C126" s="435">
        <f t="shared" ref="C126:N126" si="137">C8-C128</f>
        <v>138960268668.37653</v>
      </c>
      <c r="D126" s="435">
        <f t="shared" si="137"/>
        <v>0</v>
      </c>
      <c r="E126" s="435">
        <f t="shared" si="137"/>
        <v>15727182563</v>
      </c>
      <c r="F126" s="435">
        <f t="shared" si="137"/>
        <v>154687451231.37653</v>
      </c>
      <c r="G126" s="435">
        <f t="shared" si="137"/>
        <v>42706686536</v>
      </c>
      <c r="H126" s="435">
        <f t="shared" si="137"/>
        <v>15793645939</v>
      </c>
      <c r="I126" s="435">
        <f t="shared" si="137"/>
        <v>58480595686</v>
      </c>
      <c r="J126" s="435">
        <f t="shared" si="137"/>
        <v>9265221284</v>
      </c>
      <c r="K126" s="435">
        <f t="shared" si="137"/>
        <v>6417302226</v>
      </c>
      <c r="L126" s="435">
        <f t="shared" si="137"/>
        <v>15662786721</v>
      </c>
      <c r="M126" s="435">
        <f t="shared" si="137"/>
        <v>96206855545.376511</v>
      </c>
      <c r="N126" s="436">
        <f t="shared" si="137"/>
        <v>139024664510.37653</v>
      </c>
      <c r="O126" s="67"/>
      <c r="P126" s="437">
        <f>P8-P128</f>
        <v>0</v>
      </c>
      <c r="Q126" s="438">
        <f>Q8-Q128</f>
        <v>700216057</v>
      </c>
      <c r="R126" s="101"/>
      <c r="S126" s="266" t="str">
        <f>+IF(MARZO!S126=0,"",MARZO!S126)</f>
        <v>2.1.2.02.02.008.801</v>
      </c>
      <c r="T126" s="267" t="str">
        <f>+IF(MARZO!T126=0,"",MARZO!T126)</f>
        <v>Servicios Publicos (energia, Gas, Agua, Internet, Telefonia Fija y Movil)</v>
      </c>
      <c r="U126" s="373">
        <f>+ENERO!U126</f>
        <v>2804022659</v>
      </c>
      <c r="V126" s="220">
        <f>MARZO!V126+ABRIL!AL126</f>
        <v>-180000000</v>
      </c>
      <c r="W126" s="220">
        <f>MARZO!W126+ABRIL!AM126</f>
        <v>0</v>
      </c>
      <c r="X126" s="271">
        <f t="shared" si="130"/>
        <v>2624022659</v>
      </c>
      <c r="Y126" s="270">
        <f>MARZO!AA126</f>
        <v>567607008</v>
      </c>
      <c r="Z126" s="208">
        <v>529721356</v>
      </c>
      <c r="AA126" s="271">
        <f t="shared" si="131"/>
        <v>1097328364</v>
      </c>
      <c r="AB126" s="270">
        <f>MARZO!AD126</f>
        <v>566758508</v>
      </c>
      <c r="AC126" s="208">
        <v>529721356</v>
      </c>
      <c r="AD126" s="271">
        <f t="shared" si="132"/>
        <v>1096479864</v>
      </c>
      <c r="AE126" s="270">
        <f>MARZO!AG126</f>
        <v>521545933</v>
      </c>
      <c r="AF126" s="208">
        <v>374550539</v>
      </c>
      <c r="AG126" s="271">
        <f t="shared" si="133"/>
        <v>896096472</v>
      </c>
      <c r="AH126" s="270">
        <f t="shared" si="134"/>
        <v>1526694295</v>
      </c>
      <c r="AI126" s="220">
        <f t="shared" si="135"/>
        <v>1527542795</v>
      </c>
      <c r="AJ126" s="269">
        <f t="shared" si="136"/>
        <v>1727926187</v>
      </c>
      <c r="AK126" s="101"/>
      <c r="AL126" s="204">
        <v>0</v>
      </c>
      <c r="AM126" s="210">
        <v>0</v>
      </c>
    </row>
    <row r="127" spans="1:39" ht="24.75" customHeight="1">
      <c r="A127" s="556"/>
      <c r="B127" s="399"/>
      <c r="C127" s="400"/>
      <c r="D127" s="400"/>
      <c r="E127" s="400"/>
      <c r="F127" s="400"/>
      <c r="G127" s="400"/>
      <c r="H127" s="400"/>
      <c r="I127" s="400"/>
      <c r="J127" s="400"/>
      <c r="K127" s="400"/>
      <c r="L127" s="400"/>
      <c r="M127" s="400"/>
      <c r="N127" s="401"/>
      <c r="O127" s="67"/>
      <c r="P127" s="402"/>
      <c r="Q127" s="401"/>
      <c r="R127" s="101"/>
      <c r="S127" s="266" t="str">
        <f>+IF(MARZO!S127=0,"",MARZO!S127)</f>
        <v>2.1.2.02.02.006.603</v>
      </c>
      <c r="T127" s="267" t="str">
        <f>+IF(MARZO!T127=0,"",MARZO!T127)</f>
        <v>Comunicaciones y Transportes</v>
      </c>
      <c r="U127" s="373">
        <f>+ENERO!U127</f>
        <v>341244561.11111116</v>
      </c>
      <c r="V127" s="220">
        <f>MARZO!V127+ABRIL!AL127</f>
        <v>0</v>
      </c>
      <c r="W127" s="220">
        <f>MARZO!W127+ABRIL!AM127</f>
        <v>0</v>
      </c>
      <c r="X127" s="271">
        <f t="shared" si="130"/>
        <v>341244561.11111116</v>
      </c>
      <c r="Y127" s="270">
        <f>MARZO!AA127</f>
        <v>211274100</v>
      </c>
      <c r="Z127" s="208">
        <v>1184000</v>
      </c>
      <c r="AA127" s="271">
        <f t="shared" si="131"/>
        <v>212458100</v>
      </c>
      <c r="AB127" s="270">
        <f>MARZO!AD127</f>
        <v>39486304</v>
      </c>
      <c r="AC127" s="208">
        <v>12912624</v>
      </c>
      <c r="AD127" s="271">
        <f t="shared" si="132"/>
        <v>52398928</v>
      </c>
      <c r="AE127" s="270">
        <f>MARZO!AG127</f>
        <v>19714600</v>
      </c>
      <c r="AF127" s="208">
        <v>11398932</v>
      </c>
      <c r="AG127" s="271">
        <f t="shared" si="133"/>
        <v>31113532</v>
      </c>
      <c r="AH127" s="270">
        <f t="shared" si="134"/>
        <v>128786461.11111116</v>
      </c>
      <c r="AI127" s="220">
        <f t="shared" si="135"/>
        <v>288845633.11111116</v>
      </c>
      <c r="AJ127" s="269">
        <f t="shared" si="136"/>
        <v>310131029.11111116</v>
      </c>
      <c r="AK127" s="101"/>
      <c r="AL127" s="204">
        <v>0</v>
      </c>
      <c r="AM127" s="210">
        <v>0</v>
      </c>
    </row>
    <row r="128" spans="1:39" ht="24.75" customHeight="1">
      <c r="A128" s="439" t="s">
        <v>280</v>
      </c>
      <c r="B128" s="440"/>
      <c r="C128" s="876">
        <f>SUM(C124+C111+C102+C92+C83+C80+C77+C74+C71+C68+C65+C62+C59+C56+C53+C50+C47+C44+C37+C34+C31+C27+C24)</f>
        <v>19182884469.099998</v>
      </c>
      <c r="D128" s="876">
        <f>SUMIF($B8:$B$122,$B$24,D8:D122)+D122</f>
        <v>0</v>
      </c>
      <c r="E128" s="876">
        <f>SUM(E124+E111+E102+E92+E83+E80+E77+E74+E71+E68+E65+E62+E59+E56+E53+E50+E47+E44+E37+E34+E31+E27+E24)</f>
        <v>6880957871</v>
      </c>
      <c r="F128" s="876">
        <f>SUM(F124+F111+F102+F92+F83+F80+F77+F74+F71+F68+F65+F62+F59+F56+F53+F50+F47+F44+F37+F34+F31+F27+F24)</f>
        <v>26063842340.099998</v>
      </c>
      <c r="G128" s="876">
        <f>SUMIF($B8:$B$122,$B$24,G8:G122)+G122</f>
        <v>25300790724</v>
      </c>
      <c r="H128" s="876">
        <f>SUM(H124+H111+H102+H92+H83+H80+H77+H74+H71+H68+H65+H62+H59+H56+H53+H50+H47+H44+H37+H34+H31+H27+H24)</f>
        <v>6705179618</v>
      </c>
      <c r="I128" s="876">
        <f>SUM(I124+I111+I102+I92+I83+I80+I77+I74+I71+I68+I65+I62+I59+I56+I53+I50+I47+I44+I37+I34+I31+I27+I24)</f>
        <v>32025707131</v>
      </c>
      <c r="J128" s="876">
        <f>SUMIF($B8:$B$122,$B$24,J8:J122)+J1211</f>
        <v>25300790724</v>
      </c>
      <c r="K128" s="876">
        <f>SUM(K124+K111+K102+K92+K83+K80+K77+K74+K71+K68+K65+K62+K59+K56+K53+K50+K47+K44+K37+K34+K31+K27+K24)</f>
        <v>6705179618</v>
      </c>
      <c r="L128" s="876">
        <f>SUM(L124+L111+L102+L92+L83+L80+L77+L74+L71+L68+L65+L62+L59+L56+L53+L50+L47+L44+L37+L34+L31+L27+L24)</f>
        <v>32025707131</v>
      </c>
      <c r="M128" s="876">
        <f>SUMIF($B8:$B$122,$B$24,M8:M122)+M12</f>
        <v>-5961864790.8999996</v>
      </c>
      <c r="N128" s="442">
        <f>SUMIF($B8:$B$122,$B$24,N8:N122)+N122</f>
        <v>-5961864790.8999996</v>
      </c>
      <c r="O128" s="369"/>
      <c r="P128" s="441">
        <f>SUMIF($B8:$B$122,$B$24,P8:P122)+P122</f>
        <v>0</v>
      </c>
      <c r="Q128" s="443">
        <f>SUMIF($B8:$B$122,$B$24,Q8:Q122)+Q122</f>
        <v>6861221082</v>
      </c>
      <c r="R128" s="101"/>
      <c r="S128" s="266" t="str">
        <f>+IF(MARZO!S128=0,"",MARZO!S128)</f>
        <v>2.1.2.02.02.006.604</v>
      </c>
      <c r="T128" s="267" t="str">
        <f>+IF(MARZO!T128=0,"",MARZO!T128)</f>
        <v>Impresos y Publicaciones</v>
      </c>
      <c r="U128" s="373">
        <f>+ENERO!U128</f>
        <v>327220927.08333331</v>
      </c>
      <c r="V128" s="220">
        <f>MARZO!V128+ABRIL!AL128</f>
        <v>0</v>
      </c>
      <c r="W128" s="220">
        <f>MARZO!W128+ABRIL!AM128</f>
        <v>0</v>
      </c>
      <c r="X128" s="271">
        <f t="shared" si="130"/>
        <v>327220927.08333331</v>
      </c>
      <c r="Y128" s="270">
        <f>MARZO!AA128</f>
        <v>216256100</v>
      </c>
      <c r="Z128" s="208">
        <v>5694000</v>
      </c>
      <c r="AA128" s="271">
        <f t="shared" si="131"/>
        <v>221950100</v>
      </c>
      <c r="AB128" s="270">
        <f>MARZO!AD128</f>
        <v>84904071</v>
      </c>
      <c r="AC128" s="208">
        <v>37381403</v>
      </c>
      <c r="AD128" s="271">
        <f t="shared" si="132"/>
        <v>122285474</v>
      </c>
      <c r="AE128" s="270">
        <f>MARZO!AG128</f>
        <v>560000</v>
      </c>
      <c r="AF128" s="208">
        <v>15696100</v>
      </c>
      <c r="AG128" s="271">
        <f t="shared" si="133"/>
        <v>16256100</v>
      </c>
      <c r="AH128" s="270">
        <f t="shared" si="134"/>
        <v>105270827.08333331</v>
      </c>
      <c r="AI128" s="220">
        <f t="shared" si="135"/>
        <v>204935453.08333331</v>
      </c>
      <c r="AJ128" s="269">
        <f t="shared" si="136"/>
        <v>310964827.08333331</v>
      </c>
      <c r="AK128" s="101"/>
      <c r="AL128" s="204">
        <v>0</v>
      </c>
      <c r="AM128" s="210">
        <v>0</v>
      </c>
    </row>
    <row r="129" spans="1:39" ht="24.75" customHeight="1">
      <c r="A129" s="556"/>
      <c r="B129" s="399"/>
      <c r="C129" s="400"/>
      <c r="D129" s="400"/>
      <c r="E129" s="400"/>
      <c r="F129" s="400"/>
      <c r="G129" s="400"/>
      <c r="H129" s="400"/>
      <c r="I129" s="400"/>
      <c r="J129" s="400"/>
      <c r="K129" s="400"/>
      <c r="L129" s="400"/>
      <c r="M129" s="400"/>
      <c r="N129" s="401"/>
      <c r="O129" s="67"/>
      <c r="P129" s="402"/>
      <c r="Q129" s="401"/>
      <c r="R129" s="101"/>
      <c r="S129" s="266" t="str">
        <f>+IF(MARZO!S129=0,"",MARZO!S129)</f>
        <v>2.1.2.02.02.009.905</v>
      </c>
      <c r="T129" s="267" t="str">
        <f>+IF(MARZO!T129=0,"",MARZO!T129)</f>
        <v>Servicios de Capacitacion</v>
      </c>
      <c r="U129" s="373">
        <f>+ENERO!U129</f>
        <v>41029431.25</v>
      </c>
      <c r="V129" s="220">
        <f>MARZO!V129+ABRIL!AL129</f>
        <v>0</v>
      </c>
      <c r="W129" s="220">
        <f>MARZO!W129+ABRIL!AM129</f>
        <v>0</v>
      </c>
      <c r="X129" s="271">
        <f t="shared" si="130"/>
        <v>41029431.25</v>
      </c>
      <c r="Y129" s="270">
        <f>MARZO!AA129</f>
        <v>0</v>
      </c>
      <c r="Z129" s="208">
        <v>0</v>
      </c>
      <c r="AA129" s="271">
        <f t="shared" si="131"/>
        <v>0</v>
      </c>
      <c r="AB129" s="270">
        <f>MARZO!AD129</f>
        <v>0</v>
      </c>
      <c r="AC129" s="208">
        <v>0</v>
      </c>
      <c r="AD129" s="271">
        <f t="shared" si="132"/>
        <v>0</v>
      </c>
      <c r="AE129" s="270">
        <f>MARZO!AG129</f>
        <v>0</v>
      </c>
      <c r="AF129" s="208">
        <v>0</v>
      </c>
      <c r="AG129" s="271">
        <f t="shared" si="133"/>
        <v>0</v>
      </c>
      <c r="AH129" s="270">
        <f t="shared" si="134"/>
        <v>41029431.25</v>
      </c>
      <c r="AI129" s="220">
        <f t="shared" si="135"/>
        <v>41029431.25</v>
      </c>
      <c r="AJ129" s="269">
        <f t="shared" si="136"/>
        <v>41029431.25</v>
      </c>
      <c r="AK129" s="101"/>
      <c r="AL129" s="204">
        <v>0</v>
      </c>
      <c r="AM129" s="210">
        <v>0</v>
      </c>
    </row>
    <row r="130" spans="1:39" ht="24.75" customHeight="1">
      <c r="A130" s="444" t="s">
        <v>282</v>
      </c>
      <c r="B130" s="445"/>
      <c r="C130" s="446">
        <f t="shared" ref="C130:N130" si="138">C128+C126</f>
        <v>158143153137.47653</v>
      </c>
      <c r="D130" s="447">
        <f t="shared" si="138"/>
        <v>0</v>
      </c>
      <c r="E130" s="447">
        <f t="shared" si="138"/>
        <v>22608140434</v>
      </c>
      <c r="F130" s="448">
        <f t="shared" si="138"/>
        <v>180751293571.47653</v>
      </c>
      <c r="G130" s="446">
        <f t="shared" si="138"/>
        <v>68007477260</v>
      </c>
      <c r="H130" s="447">
        <f t="shared" si="138"/>
        <v>22498825557</v>
      </c>
      <c r="I130" s="448">
        <f t="shared" si="138"/>
        <v>90506302817</v>
      </c>
      <c r="J130" s="446">
        <f t="shared" si="138"/>
        <v>34566012008</v>
      </c>
      <c r="K130" s="447">
        <f t="shared" si="138"/>
        <v>13122481844</v>
      </c>
      <c r="L130" s="448">
        <f t="shared" si="138"/>
        <v>47688493852</v>
      </c>
      <c r="M130" s="446">
        <f t="shared" si="138"/>
        <v>90244990754.476517</v>
      </c>
      <c r="N130" s="448">
        <f t="shared" si="138"/>
        <v>133062799719.47653</v>
      </c>
      <c r="O130" s="67"/>
      <c r="P130" s="437">
        <f>P128+P126</f>
        <v>0</v>
      </c>
      <c r="Q130" s="438">
        <f>Q128+Q126</f>
        <v>7561437139</v>
      </c>
      <c r="R130" s="101"/>
      <c r="S130" s="266" t="str">
        <f>+IF(MARZO!S130=0,"",MARZO!S130)</f>
        <v>2.1.2.02.02.008.804</v>
      </c>
      <c r="T130" s="267" t="str">
        <f>+IF(MARZO!T130=0,"",MARZO!T130)</f>
        <v xml:space="preserve">Vigilancia </v>
      </c>
      <c r="U130" s="373">
        <f>+ENERO!U130</f>
        <v>2929064955.833333</v>
      </c>
      <c r="V130" s="220">
        <f>MARZO!V130+ABRIL!AL130</f>
        <v>-540000000</v>
      </c>
      <c r="W130" s="220">
        <f>MARZO!W130+ABRIL!AM130</f>
        <v>0</v>
      </c>
      <c r="X130" s="271">
        <f t="shared" si="130"/>
        <v>2389064955.833333</v>
      </c>
      <c r="Y130" s="270">
        <f>MARZO!AA130</f>
        <v>2320627096</v>
      </c>
      <c r="Z130" s="208">
        <v>0</v>
      </c>
      <c r="AA130" s="271">
        <f t="shared" si="131"/>
        <v>2320627096</v>
      </c>
      <c r="AB130" s="270">
        <f>MARZO!AD130</f>
        <v>382601969</v>
      </c>
      <c r="AC130" s="208">
        <v>382569060</v>
      </c>
      <c r="AD130" s="271">
        <f t="shared" si="132"/>
        <v>765171029</v>
      </c>
      <c r="AE130" s="270">
        <f>MARZO!AG130</f>
        <v>191317439</v>
      </c>
      <c r="AF130" s="208">
        <v>191284530</v>
      </c>
      <c r="AG130" s="271">
        <f t="shared" si="133"/>
        <v>382601969</v>
      </c>
      <c r="AH130" s="270">
        <f t="shared" si="134"/>
        <v>68437859.833333015</v>
      </c>
      <c r="AI130" s="220">
        <f t="shared" si="135"/>
        <v>1623893926.833333</v>
      </c>
      <c r="AJ130" s="269">
        <f t="shared" si="136"/>
        <v>2006462986.833333</v>
      </c>
      <c r="AK130" s="101"/>
      <c r="AL130" s="204">
        <v>0</v>
      </c>
      <c r="AM130" s="210">
        <v>0</v>
      </c>
    </row>
    <row r="131" spans="1:39" ht="24.75" customHeight="1">
      <c r="A131" s="542"/>
      <c r="B131" s="453"/>
      <c r="C131" s="67"/>
      <c r="D131" s="67"/>
      <c r="E131" s="67"/>
      <c r="F131" s="67"/>
      <c r="G131" s="67"/>
      <c r="H131" s="67"/>
      <c r="I131" s="67"/>
      <c r="J131" s="67"/>
      <c r="K131" s="67"/>
      <c r="L131" s="67"/>
      <c r="M131" s="67"/>
      <c r="N131" s="101"/>
      <c r="O131" s="67"/>
      <c r="P131" s="67"/>
      <c r="Q131" s="67"/>
      <c r="R131" s="101"/>
      <c r="S131" s="266" t="str">
        <f>+IF(MARZO!S131=0,"",MARZO!S131)</f>
        <v>2.1.2.02.02.009.908</v>
      </c>
      <c r="T131" s="267" t="str">
        <f>+IF(MARZO!T131=0,"",MARZO!T131)</f>
        <v>Bienestar Social</v>
      </c>
      <c r="U131" s="373">
        <f>+ENERO!U131</f>
        <v>326592555</v>
      </c>
      <c r="V131" s="220">
        <f>MARZO!V131+ABRIL!AL131</f>
        <v>29000307</v>
      </c>
      <c r="W131" s="220">
        <f>MARZO!W131+ABRIL!AM131</f>
        <v>169879991</v>
      </c>
      <c r="X131" s="271">
        <f t="shared" si="130"/>
        <v>525472853</v>
      </c>
      <c r="Y131" s="270">
        <f>MARZO!AA131</f>
        <v>435181376</v>
      </c>
      <c r="Z131" s="208">
        <v>4723500</v>
      </c>
      <c r="AA131" s="271">
        <f t="shared" si="131"/>
        <v>439904876</v>
      </c>
      <c r="AB131" s="270">
        <f>MARZO!AD131</f>
        <v>362994503</v>
      </c>
      <c r="AC131" s="208">
        <v>4723500</v>
      </c>
      <c r="AD131" s="271">
        <f t="shared" si="132"/>
        <v>367718003</v>
      </c>
      <c r="AE131" s="270">
        <f>MARZO!AG131</f>
        <v>42210932</v>
      </c>
      <c r="AF131" s="208">
        <v>4723500</v>
      </c>
      <c r="AG131" s="271">
        <f t="shared" si="133"/>
        <v>46934432</v>
      </c>
      <c r="AH131" s="270">
        <f t="shared" si="134"/>
        <v>85567977</v>
      </c>
      <c r="AI131" s="220">
        <f t="shared" si="135"/>
        <v>157754850</v>
      </c>
      <c r="AJ131" s="269">
        <f t="shared" si="136"/>
        <v>478538421</v>
      </c>
      <c r="AK131" s="101"/>
      <c r="AL131" s="204">
        <v>0</v>
      </c>
      <c r="AM131" s="210">
        <v>0</v>
      </c>
    </row>
    <row r="132" spans="1:39" ht="24.75" customHeight="1">
      <c r="A132" s="542"/>
      <c r="B132" s="453"/>
      <c r="C132" s="67"/>
      <c r="D132" s="67"/>
      <c r="E132" s="67"/>
      <c r="F132" s="67"/>
      <c r="G132" s="67"/>
      <c r="H132" s="67"/>
      <c r="I132" s="67"/>
      <c r="J132" s="67"/>
      <c r="K132" s="67"/>
      <c r="L132" s="67"/>
      <c r="M132" s="67"/>
      <c r="N132" s="101"/>
      <c r="O132" s="67"/>
      <c r="P132" s="67"/>
      <c r="Q132" s="67"/>
      <c r="R132" s="101"/>
      <c r="S132" s="266" t="str">
        <f>+IF(MARZO!S132=0,"",MARZO!S132)</f>
        <v>2.1.2.02.02.010</v>
      </c>
      <c r="T132" s="267" t="str">
        <f>+IF(MARZO!T132=0,"",MARZO!T132)</f>
        <v>Viáticos de los funcionarios en comisión</v>
      </c>
      <c r="U132" s="373">
        <f>+ENERO!U132</f>
        <v>3000000</v>
      </c>
      <c r="V132" s="220">
        <f>MARZO!V132+ABRIL!AL132</f>
        <v>0</v>
      </c>
      <c r="W132" s="220">
        <f>MARZO!W132+ABRIL!AM132</f>
        <v>0</v>
      </c>
      <c r="X132" s="271">
        <f t="shared" si="130"/>
        <v>3000000</v>
      </c>
      <c r="Y132" s="270">
        <f>MARZO!AA132</f>
        <v>1456623</v>
      </c>
      <c r="Z132" s="208">
        <v>0</v>
      </c>
      <c r="AA132" s="271">
        <f t="shared" si="131"/>
        <v>1456623</v>
      </c>
      <c r="AB132" s="270">
        <f>MARZO!AD132</f>
        <v>1456623</v>
      </c>
      <c r="AC132" s="208">
        <v>0</v>
      </c>
      <c r="AD132" s="271">
        <f t="shared" si="132"/>
        <v>1456623</v>
      </c>
      <c r="AE132" s="270">
        <f>MARZO!AG132</f>
        <v>0</v>
      </c>
      <c r="AF132" s="208">
        <v>0</v>
      </c>
      <c r="AG132" s="271">
        <f t="shared" si="133"/>
        <v>0</v>
      </c>
      <c r="AH132" s="270">
        <f t="shared" si="134"/>
        <v>1543377</v>
      </c>
      <c r="AI132" s="220">
        <f t="shared" si="135"/>
        <v>1543377</v>
      </c>
      <c r="AJ132" s="269">
        <f t="shared" si="136"/>
        <v>3000000</v>
      </c>
      <c r="AK132" s="101"/>
      <c r="AL132" s="204">
        <v>0</v>
      </c>
      <c r="AM132" s="210">
        <v>0</v>
      </c>
    </row>
    <row r="133" spans="1:39" ht="24.75" customHeight="1">
      <c r="A133" s="542"/>
      <c r="B133" s="453"/>
      <c r="C133" s="67"/>
      <c r="D133" s="67"/>
      <c r="E133" s="67"/>
      <c r="F133" s="67"/>
      <c r="G133" s="67"/>
      <c r="H133" s="67"/>
      <c r="I133" s="67"/>
      <c r="J133" s="67"/>
      <c r="K133" s="67"/>
      <c r="L133" s="67"/>
      <c r="M133" s="67"/>
      <c r="N133" s="101"/>
      <c r="O133" s="67"/>
      <c r="P133" s="67"/>
      <c r="Q133" s="67"/>
      <c r="R133" s="101"/>
      <c r="S133" s="266" t="str">
        <f>+IF(MARZO!S133=0,"",MARZO!S133)</f>
        <v>2.1.2.02.02.009.903</v>
      </c>
      <c r="T133" s="267" t="str">
        <f>+IF(MARZO!T133=0,"",MARZO!T133)</f>
        <v>Servicios prestados por IPS</v>
      </c>
      <c r="U133" s="373">
        <f>+ENERO!U133</f>
        <v>5000000</v>
      </c>
      <c r="V133" s="220">
        <f>MARZO!V133+ABRIL!AL133</f>
        <v>0</v>
      </c>
      <c r="W133" s="220">
        <f>MARZO!W133+ABRIL!AM133</f>
        <v>0</v>
      </c>
      <c r="X133" s="271">
        <f t="shared" si="130"/>
        <v>5000000</v>
      </c>
      <c r="Y133" s="270">
        <f>MARZO!AA133</f>
        <v>0</v>
      </c>
      <c r="Z133" s="208">
        <v>0</v>
      </c>
      <c r="AA133" s="271">
        <f t="shared" si="131"/>
        <v>0</v>
      </c>
      <c r="AB133" s="270">
        <f>MARZO!AD133</f>
        <v>0</v>
      </c>
      <c r="AC133" s="208">
        <v>0</v>
      </c>
      <c r="AD133" s="271">
        <f t="shared" si="132"/>
        <v>0</v>
      </c>
      <c r="AE133" s="270">
        <f>MARZO!AG133</f>
        <v>0</v>
      </c>
      <c r="AF133" s="208">
        <v>0</v>
      </c>
      <c r="AG133" s="271">
        <f t="shared" si="133"/>
        <v>0</v>
      </c>
      <c r="AH133" s="270">
        <f t="shared" si="134"/>
        <v>5000000</v>
      </c>
      <c r="AI133" s="220">
        <f t="shared" si="135"/>
        <v>5000000</v>
      </c>
      <c r="AJ133" s="269">
        <f t="shared" si="136"/>
        <v>5000000</v>
      </c>
      <c r="AK133" s="101"/>
      <c r="AL133" s="204">
        <v>0</v>
      </c>
      <c r="AM133" s="210">
        <v>0</v>
      </c>
    </row>
    <row r="134" spans="1:39" ht="24.75" customHeight="1">
      <c r="A134" s="542"/>
      <c r="B134" s="453"/>
      <c r="C134" s="67"/>
      <c r="D134" s="67"/>
      <c r="E134" s="67"/>
      <c r="F134" s="67"/>
      <c r="G134" s="67"/>
      <c r="H134" s="67"/>
      <c r="I134" s="67"/>
      <c r="J134" s="67"/>
      <c r="K134" s="67"/>
      <c r="L134" s="67"/>
      <c r="M134" s="67"/>
      <c r="N134" s="101"/>
      <c r="O134" s="67"/>
      <c r="P134" s="67"/>
      <c r="Q134" s="67"/>
      <c r="R134" s="101"/>
      <c r="S134" s="266" t="str">
        <f>+IF(MARZO!S134=0,"",MARZO!S134)</f>
        <v>2010200-11</v>
      </c>
      <c r="T134" s="267" t="str">
        <f>+IF(MARZO!T134=0,"",MARZO!T134)</f>
        <v>Gastos Bancarios</v>
      </c>
      <c r="U134" s="373">
        <f>+ENERO!U134</f>
        <v>0</v>
      </c>
      <c r="V134" s="220">
        <f>MARZO!V134+ABRIL!AL134</f>
        <v>0</v>
      </c>
      <c r="W134" s="220">
        <f>MARZO!W134+ABRIL!AM134</f>
        <v>0</v>
      </c>
      <c r="X134" s="271">
        <f t="shared" si="130"/>
        <v>0</v>
      </c>
      <c r="Y134" s="270">
        <f>MARZO!AA134</f>
        <v>0</v>
      </c>
      <c r="Z134" s="208">
        <v>0</v>
      </c>
      <c r="AA134" s="271">
        <f t="shared" si="131"/>
        <v>0</v>
      </c>
      <c r="AB134" s="270">
        <f>MARZO!AD134</f>
        <v>0</v>
      </c>
      <c r="AC134" s="208">
        <v>0</v>
      </c>
      <c r="AD134" s="271">
        <f t="shared" si="132"/>
        <v>0</v>
      </c>
      <c r="AE134" s="270">
        <f>MARZO!AG134</f>
        <v>0</v>
      </c>
      <c r="AF134" s="208">
        <v>0</v>
      </c>
      <c r="AG134" s="271">
        <f t="shared" si="133"/>
        <v>0</v>
      </c>
      <c r="AH134" s="270">
        <f t="shared" si="134"/>
        <v>0</v>
      </c>
      <c r="AI134" s="220">
        <f t="shared" si="135"/>
        <v>0</v>
      </c>
      <c r="AJ134" s="269">
        <f t="shared" si="136"/>
        <v>0</v>
      </c>
      <c r="AK134" s="101"/>
      <c r="AL134" s="204">
        <v>0</v>
      </c>
      <c r="AM134" s="210">
        <v>0</v>
      </c>
    </row>
    <row r="135" spans="1:39" ht="24.75" customHeight="1">
      <c r="A135" s="542"/>
      <c r="B135" s="453"/>
      <c r="C135" s="67"/>
      <c r="D135" s="67"/>
      <c r="E135" s="67"/>
      <c r="F135" s="67"/>
      <c r="G135" s="67"/>
      <c r="H135" s="67"/>
      <c r="I135" s="67"/>
      <c r="J135" s="67"/>
      <c r="K135" s="67"/>
      <c r="L135" s="67"/>
      <c r="M135" s="67"/>
      <c r="N135" s="101"/>
      <c r="O135" s="67"/>
      <c r="P135" s="67"/>
      <c r="Q135" s="67"/>
      <c r="R135" s="101"/>
      <c r="S135" s="266" t="str">
        <f>+IF(MARZO!S135=0,"",MARZO!S135)</f>
        <v>2.1.2.02.02.009.909</v>
      </c>
      <c r="T135" s="267" t="str">
        <f>+IF(MARZO!T135=0,"",MARZO!T135)</f>
        <v>Convenio Docencia Servicios</v>
      </c>
      <c r="U135" s="373">
        <f>+ENERO!U135</f>
        <v>20000000</v>
      </c>
      <c r="V135" s="220">
        <f>MARZO!V135+ABRIL!AL135</f>
        <v>0</v>
      </c>
      <c r="W135" s="220">
        <f>MARZO!W135+ABRIL!AM135</f>
        <v>0</v>
      </c>
      <c r="X135" s="271">
        <f t="shared" si="130"/>
        <v>20000000</v>
      </c>
      <c r="Y135" s="270">
        <f>MARZO!AA135</f>
        <v>0</v>
      </c>
      <c r="Z135" s="208">
        <v>0</v>
      </c>
      <c r="AA135" s="271">
        <f t="shared" si="131"/>
        <v>0</v>
      </c>
      <c r="AB135" s="270">
        <f>MARZO!AD135</f>
        <v>0</v>
      </c>
      <c r="AC135" s="208">
        <v>0</v>
      </c>
      <c r="AD135" s="271">
        <f t="shared" si="132"/>
        <v>0</v>
      </c>
      <c r="AE135" s="270">
        <f>MARZO!AG135</f>
        <v>0</v>
      </c>
      <c r="AF135" s="208">
        <v>0</v>
      </c>
      <c r="AG135" s="271">
        <f t="shared" si="133"/>
        <v>0</v>
      </c>
      <c r="AH135" s="270">
        <f t="shared" si="134"/>
        <v>20000000</v>
      </c>
      <c r="AI135" s="220">
        <f t="shared" si="135"/>
        <v>20000000</v>
      </c>
      <c r="AJ135" s="269">
        <f t="shared" si="136"/>
        <v>20000000</v>
      </c>
      <c r="AK135" s="101"/>
      <c r="AL135" s="204">
        <v>0</v>
      </c>
      <c r="AM135" s="210">
        <v>0</v>
      </c>
    </row>
    <row r="136" spans="1:39" ht="24.75" customHeight="1">
      <c r="A136" s="542"/>
      <c r="B136" s="453"/>
      <c r="C136" s="67"/>
      <c r="D136" s="67"/>
      <c r="E136" s="67"/>
      <c r="F136" s="67"/>
      <c r="G136" s="67"/>
      <c r="H136" s="67"/>
      <c r="I136" s="67"/>
      <c r="J136" s="67"/>
      <c r="K136" s="67"/>
      <c r="L136" s="67"/>
      <c r="M136" s="67"/>
      <c r="N136" s="101"/>
      <c r="O136" s="67"/>
      <c r="P136" s="67"/>
      <c r="Q136" s="67"/>
      <c r="R136" s="101"/>
      <c r="S136" s="266" t="str">
        <f>+IF(MARZO!S136=0,"",MARZO!S136)</f>
        <v>2.1.2.02.02.008.809</v>
      </c>
      <c r="T136" s="267" t="str">
        <f>+IF(MARZO!T136=0,"",MARZO!T136)</f>
        <v>Publicidad</v>
      </c>
      <c r="U136" s="373">
        <f>+ENERO!U136</f>
        <v>0</v>
      </c>
      <c r="V136" s="220">
        <f>MARZO!V136+ABRIL!AL136</f>
        <v>0</v>
      </c>
      <c r="W136" s="220">
        <f>MARZO!W136+ABRIL!AM136</f>
        <v>0</v>
      </c>
      <c r="X136" s="271">
        <f t="shared" si="130"/>
        <v>0</v>
      </c>
      <c r="Y136" s="270">
        <f>MARZO!AA136</f>
        <v>0</v>
      </c>
      <c r="Z136" s="208">
        <v>0</v>
      </c>
      <c r="AA136" s="271">
        <f t="shared" si="131"/>
        <v>0</v>
      </c>
      <c r="AB136" s="270">
        <f>MARZO!AD136</f>
        <v>0</v>
      </c>
      <c r="AC136" s="208">
        <v>0</v>
      </c>
      <c r="AD136" s="271">
        <f t="shared" si="132"/>
        <v>0</v>
      </c>
      <c r="AE136" s="270">
        <f>MARZO!AG136</f>
        <v>0</v>
      </c>
      <c r="AF136" s="208">
        <v>0</v>
      </c>
      <c r="AG136" s="271">
        <f t="shared" si="133"/>
        <v>0</v>
      </c>
      <c r="AH136" s="270">
        <f t="shared" si="134"/>
        <v>0</v>
      </c>
      <c r="AI136" s="220">
        <f t="shared" si="135"/>
        <v>0</v>
      </c>
      <c r="AJ136" s="269">
        <f t="shared" si="136"/>
        <v>0</v>
      </c>
      <c r="AK136" s="101"/>
      <c r="AL136" s="204">
        <v>0</v>
      </c>
      <c r="AM136" s="210">
        <v>0</v>
      </c>
    </row>
    <row r="137" spans="1:39" ht="24.75" customHeight="1">
      <c r="A137" s="542"/>
      <c r="B137" s="453"/>
      <c r="C137" s="67"/>
      <c r="D137" s="67"/>
      <c r="E137" s="67"/>
      <c r="F137" s="67"/>
      <c r="G137" s="67"/>
      <c r="H137" s="67"/>
      <c r="I137" s="67"/>
      <c r="J137" s="67"/>
      <c r="K137" s="67"/>
      <c r="L137" s="67"/>
      <c r="M137" s="67"/>
      <c r="N137" s="101"/>
      <c r="O137" s="67"/>
      <c r="P137" s="67"/>
      <c r="Q137" s="67"/>
      <c r="R137" s="101"/>
      <c r="S137" s="266" t="str">
        <f>+IF(MARZO!S137=0,"",MARZO!S137)</f>
        <v/>
      </c>
      <c r="T137" s="267" t="str">
        <f>+IF(MARZO!T137=0,"",MARZO!T137)</f>
        <v/>
      </c>
      <c r="U137" s="373">
        <f>+ENERO!U137</f>
        <v>0</v>
      </c>
      <c r="V137" s="220">
        <f>MARZO!V137+ABRIL!AL137</f>
        <v>0</v>
      </c>
      <c r="W137" s="220">
        <f>MARZO!W137+ABRIL!AM137</f>
        <v>0</v>
      </c>
      <c r="X137" s="271">
        <f t="shared" si="130"/>
        <v>0</v>
      </c>
      <c r="Y137" s="270">
        <f>MARZO!AA137</f>
        <v>0</v>
      </c>
      <c r="Z137" s="208">
        <v>0</v>
      </c>
      <c r="AA137" s="271">
        <f t="shared" si="131"/>
        <v>0</v>
      </c>
      <c r="AB137" s="270">
        <f>MARZO!AD137</f>
        <v>0</v>
      </c>
      <c r="AC137" s="208">
        <v>0</v>
      </c>
      <c r="AD137" s="271">
        <f t="shared" si="132"/>
        <v>0</v>
      </c>
      <c r="AE137" s="270">
        <f>MARZO!AG137</f>
        <v>0</v>
      </c>
      <c r="AF137" s="208">
        <v>0</v>
      </c>
      <c r="AG137" s="271">
        <f t="shared" si="133"/>
        <v>0</v>
      </c>
      <c r="AH137" s="270">
        <f t="shared" si="134"/>
        <v>0</v>
      </c>
      <c r="AI137" s="220">
        <f t="shared" si="135"/>
        <v>0</v>
      </c>
      <c r="AJ137" s="269">
        <f t="shared" si="136"/>
        <v>0</v>
      </c>
      <c r="AK137" s="101"/>
      <c r="AL137" s="204">
        <v>0</v>
      </c>
      <c r="AM137" s="210">
        <v>0</v>
      </c>
    </row>
    <row r="138" spans="1:39" ht="24.75" customHeight="1">
      <c r="A138" s="542"/>
      <c r="B138" s="453"/>
      <c r="C138" s="67"/>
      <c r="D138" s="67"/>
      <c r="E138" s="67"/>
      <c r="F138" s="67"/>
      <c r="G138" s="67"/>
      <c r="H138" s="67"/>
      <c r="I138" s="67"/>
      <c r="J138" s="67"/>
      <c r="K138" s="67"/>
      <c r="L138" s="67"/>
      <c r="M138" s="67"/>
      <c r="N138" s="101"/>
      <c r="O138" s="67"/>
      <c r="P138" s="67"/>
      <c r="Q138" s="67"/>
      <c r="R138" s="101"/>
      <c r="S138" s="266" t="str">
        <f>+IF(MARZO!S138=0,"",MARZO!S138)</f>
        <v/>
      </c>
      <c r="T138" s="267" t="str">
        <f>+IF(MARZO!T138=0,"",MARZO!T138)</f>
        <v/>
      </c>
      <c r="U138" s="373">
        <f>+ENERO!U138</f>
        <v>0</v>
      </c>
      <c r="V138" s="220">
        <f>MARZO!V138+ABRIL!AL138</f>
        <v>0</v>
      </c>
      <c r="W138" s="220">
        <f>MARZO!W138+ABRIL!AM138</f>
        <v>0</v>
      </c>
      <c r="X138" s="271">
        <f t="shared" si="130"/>
        <v>0</v>
      </c>
      <c r="Y138" s="270">
        <f>MARZO!AA138</f>
        <v>0</v>
      </c>
      <c r="Z138" s="208">
        <v>0</v>
      </c>
      <c r="AA138" s="271">
        <f t="shared" si="131"/>
        <v>0</v>
      </c>
      <c r="AB138" s="270">
        <f>MARZO!AD138</f>
        <v>0</v>
      </c>
      <c r="AC138" s="208">
        <v>0</v>
      </c>
      <c r="AD138" s="271">
        <f t="shared" si="132"/>
        <v>0</v>
      </c>
      <c r="AE138" s="270">
        <f>MARZO!AG138</f>
        <v>0</v>
      </c>
      <c r="AF138" s="208">
        <v>0</v>
      </c>
      <c r="AG138" s="271">
        <f t="shared" si="133"/>
        <v>0</v>
      </c>
      <c r="AH138" s="270">
        <f t="shared" si="134"/>
        <v>0</v>
      </c>
      <c r="AI138" s="220">
        <f t="shared" si="135"/>
        <v>0</v>
      </c>
      <c r="AJ138" s="269">
        <f t="shared" si="136"/>
        <v>0</v>
      </c>
      <c r="AK138" s="101"/>
      <c r="AL138" s="204">
        <v>0</v>
      </c>
      <c r="AM138" s="210">
        <v>0</v>
      </c>
    </row>
    <row r="139" spans="1:39" ht="24.75" customHeight="1">
      <c r="A139" s="542"/>
      <c r="B139" s="453"/>
      <c r="C139" s="67"/>
      <c r="D139" s="67"/>
      <c r="E139" s="67"/>
      <c r="F139" s="67"/>
      <c r="G139" s="67"/>
      <c r="H139" s="67"/>
      <c r="I139" s="67"/>
      <c r="J139" s="67"/>
      <c r="K139" s="67"/>
      <c r="L139" s="67"/>
      <c r="M139" s="67"/>
      <c r="N139" s="101"/>
      <c r="O139" s="67"/>
      <c r="P139" s="67"/>
      <c r="Q139" s="67"/>
      <c r="R139" s="101"/>
      <c r="S139" s="266" t="str">
        <f>+IF(MARZO!S139=0,"",MARZO!S139)</f>
        <v>2.1.2.02.02.008.99.01</v>
      </c>
      <c r="T139" s="267" t="str">
        <f>+IF(MARZO!T139=0,"",MARZO!T139)</f>
        <v xml:space="preserve">Vigencias Anteriores Serv.Publicos </v>
      </c>
      <c r="U139" s="373">
        <f>+ENERO!U139</f>
        <v>368200000</v>
      </c>
      <c r="V139" s="220">
        <f>MARZO!V139+ABRIL!AL139</f>
        <v>0</v>
      </c>
      <c r="W139" s="220">
        <f>MARZO!W139+ABRIL!AM139</f>
        <v>0</v>
      </c>
      <c r="X139" s="271">
        <f t="shared" si="130"/>
        <v>368200000</v>
      </c>
      <c r="Y139" s="270">
        <f>MARZO!AA139</f>
        <v>234444435</v>
      </c>
      <c r="Z139" s="208">
        <v>0</v>
      </c>
      <c r="AA139" s="271">
        <f t="shared" si="131"/>
        <v>234444435</v>
      </c>
      <c r="AB139" s="270">
        <f>MARZO!AD139</f>
        <v>234444435</v>
      </c>
      <c r="AC139" s="208">
        <v>0</v>
      </c>
      <c r="AD139" s="271">
        <f t="shared" si="132"/>
        <v>234444435</v>
      </c>
      <c r="AE139" s="270">
        <f>MARZO!AG139</f>
        <v>234444435</v>
      </c>
      <c r="AF139" s="208">
        <v>0</v>
      </c>
      <c r="AG139" s="271">
        <f t="shared" si="133"/>
        <v>234444435</v>
      </c>
      <c r="AH139" s="270">
        <f t="shared" si="134"/>
        <v>133755565</v>
      </c>
      <c r="AI139" s="220">
        <f t="shared" si="135"/>
        <v>133755565</v>
      </c>
      <c r="AJ139" s="269">
        <f t="shared" si="136"/>
        <v>133755565</v>
      </c>
      <c r="AK139" s="101"/>
      <c r="AL139" s="204">
        <v>0</v>
      </c>
      <c r="AM139" s="210">
        <v>0</v>
      </c>
    </row>
    <row r="140" spans="1:39" ht="24.75" customHeight="1">
      <c r="A140" s="542"/>
      <c r="B140" s="453"/>
      <c r="C140" s="67"/>
      <c r="D140" s="67"/>
      <c r="E140" s="67"/>
      <c r="F140" s="67"/>
      <c r="G140" s="67"/>
      <c r="H140" s="67"/>
      <c r="I140" s="67"/>
      <c r="J140" s="67"/>
      <c r="K140" s="67"/>
      <c r="L140" s="67"/>
      <c r="M140" s="67"/>
      <c r="N140" s="101"/>
      <c r="O140" s="67"/>
      <c r="P140" s="67"/>
      <c r="Q140" s="67"/>
      <c r="R140" s="101"/>
      <c r="S140" s="189">
        <f>+IF(MARZO!S140=0,"",MARZO!S140)</f>
        <v>233459072</v>
      </c>
      <c r="T140" s="488" t="str">
        <f>+IF(MARZO!T140=0,"",MARZO!T140)</f>
        <v/>
      </c>
      <c r="U140" s="191"/>
      <c r="V140" s="191"/>
      <c r="W140" s="191"/>
      <c r="X140" s="191"/>
      <c r="Y140" s="191"/>
      <c r="Z140" s="191"/>
      <c r="AA140" s="191"/>
      <c r="AB140" s="191"/>
      <c r="AC140" s="191"/>
      <c r="AD140" s="191"/>
      <c r="AE140" s="191"/>
      <c r="AF140" s="191"/>
      <c r="AG140" s="191"/>
      <c r="AH140" s="191"/>
      <c r="AI140" s="191"/>
      <c r="AJ140" s="192"/>
      <c r="AK140" s="216"/>
      <c r="AL140" s="370"/>
      <c r="AM140" s="371"/>
    </row>
    <row r="141" spans="1:39" ht="24.75" customHeight="1">
      <c r="A141" s="542"/>
      <c r="B141" s="453"/>
      <c r="C141" s="67"/>
      <c r="D141" s="67"/>
      <c r="E141" s="67"/>
      <c r="F141" s="67"/>
      <c r="G141" s="67"/>
      <c r="H141" s="67"/>
      <c r="I141" s="67"/>
      <c r="J141" s="67"/>
      <c r="K141" s="67"/>
      <c r="L141" s="67"/>
      <c r="M141" s="67"/>
      <c r="N141" s="101"/>
      <c r="O141" s="67"/>
      <c r="P141" s="67"/>
      <c r="Q141" s="67"/>
      <c r="R141" s="101"/>
      <c r="S141" s="257" t="str">
        <f>+IF(MARZO!S141=0,"",MARZO!S141)</f>
        <v>2.1.8.01</v>
      </c>
      <c r="T141" s="546" t="str">
        <f>+IF(MARZO!T141=0,"",MARZO!T141)</f>
        <v>Impuestos y Multas</v>
      </c>
      <c r="U141" s="230">
        <f t="shared" ref="U141:AJ141" si="139">U142+U143</f>
        <v>548000000</v>
      </c>
      <c r="V141" s="231">
        <f t="shared" si="139"/>
        <v>0</v>
      </c>
      <c r="W141" s="231">
        <f t="shared" si="139"/>
        <v>0</v>
      </c>
      <c r="X141" s="234">
        <f t="shared" si="139"/>
        <v>548000000</v>
      </c>
      <c r="Y141" s="233">
        <f t="shared" si="139"/>
        <v>69144940</v>
      </c>
      <c r="Z141" s="231">
        <f t="shared" si="139"/>
        <v>18460000</v>
      </c>
      <c r="AA141" s="234">
        <f t="shared" si="139"/>
        <v>87604940</v>
      </c>
      <c r="AB141" s="233">
        <f t="shared" si="139"/>
        <v>69144940</v>
      </c>
      <c r="AC141" s="231">
        <f t="shared" si="139"/>
        <v>18460000</v>
      </c>
      <c r="AD141" s="234">
        <f t="shared" si="139"/>
        <v>87604940</v>
      </c>
      <c r="AE141" s="233">
        <f t="shared" si="139"/>
        <v>69144940</v>
      </c>
      <c r="AF141" s="231">
        <f t="shared" si="139"/>
        <v>18460000</v>
      </c>
      <c r="AG141" s="234">
        <f t="shared" si="139"/>
        <v>87604940</v>
      </c>
      <c r="AH141" s="233">
        <f t="shared" si="139"/>
        <v>460395060</v>
      </c>
      <c r="AI141" s="231">
        <f t="shared" si="139"/>
        <v>460395060</v>
      </c>
      <c r="AJ141" s="232">
        <f t="shared" si="139"/>
        <v>460395060</v>
      </c>
      <c r="AK141" s="216"/>
      <c r="AL141" s="233">
        <f>AL142+AL143</f>
        <v>0</v>
      </c>
      <c r="AM141" s="232">
        <f>AM142+AM143</f>
        <v>0</v>
      </c>
    </row>
    <row r="142" spans="1:39" ht="24.75" customHeight="1">
      <c r="A142" s="542"/>
      <c r="B142" s="453"/>
      <c r="C142" s="67"/>
      <c r="D142" s="67"/>
      <c r="E142" s="67"/>
      <c r="F142" s="67"/>
      <c r="G142" s="67"/>
      <c r="H142" s="67"/>
      <c r="I142" s="67"/>
      <c r="J142" s="67"/>
      <c r="K142" s="67"/>
      <c r="L142" s="67"/>
      <c r="M142" s="67"/>
      <c r="N142" s="101"/>
      <c r="O142" s="67"/>
      <c r="P142" s="67"/>
      <c r="Q142" s="67"/>
      <c r="R142" s="101"/>
      <c r="S142" s="266" t="str">
        <f>+IF(MARZO!S142=0,"",MARZO!S142)</f>
        <v>2.1.8.01.52</v>
      </c>
      <c r="T142" s="267" t="s">
        <v>683</v>
      </c>
      <c r="U142" s="373">
        <f>+ENERO!U142</f>
        <v>148000000</v>
      </c>
      <c r="V142" s="220">
        <f>MARZO!V142+ABRIL!AL142</f>
        <v>0</v>
      </c>
      <c r="W142" s="220">
        <f>MARZO!W142+ABRIL!AM142</f>
        <v>0</v>
      </c>
      <c r="X142" s="271">
        <f>SUM(U142:W142)</f>
        <v>148000000</v>
      </c>
      <c r="Y142" s="270">
        <f>MARZO!AA142</f>
        <v>0</v>
      </c>
      <c r="Z142" s="208">
        <v>0</v>
      </c>
      <c r="AA142" s="271">
        <f>SUM(Y142:Z142)</f>
        <v>0</v>
      </c>
      <c r="AB142" s="270">
        <f>MARZO!AD142</f>
        <v>0</v>
      </c>
      <c r="AC142" s="208">
        <v>0</v>
      </c>
      <c r="AD142" s="271">
        <f>SUM(AB142:AC142)</f>
        <v>0</v>
      </c>
      <c r="AE142" s="270">
        <f>MARZO!AG142</f>
        <v>0</v>
      </c>
      <c r="AF142" s="208">
        <v>0</v>
      </c>
      <c r="AG142" s="271">
        <f>SUM(AE142:AF142)</f>
        <v>0</v>
      </c>
      <c r="AH142" s="270">
        <f>X142-AA142</f>
        <v>148000000</v>
      </c>
      <c r="AI142" s="220">
        <f>X142-AD142</f>
        <v>148000000</v>
      </c>
      <c r="AJ142" s="269">
        <f>X142-AG142</f>
        <v>148000000</v>
      </c>
      <c r="AK142" s="101"/>
      <c r="AL142" s="204">
        <v>0</v>
      </c>
      <c r="AM142" s="210">
        <v>0</v>
      </c>
    </row>
    <row r="143" spans="1:39" ht="24.75" customHeight="1">
      <c r="A143" s="542"/>
      <c r="B143" s="453"/>
      <c r="C143" s="67"/>
      <c r="D143" s="67"/>
      <c r="E143" s="67"/>
      <c r="F143" s="67"/>
      <c r="G143" s="67"/>
      <c r="H143" s="67"/>
      <c r="I143" s="67"/>
      <c r="J143" s="67"/>
      <c r="K143" s="67"/>
      <c r="L143" s="67"/>
      <c r="M143" s="67"/>
      <c r="N143" s="101"/>
      <c r="O143" s="67"/>
      <c r="P143" s="67"/>
      <c r="Q143" s="67"/>
      <c r="R143" s="101"/>
      <c r="S143" s="266" t="str">
        <f>+IF(MARZO!S143=0,"",MARZO!S143)</f>
        <v>2.1.8.01.54</v>
      </c>
      <c r="T143" s="267" t="str">
        <f>+IF(MARZO!T143=0,"",MARZO!T143)</f>
        <v>Impuesto de Industria y comercio</v>
      </c>
      <c r="U143" s="373">
        <f>+ENERO!U143</f>
        <v>400000000</v>
      </c>
      <c r="V143" s="220">
        <f>MARZO!V143+ABRIL!AL143</f>
        <v>0</v>
      </c>
      <c r="W143" s="220">
        <f>MARZO!W143+ABRIL!AM143</f>
        <v>0</v>
      </c>
      <c r="X143" s="271">
        <f>SUM(U143:W143)</f>
        <v>400000000</v>
      </c>
      <c r="Y143" s="270">
        <f>MARZO!AA143</f>
        <v>69144940</v>
      </c>
      <c r="Z143" s="208">
        <v>18460000</v>
      </c>
      <c r="AA143" s="271">
        <f>SUM(Y143:Z143)</f>
        <v>87604940</v>
      </c>
      <c r="AB143" s="270">
        <f>MARZO!AD143</f>
        <v>69144940</v>
      </c>
      <c r="AC143" s="208">
        <v>18460000</v>
      </c>
      <c r="AD143" s="271">
        <f>SUM(AB143:AC143)</f>
        <v>87604940</v>
      </c>
      <c r="AE143" s="270">
        <f>MARZO!AG143</f>
        <v>69144940</v>
      </c>
      <c r="AF143" s="208">
        <v>18460000</v>
      </c>
      <c r="AG143" s="271">
        <f>SUM(AE143:AF143)</f>
        <v>87604940</v>
      </c>
      <c r="AH143" s="270">
        <f>X143-AA143</f>
        <v>312395060</v>
      </c>
      <c r="AI143" s="220">
        <f>X143-AD143</f>
        <v>312395060</v>
      </c>
      <c r="AJ143" s="269">
        <f>X143-AG143</f>
        <v>312395060</v>
      </c>
      <c r="AK143" s="101"/>
      <c r="AL143" s="204">
        <v>0</v>
      </c>
      <c r="AM143" s="210">
        <v>0</v>
      </c>
    </row>
    <row r="144" spans="1:39" ht="24.75" customHeight="1">
      <c r="A144" s="542"/>
      <c r="B144" s="453"/>
      <c r="C144" s="67"/>
      <c r="D144" s="67"/>
      <c r="E144" s="67"/>
      <c r="F144" s="67"/>
      <c r="G144" s="67"/>
      <c r="H144" s="67"/>
      <c r="I144" s="67"/>
      <c r="J144" s="67"/>
      <c r="K144" s="67"/>
      <c r="L144" s="67"/>
      <c r="M144" s="67"/>
      <c r="N144" s="101"/>
      <c r="O144" s="67"/>
      <c r="P144" s="67"/>
      <c r="Q144" s="67"/>
      <c r="R144" s="101"/>
      <c r="S144" s="189">
        <f>+IF(MARZO!S144=0,"",MARZO!S144)</f>
        <v>8880056</v>
      </c>
      <c r="T144" s="488" t="str">
        <f>+IF(MARZO!T144=0,"",MARZO!T144)</f>
        <v/>
      </c>
      <c r="U144" s="191"/>
      <c r="V144" s="191"/>
      <c r="W144" s="191"/>
      <c r="X144" s="191"/>
      <c r="Y144" s="191"/>
      <c r="Z144" s="191"/>
      <c r="AA144" s="191"/>
      <c r="AB144" s="191"/>
      <c r="AC144" s="191"/>
      <c r="AD144" s="191"/>
      <c r="AE144" s="191"/>
      <c r="AF144" s="191"/>
      <c r="AG144" s="191"/>
      <c r="AH144" s="191"/>
      <c r="AI144" s="191"/>
      <c r="AJ144" s="192"/>
      <c r="AK144" s="101"/>
      <c r="AL144" s="370"/>
      <c r="AM144" s="371"/>
    </row>
    <row r="145" spans="19:39" ht="24.75" customHeight="1">
      <c r="S145" s="228">
        <f>+IF(MARZO!S145=0,"",MARZO!S145)</f>
        <v>2020010</v>
      </c>
      <c r="T145" s="229" t="str">
        <f>+IF(MARZO!T145=0,"",MARZO!T145)</f>
        <v>Gastos de Operación</v>
      </c>
      <c r="U145" s="230">
        <f t="shared" ref="U145:AJ145" si="140">U147+U155</f>
        <v>11892931308.176388</v>
      </c>
      <c r="V145" s="231">
        <f t="shared" si="140"/>
        <v>0</v>
      </c>
      <c r="W145" s="231">
        <f t="shared" si="140"/>
        <v>458814745</v>
      </c>
      <c r="X145" s="234">
        <f t="shared" si="140"/>
        <v>12351746053.176388</v>
      </c>
      <c r="Y145" s="233">
        <f t="shared" si="140"/>
        <v>3584457355</v>
      </c>
      <c r="Z145" s="231">
        <f t="shared" si="140"/>
        <v>382303368</v>
      </c>
      <c r="AA145" s="234">
        <f t="shared" si="140"/>
        <v>3966760723</v>
      </c>
      <c r="AB145" s="233">
        <f t="shared" si="140"/>
        <v>1854883091</v>
      </c>
      <c r="AC145" s="231">
        <f t="shared" si="140"/>
        <v>643437092</v>
      </c>
      <c r="AD145" s="234">
        <f t="shared" si="140"/>
        <v>2498320183</v>
      </c>
      <c r="AE145" s="233">
        <f t="shared" si="140"/>
        <v>807655344</v>
      </c>
      <c r="AF145" s="231">
        <f t="shared" si="140"/>
        <v>277817621</v>
      </c>
      <c r="AG145" s="234">
        <f t="shared" si="140"/>
        <v>1085472965</v>
      </c>
      <c r="AH145" s="233">
        <f t="shared" si="140"/>
        <v>8384985330.1763887</v>
      </c>
      <c r="AI145" s="231">
        <f t="shared" si="140"/>
        <v>9853425870.1763878</v>
      </c>
      <c r="AJ145" s="232">
        <f t="shared" si="140"/>
        <v>11266273088.176388</v>
      </c>
      <c r="AK145" s="216"/>
      <c r="AL145" s="233">
        <f>AL147+AL155</f>
        <v>0</v>
      </c>
      <c r="AM145" s="232">
        <f>AM147+AM155</f>
        <v>300000000</v>
      </c>
    </row>
    <row r="146" spans="19:39" ht="24.75" customHeight="1">
      <c r="S146" s="311">
        <f>+IF(MARZO!S146=0,"",MARZO!S146)</f>
        <v>2020010</v>
      </c>
      <c r="T146" s="312" t="str">
        <f>+IF(MARZO!T146=0,"",MARZO!T146)</f>
        <v/>
      </c>
      <c r="U146" s="299"/>
      <c r="V146" s="220"/>
      <c r="W146" s="220"/>
      <c r="X146" s="271"/>
      <c r="Y146" s="270"/>
      <c r="Z146" s="220"/>
      <c r="AA146" s="271"/>
      <c r="AB146" s="270"/>
      <c r="AC146" s="220"/>
      <c r="AD146" s="271"/>
      <c r="AE146" s="270"/>
      <c r="AF146" s="220"/>
      <c r="AG146" s="271"/>
      <c r="AH146" s="270"/>
      <c r="AI146" s="220"/>
      <c r="AJ146" s="269"/>
      <c r="AK146" s="101"/>
      <c r="AL146" s="370"/>
      <c r="AM146" s="371"/>
    </row>
    <row r="147" spans="19:39" ht="24.75" customHeight="1">
      <c r="S147" s="257" t="str">
        <f>+IF(MARZO!S147=0,"",MARZO!S147)</f>
        <v>2.1.2</v>
      </c>
      <c r="T147" s="546" t="str">
        <f>+IF(MARZO!T147=0,"",MARZO!T147)</f>
        <v>Adquisición de bienes</v>
      </c>
      <c r="U147" s="230">
        <f t="shared" ref="U147:AJ147" si="141">SUM(U148:U149)+U153</f>
        <v>3776193053.9541664</v>
      </c>
      <c r="V147" s="231">
        <f t="shared" si="141"/>
        <v>0</v>
      </c>
      <c r="W147" s="231">
        <f t="shared" si="141"/>
        <v>300000000</v>
      </c>
      <c r="X147" s="234">
        <f t="shared" si="141"/>
        <v>4076193053.9541664</v>
      </c>
      <c r="Y147" s="233">
        <f t="shared" si="141"/>
        <v>1250649008</v>
      </c>
      <c r="Z147" s="231">
        <f t="shared" si="141"/>
        <v>174628259</v>
      </c>
      <c r="AA147" s="234">
        <f t="shared" si="141"/>
        <v>1425277267</v>
      </c>
      <c r="AB147" s="233">
        <f t="shared" si="141"/>
        <v>816208662</v>
      </c>
      <c r="AC147" s="231">
        <f t="shared" si="141"/>
        <v>250348932</v>
      </c>
      <c r="AD147" s="234">
        <f t="shared" si="141"/>
        <v>1066557594</v>
      </c>
      <c r="AE147" s="233">
        <f t="shared" si="141"/>
        <v>306990553</v>
      </c>
      <c r="AF147" s="231">
        <f t="shared" si="141"/>
        <v>73563529</v>
      </c>
      <c r="AG147" s="234">
        <f t="shared" si="141"/>
        <v>380554082</v>
      </c>
      <c r="AH147" s="233">
        <f t="shared" si="141"/>
        <v>2650915786.9541664</v>
      </c>
      <c r="AI147" s="231">
        <f t="shared" si="141"/>
        <v>3009635459.9541664</v>
      </c>
      <c r="AJ147" s="232">
        <f t="shared" si="141"/>
        <v>3695638971.9541664</v>
      </c>
      <c r="AK147" s="101"/>
      <c r="AL147" s="233">
        <f>SUM(AL148:AL149)+AL153</f>
        <v>0</v>
      </c>
      <c r="AM147" s="232">
        <f>SUM(AM148:AM149)+AM153</f>
        <v>300000000</v>
      </c>
    </row>
    <row r="148" spans="19:39" ht="24.75" customHeight="1">
      <c r="S148" s="266" t="str">
        <f>+IF(MARZO!S148=0,"",MARZO!S148)</f>
        <v>2.1.2.02.01.003.305</v>
      </c>
      <c r="T148" s="267" t="str">
        <f>+IF(MARZO!T148=0,"",MARZO!T148)</f>
        <v>Mantenimiento -  Partes, accesorios, herramientas</v>
      </c>
      <c r="U148" s="373">
        <f>+ENERO!U148</f>
        <v>2090969100</v>
      </c>
      <c r="V148" s="220">
        <f>MARZO!V148+ABRIL!AL148</f>
        <v>0</v>
      </c>
      <c r="W148" s="220">
        <f>MARZO!W148+ABRIL!AM148</f>
        <v>0</v>
      </c>
      <c r="X148" s="271">
        <f>SUM(U148:W148)</f>
        <v>2090969100</v>
      </c>
      <c r="Y148" s="270">
        <f>MARZO!AA148</f>
        <v>373191950</v>
      </c>
      <c r="Z148" s="208">
        <v>10292450</v>
      </c>
      <c r="AA148" s="271">
        <f>SUM(Y148:Z148)</f>
        <v>383484400</v>
      </c>
      <c r="AB148" s="270">
        <f>MARZO!AD148</f>
        <v>229210995</v>
      </c>
      <c r="AC148" s="208">
        <v>82352856</v>
      </c>
      <c r="AD148" s="271">
        <f>SUM(AB148:AC148)</f>
        <v>311563851</v>
      </c>
      <c r="AE148" s="270">
        <f>MARZO!AG148</f>
        <v>4096146</v>
      </c>
      <c r="AF148" s="208">
        <v>1410225</v>
      </c>
      <c r="AG148" s="271">
        <f>SUM(AE148:AF148)</f>
        <v>5506371</v>
      </c>
      <c r="AH148" s="270">
        <f>X148-AA148</f>
        <v>1707484700</v>
      </c>
      <c r="AI148" s="220">
        <f>X148-AD148</f>
        <v>1779405249</v>
      </c>
      <c r="AJ148" s="269">
        <f>X148-AG148</f>
        <v>2085462729</v>
      </c>
      <c r="AK148" s="101"/>
      <c r="AL148" s="204">
        <v>0</v>
      </c>
      <c r="AM148" s="210">
        <v>0</v>
      </c>
    </row>
    <row r="149" spans="19:39" ht="24.75" customHeight="1">
      <c r="S149" s="266">
        <f>+IF(MARZO!S149=0,"",MARZO!S149)</f>
        <v>2020102</v>
      </c>
      <c r="T149" s="267" t="str">
        <f>+IF(MARZO!T149=0,"",MARZO!T149)</f>
        <v>Otros</v>
      </c>
      <c r="U149" s="373">
        <f t="shared" ref="U149:AJ149" si="142">SUM(U150:U152)</f>
        <v>1232308696.9541667</v>
      </c>
      <c r="V149" s="220">
        <f t="shared" si="142"/>
        <v>0</v>
      </c>
      <c r="W149" s="220">
        <f t="shared" si="142"/>
        <v>0</v>
      </c>
      <c r="X149" s="271">
        <f t="shared" si="142"/>
        <v>1232308696.9541667</v>
      </c>
      <c r="Y149" s="270">
        <f t="shared" si="142"/>
        <v>575488372</v>
      </c>
      <c r="Z149" s="300">
        <f t="shared" si="142"/>
        <v>97548835</v>
      </c>
      <c r="AA149" s="271">
        <f t="shared" si="142"/>
        <v>673037207</v>
      </c>
      <c r="AB149" s="270">
        <f t="shared" si="142"/>
        <v>285028981</v>
      </c>
      <c r="AC149" s="300">
        <f t="shared" si="142"/>
        <v>101209102</v>
      </c>
      <c r="AD149" s="271">
        <f t="shared" si="142"/>
        <v>386238083</v>
      </c>
      <c r="AE149" s="270">
        <f t="shared" si="142"/>
        <v>925721</v>
      </c>
      <c r="AF149" s="300">
        <f t="shared" si="142"/>
        <v>5366330</v>
      </c>
      <c r="AG149" s="271">
        <f t="shared" si="142"/>
        <v>6292051</v>
      </c>
      <c r="AH149" s="270">
        <f t="shared" si="142"/>
        <v>559271489.95416665</v>
      </c>
      <c r="AI149" s="220">
        <f t="shared" si="142"/>
        <v>846070613.95416665</v>
      </c>
      <c r="AJ149" s="269">
        <f t="shared" si="142"/>
        <v>1226016645.9541667</v>
      </c>
      <c r="AK149" s="101"/>
      <c r="AL149" s="301">
        <f>SUM(AL150:AL152)</f>
        <v>0</v>
      </c>
      <c r="AM149" s="302">
        <f>SUM(AM150:AM152)</f>
        <v>0</v>
      </c>
    </row>
    <row r="150" spans="19:39" ht="24.75" customHeight="1">
      <c r="S150" s="311" t="str">
        <f>+IF(MARZO!S150=0,"",MARZO!S150)</f>
        <v>2.1.2.02.01.002,001</v>
      </c>
      <c r="T150" s="267" t="str">
        <f>+IF(MARZO!T150=0,"",MARZO!T150)</f>
        <v>Roperia</v>
      </c>
      <c r="U150" s="373">
        <f>+ENERO!U150</f>
        <v>300724825</v>
      </c>
      <c r="V150" s="220">
        <f>MARZO!V150+ABRIL!AL150</f>
        <v>0</v>
      </c>
      <c r="W150" s="220">
        <f>MARZO!W150+ABRIL!AM150</f>
        <v>0</v>
      </c>
      <c r="X150" s="271">
        <f>SUM(U150:W150)</f>
        <v>300724825</v>
      </c>
      <c r="Y150" s="270">
        <f>MARZO!AA150</f>
        <v>177455180</v>
      </c>
      <c r="Z150" s="208">
        <v>0</v>
      </c>
      <c r="AA150" s="271">
        <f>SUM(Y150:Z150)</f>
        <v>177455180</v>
      </c>
      <c r="AB150" s="270">
        <f>MARZO!AD150</f>
        <v>0</v>
      </c>
      <c r="AC150" s="208">
        <v>0</v>
      </c>
      <c r="AD150" s="271">
        <f>SUM(AB150:AC150)</f>
        <v>0</v>
      </c>
      <c r="AE150" s="270">
        <f>MARZO!AG150</f>
        <v>0</v>
      </c>
      <c r="AF150" s="208">
        <v>0</v>
      </c>
      <c r="AG150" s="271">
        <f>SUM(AE150:AF150)</f>
        <v>0</v>
      </c>
      <c r="AH150" s="270">
        <f>X150-AA150</f>
        <v>123269645</v>
      </c>
      <c r="AI150" s="220">
        <f>X150-AD150</f>
        <v>300724825</v>
      </c>
      <c r="AJ150" s="269">
        <f>X150-AG150</f>
        <v>300724825</v>
      </c>
      <c r="AK150" s="101"/>
      <c r="AL150" s="204">
        <v>0</v>
      </c>
      <c r="AM150" s="210">
        <v>0</v>
      </c>
    </row>
    <row r="151" spans="19:39" ht="24.75" customHeight="1">
      <c r="S151" s="311" t="str">
        <f>+IF(MARZO!S151=0,"",MARZO!S151)</f>
        <v>2.1.2.02.01.003.303</v>
      </c>
      <c r="T151" s="267" t="str">
        <f>+IF(MARZO!T151=0,"",MARZO!T151)</f>
        <v>Elementos de Aseo</v>
      </c>
      <c r="U151" s="373">
        <f>+ENERO!U151</f>
        <v>684513688.9375</v>
      </c>
      <c r="V151" s="220">
        <f>MARZO!V151+ABRIL!AL151</f>
        <v>0</v>
      </c>
      <c r="W151" s="220">
        <f>MARZO!W151+ABRIL!AM151</f>
        <v>0</v>
      </c>
      <c r="X151" s="271">
        <f>SUM(U151:W151)</f>
        <v>684513688.9375</v>
      </c>
      <c r="Y151" s="270">
        <f>MARZO!AA151</f>
        <v>223771545</v>
      </c>
      <c r="Z151" s="208">
        <v>57590920</v>
      </c>
      <c r="AA151" s="271">
        <f>SUM(Y151:Z151)</f>
        <v>281362465</v>
      </c>
      <c r="AB151" s="270">
        <f>MARZO!AD151</f>
        <v>164984546</v>
      </c>
      <c r="AC151" s="208">
        <v>57712620</v>
      </c>
      <c r="AD151" s="271">
        <f>SUM(AB151:AC151)</f>
        <v>222697166</v>
      </c>
      <c r="AE151" s="270">
        <f>MARZO!AG151</f>
        <v>669350</v>
      </c>
      <c r="AF151" s="208">
        <v>0</v>
      </c>
      <c r="AG151" s="271">
        <f>SUM(AE151:AF151)</f>
        <v>669350</v>
      </c>
      <c r="AH151" s="270">
        <f>X151-AA151</f>
        <v>403151223.9375</v>
      </c>
      <c r="AI151" s="220">
        <f>X151-AD151</f>
        <v>461816522.9375</v>
      </c>
      <c r="AJ151" s="269">
        <f>X151-AG151</f>
        <v>683844338.9375</v>
      </c>
      <c r="AK151" s="101"/>
      <c r="AL151" s="204">
        <v>0</v>
      </c>
      <c r="AM151" s="210">
        <v>0</v>
      </c>
    </row>
    <row r="152" spans="19:39" ht="24.75" customHeight="1">
      <c r="S152" s="311" t="str">
        <f>+IF(MARZO!S152=0,"",MARZO!S152)</f>
        <v>2.1.2.02.01.003.304</v>
      </c>
      <c r="T152" s="312" t="str">
        <f>+IF(MARZO!T152=0,"",MARZO!T152)</f>
        <v xml:space="preserve">Insumos hospitalarios </v>
      </c>
      <c r="U152" s="373">
        <f>+ENERO!U152</f>
        <v>247070183.01666665</v>
      </c>
      <c r="V152" s="220">
        <f>MARZO!V152+ABRIL!AL152</f>
        <v>0</v>
      </c>
      <c r="W152" s="220">
        <f>MARZO!W152+ABRIL!AM152</f>
        <v>0</v>
      </c>
      <c r="X152" s="271">
        <f>SUM(U152:W152)</f>
        <v>247070183.01666665</v>
      </c>
      <c r="Y152" s="270">
        <f>MARZO!AA152</f>
        <v>174261647</v>
      </c>
      <c r="Z152" s="208">
        <v>39957915</v>
      </c>
      <c r="AA152" s="271">
        <f>SUM(Y152:Z152)</f>
        <v>214219562</v>
      </c>
      <c r="AB152" s="270">
        <f>MARZO!AD152</f>
        <v>120044435</v>
      </c>
      <c r="AC152" s="208">
        <v>43496482</v>
      </c>
      <c r="AD152" s="271">
        <f>SUM(AB152:AC152)</f>
        <v>163540917</v>
      </c>
      <c r="AE152" s="270">
        <f>MARZO!AG152</f>
        <v>256371</v>
      </c>
      <c r="AF152" s="208">
        <v>5366330</v>
      </c>
      <c r="AG152" s="271">
        <f>SUM(AE152:AF152)</f>
        <v>5622701</v>
      </c>
      <c r="AH152" s="270">
        <f>X152-AA152</f>
        <v>32850621.016666651</v>
      </c>
      <c r="AI152" s="220">
        <f>X152-AD152</f>
        <v>83529266.016666651</v>
      </c>
      <c r="AJ152" s="269">
        <f>X152-AG152</f>
        <v>241447482.01666665</v>
      </c>
      <c r="AK152" s="101"/>
      <c r="AL152" s="204">
        <v>0</v>
      </c>
      <c r="AM152" s="210">
        <v>0</v>
      </c>
    </row>
    <row r="153" spans="19:39" ht="24.75" customHeight="1">
      <c r="S153" s="266" t="str">
        <f>+IF(MARZO!S153=0,"",MARZO!S153)</f>
        <v>2.1.2.02.01.003.99</v>
      </c>
      <c r="T153" s="267" t="str">
        <f>+IF(MARZO!T153=0,"",MARZO!T153)</f>
        <v>Vigencia anterior Mantenimiento - Partes,Accesorios, Herramientas.</v>
      </c>
      <c r="U153" s="373">
        <f>+ENERO!U153</f>
        <v>452915257</v>
      </c>
      <c r="V153" s="220">
        <f>MARZO!V153+ABRIL!AL153</f>
        <v>0</v>
      </c>
      <c r="W153" s="220">
        <f>MARZO!W153+ABRIL!AM153</f>
        <v>300000000</v>
      </c>
      <c r="X153" s="271">
        <f>SUM(U153:W153)</f>
        <v>752915257</v>
      </c>
      <c r="Y153" s="270">
        <f>MARZO!AA153</f>
        <v>301968686</v>
      </c>
      <c r="Z153" s="208">
        <v>66786974</v>
      </c>
      <c r="AA153" s="271">
        <f>SUM(Y153:Z153)</f>
        <v>368755660</v>
      </c>
      <c r="AB153" s="270">
        <f>MARZO!AD153</f>
        <v>301968686</v>
      </c>
      <c r="AC153" s="208">
        <v>66786974</v>
      </c>
      <c r="AD153" s="271">
        <f>SUM(AB153:AC153)</f>
        <v>368755660</v>
      </c>
      <c r="AE153" s="270">
        <f>MARZO!AG153</f>
        <v>301968686</v>
      </c>
      <c r="AF153" s="208">
        <v>66786974</v>
      </c>
      <c r="AG153" s="271">
        <f>SUM(AE153:AF153)</f>
        <v>368755660</v>
      </c>
      <c r="AH153" s="270">
        <f>X153-AA153</f>
        <v>384159597</v>
      </c>
      <c r="AI153" s="220">
        <f>X153-AD153</f>
        <v>384159597</v>
      </c>
      <c r="AJ153" s="269">
        <f>X153-AG153</f>
        <v>384159597</v>
      </c>
      <c r="AK153" s="101"/>
      <c r="AL153" s="204">
        <v>0</v>
      </c>
      <c r="AM153" s="210">
        <v>300000000</v>
      </c>
    </row>
    <row r="154" spans="19:39" ht="24.75" customHeight="1">
      <c r="S154" s="189">
        <f>+IF(MARZO!S154=0,"",MARZO!S154)</f>
        <v>203715328</v>
      </c>
      <c r="T154" s="488" t="str">
        <f>+IF(MARZO!T154=0,"",MARZO!T154)</f>
        <v/>
      </c>
      <c r="U154" s="191"/>
      <c r="V154" s="191"/>
      <c r="W154" s="191"/>
      <c r="X154" s="191"/>
      <c r="Y154" s="191"/>
      <c r="Z154" s="191"/>
      <c r="AA154" s="191"/>
      <c r="AB154" s="191"/>
      <c r="AC154" s="191"/>
      <c r="AD154" s="191"/>
      <c r="AE154" s="191"/>
      <c r="AF154" s="191"/>
      <c r="AG154" s="191"/>
      <c r="AH154" s="191"/>
      <c r="AI154" s="191"/>
      <c r="AJ154" s="192"/>
      <c r="AK154" s="101"/>
      <c r="AL154" s="370"/>
      <c r="AM154" s="371"/>
    </row>
    <row r="155" spans="19:39" ht="24.75" customHeight="1">
      <c r="S155" s="257" t="str">
        <f>+IF(MARZO!S155=0,"",MARZO!S155)</f>
        <v>2.1.2.02.02</v>
      </c>
      <c r="T155" s="546" t="str">
        <f>+IF(MARZO!T155=0,"",MARZO!T155)</f>
        <v>Adquisición de Servicios</v>
      </c>
      <c r="U155" s="230">
        <f>SUM(U156:U157)</f>
        <v>8116738254.2222223</v>
      </c>
      <c r="V155" s="230">
        <f t="shared" ref="V155:AM155" si="143">SUM(V156:V157)</f>
        <v>0</v>
      </c>
      <c r="W155" s="230">
        <f t="shared" si="143"/>
        <v>158814745</v>
      </c>
      <c r="X155" s="230">
        <f>SUM(X156:X157)</f>
        <v>8275552999.2222223</v>
      </c>
      <c r="Y155" s="230">
        <f t="shared" si="143"/>
        <v>2333808347</v>
      </c>
      <c r="Z155" s="230">
        <f t="shared" si="143"/>
        <v>207675109</v>
      </c>
      <c r="AA155" s="230">
        <f t="shared" si="143"/>
        <v>2541483456</v>
      </c>
      <c r="AB155" s="230">
        <f t="shared" si="143"/>
        <v>1038674429</v>
      </c>
      <c r="AC155" s="230">
        <f t="shared" si="143"/>
        <v>393088160</v>
      </c>
      <c r="AD155" s="230">
        <f t="shared" si="143"/>
        <v>1431762589</v>
      </c>
      <c r="AE155" s="230">
        <f t="shared" si="143"/>
        <v>500664791</v>
      </c>
      <c r="AF155" s="230">
        <f t="shared" si="143"/>
        <v>204254092</v>
      </c>
      <c r="AG155" s="230">
        <f t="shared" si="143"/>
        <v>704918883</v>
      </c>
      <c r="AH155" s="230">
        <f t="shared" si="143"/>
        <v>5734069543.2222223</v>
      </c>
      <c r="AI155" s="230">
        <f t="shared" si="143"/>
        <v>6843790410.2222223</v>
      </c>
      <c r="AJ155" s="230">
        <f t="shared" si="143"/>
        <v>7570634116.2222223</v>
      </c>
      <c r="AK155" s="230">
        <f t="shared" si="143"/>
        <v>0</v>
      </c>
      <c r="AL155" s="230">
        <f t="shared" si="143"/>
        <v>0</v>
      </c>
      <c r="AM155" s="230">
        <f t="shared" si="143"/>
        <v>0</v>
      </c>
    </row>
    <row r="156" spans="19:39" ht="24.75" customHeight="1">
      <c r="S156" s="266" t="str">
        <f>+IF(MARZO!S156=0,"",MARZO!S156)</f>
        <v>2.1.2.02.01.003.306</v>
      </c>
      <c r="T156" s="267" t="str">
        <f>+IF(MARZO!T156=0,"",MARZO!T156)</f>
        <v>Mantenimiento - Bienes sistemas</v>
      </c>
      <c r="U156" s="373">
        <f>+ENERO!U156</f>
        <v>17133955</v>
      </c>
      <c r="V156" s="220">
        <f>MARZO!V156+ABRIL!AL156</f>
        <v>0</v>
      </c>
      <c r="W156" s="220">
        <f>MARZO!W156+ABRIL!AM156</f>
        <v>0</v>
      </c>
      <c r="X156" s="271">
        <f>SUM(U156:W156)</f>
        <v>17133955</v>
      </c>
      <c r="Y156" s="270">
        <f>MARZO!AA156</f>
        <v>15819256</v>
      </c>
      <c r="Z156" s="208">
        <v>0</v>
      </c>
      <c r="AA156" s="271">
        <f>SUM(Y156:Z156)</f>
        <v>15819256</v>
      </c>
      <c r="AB156" s="270">
        <f>MARZO!AD156</f>
        <v>10574474</v>
      </c>
      <c r="AC156" s="208">
        <v>0</v>
      </c>
      <c r="AD156" s="271">
        <f>SUM(AB156:AC156)</f>
        <v>10574474</v>
      </c>
      <c r="AE156" s="270">
        <f>MARZO!AG156</f>
        <v>204304</v>
      </c>
      <c r="AF156" s="208">
        <v>0</v>
      </c>
      <c r="AG156" s="271">
        <f>SUM(AE156:AF156)</f>
        <v>204304</v>
      </c>
      <c r="AH156" s="270">
        <f>X156-AA156</f>
        <v>1314699</v>
      </c>
      <c r="AI156" s="220">
        <f>X156-AD156</f>
        <v>6559481</v>
      </c>
      <c r="AJ156" s="269">
        <f>X156-AG156</f>
        <v>16929651</v>
      </c>
      <c r="AK156" s="101"/>
      <c r="AL156" s="204">
        <v>0</v>
      </c>
      <c r="AM156" s="210">
        <v>0</v>
      </c>
    </row>
    <row r="157" spans="19:39" ht="24.75" customHeight="1">
      <c r="S157" s="266">
        <f>+IF(MARZO!S157=0,"",MARZO!S157)</f>
        <v>2020202</v>
      </c>
      <c r="T157" s="267" t="str">
        <f>+IF(MARZO!T157=0,"",MARZO!T157)</f>
        <v>Otros</v>
      </c>
      <c r="U157" s="373">
        <f t="shared" ref="U157:AJ157" si="144">SUM(U158:U166)</f>
        <v>8099604299.2222223</v>
      </c>
      <c r="V157" s="220">
        <f t="shared" si="144"/>
        <v>0</v>
      </c>
      <c r="W157" s="220">
        <f t="shared" si="144"/>
        <v>158814745</v>
      </c>
      <c r="X157" s="271">
        <f>SUM(X158:X166)</f>
        <v>8258419044.2222223</v>
      </c>
      <c r="Y157" s="270">
        <f t="shared" si="144"/>
        <v>2317989091</v>
      </c>
      <c r="Z157" s="300">
        <f t="shared" si="144"/>
        <v>207675109</v>
      </c>
      <c r="AA157" s="271">
        <f t="shared" si="144"/>
        <v>2525664200</v>
      </c>
      <c r="AB157" s="270">
        <f t="shared" si="144"/>
        <v>1028099955</v>
      </c>
      <c r="AC157" s="300">
        <f t="shared" si="144"/>
        <v>393088160</v>
      </c>
      <c r="AD157" s="271">
        <f t="shared" si="144"/>
        <v>1421188115</v>
      </c>
      <c r="AE157" s="270">
        <f t="shared" si="144"/>
        <v>500460487</v>
      </c>
      <c r="AF157" s="300">
        <f t="shared" si="144"/>
        <v>204254092</v>
      </c>
      <c r="AG157" s="271">
        <f t="shared" si="144"/>
        <v>704714579</v>
      </c>
      <c r="AH157" s="270">
        <f t="shared" si="144"/>
        <v>5732754844.2222223</v>
      </c>
      <c r="AI157" s="220">
        <f t="shared" si="144"/>
        <v>6837230929.2222223</v>
      </c>
      <c r="AJ157" s="269">
        <f t="shared" si="144"/>
        <v>7553704465.2222223</v>
      </c>
      <c r="AK157" s="216"/>
      <c r="AL157" s="269">
        <f>SUM(AL158:AL166)</f>
        <v>0</v>
      </c>
      <c r="AM157" s="269">
        <f>SUM(AM158:AM166)</f>
        <v>0</v>
      </c>
    </row>
    <row r="158" spans="19:39" ht="24.75" customHeight="1">
      <c r="S158" s="311" t="str">
        <f>+IF(MARZO!S159=0,"",MARZO!S159)</f>
        <v>2.1.2.02.02.005.501</v>
      </c>
      <c r="T158" s="312" t="str">
        <f>+IF(MARZO!T159=0,"",MARZO!T159)</f>
        <v>Mantenimiento  - Servicios Planta Fisica</v>
      </c>
      <c r="U158" s="373">
        <f>+ENERO!U158</f>
        <v>0</v>
      </c>
      <c r="V158" s="220">
        <f>MARZO!V159+ABRIL!AL158</f>
        <v>0</v>
      </c>
      <c r="W158" s="220">
        <f>MARZO!W159+ABRIL!AM158</f>
        <v>0</v>
      </c>
      <c r="X158" s="271">
        <f t="shared" ref="X158:X166" si="145">SUM(U158:W158)</f>
        <v>0</v>
      </c>
      <c r="Y158" s="270">
        <f>MARZO!AA159</f>
        <v>0</v>
      </c>
      <c r="Z158" s="208">
        <v>0</v>
      </c>
      <c r="AA158" s="271">
        <f t="shared" ref="AA158:AA166" si="146">SUM(Y158:Z158)</f>
        <v>0</v>
      </c>
      <c r="AB158" s="270">
        <f>MARZO!AD159</f>
        <v>0</v>
      </c>
      <c r="AC158" s="208">
        <v>0</v>
      </c>
      <c r="AD158" s="271">
        <f t="shared" ref="AD158:AD166" si="147">SUM(AB158:AC158)</f>
        <v>0</v>
      </c>
      <c r="AE158" s="270">
        <f>MARZO!AG159</f>
        <v>0</v>
      </c>
      <c r="AF158" s="208">
        <v>0</v>
      </c>
      <c r="AG158" s="271">
        <f t="shared" ref="AG158:AG166" si="148">SUM(AE158:AF158)</f>
        <v>0</v>
      </c>
      <c r="AH158" s="270">
        <f t="shared" ref="AH158:AH166" si="149">X158-AA158</f>
        <v>0</v>
      </c>
      <c r="AI158" s="220">
        <f t="shared" ref="AI158:AI166" si="150">X158-AD158</f>
        <v>0</v>
      </c>
      <c r="AJ158" s="269">
        <f t="shared" ref="AJ158:AJ166" si="151">X158-AG158</f>
        <v>0</v>
      </c>
      <c r="AK158" s="101"/>
      <c r="AL158" s="204">
        <v>0</v>
      </c>
      <c r="AM158" s="210">
        <v>0</v>
      </c>
    </row>
    <row r="159" spans="19:39" ht="24.75" customHeight="1">
      <c r="S159" s="311" t="str">
        <f>+IF(MARZO!S160=0,"",MARZO!S160)</f>
        <v>2.1.2.02.02.008.808</v>
      </c>
      <c r="T159" s="312" t="str">
        <f>+IF(MARZO!T160=0,"",MARZO!T160)</f>
        <v>Mantenimiento Servicios - Ambiental y sanitaria</v>
      </c>
      <c r="U159" s="373">
        <f>+ENERO!U159</f>
        <v>476117296</v>
      </c>
      <c r="V159" s="220">
        <f>MARZO!V160+ABRIL!AL159</f>
        <v>0</v>
      </c>
      <c r="W159" s="220">
        <f>MARZO!W160+ABRIL!AM159</f>
        <v>0</v>
      </c>
      <c r="X159" s="271">
        <f t="shared" si="145"/>
        <v>476117296</v>
      </c>
      <c r="Y159" s="270">
        <f>MARZO!AA160</f>
        <v>8000000</v>
      </c>
      <c r="Z159" s="208">
        <v>737248</v>
      </c>
      <c r="AA159" s="271">
        <f t="shared" si="146"/>
        <v>8737248</v>
      </c>
      <c r="AB159" s="270">
        <f>MARZO!AD160</f>
        <v>2571248</v>
      </c>
      <c r="AC159" s="208">
        <v>737248</v>
      </c>
      <c r="AD159" s="271">
        <f t="shared" si="147"/>
        <v>3308496</v>
      </c>
      <c r="AE159" s="270">
        <f>MARZO!AG160</f>
        <v>1834000</v>
      </c>
      <c r="AF159" s="208">
        <v>737248</v>
      </c>
      <c r="AG159" s="271">
        <f t="shared" si="148"/>
        <v>2571248</v>
      </c>
      <c r="AH159" s="270">
        <f t="shared" si="149"/>
        <v>467380048</v>
      </c>
      <c r="AI159" s="220">
        <f t="shared" si="150"/>
        <v>472808800</v>
      </c>
      <c r="AJ159" s="269">
        <f t="shared" si="151"/>
        <v>473546048</v>
      </c>
      <c r="AK159" s="101"/>
      <c r="AL159" s="204">
        <v>0</v>
      </c>
      <c r="AM159" s="210">
        <v>0</v>
      </c>
    </row>
    <row r="160" spans="19:39" ht="24.75" customHeight="1">
      <c r="S160" s="311" t="str">
        <f>+IF(MARZO!S161=0,"",MARZO!S161)</f>
        <v>2.1.2.02.02.008.800</v>
      </c>
      <c r="T160" s="312" t="str">
        <f>+IF(MARZO!T161=0,"",MARZO!T161)</f>
        <v>Mantenimiento  - Servicios Dotación y vehiculos</v>
      </c>
      <c r="U160" s="373">
        <f>+ENERO!U160</f>
        <v>415609981</v>
      </c>
      <c r="V160" s="220">
        <f>MARZO!V161+ABRIL!AL160</f>
        <v>0</v>
      </c>
      <c r="W160" s="220">
        <f>MARZO!W161+ABRIL!AM160</f>
        <v>0</v>
      </c>
      <c r="X160" s="271">
        <f t="shared" si="145"/>
        <v>415609981</v>
      </c>
      <c r="Y160" s="270">
        <f>MARZO!AA161</f>
        <v>167797732</v>
      </c>
      <c r="Z160" s="208">
        <v>0</v>
      </c>
      <c r="AA160" s="271">
        <f t="shared" si="146"/>
        <v>167797732</v>
      </c>
      <c r="AB160" s="270">
        <f>MARZO!AD161</f>
        <v>54084770</v>
      </c>
      <c r="AC160" s="208">
        <v>30724810</v>
      </c>
      <c r="AD160" s="271">
        <f t="shared" si="147"/>
        <v>84809580</v>
      </c>
      <c r="AE160" s="270">
        <f>MARZO!AG161</f>
        <v>0</v>
      </c>
      <c r="AF160" s="208">
        <v>16590810</v>
      </c>
      <c r="AG160" s="271">
        <f t="shared" si="148"/>
        <v>16590810</v>
      </c>
      <c r="AH160" s="270">
        <f t="shared" si="149"/>
        <v>247812249</v>
      </c>
      <c r="AI160" s="220">
        <f t="shared" si="150"/>
        <v>330800401</v>
      </c>
      <c r="AJ160" s="269">
        <f t="shared" si="151"/>
        <v>399019171</v>
      </c>
      <c r="AK160" s="101"/>
      <c r="AL160" s="204">
        <v>0</v>
      </c>
      <c r="AM160" s="210">
        <v>0</v>
      </c>
    </row>
    <row r="161" spans="19:39" ht="24.75" customHeight="1">
      <c r="S161" s="311" t="str">
        <f>+IF(MARZO!S162=0,"",MARZO!S162)</f>
        <v>2.1.2.02.02.008.805</v>
      </c>
      <c r="T161" s="312" t="str">
        <f>+IF(MARZO!T162=0,"",MARZO!T162)</f>
        <v>Mantenimiento - Servicio de Metrología y Calibracion</v>
      </c>
      <c r="U161" s="373">
        <f>+ENERO!U161</f>
        <v>220500000</v>
      </c>
      <c r="V161" s="220">
        <f>MARZO!V162+ABRIL!AL161</f>
        <v>0</v>
      </c>
      <c r="W161" s="220">
        <f>MARZO!W162+ABRIL!AM161</f>
        <v>0</v>
      </c>
      <c r="X161" s="271">
        <f t="shared" si="145"/>
        <v>220500000</v>
      </c>
      <c r="Y161" s="270">
        <f>MARZO!AA162</f>
        <v>31535631</v>
      </c>
      <c r="Z161" s="208">
        <v>0</v>
      </c>
      <c r="AA161" s="271">
        <f t="shared" si="146"/>
        <v>31535631</v>
      </c>
      <c r="AB161" s="270">
        <f>MARZO!AD162</f>
        <v>31535631</v>
      </c>
      <c r="AC161" s="208">
        <v>0</v>
      </c>
      <c r="AD161" s="271">
        <f t="shared" si="147"/>
        <v>31535631</v>
      </c>
      <c r="AE161" s="270">
        <f>MARZO!AG162</f>
        <v>0</v>
      </c>
      <c r="AF161" s="208">
        <v>0</v>
      </c>
      <c r="AG161" s="271">
        <f t="shared" si="148"/>
        <v>0</v>
      </c>
      <c r="AH161" s="270">
        <f t="shared" si="149"/>
        <v>188964369</v>
      </c>
      <c r="AI161" s="220">
        <f t="shared" si="150"/>
        <v>188964369</v>
      </c>
      <c r="AJ161" s="269">
        <f t="shared" si="151"/>
        <v>220500000</v>
      </c>
      <c r="AK161" s="101"/>
      <c r="AL161" s="204">
        <v>0</v>
      </c>
      <c r="AM161" s="210">
        <v>0</v>
      </c>
    </row>
    <row r="162" spans="19:39" ht="24.75" customHeight="1">
      <c r="S162" s="311" t="str">
        <f>+IF(MARZO!S163=0,"",MARZO!S163)</f>
        <v>2.1.2.02.02.008.806</v>
      </c>
      <c r="T162" s="312" t="str">
        <f>+IF(MARZO!T163=0,"",MARZO!T163)</f>
        <v xml:space="preserve">Mantenimiento- Servicios </v>
      </c>
      <c r="U162" s="373">
        <f>+ENERO!U162</f>
        <v>144394707</v>
      </c>
      <c r="V162" s="220">
        <f>MARZO!V163+ABRIL!AL162</f>
        <v>0</v>
      </c>
      <c r="W162" s="220">
        <f>MARZO!W163+ABRIL!AM162</f>
        <v>0</v>
      </c>
      <c r="X162" s="271">
        <f t="shared" si="145"/>
        <v>144394707</v>
      </c>
      <c r="Y162" s="270">
        <f>MARZO!AA163</f>
        <v>104424880</v>
      </c>
      <c r="Z162" s="208">
        <v>0</v>
      </c>
      <c r="AA162" s="271">
        <f t="shared" si="146"/>
        <v>104424880</v>
      </c>
      <c r="AB162" s="270">
        <f>MARZO!AD163</f>
        <v>0</v>
      </c>
      <c r="AC162" s="208">
        <v>0</v>
      </c>
      <c r="AD162" s="271">
        <f t="shared" si="147"/>
        <v>0</v>
      </c>
      <c r="AE162" s="270">
        <f>MARZO!AG163</f>
        <v>0</v>
      </c>
      <c r="AF162" s="208">
        <v>0</v>
      </c>
      <c r="AG162" s="271">
        <f t="shared" si="148"/>
        <v>0</v>
      </c>
      <c r="AH162" s="270">
        <f t="shared" si="149"/>
        <v>39969827</v>
      </c>
      <c r="AI162" s="220">
        <f t="shared" si="150"/>
        <v>144394707</v>
      </c>
      <c r="AJ162" s="269">
        <f t="shared" si="151"/>
        <v>144394707</v>
      </c>
      <c r="AK162" s="101"/>
      <c r="AL162" s="204">
        <v>0</v>
      </c>
      <c r="AM162" s="210">
        <v>0</v>
      </c>
    </row>
    <row r="163" spans="19:39" ht="24.75" customHeight="1">
      <c r="S163" s="311" t="str">
        <f>+IF(MARZO!S164=0,"",MARZO!S164)</f>
        <v>2.1.2.02.02.008.807</v>
      </c>
      <c r="T163" s="312" t="str">
        <f>+IF(MARZO!T164=0,"",MARZO!T164)</f>
        <v>Mantenimiento Servicios-fotocopias y otros</v>
      </c>
      <c r="U163" s="373">
        <f>+ENERO!U163</f>
        <v>4141233251</v>
      </c>
      <c r="V163" s="220">
        <f>MARZO!V164+ABRIL!AL163</f>
        <v>0</v>
      </c>
      <c r="W163" s="220">
        <f>MARZO!W164+ABRIL!AM163</f>
        <v>0</v>
      </c>
      <c r="X163" s="271">
        <f t="shared" si="145"/>
        <v>4141233251</v>
      </c>
      <c r="Y163" s="270">
        <f>MARZO!AA164</f>
        <v>1429740842</v>
      </c>
      <c r="Z163" s="208">
        <v>52687471</v>
      </c>
      <c r="AA163" s="271">
        <f t="shared" si="146"/>
        <v>1482428313</v>
      </c>
      <c r="AB163" s="270">
        <f>MARZO!AD164</f>
        <v>510742588</v>
      </c>
      <c r="AC163" s="208">
        <v>195052800</v>
      </c>
      <c r="AD163" s="271">
        <f t="shared" si="147"/>
        <v>705795388</v>
      </c>
      <c r="AE163" s="270">
        <f>MARZO!AG164</f>
        <v>95416681</v>
      </c>
      <c r="AF163" s="208">
        <v>32675644</v>
      </c>
      <c r="AG163" s="271">
        <f t="shared" si="148"/>
        <v>128092325</v>
      </c>
      <c r="AH163" s="270">
        <f t="shared" si="149"/>
        <v>2658804938</v>
      </c>
      <c r="AI163" s="220">
        <f t="shared" si="150"/>
        <v>3435437863</v>
      </c>
      <c r="AJ163" s="269">
        <f t="shared" si="151"/>
        <v>4013140926</v>
      </c>
      <c r="AK163" s="101"/>
      <c r="AL163" s="204">
        <v>0</v>
      </c>
      <c r="AM163" s="210">
        <v>0</v>
      </c>
    </row>
    <row r="164" spans="19:39" ht="24.75" customHeight="1">
      <c r="S164" s="311" t="str">
        <f>+IF(MARZO!S165=0,"",MARZO!S165)</f>
        <v>2.1.2.02.02.01.003.010</v>
      </c>
      <c r="T164" s="312" t="str">
        <f>+IF(MARZO!T165=0,"",MARZO!T165)</f>
        <v>Mantenimiento- Bienes- Repuestos</v>
      </c>
      <c r="U164" s="373">
        <f>+ENERO!U164</f>
        <v>267744477</v>
      </c>
      <c r="V164" s="220">
        <f>MARZO!V165+ABRIL!AL164</f>
        <v>0</v>
      </c>
      <c r="W164" s="220">
        <f>MARZO!W165+ABRIL!AM164</f>
        <v>0</v>
      </c>
      <c r="X164" s="271">
        <f t="shared" si="145"/>
        <v>267744477</v>
      </c>
      <c r="Y164" s="270">
        <f>MARZO!AA165</f>
        <v>173250000</v>
      </c>
      <c r="Z164" s="208">
        <v>0</v>
      </c>
      <c r="AA164" s="271">
        <f t="shared" si="146"/>
        <v>173250000</v>
      </c>
      <c r="AB164" s="270">
        <f>MARZO!AD165</f>
        <v>25925712</v>
      </c>
      <c r="AC164" s="208">
        <v>12322912</v>
      </c>
      <c r="AD164" s="271">
        <f t="shared" si="147"/>
        <v>38248624</v>
      </c>
      <c r="AE164" s="270">
        <f>MARZO!AG165</f>
        <v>0</v>
      </c>
      <c r="AF164" s="208">
        <v>0</v>
      </c>
      <c r="AG164" s="271">
        <f t="shared" si="148"/>
        <v>0</v>
      </c>
      <c r="AH164" s="270">
        <f t="shared" si="149"/>
        <v>94494477</v>
      </c>
      <c r="AI164" s="220">
        <f t="shared" si="150"/>
        <v>229495853</v>
      </c>
      <c r="AJ164" s="269">
        <f t="shared" si="151"/>
        <v>267744477</v>
      </c>
      <c r="AK164" s="101"/>
      <c r="AL164" s="204">
        <v>0</v>
      </c>
      <c r="AM164" s="210">
        <v>0</v>
      </c>
    </row>
    <row r="165" spans="19:39" ht="24.75" customHeight="1">
      <c r="S165" s="311" t="str">
        <f>+IF(MARZO!S166=0,"",MARZO!S166)</f>
        <v>2.1.2.02.02.008.811</v>
      </c>
      <c r="T165" s="312" t="str">
        <f>+IF(MARZO!T166=0,"",MARZO!T166)</f>
        <v>Mantenimiento servicios - planta física y sistemas</v>
      </c>
      <c r="U165" s="373">
        <f>+ENERO!U165</f>
        <v>0</v>
      </c>
      <c r="V165" s="220">
        <f>MARZO!V166+ABRIL!AL165</f>
        <v>0</v>
      </c>
      <c r="W165" s="220">
        <f>MARZO!W166+ABRIL!AM165</f>
        <v>0</v>
      </c>
      <c r="X165" s="271">
        <f t="shared" si="145"/>
        <v>0</v>
      </c>
      <c r="Y165" s="270">
        <f>MARZO!AA166</f>
        <v>0</v>
      </c>
      <c r="Z165" s="208">
        <v>0</v>
      </c>
      <c r="AA165" s="271">
        <f t="shared" si="146"/>
        <v>0</v>
      </c>
      <c r="AB165" s="270">
        <f>MARZO!AD166</f>
        <v>0</v>
      </c>
      <c r="AC165" s="208">
        <v>0</v>
      </c>
      <c r="AD165" s="271">
        <f t="shared" si="147"/>
        <v>0</v>
      </c>
      <c r="AE165" s="270">
        <f>MARZO!AG166</f>
        <v>0</v>
      </c>
      <c r="AF165" s="208">
        <v>0</v>
      </c>
      <c r="AG165" s="271">
        <f t="shared" si="148"/>
        <v>0</v>
      </c>
      <c r="AH165" s="270">
        <f t="shared" si="149"/>
        <v>0</v>
      </c>
      <c r="AI165" s="220">
        <f t="shared" si="150"/>
        <v>0</v>
      </c>
      <c r="AJ165" s="269">
        <f t="shared" si="151"/>
        <v>0</v>
      </c>
      <c r="AK165" s="101"/>
      <c r="AL165" s="204">
        <v>0</v>
      </c>
      <c r="AM165" s="210">
        <v>0</v>
      </c>
    </row>
    <row r="166" spans="19:39" ht="24.75" customHeight="1">
      <c r="S166" s="311" t="str">
        <f>+IF(MARZO!S167=0,"",MARZO!S167)</f>
        <v>2.1.2.02.02.008.99.03</v>
      </c>
      <c r="T166" s="312" t="str">
        <f>+IF(MARZO!T167=0,"",MARZO!T167)</f>
        <v xml:space="preserve">Vigencias Anteriores Mantenimiento Servicios </v>
      </c>
      <c r="U166" s="373">
        <f>SUM(ENERO!U167)</f>
        <v>2434004587.2222223</v>
      </c>
      <c r="V166" s="220">
        <f>MARZO!V167+ABRIL!AL166</f>
        <v>0</v>
      </c>
      <c r="W166" s="220">
        <f>MARZO!W167+ABRIL!AM166</f>
        <v>158814745</v>
      </c>
      <c r="X166" s="271">
        <f t="shared" si="145"/>
        <v>2592819332.2222223</v>
      </c>
      <c r="Y166" s="270">
        <f>MARZO!AA167</f>
        <v>403240006</v>
      </c>
      <c r="Z166" s="208">
        <v>154250390</v>
      </c>
      <c r="AA166" s="271">
        <f t="shared" si="146"/>
        <v>557490396</v>
      </c>
      <c r="AB166" s="270">
        <f>MARZO!AD167</f>
        <v>403240006</v>
      </c>
      <c r="AC166" s="208">
        <v>154250390</v>
      </c>
      <c r="AD166" s="271">
        <f t="shared" si="147"/>
        <v>557490396</v>
      </c>
      <c r="AE166" s="270">
        <f>MARZO!AG167</f>
        <v>403209806</v>
      </c>
      <c r="AF166" s="208">
        <v>154250390</v>
      </c>
      <c r="AG166" s="271">
        <f t="shared" si="148"/>
        <v>557460196</v>
      </c>
      <c r="AH166" s="270">
        <f t="shared" si="149"/>
        <v>2035328936.2222223</v>
      </c>
      <c r="AI166" s="220">
        <f t="shared" si="150"/>
        <v>2035328936.2222223</v>
      </c>
      <c r="AJ166" s="269">
        <f t="shared" si="151"/>
        <v>2035359136.2222223</v>
      </c>
      <c r="AK166" s="101"/>
      <c r="AL166" s="204">
        <v>0</v>
      </c>
      <c r="AM166" s="210">
        <v>0</v>
      </c>
    </row>
    <row r="167" spans="19:39" ht="24.75" customHeight="1">
      <c r="S167" s="189"/>
      <c r="T167" s="488" t="str">
        <f>+IF(MARZO!T168=0,"",MARZO!T168)</f>
        <v/>
      </c>
      <c r="U167" s="191"/>
      <c r="V167" s="191"/>
      <c r="W167" s="191"/>
      <c r="X167" s="191"/>
      <c r="Y167" s="191"/>
      <c r="Z167" s="191"/>
      <c r="AA167" s="191"/>
      <c r="AB167" s="191"/>
      <c r="AC167" s="191"/>
      <c r="AD167" s="191"/>
      <c r="AE167" s="191"/>
      <c r="AF167" s="191"/>
      <c r="AG167" s="191"/>
      <c r="AH167" s="191"/>
      <c r="AI167" s="191"/>
      <c r="AJ167" s="192"/>
      <c r="AK167" s="101"/>
      <c r="AL167" s="370"/>
      <c r="AM167" s="371"/>
    </row>
    <row r="168" spans="19:39" ht="24.75" customHeight="1">
      <c r="S168" s="228">
        <f>+IF(MARZO!S169=0,"",MARZO!S169)</f>
        <v>3000000</v>
      </c>
      <c r="T168" s="404" t="str">
        <f>+IF(MARZO!T169=0,"",MARZO!T169)</f>
        <v>TRANSFERENCIAS CORRIENTES</v>
      </c>
      <c r="U168" s="405">
        <f t="shared" ref="U168:AJ168" si="152">U170+U174+U183</f>
        <v>2193060585</v>
      </c>
      <c r="V168" s="406">
        <f t="shared" si="152"/>
        <v>0</v>
      </c>
      <c r="W168" s="406">
        <f t="shared" si="152"/>
        <v>1400000000</v>
      </c>
      <c r="X168" s="407">
        <f>X170+X174+X183</f>
        <v>3593060585</v>
      </c>
      <c r="Y168" s="217">
        <f t="shared" si="152"/>
        <v>571006836</v>
      </c>
      <c r="Z168" s="406">
        <f t="shared" si="152"/>
        <v>124517716</v>
      </c>
      <c r="AA168" s="407">
        <f t="shared" si="152"/>
        <v>695524552</v>
      </c>
      <c r="AB168" s="217">
        <f t="shared" si="152"/>
        <v>571006836</v>
      </c>
      <c r="AC168" s="406">
        <f t="shared" si="152"/>
        <v>124517716</v>
      </c>
      <c r="AD168" s="407">
        <f t="shared" si="152"/>
        <v>695524552</v>
      </c>
      <c r="AE168" s="217">
        <f t="shared" si="152"/>
        <v>466551034</v>
      </c>
      <c r="AF168" s="406">
        <f t="shared" si="152"/>
        <v>137254969</v>
      </c>
      <c r="AG168" s="407">
        <f t="shared" si="152"/>
        <v>603806003</v>
      </c>
      <c r="AH168" s="217">
        <f t="shared" si="152"/>
        <v>2897536033</v>
      </c>
      <c r="AI168" s="406">
        <f t="shared" si="152"/>
        <v>2897536033</v>
      </c>
      <c r="AJ168" s="218">
        <f t="shared" si="152"/>
        <v>2989254582</v>
      </c>
      <c r="AK168" s="101"/>
      <c r="AL168" s="233">
        <f>AL170+AL174+AL183</f>
        <v>0</v>
      </c>
      <c r="AM168" s="232">
        <f>AM170+AM174+AM183</f>
        <v>1400000000</v>
      </c>
    </row>
    <row r="169" spans="19:39" ht="24.75" customHeight="1">
      <c r="S169" s="189">
        <f>+IF(MARZO!S170=0,"",MARZO!S170)</f>
        <v>3000000</v>
      </c>
      <c r="T169" s="488" t="str">
        <f>+IF(MARZO!T170=0,"",MARZO!T170)</f>
        <v/>
      </c>
      <c r="U169" s="191"/>
      <c r="V169" s="191"/>
      <c r="W169" s="191"/>
      <c r="X169" s="191"/>
      <c r="Y169" s="191"/>
      <c r="Z169" s="191"/>
      <c r="AA169" s="191"/>
      <c r="AB169" s="191"/>
      <c r="AC169" s="191"/>
      <c r="AD169" s="191"/>
      <c r="AE169" s="191"/>
      <c r="AF169" s="191"/>
      <c r="AG169" s="191"/>
      <c r="AH169" s="191"/>
      <c r="AI169" s="191"/>
      <c r="AJ169" s="192"/>
      <c r="AK169" s="101"/>
      <c r="AL169" s="370"/>
      <c r="AM169" s="371"/>
    </row>
    <row r="170" spans="19:39" ht="24.75" customHeight="1">
      <c r="S170" s="257">
        <f>+IF(MARZO!S171=0,"",MARZO!S171)</f>
        <v>3100000</v>
      </c>
      <c r="T170" s="546" t="str">
        <f>+IF(MARZO!T171=0,"",MARZO!T171)</f>
        <v>Transferencias al Sector Público</v>
      </c>
      <c r="U170" s="230">
        <f t="shared" ref="U170:AJ170" si="153">SUM(U171:U172)</f>
        <v>570000000</v>
      </c>
      <c r="V170" s="231">
        <f t="shared" si="153"/>
        <v>0</v>
      </c>
      <c r="W170" s="231">
        <f t="shared" si="153"/>
        <v>900000000</v>
      </c>
      <c r="X170" s="234">
        <f t="shared" si="153"/>
        <v>1470000000</v>
      </c>
      <c r="Y170" s="233">
        <f t="shared" si="153"/>
        <v>193686301</v>
      </c>
      <c r="Z170" s="231">
        <f t="shared" si="153"/>
        <v>23445932</v>
      </c>
      <c r="AA170" s="234">
        <f t="shared" si="153"/>
        <v>217132233</v>
      </c>
      <c r="AB170" s="233">
        <f t="shared" si="153"/>
        <v>193686301</v>
      </c>
      <c r="AC170" s="231">
        <f t="shared" si="153"/>
        <v>23445932</v>
      </c>
      <c r="AD170" s="234">
        <f t="shared" si="153"/>
        <v>217132233</v>
      </c>
      <c r="AE170" s="233">
        <f t="shared" si="153"/>
        <v>95969905</v>
      </c>
      <c r="AF170" s="231">
        <f t="shared" si="153"/>
        <v>35660482</v>
      </c>
      <c r="AG170" s="234">
        <f t="shared" si="153"/>
        <v>131630387</v>
      </c>
      <c r="AH170" s="233">
        <f t="shared" si="153"/>
        <v>1252867767</v>
      </c>
      <c r="AI170" s="231">
        <f t="shared" si="153"/>
        <v>1252867767</v>
      </c>
      <c r="AJ170" s="232">
        <f t="shared" si="153"/>
        <v>1338369613</v>
      </c>
      <c r="AK170" s="101"/>
      <c r="AL170" s="233">
        <f>SUM(AL171:AL172)</f>
        <v>0</v>
      </c>
      <c r="AM170" s="232">
        <f>SUM(AM171:AM172)</f>
        <v>900000000</v>
      </c>
    </row>
    <row r="171" spans="19:39" ht="24.75" customHeight="1">
      <c r="S171" s="266" t="str">
        <f>+IF(MARZO!S172=0,"",MARZO!S172)</f>
        <v>2.1.8.04.01</v>
      </c>
      <c r="T171" s="267" t="str">
        <f>+IF(MARZO!T172=0,"",MARZO!T172)</f>
        <v>Cuotas de fiscalizacion y auditaje</v>
      </c>
      <c r="U171" s="373">
        <f>+ENERO!U172</f>
        <v>170000000</v>
      </c>
      <c r="V171" s="220">
        <f>MARZO!V172+ABRIL!AL171</f>
        <v>0</v>
      </c>
      <c r="W171" s="220">
        <f>MARZO!W172+ABRIL!AM171</f>
        <v>0</v>
      </c>
      <c r="X171" s="271">
        <f>SUM(U171:W171)</f>
        <v>170000000</v>
      </c>
      <c r="Y171" s="270">
        <f>MARZO!AA172</f>
        <v>122145496</v>
      </c>
      <c r="Z171" s="208">
        <v>0</v>
      </c>
      <c r="AA171" s="271">
        <f>SUM(Y171:Z171)</f>
        <v>122145496</v>
      </c>
      <c r="AB171" s="270">
        <f>MARZO!AD172</f>
        <v>122145496</v>
      </c>
      <c r="AC171" s="208">
        <v>0</v>
      </c>
      <c r="AD171" s="271">
        <f>SUM(AB171:AC171)</f>
        <v>122145496</v>
      </c>
      <c r="AE171" s="270">
        <f>MARZO!AG172</f>
        <v>24429100</v>
      </c>
      <c r="AF171" s="208">
        <v>12214550</v>
      </c>
      <c r="AG171" s="271">
        <f>SUM(AE171:AF171)</f>
        <v>36643650</v>
      </c>
      <c r="AH171" s="270">
        <f>X171-AA171</f>
        <v>47854504</v>
      </c>
      <c r="AI171" s="220">
        <f>X171-AD171</f>
        <v>47854504</v>
      </c>
      <c r="AJ171" s="269">
        <f>X171-AG171</f>
        <v>133356350</v>
      </c>
      <c r="AK171" s="101"/>
      <c r="AL171" s="204">
        <v>0</v>
      </c>
      <c r="AM171" s="210">
        <v>0</v>
      </c>
    </row>
    <row r="172" spans="19:39" ht="24.75" customHeight="1">
      <c r="S172" s="266" t="str">
        <f>+IF(MARZO!S173=0,"",MARZO!S173)</f>
        <v>2.1.8.02</v>
      </c>
      <c r="T172" s="267" t="str">
        <f>+IF(MARZO!T173=0,"",MARZO!T173)</f>
        <v>Acuerdo de estampillas</v>
      </c>
      <c r="U172" s="373">
        <f>+ENERO!U173</f>
        <v>400000000</v>
      </c>
      <c r="V172" s="220">
        <f>MARZO!V173+ABRIL!AL172</f>
        <v>0</v>
      </c>
      <c r="W172" s="220">
        <f>MARZO!W173+ABRIL!AM172</f>
        <v>900000000</v>
      </c>
      <c r="X172" s="271">
        <f>SUM(U172:W172)</f>
        <v>1300000000</v>
      </c>
      <c r="Y172" s="270">
        <f>MARZO!AA173</f>
        <v>71540805</v>
      </c>
      <c r="Z172" s="208">
        <v>23445932</v>
      </c>
      <c r="AA172" s="271">
        <f>SUM(Y172:Z172)</f>
        <v>94986737</v>
      </c>
      <c r="AB172" s="270">
        <f>MARZO!AD173</f>
        <v>71540805</v>
      </c>
      <c r="AC172" s="208">
        <v>23445932</v>
      </c>
      <c r="AD172" s="271">
        <f>SUM(AB172:AC172)</f>
        <v>94986737</v>
      </c>
      <c r="AE172" s="270">
        <f>MARZO!AG173</f>
        <v>71540805</v>
      </c>
      <c r="AF172" s="208">
        <v>23445932</v>
      </c>
      <c r="AG172" s="271">
        <f>SUM(AE172:AF172)</f>
        <v>94986737</v>
      </c>
      <c r="AH172" s="270">
        <f>X172-AA172</f>
        <v>1205013263</v>
      </c>
      <c r="AI172" s="220">
        <f>X172-AD172</f>
        <v>1205013263</v>
      </c>
      <c r="AJ172" s="269">
        <f>X172-AG172</f>
        <v>1205013263</v>
      </c>
      <c r="AK172" s="101"/>
      <c r="AL172" s="204">
        <v>0</v>
      </c>
      <c r="AM172" s="210">
        <v>900000000</v>
      </c>
    </row>
    <row r="173" spans="19:39" ht="24.75" customHeight="1">
      <c r="S173" s="189">
        <f>+IF(MARZO!S174=0,"",MARZO!S174)</f>
        <v>23007296</v>
      </c>
      <c r="T173" s="488" t="str">
        <f>+IF(MARZO!T174=0,"",MARZO!T174)</f>
        <v/>
      </c>
      <c r="U173" s="191"/>
      <c r="V173" s="191"/>
      <c r="W173" s="191"/>
      <c r="X173" s="191"/>
      <c r="Y173" s="191"/>
      <c r="Z173" s="191"/>
      <c r="AA173" s="191"/>
      <c r="AB173" s="191"/>
      <c r="AC173" s="191"/>
      <c r="AD173" s="191"/>
      <c r="AE173" s="191"/>
      <c r="AF173" s="191"/>
      <c r="AG173" s="191"/>
      <c r="AH173" s="191"/>
      <c r="AI173" s="191"/>
      <c r="AJ173" s="192"/>
      <c r="AK173" s="216"/>
      <c r="AL173" s="370"/>
      <c r="AM173" s="371"/>
    </row>
    <row r="174" spans="19:39" ht="24.75" customHeight="1">
      <c r="S174" s="257">
        <f>+IF(MARZO!S175=0,"",MARZO!S175)</f>
        <v>320000</v>
      </c>
      <c r="T174" s="546" t="str">
        <f>+IF(MARZO!T175=0,"",MARZO!T175)</f>
        <v>Transf. Previsión y Seguridad Social</v>
      </c>
      <c r="U174" s="230">
        <f t="shared" ref="U174:AJ174" si="154">SUM(U175:U181)</f>
        <v>310000000</v>
      </c>
      <c r="V174" s="231">
        <f t="shared" si="154"/>
        <v>0</v>
      </c>
      <c r="W174" s="231">
        <f t="shared" si="154"/>
        <v>0</v>
      </c>
      <c r="X174" s="234">
        <f t="shared" si="154"/>
        <v>310000000</v>
      </c>
      <c r="Y174" s="233">
        <f t="shared" si="154"/>
        <v>167284217</v>
      </c>
      <c r="Z174" s="231">
        <f t="shared" si="154"/>
        <v>549081</v>
      </c>
      <c r="AA174" s="234">
        <f t="shared" si="154"/>
        <v>167833298</v>
      </c>
      <c r="AB174" s="233">
        <f t="shared" si="154"/>
        <v>167284217</v>
      </c>
      <c r="AC174" s="231">
        <f t="shared" si="154"/>
        <v>549081</v>
      </c>
      <c r="AD174" s="234">
        <f t="shared" si="154"/>
        <v>167833298</v>
      </c>
      <c r="AE174" s="233">
        <f t="shared" si="154"/>
        <v>167284217</v>
      </c>
      <c r="AF174" s="231">
        <f t="shared" si="154"/>
        <v>549081</v>
      </c>
      <c r="AG174" s="234">
        <f t="shared" si="154"/>
        <v>167833298</v>
      </c>
      <c r="AH174" s="233">
        <f t="shared" si="154"/>
        <v>142166702</v>
      </c>
      <c r="AI174" s="231">
        <f t="shared" si="154"/>
        <v>142166702</v>
      </c>
      <c r="AJ174" s="232">
        <f t="shared" si="154"/>
        <v>142166702</v>
      </c>
      <c r="AK174" s="101"/>
      <c r="AL174" s="233">
        <f>SUM(AL175:AL181)</f>
        <v>0</v>
      </c>
      <c r="AM174" s="232">
        <f>SUM(AM175:AM181)</f>
        <v>0</v>
      </c>
    </row>
    <row r="175" spans="19:39" ht="24.75" customHeight="1">
      <c r="S175" s="266">
        <f>+IF(MARZO!S176=0,"",MARZO!S176)</f>
        <v>3200100</v>
      </c>
      <c r="T175" s="267" t="str">
        <f>+IF(MARZO!T176=0,"",MARZO!T176)</f>
        <v>Pensiones y Jubilaciones (Pago Directo)</v>
      </c>
      <c r="U175" s="373">
        <f>+ENERO!U176</f>
        <v>0</v>
      </c>
      <c r="V175" s="220">
        <f>MARZO!V176+ABRIL!AL175</f>
        <v>0</v>
      </c>
      <c r="W175" s="220">
        <f>MARZO!W176+ABRIL!AM175</f>
        <v>0</v>
      </c>
      <c r="X175" s="271">
        <f t="shared" ref="X175:X181" si="155">SUM(U175:W175)</f>
        <v>0</v>
      </c>
      <c r="Y175" s="270">
        <f>MARZO!AA176</f>
        <v>0</v>
      </c>
      <c r="Z175" s="208">
        <v>0</v>
      </c>
      <c r="AA175" s="271">
        <f t="shared" ref="AA175:AA181" si="156">SUM(Y175:Z175)</f>
        <v>0</v>
      </c>
      <c r="AB175" s="270">
        <f>MARZO!AD176</f>
        <v>0</v>
      </c>
      <c r="AC175" s="208">
        <v>0</v>
      </c>
      <c r="AD175" s="271">
        <f t="shared" ref="AD175:AD181" si="157">SUM(AB175:AC175)</f>
        <v>0</v>
      </c>
      <c r="AE175" s="270">
        <f>MARZO!AG176</f>
        <v>0</v>
      </c>
      <c r="AF175" s="208">
        <v>0</v>
      </c>
      <c r="AG175" s="271">
        <f t="shared" ref="AG175:AG181" si="158">SUM(AE175:AF175)</f>
        <v>0</v>
      </c>
      <c r="AH175" s="270">
        <f t="shared" ref="AH175:AH181" si="159">X175-AA175</f>
        <v>0</v>
      </c>
      <c r="AI175" s="220">
        <f t="shared" ref="AI175:AI181" si="160">X175-AD175</f>
        <v>0</v>
      </c>
      <c r="AJ175" s="269">
        <f t="shared" ref="AJ175:AJ181" si="161">X175-AG175</f>
        <v>0</v>
      </c>
      <c r="AK175" s="101"/>
      <c r="AL175" s="204">
        <v>0</v>
      </c>
      <c r="AM175" s="210">
        <v>0</v>
      </c>
    </row>
    <row r="176" spans="19:39" ht="24.75" customHeight="1">
      <c r="S176" s="266">
        <f>+IF(MARZO!S177=0,"",MARZO!S177)</f>
        <v>3200200</v>
      </c>
      <c r="T176" s="267" t="str">
        <f>+IF(MARZO!T177=0,"",MARZO!T177)</f>
        <v>Cesantías Pago Directo (Pago Directo)</v>
      </c>
      <c r="U176" s="373">
        <f>+ENERO!U177</f>
        <v>0</v>
      </c>
      <c r="V176" s="220">
        <f>MARZO!V177+ABRIL!AL176</f>
        <v>0</v>
      </c>
      <c r="W176" s="220">
        <f>MARZO!W177+ABRIL!AM176</f>
        <v>0</v>
      </c>
      <c r="X176" s="271">
        <f t="shared" si="155"/>
        <v>0</v>
      </c>
      <c r="Y176" s="270">
        <f>MARZO!AA177</f>
        <v>0</v>
      </c>
      <c r="Z176" s="208">
        <v>0</v>
      </c>
      <c r="AA176" s="271">
        <f t="shared" si="156"/>
        <v>0</v>
      </c>
      <c r="AB176" s="270">
        <f>MARZO!AD177</f>
        <v>0</v>
      </c>
      <c r="AC176" s="208">
        <v>0</v>
      </c>
      <c r="AD176" s="271">
        <f t="shared" si="157"/>
        <v>0</v>
      </c>
      <c r="AE176" s="270">
        <f>MARZO!AG177</f>
        <v>0</v>
      </c>
      <c r="AF176" s="208">
        <v>0</v>
      </c>
      <c r="AG176" s="271">
        <f t="shared" si="158"/>
        <v>0</v>
      </c>
      <c r="AH176" s="270">
        <f t="shared" si="159"/>
        <v>0</v>
      </c>
      <c r="AI176" s="220">
        <f t="shared" si="160"/>
        <v>0</v>
      </c>
      <c r="AJ176" s="269">
        <f t="shared" si="161"/>
        <v>0</v>
      </c>
      <c r="AK176" s="101"/>
      <c r="AL176" s="204">
        <v>0</v>
      </c>
      <c r="AM176" s="210">
        <v>0</v>
      </c>
    </row>
    <row r="177" spans="19:39" ht="24.75" customHeight="1">
      <c r="S177" s="266" t="str">
        <f>+IF(MARZO!S178=0,"",MARZO!S178)</f>
        <v>2.1.3.07.02.002.02</v>
      </c>
      <c r="T177" s="267" t="str">
        <f>+IF(MARZO!T178=0,"",MARZO!T178)</f>
        <v>Cuotas partes pensionales a cargo de la entidad ( de pensiones)</v>
      </c>
      <c r="U177" s="373">
        <f>+ENERO!U178</f>
        <v>10000000</v>
      </c>
      <c r="V177" s="220">
        <f>MARZO!V178+ABRIL!AL177</f>
        <v>0</v>
      </c>
      <c r="W177" s="220">
        <f>MARZO!W178+ABRIL!AM177</f>
        <v>0</v>
      </c>
      <c r="X177" s="271">
        <f t="shared" si="155"/>
        <v>10000000</v>
      </c>
      <c r="Y177" s="270">
        <f>MARZO!AA178</f>
        <v>2623217</v>
      </c>
      <c r="Z177" s="208">
        <v>549081</v>
      </c>
      <c r="AA177" s="271">
        <f t="shared" si="156"/>
        <v>3172298</v>
      </c>
      <c r="AB177" s="270">
        <f>MARZO!AD178</f>
        <v>2623217</v>
      </c>
      <c r="AC177" s="208">
        <v>549081</v>
      </c>
      <c r="AD177" s="271">
        <f t="shared" si="157"/>
        <v>3172298</v>
      </c>
      <c r="AE177" s="270">
        <f>MARZO!AG178</f>
        <v>2623217</v>
      </c>
      <c r="AF177" s="208">
        <v>549081</v>
      </c>
      <c r="AG177" s="271">
        <f t="shared" si="158"/>
        <v>3172298</v>
      </c>
      <c r="AH177" s="270">
        <f t="shared" si="159"/>
        <v>6827702</v>
      </c>
      <c r="AI177" s="220">
        <f t="shared" si="160"/>
        <v>6827702</v>
      </c>
      <c r="AJ177" s="269">
        <f t="shared" si="161"/>
        <v>6827702</v>
      </c>
      <c r="AK177" s="101"/>
      <c r="AL177" s="204">
        <v>0</v>
      </c>
      <c r="AM177" s="210">
        <v>0</v>
      </c>
    </row>
    <row r="178" spans="19:39" ht="24.75" customHeight="1">
      <c r="S178" s="266" t="str">
        <f>+IF(MARZO!S179=0,"",MARZO!S179)</f>
        <v>2.1.3.07.02.003.02</v>
      </c>
      <c r="T178" s="267" t="str">
        <f>+IF(MARZO!T179=0,"",MARZO!T179)</f>
        <v>Bonos pensionales a cargo de la entidad ( de pensiones)</v>
      </c>
      <c r="U178" s="373">
        <f>+ENERO!U179</f>
        <v>300000000</v>
      </c>
      <c r="V178" s="220">
        <f>MARZO!V179+ABRIL!AL178</f>
        <v>0</v>
      </c>
      <c r="W178" s="220">
        <f>MARZO!W179+ABRIL!AM178</f>
        <v>0</v>
      </c>
      <c r="X178" s="271">
        <f t="shared" si="155"/>
        <v>300000000</v>
      </c>
      <c r="Y178" s="270">
        <f>MARZO!AA179</f>
        <v>164661000</v>
      </c>
      <c r="Z178" s="208">
        <v>0</v>
      </c>
      <c r="AA178" s="271">
        <f t="shared" si="156"/>
        <v>164661000</v>
      </c>
      <c r="AB178" s="270">
        <f>MARZO!AD179</f>
        <v>164661000</v>
      </c>
      <c r="AC178" s="208">
        <v>0</v>
      </c>
      <c r="AD178" s="271">
        <f t="shared" si="157"/>
        <v>164661000</v>
      </c>
      <c r="AE178" s="270">
        <f>MARZO!AG179</f>
        <v>164661000</v>
      </c>
      <c r="AF178" s="208">
        <v>0</v>
      </c>
      <c r="AG178" s="271">
        <f t="shared" si="158"/>
        <v>164661000</v>
      </c>
      <c r="AH178" s="270">
        <f t="shared" si="159"/>
        <v>135339000</v>
      </c>
      <c r="AI178" s="220">
        <f t="shared" si="160"/>
        <v>135339000</v>
      </c>
      <c r="AJ178" s="269">
        <f t="shared" si="161"/>
        <v>135339000</v>
      </c>
      <c r="AK178" s="101"/>
      <c r="AL178" s="204">
        <v>0</v>
      </c>
      <c r="AM178" s="210">
        <v>0</v>
      </c>
    </row>
    <row r="179" spans="19:39" ht="24.75" customHeight="1">
      <c r="S179" s="266">
        <f>+IF(MARZO!S180=0,"",MARZO!S180)</f>
        <v>3200500</v>
      </c>
      <c r="T179" s="267"/>
      <c r="U179" s="373">
        <f>+ENERO!U180</f>
        <v>0</v>
      </c>
      <c r="V179" s="220">
        <f>MARZO!V180+ABRIL!AL179</f>
        <v>0</v>
      </c>
      <c r="W179" s="220">
        <f>MARZO!W180+ABRIL!AM179</f>
        <v>0</v>
      </c>
      <c r="X179" s="271">
        <f t="shared" si="155"/>
        <v>0</v>
      </c>
      <c r="Y179" s="270">
        <f>MARZO!AA180</f>
        <v>0</v>
      </c>
      <c r="Z179" s="208">
        <v>0</v>
      </c>
      <c r="AA179" s="271">
        <f t="shared" si="156"/>
        <v>0</v>
      </c>
      <c r="AB179" s="270">
        <f>MARZO!AD180</f>
        <v>0</v>
      </c>
      <c r="AC179" s="208">
        <v>0</v>
      </c>
      <c r="AD179" s="271">
        <f t="shared" si="157"/>
        <v>0</v>
      </c>
      <c r="AE179" s="270">
        <f>MARZO!AG180</f>
        <v>0</v>
      </c>
      <c r="AF179" s="208">
        <v>0</v>
      </c>
      <c r="AG179" s="271">
        <f t="shared" si="158"/>
        <v>0</v>
      </c>
      <c r="AH179" s="270">
        <f t="shared" si="159"/>
        <v>0</v>
      </c>
      <c r="AI179" s="220">
        <f t="shared" si="160"/>
        <v>0</v>
      </c>
      <c r="AJ179" s="269">
        <f t="shared" si="161"/>
        <v>0</v>
      </c>
      <c r="AK179" s="101"/>
      <c r="AL179" s="204">
        <v>0</v>
      </c>
      <c r="AM179" s="210">
        <v>0</v>
      </c>
    </row>
    <row r="180" spans="19:39" ht="24.75" customHeight="1">
      <c r="S180" s="266">
        <f>+IF(MARZO!S181=0,"",MARZO!S181)</f>
        <v>3200600</v>
      </c>
      <c r="T180" s="267"/>
      <c r="U180" s="373">
        <f>+ENERO!U181</f>
        <v>0</v>
      </c>
      <c r="V180" s="220">
        <f>MARZO!V181+ABRIL!AL180</f>
        <v>0</v>
      </c>
      <c r="W180" s="220">
        <f>MARZO!W181+ABRIL!AM180</f>
        <v>0</v>
      </c>
      <c r="X180" s="271">
        <f t="shared" si="155"/>
        <v>0</v>
      </c>
      <c r="Y180" s="270">
        <f>MARZO!AA181</f>
        <v>0</v>
      </c>
      <c r="Z180" s="208">
        <v>0</v>
      </c>
      <c r="AA180" s="271">
        <f t="shared" si="156"/>
        <v>0</v>
      </c>
      <c r="AB180" s="270">
        <f>MARZO!AD181</f>
        <v>0</v>
      </c>
      <c r="AC180" s="208">
        <v>0</v>
      </c>
      <c r="AD180" s="271">
        <f t="shared" si="157"/>
        <v>0</v>
      </c>
      <c r="AE180" s="270">
        <f>MARZO!AG181</f>
        <v>0</v>
      </c>
      <c r="AF180" s="208">
        <v>0</v>
      </c>
      <c r="AG180" s="271">
        <f t="shared" si="158"/>
        <v>0</v>
      </c>
      <c r="AH180" s="270">
        <f t="shared" si="159"/>
        <v>0</v>
      </c>
      <c r="AI180" s="220">
        <f t="shared" si="160"/>
        <v>0</v>
      </c>
      <c r="AJ180" s="269">
        <f t="shared" si="161"/>
        <v>0</v>
      </c>
      <c r="AK180" s="101"/>
      <c r="AL180" s="204">
        <v>0</v>
      </c>
      <c r="AM180" s="210">
        <v>0</v>
      </c>
    </row>
    <row r="181" spans="19:39" ht="24.75" customHeight="1">
      <c r="S181" s="266" t="str">
        <f>+IF(MARZO!S182=0,"",MARZO!S182)</f>
        <v>2.1.7.01.01</v>
      </c>
      <c r="T181" s="267" t="str">
        <f>+IF(MARZO!T182=0,"",MARZO!T182)</f>
        <v>Vigencias Anteriores Cesantias</v>
      </c>
      <c r="U181" s="373">
        <f>+ENERO!U182</f>
        <v>0</v>
      </c>
      <c r="V181" s="220">
        <f>MARZO!V182+ABRIL!AL181</f>
        <v>0</v>
      </c>
      <c r="W181" s="220">
        <f>MARZO!W182+ABRIL!AM181</f>
        <v>0</v>
      </c>
      <c r="X181" s="271">
        <f t="shared" si="155"/>
        <v>0</v>
      </c>
      <c r="Y181" s="270">
        <f>MARZO!AA182</f>
        <v>0</v>
      </c>
      <c r="Z181" s="208">
        <v>0</v>
      </c>
      <c r="AA181" s="271">
        <f t="shared" si="156"/>
        <v>0</v>
      </c>
      <c r="AB181" s="270">
        <f>MARZO!AD182</f>
        <v>0</v>
      </c>
      <c r="AC181" s="208">
        <v>0</v>
      </c>
      <c r="AD181" s="271">
        <f t="shared" si="157"/>
        <v>0</v>
      </c>
      <c r="AE181" s="270">
        <f>MARZO!AG182</f>
        <v>0</v>
      </c>
      <c r="AF181" s="208">
        <v>0</v>
      </c>
      <c r="AG181" s="271">
        <f t="shared" si="158"/>
        <v>0</v>
      </c>
      <c r="AH181" s="270">
        <f t="shared" si="159"/>
        <v>0</v>
      </c>
      <c r="AI181" s="220">
        <f t="shared" si="160"/>
        <v>0</v>
      </c>
      <c r="AJ181" s="269">
        <f t="shared" si="161"/>
        <v>0</v>
      </c>
      <c r="AK181" s="101"/>
      <c r="AL181" s="204">
        <v>0</v>
      </c>
      <c r="AM181" s="210">
        <v>0</v>
      </c>
    </row>
    <row r="182" spans="19:39" ht="24.75" customHeight="1">
      <c r="S182" s="189" t="str">
        <f>+IF(MARZO!S183=0,"",MARZO!S183)</f>
        <v/>
      </c>
      <c r="T182" s="488" t="str">
        <f>+IF(MARZO!T183=0,"",MARZO!T183)</f>
        <v/>
      </c>
      <c r="U182" s="191"/>
      <c r="V182" s="191"/>
      <c r="W182" s="191"/>
      <c r="X182" s="191"/>
      <c r="Y182" s="191"/>
      <c r="Z182" s="191"/>
      <c r="AA182" s="191"/>
      <c r="AB182" s="191"/>
      <c r="AC182" s="191"/>
      <c r="AD182" s="191"/>
      <c r="AE182" s="191"/>
      <c r="AF182" s="191"/>
      <c r="AG182" s="191"/>
      <c r="AH182" s="191"/>
      <c r="AI182" s="191"/>
      <c r="AJ182" s="192"/>
      <c r="AK182" s="101"/>
      <c r="AL182" s="370"/>
      <c r="AM182" s="371"/>
    </row>
    <row r="183" spans="19:39" ht="24.75" customHeight="1">
      <c r="S183" s="257">
        <f>+IF(MARZO!S184=0,"",MARZO!S184)</f>
        <v>3300000</v>
      </c>
      <c r="T183" s="546" t="str">
        <f>+IF(MARZO!T184=0,"",MARZO!T184)</f>
        <v>Otras Transferencias</v>
      </c>
      <c r="U183" s="230">
        <f t="shared" ref="U183:AJ183" si="162">U184+U185+U190</f>
        <v>1313060585</v>
      </c>
      <c r="V183" s="231">
        <f t="shared" si="162"/>
        <v>0</v>
      </c>
      <c r="W183" s="231">
        <f t="shared" si="162"/>
        <v>500000000</v>
      </c>
      <c r="X183" s="234">
        <f>X184+X185+X190</f>
        <v>1813060585</v>
      </c>
      <c r="Y183" s="233">
        <f t="shared" si="162"/>
        <v>210036318</v>
      </c>
      <c r="Z183" s="231">
        <f t="shared" si="162"/>
        <v>100522703</v>
      </c>
      <c r="AA183" s="234">
        <f t="shared" si="162"/>
        <v>310559021</v>
      </c>
      <c r="AB183" s="233">
        <f t="shared" si="162"/>
        <v>210036318</v>
      </c>
      <c r="AC183" s="231">
        <f t="shared" si="162"/>
        <v>100522703</v>
      </c>
      <c r="AD183" s="234">
        <f t="shared" si="162"/>
        <v>310559021</v>
      </c>
      <c r="AE183" s="233">
        <f t="shared" si="162"/>
        <v>203296912</v>
      </c>
      <c r="AF183" s="231">
        <f t="shared" si="162"/>
        <v>101045406</v>
      </c>
      <c r="AG183" s="234">
        <f t="shared" si="162"/>
        <v>304342318</v>
      </c>
      <c r="AH183" s="233">
        <f t="shared" si="162"/>
        <v>1502501564</v>
      </c>
      <c r="AI183" s="231">
        <f t="shared" si="162"/>
        <v>1502501564</v>
      </c>
      <c r="AJ183" s="232">
        <f t="shared" si="162"/>
        <v>1508718267</v>
      </c>
      <c r="AK183" s="101"/>
      <c r="AL183" s="233">
        <f>AL184+AL185+AL190</f>
        <v>0</v>
      </c>
      <c r="AM183" s="232">
        <f>AM184+AM185+AM190</f>
        <v>500000000</v>
      </c>
    </row>
    <row r="184" spans="19:39" ht="24.75" customHeight="1">
      <c r="S184" s="266" t="str">
        <f>+IF(MARZO!S185=0,"",MARZO!S185)</f>
        <v>2.1.3.13.01.001</v>
      </c>
      <c r="T184" s="267" t="str">
        <f>+IF(MARZO!T185=0,"",MARZO!T185)</f>
        <v>Sentencias</v>
      </c>
      <c r="U184" s="373">
        <f>+ENERO!U185</f>
        <v>800000000</v>
      </c>
      <c r="V184" s="220">
        <f>MARZO!V185+ABRIL!AL184</f>
        <v>-350000000</v>
      </c>
      <c r="W184" s="220">
        <f>MARZO!W185+ABRIL!AM184</f>
        <v>0</v>
      </c>
      <c r="X184" s="271">
        <f>SUM(U184:W184)</f>
        <v>450000000</v>
      </c>
      <c r="Y184" s="270">
        <f>MARZO!AA185</f>
        <v>0</v>
      </c>
      <c r="Z184" s="208">
        <v>0</v>
      </c>
      <c r="AA184" s="271">
        <f>SUM(Y184:Z184)</f>
        <v>0</v>
      </c>
      <c r="AB184" s="270">
        <f>MARZO!AD185</f>
        <v>0</v>
      </c>
      <c r="AC184" s="208">
        <v>0</v>
      </c>
      <c r="AD184" s="271">
        <f>SUM(AB184:AC184)</f>
        <v>0</v>
      </c>
      <c r="AE184" s="270">
        <f>MARZO!AG185</f>
        <v>0</v>
      </c>
      <c r="AF184" s="208">
        <v>0</v>
      </c>
      <c r="AG184" s="271">
        <f>SUM(AE184:AF184)</f>
        <v>0</v>
      </c>
      <c r="AH184" s="270">
        <f>X184-AA184</f>
        <v>450000000</v>
      </c>
      <c r="AI184" s="220">
        <f>X184-AD184</f>
        <v>450000000</v>
      </c>
      <c r="AJ184" s="269">
        <f>X184-AG184</f>
        <v>450000000</v>
      </c>
      <c r="AK184" s="101"/>
      <c r="AL184" s="204">
        <v>0</v>
      </c>
      <c r="AM184" s="210">
        <v>0</v>
      </c>
    </row>
    <row r="185" spans="19:39" ht="24.75" customHeight="1">
      <c r="S185" s="266">
        <f>+IF(MARZO!S186=0,"",MARZO!S186)</f>
        <v>3300200</v>
      </c>
      <c r="T185" s="267" t="str">
        <f>+IF(MARZO!T186=0,"",MARZO!T186)</f>
        <v>Destinatarios de otras transferencias</v>
      </c>
      <c r="U185" s="373">
        <f t="shared" ref="U185:AJ185" si="163">SUM(U186:U189)</f>
        <v>463060585</v>
      </c>
      <c r="V185" s="220">
        <f t="shared" si="163"/>
        <v>0</v>
      </c>
      <c r="W185" s="220">
        <f t="shared" si="163"/>
        <v>500000000</v>
      </c>
      <c r="X185" s="271">
        <f>SUM(X186:X189)</f>
        <v>963060585</v>
      </c>
      <c r="Y185" s="270">
        <f t="shared" si="163"/>
        <v>7262109</v>
      </c>
      <c r="Z185" s="300">
        <f t="shared" si="163"/>
        <v>100522703</v>
      </c>
      <c r="AA185" s="271">
        <f t="shared" si="163"/>
        <v>107784812</v>
      </c>
      <c r="AB185" s="270">
        <f t="shared" si="163"/>
        <v>7262109</v>
      </c>
      <c r="AC185" s="300">
        <f t="shared" si="163"/>
        <v>100522703</v>
      </c>
      <c r="AD185" s="271">
        <f t="shared" si="163"/>
        <v>107784812</v>
      </c>
      <c r="AE185" s="270">
        <f t="shared" si="163"/>
        <v>522703</v>
      </c>
      <c r="AF185" s="300">
        <f t="shared" si="163"/>
        <v>101045406</v>
      </c>
      <c r="AG185" s="271">
        <f t="shared" si="163"/>
        <v>101568109</v>
      </c>
      <c r="AH185" s="270">
        <f t="shared" si="163"/>
        <v>855275773</v>
      </c>
      <c r="AI185" s="220">
        <f t="shared" si="163"/>
        <v>855275773</v>
      </c>
      <c r="AJ185" s="269">
        <f t="shared" si="163"/>
        <v>861492476</v>
      </c>
      <c r="AK185" s="101"/>
      <c r="AL185" s="269">
        <f>SUM(AL186:AL189)</f>
        <v>0</v>
      </c>
      <c r="AM185" s="269">
        <f>SUM(AM186:AM189)</f>
        <v>500000000</v>
      </c>
    </row>
    <row r="186" spans="19:39" ht="24.75" customHeight="1">
      <c r="S186" s="311" t="str">
        <f>+IF(MARZO!S187=0,"",MARZO!S187)</f>
        <v>2.1.2.02.02.009.907</v>
      </c>
      <c r="T186" s="267" t="str">
        <f>+IF(MARZO!T187=0,"",MARZO!T187)</f>
        <v>Cuota de Afiliación o sostenimiento (COHAN, AESA, OTROS)</v>
      </c>
      <c r="U186" s="373">
        <f>+ENERO!U187</f>
        <v>13060585</v>
      </c>
      <c r="V186" s="220">
        <f>MARZO!V187+ABRIL!AL186</f>
        <v>0</v>
      </c>
      <c r="W186" s="220">
        <f>MARZO!W187+ABRIL!AM186</f>
        <v>0</v>
      </c>
      <c r="X186" s="271">
        <f>SUM(U186:W186)</f>
        <v>13060585</v>
      </c>
      <c r="Y186" s="270">
        <f>MARZO!AA187</f>
        <v>7262109</v>
      </c>
      <c r="Z186" s="208">
        <v>522703</v>
      </c>
      <c r="AA186" s="271">
        <f>SUM(Y186:Z186)</f>
        <v>7784812</v>
      </c>
      <c r="AB186" s="270">
        <f>MARZO!AD187</f>
        <v>7262109</v>
      </c>
      <c r="AC186" s="208">
        <v>522703</v>
      </c>
      <c r="AD186" s="271">
        <f>SUM(AB186:AC186)</f>
        <v>7784812</v>
      </c>
      <c r="AE186" s="270">
        <f>MARZO!AG187</f>
        <v>522703</v>
      </c>
      <c r="AF186" s="208">
        <v>1045406</v>
      </c>
      <c r="AG186" s="271">
        <f>SUM(AE186:AF186)</f>
        <v>1568109</v>
      </c>
      <c r="AH186" s="270">
        <f>X186-AA186</f>
        <v>5275773</v>
      </c>
      <c r="AI186" s="220">
        <f>X186-AD186</f>
        <v>5275773</v>
      </c>
      <c r="AJ186" s="269">
        <f>X186-AG186</f>
        <v>11492476</v>
      </c>
      <c r="AK186" s="101"/>
      <c r="AL186" s="204">
        <v>0</v>
      </c>
      <c r="AM186" s="210">
        <v>0</v>
      </c>
    </row>
    <row r="187" spans="19:39" ht="24.75" customHeight="1">
      <c r="S187" s="311" t="str">
        <f>+IF(MARZO!S188=0,"",MARZO!S188)</f>
        <v>2.1.8.04.07</v>
      </c>
      <c r="T187" s="267" t="str">
        <f>+IF(MARZO!T188=0,"",MARZO!T188)</f>
        <v>Conciliaciones</v>
      </c>
      <c r="U187" s="373">
        <f>+ENERO!U188</f>
        <v>300000000</v>
      </c>
      <c r="V187" s="220">
        <f>MARZO!V188+ABRIL!AL187</f>
        <v>0</v>
      </c>
      <c r="W187" s="220">
        <f>MARZO!W188+ABRIL!AM187</f>
        <v>500000000</v>
      </c>
      <c r="X187" s="271">
        <f>SUM(U187:W187)</f>
        <v>800000000</v>
      </c>
      <c r="Y187" s="270">
        <f>MARZO!AA188</f>
        <v>0</v>
      </c>
      <c r="Z187" s="208">
        <v>100000000</v>
      </c>
      <c r="AA187" s="271">
        <f>SUM(Y187:Z187)</f>
        <v>100000000</v>
      </c>
      <c r="AB187" s="270">
        <f>MARZO!AD188</f>
        <v>0</v>
      </c>
      <c r="AC187" s="208">
        <v>100000000</v>
      </c>
      <c r="AD187" s="271">
        <f>SUM(AB187:AC187)</f>
        <v>100000000</v>
      </c>
      <c r="AE187" s="270">
        <f>MARZO!AG188</f>
        <v>0</v>
      </c>
      <c r="AF187" s="208">
        <v>100000000</v>
      </c>
      <c r="AG187" s="271">
        <f>SUM(AE187:AF187)</f>
        <v>100000000</v>
      </c>
      <c r="AH187" s="270">
        <f>X187-AA187</f>
        <v>700000000</v>
      </c>
      <c r="AI187" s="220">
        <f>X187-AD187</f>
        <v>700000000</v>
      </c>
      <c r="AJ187" s="269">
        <f>X187-AG187</f>
        <v>700000000</v>
      </c>
      <c r="AK187" s="101"/>
      <c r="AL187" s="204">
        <v>0</v>
      </c>
      <c r="AM187" s="210">
        <v>500000000</v>
      </c>
    </row>
    <row r="188" spans="19:39" ht="24.75" customHeight="1">
      <c r="S188" s="311" t="str">
        <f>+IF(MARZO!S189=0,"",MARZO!S189)</f>
        <v>2.1.8.05.01</v>
      </c>
      <c r="T188" s="267" t="str">
        <f>+IF(MARZO!T189=0,"",MARZO!T189)</f>
        <v>Multas y sanciones</v>
      </c>
      <c r="U188" s="884">
        <v>0</v>
      </c>
      <c r="V188" s="220">
        <f>MARZO!V189+ABRIL!AL188</f>
        <v>0</v>
      </c>
      <c r="W188" s="220">
        <f>MARZO!W189+ABRIL!AM188</f>
        <v>0</v>
      </c>
      <c r="X188" s="271">
        <f>SUM(U188:W188)</f>
        <v>0</v>
      </c>
      <c r="Y188" s="270">
        <f>MARZO!AA189</f>
        <v>0</v>
      </c>
      <c r="Z188" s="208">
        <v>0</v>
      </c>
      <c r="AA188" s="271">
        <f>SUM(Y188:Z188)</f>
        <v>0</v>
      </c>
      <c r="AB188" s="270">
        <f>MARZO!AD189</f>
        <v>0</v>
      </c>
      <c r="AC188" s="208">
        <v>0</v>
      </c>
      <c r="AD188" s="271">
        <f>SUM(AB188:AC188)</f>
        <v>0</v>
      </c>
      <c r="AE188" s="270">
        <f>MARZO!AG189</f>
        <v>0</v>
      </c>
      <c r="AF188" s="208">
        <v>0</v>
      </c>
      <c r="AG188" s="271">
        <f>SUM(AE188:AF188)</f>
        <v>0</v>
      </c>
      <c r="AH188" s="270">
        <f>X188-AA188</f>
        <v>0</v>
      </c>
      <c r="AI188" s="220">
        <f>X188-AD188</f>
        <v>0</v>
      </c>
      <c r="AJ188" s="269">
        <f>X188-AG188</f>
        <v>0</v>
      </c>
      <c r="AK188" s="903"/>
      <c r="AL188" s="204"/>
      <c r="AM188" s="210"/>
    </row>
    <row r="189" spans="19:39" ht="24.75" customHeight="1">
      <c r="S189" s="311" t="str">
        <f>+IF(MARZO!S190=0,"",MARZO!S190)</f>
        <v>2.1.8.04.07</v>
      </c>
      <c r="T189" s="267" t="str">
        <f>+IF(MARZO!T190=0,"",MARZO!T190)</f>
        <v>Cuotas de auditaje supersalud</v>
      </c>
      <c r="U189" s="373">
        <f>+ENERO!U190</f>
        <v>150000000</v>
      </c>
      <c r="V189" s="220">
        <f>MARZO!V190+ABRIL!AL189</f>
        <v>0</v>
      </c>
      <c r="W189" s="220">
        <f>MARZO!W190+ABRIL!AM189</f>
        <v>0</v>
      </c>
      <c r="X189" s="271">
        <f>SUM(U189:W189)</f>
        <v>150000000</v>
      </c>
      <c r="Y189" s="270">
        <f>MARZO!AA190</f>
        <v>0</v>
      </c>
      <c r="Z189" s="208">
        <v>0</v>
      </c>
      <c r="AA189" s="271">
        <f>SUM(Y189:Z189)</f>
        <v>0</v>
      </c>
      <c r="AB189" s="270">
        <f>MARZO!AD190</f>
        <v>0</v>
      </c>
      <c r="AC189" s="208">
        <v>0</v>
      </c>
      <c r="AD189" s="271">
        <f>SUM(AB189:AC189)</f>
        <v>0</v>
      </c>
      <c r="AE189" s="270">
        <f>MARZO!AG190</f>
        <v>0</v>
      </c>
      <c r="AF189" s="208">
        <v>0</v>
      </c>
      <c r="AG189" s="271">
        <f>SUM(AE189:AF189)</f>
        <v>0</v>
      </c>
      <c r="AH189" s="270">
        <f>X189-AA189</f>
        <v>150000000</v>
      </c>
      <c r="AI189" s="220">
        <f>X189-AD189</f>
        <v>150000000</v>
      </c>
      <c r="AJ189" s="269">
        <f>X189-AG189</f>
        <v>150000000</v>
      </c>
      <c r="AK189" s="101"/>
      <c r="AL189" s="204">
        <v>0</v>
      </c>
      <c r="AM189" s="210"/>
    </row>
    <row r="190" spans="19:39" ht="24.75" customHeight="1">
      <c r="S190" s="266" t="s">
        <v>781</v>
      </c>
      <c r="T190" s="267" t="str">
        <f>+IF(MARZO!T191=0,"",MARZO!T191)</f>
        <v>Vigencias Anteriores Conciliaciones</v>
      </c>
      <c r="U190" s="373">
        <f>+ENERO!U191</f>
        <v>50000000</v>
      </c>
      <c r="V190" s="220">
        <f>MARZO!V191+ABRIL!AL190</f>
        <v>350000000</v>
      </c>
      <c r="W190" s="220">
        <f>MARZO!W191+ABRIL!AM190</f>
        <v>0</v>
      </c>
      <c r="X190" s="271">
        <f>SUM(U190:W190)</f>
        <v>400000000</v>
      </c>
      <c r="Y190" s="270">
        <f>MARZO!AA191</f>
        <v>202774209</v>
      </c>
      <c r="Z190" s="208">
        <v>0</v>
      </c>
      <c r="AA190" s="271">
        <f>SUM(Y190:Z190)</f>
        <v>202774209</v>
      </c>
      <c r="AB190" s="270">
        <f>MARZO!AD191</f>
        <v>202774209</v>
      </c>
      <c r="AC190" s="208">
        <v>0</v>
      </c>
      <c r="AD190" s="271">
        <f>SUM(AB190:AC190)</f>
        <v>202774209</v>
      </c>
      <c r="AE190" s="270">
        <f>MARZO!AG191</f>
        <v>202774209</v>
      </c>
      <c r="AF190" s="208">
        <v>0</v>
      </c>
      <c r="AG190" s="271">
        <f>SUM(AE190:AF190)</f>
        <v>202774209</v>
      </c>
      <c r="AH190" s="270">
        <f>X190-AA190</f>
        <v>197225791</v>
      </c>
      <c r="AI190" s="220">
        <f>X190-AD190</f>
        <v>197225791</v>
      </c>
      <c r="AJ190" s="269">
        <f>X190-AG190</f>
        <v>197225791</v>
      </c>
      <c r="AK190" s="101"/>
      <c r="AL190" s="204">
        <v>0</v>
      </c>
      <c r="AM190" s="210">
        <v>0</v>
      </c>
    </row>
    <row r="191" spans="19:39" ht="24.75" customHeight="1">
      <c r="S191" s="558"/>
      <c r="T191" s="559"/>
      <c r="U191" s="557"/>
      <c r="V191" s="560"/>
      <c r="W191" s="560"/>
      <c r="X191" s="560"/>
      <c r="Y191" s="560"/>
      <c r="Z191" s="561"/>
      <c r="AA191" s="560"/>
      <c r="AB191" s="560"/>
      <c r="AC191" s="561"/>
      <c r="AD191" s="560"/>
      <c r="AE191" s="560"/>
      <c r="AF191" s="561"/>
      <c r="AG191" s="560"/>
      <c r="AH191" s="560"/>
      <c r="AI191" s="560"/>
      <c r="AJ191" s="371"/>
      <c r="AK191" s="101"/>
      <c r="AL191" s="562"/>
      <c r="AM191" s="563"/>
    </row>
    <row r="192" spans="19:39" ht="39" customHeight="1">
      <c r="S192" s="462" t="s">
        <v>294</v>
      </c>
      <c r="T192" s="463" t="s">
        <v>295</v>
      </c>
      <c r="U192" s="405">
        <f t="shared" ref="U192:AJ192" si="164">U194+U208</f>
        <v>42375190113.666664</v>
      </c>
      <c r="V192" s="406">
        <f t="shared" si="164"/>
        <v>0</v>
      </c>
      <c r="W192" s="406">
        <f t="shared" si="164"/>
        <v>2680000000</v>
      </c>
      <c r="X192" s="218">
        <f t="shared" si="164"/>
        <v>45055190113.666664</v>
      </c>
      <c r="Y192" s="217">
        <f t="shared" si="164"/>
        <v>26676888495</v>
      </c>
      <c r="Z192" s="406">
        <f t="shared" si="164"/>
        <v>2365345060</v>
      </c>
      <c r="AA192" s="218">
        <f t="shared" si="164"/>
        <v>29042233555</v>
      </c>
      <c r="AB192" s="405">
        <f t="shared" si="164"/>
        <v>16759996087</v>
      </c>
      <c r="AC192" s="406">
        <f t="shared" si="164"/>
        <v>3622570210</v>
      </c>
      <c r="AD192" s="407">
        <f t="shared" si="164"/>
        <v>20382566297</v>
      </c>
      <c r="AE192" s="217">
        <f t="shared" si="164"/>
        <v>7701524244</v>
      </c>
      <c r="AF192" s="406">
        <f t="shared" si="164"/>
        <v>2506790803</v>
      </c>
      <c r="AG192" s="218">
        <f t="shared" si="164"/>
        <v>10208315047</v>
      </c>
      <c r="AH192" s="217">
        <f t="shared" si="164"/>
        <v>16012956558.666666</v>
      </c>
      <c r="AI192" s="406">
        <f t="shared" si="164"/>
        <v>24672623816.666664</v>
      </c>
      <c r="AJ192" s="218">
        <f t="shared" si="164"/>
        <v>34846875066.666664</v>
      </c>
      <c r="AK192" s="101"/>
      <c r="AL192" s="217">
        <f>AL194+AL208</f>
        <v>0</v>
      </c>
      <c r="AM192" s="218">
        <f>AM194+AM208</f>
        <v>2280000000</v>
      </c>
    </row>
    <row r="193" spans="19:39" ht="24.75" customHeight="1">
      <c r="S193" s="189" t="str">
        <f>+IF(MARZO!S192=0,"",MARZO!S192)</f>
        <v/>
      </c>
      <c r="T193" s="488" t="str">
        <f>+IF(MARZO!T192=0,"",MARZO!T192)</f>
        <v/>
      </c>
      <c r="U193" s="191"/>
      <c r="V193" s="191"/>
      <c r="W193" s="191"/>
      <c r="X193" s="191"/>
      <c r="Y193" s="191"/>
      <c r="Z193" s="191"/>
      <c r="AA193" s="191"/>
      <c r="AB193" s="191"/>
      <c r="AC193" s="191"/>
      <c r="AD193" s="191"/>
      <c r="AE193" s="191"/>
      <c r="AF193" s="191"/>
      <c r="AG193" s="191"/>
      <c r="AH193" s="191"/>
      <c r="AI193" s="191"/>
      <c r="AJ193" s="192"/>
      <c r="AK193" s="101"/>
      <c r="AL193" s="370"/>
      <c r="AM193" s="371"/>
    </row>
    <row r="194" spans="19:39" ht="24.75" customHeight="1">
      <c r="S194" s="228" t="str">
        <f>+IF(MARZO!S195=0,"",MARZO!S195)</f>
        <v>2.4</v>
      </c>
      <c r="T194" s="404" t="str">
        <f>+IF(MARZO!T195=0,"",MARZO!T195)</f>
        <v>GASTOS  DEOPERACIÓN COMERCIAL</v>
      </c>
      <c r="U194" s="405">
        <f t="shared" ref="U194:AJ194" si="165">U195</f>
        <v>40172190113.666664</v>
      </c>
      <c r="V194" s="406">
        <f t="shared" si="165"/>
        <v>-1093559635</v>
      </c>
      <c r="W194" s="406">
        <f t="shared" si="165"/>
        <v>2330000000</v>
      </c>
      <c r="X194" s="407">
        <f t="shared" si="165"/>
        <v>41408630478.666664</v>
      </c>
      <c r="Y194" s="217">
        <f t="shared" si="165"/>
        <v>23562736082</v>
      </c>
      <c r="Z194" s="406">
        <f t="shared" si="165"/>
        <v>2301473234</v>
      </c>
      <c r="AA194" s="407">
        <f t="shared" si="165"/>
        <v>25864209316</v>
      </c>
      <c r="AB194" s="217">
        <f t="shared" si="165"/>
        <v>13645843674</v>
      </c>
      <c r="AC194" s="406">
        <f t="shared" si="165"/>
        <v>3558698384</v>
      </c>
      <c r="AD194" s="407">
        <f t="shared" si="165"/>
        <v>17204542058</v>
      </c>
      <c r="AE194" s="217">
        <f t="shared" si="165"/>
        <v>4587371831</v>
      </c>
      <c r="AF194" s="406">
        <f t="shared" si="165"/>
        <v>2442918977</v>
      </c>
      <c r="AG194" s="407">
        <f t="shared" si="165"/>
        <v>7030290808</v>
      </c>
      <c r="AH194" s="217">
        <f t="shared" si="165"/>
        <v>15544421162.666666</v>
      </c>
      <c r="AI194" s="406">
        <f t="shared" si="165"/>
        <v>24204088420.666664</v>
      </c>
      <c r="AJ194" s="218">
        <f t="shared" si="165"/>
        <v>34378339670.666664</v>
      </c>
      <c r="AK194" s="101"/>
      <c r="AL194" s="233">
        <f>AL195</f>
        <v>0</v>
      </c>
      <c r="AM194" s="232">
        <f>AM195</f>
        <v>1930000000</v>
      </c>
    </row>
    <row r="195" spans="19:39" ht="24.75" customHeight="1">
      <c r="S195" s="257" t="str">
        <f>+IF(MARZO!S196=0,"",MARZO!S196)</f>
        <v>2.4.5</v>
      </c>
      <c r="T195" s="546" t="str">
        <f>+IF(MARZO!T196=0,"",MARZO!T196)</f>
        <v>GASTOS DE COMERCIALIZACIÓN Y PRODUCCIÓN</v>
      </c>
      <c r="U195" s="230">
        <f t="shared" ref="U195:AJ195" si="166">U196+U204+U206</f>
        <v>40172190113.666664</v>
      </c>
      <c r="V195" s="231">
        <f t="shared" si="166"/>
        <v>-1093559635</v>
      </c>
      <c r="W195" s="231">
        <f t="shared" si="166"/>
        <v>2330000000</v>
      </c>
      <c r="X195" s="234">
        <f>X196+X204+X206</f>
        <v>41408630478.666664</v>
      </c>
      <c r="Y195" s="233">
        <f t="shared" si="166"/>
        <v>23562736082</v>
      </c>
      <c r="Z195" s="231">
        <f t="shared" si="166"/>
        <v>2301473234</v>
      </c>
      <c r="AA195" s="234">
        <f t="shared" si="166"/>
        <v>25864209316</v>
      </c>
      <c r="AB195" s="233">
        <f t="shared" si="166"/>
        <v>13645843674</v>
      </c>
      <c r="AC195" s="231">
        <f t="shared" si="166"/>
        <v>3558698384</v>
      </c>
      <c r="AD195" s="234">
        <f t="shared" si="166"/>
        <v>17204542058</v>
      </c>
      <c r="AE195" s="233">
        <f t="shared" si="166"/>
        <v>4587371831</v>
      </c>
      <c r="AF195" s="231">
        <f t="shared" si="166"/>
        <v>2442918977</v>
      </c>
      <c r="AG195" s="234">
        <f t="shared" si="166"/>
        <v>7030290808</v>
      </c>
      <c r="AH195" s="233">
        <f t="shared" si="166"/>
        <v>15544421162.666666</v>
      </c>
      <c r="AI195" s="231">
        <f t="shared" si="166"/>
        <v>24204088420.666664</v>
      </c>
      <c r="AJ195" s="232">
        <f t="shared" si="166"/>
        <v>34378339670.666664</v>
      </c>
      <c r="AK195" s="216"/>
      <c r="AL195" s="233">
        <f>AL196+AL204+AL206</f>
        <v>0</v>
      </c>
      <c r="AM195" s="232">
        <f>AM196+AM204+AM206</f>
        <v>1930000000</v>
      </c>
    </row>
    <row r="196" spans="19:39" ht="24.75" customHeight="1">
      <c r="S196" s="266" t="str">
        <f>+IF(MARZO!S197=0,"",MARZO!S197)</f>
        <v>2.4.5.01</v>
      </c>
      <c r="T196" s="267" t="str">
        <f>+IF(MARZO!T197=0,"",MARZO!T197)</f>
        <v>Materiales y suministros</v>
      </c>
      <c r="U196" s="373">
        <f t="shared" ref="U196:AJ196" si="167">SUM(U197:U203)</f>
        <v>28648709150.333332</v>
      </c>
      <c r="V196" s="220">
        <f t="shared" si="167"/>
        <v>-495559635</v>
      </c>
      <c r="W196" s="220">
        <f t="shared" si="167"/>
        <v>2330000000</v>
      </c>
      <c r="X196" s="271">
        <f t="shared" si="167"/>
        <v>30483149515.333332</v>
      </c>
      <c r="Y196" s="270">
        <f t="shared" si="167"/>
        <v>16840221282</v>
      </c>
      <c r="Z196" s="300">
        <f t="shared" si="167"/>
        <v>1866706311</v>
      </c>
      <c r="AA196" s="271">
        <f t="shared" si="167"/>
        <v>18706927593</v>
      </c>
      <c r="AB196" s="270">
        <f t="shared" si="167"/>
        <v>9373673310</v>
      </c>
      <c r="AC196" s="300">
        <f t="shared" si="167"/>
        <v>3123931461</v>
      </c>
      <c r="AD196" s="271">
        <f t="shared" si="167"/>
        <v>12497604771</v>
      </c>
      <c r="AE196" s="270">
        <f t="shared" si="167"/>
        <v>944343259</v>
      </c>
      <c r="AF196" s="300">
        <f t="shared" si="167"/>
        <v>1379010264</v>
      </c>
      <c r="AG196" s="271">
        <f t="shared" si="167"/>
        <v>2323353523</v>
      </c>
      <c r="AH196" s="270">
        <f t="shared" si="167"/>
        <v>11776221922.333332</v>
      </c>
      <c r="AI196" s="220">
        <f t="shared" si="167"/>
        <v>17985544744.333332</v>
      </c>
      <c r="AJ196" s="269">
        <f t="shared" si="167"/>
        <v>28159795992.333332</v>
      </c>
      <c r="AK196" s="101"/>
      <c r="AL196" s="301">
        <f>SUM(AL197:AL203)</f>
        <v>0</v>
      </c>
      <c r="AM196" s="302">
        <f>SUM(AM197:AM203)</f>
        <v>1930000000</v>
      </c>
    </row>
    <row r="197" spans="19:39" ht="24.75" customHeight="1">
      <c r="S197" s="311" t="str">
        <f>+IF(MARZO!S198=0,"",MARZO!S198)</f>
        <v>2.4.5.01.03.301</v>
      </c>
      <c r="T197" s="312" t="str">
        <f>+IF(MARZO!T198=0,"",MARZO!T198)</f>
        <v>Medicamentos</v>
      </c>
      <c r="U197" s="373">
        <f>+ENERO!U198</f>
        <v>7396066391.666666</v>
      </c>
      <c r="V197" s="220">
        <f>MARZO!V198+ABRIL!AL197</f>
        <v>0</v>
      </c>
      <c r="W197" s="220">
        <f>MARZO!W198+ABRIL!AM197</f>
        <v>0</v>
      </c>
      <c r="X197" s="271">
        <f t="shared" ref="X197:X203" si="168">SUM(U197:W197)</f>
        <v>7396066391.666666</v>
      </c>
      <c r="Y197" s="270">
        <f>MARZO!AA198</f>
        <v>3441988112</v>
      </c>
      <c r="Z197" s="208">
        <v>754364344</v>
      </c>
      <c r="AA197" s="271">
        <f t="shared" ref="AA197:AA203" si="169">SUM(Y197:Z197)</f>
        <v>4196352456</v>
      </c>
      <c r="AB197" s="270">
        <f>MARZO!AD198</f>
        <v>2223380357</v>
      </c>
      <c r="AC197" s="208">
        <v>848123528</v>
      </c>
      <c r="AD197" s="271">
        <f t="shared" ref="AD197:AD203" si="170">SUM(AB197:AC197)</f>
        <v>3071503885</v>
      </c>
      <c r="AE197" s="270">
        <f>MARZO!AG198</f>
        <v>274057821</v>
      </c>
      <c r="AF197" s="208">
        <v>431440947</v>
      </c>
      <c r="AG197" s="271">
        <f t="shared" ref="AG197:AG203" si="171">SUM(AE197:AF197)</f>
        <v>705498768</v>
      </c>
      <c r="AH197" s="270">
        <f t="shared" ref="AH197:AH203" si="172">X197-AA197</f>
        <v>3199713935.666666</v>
      </c>
      <c r="AI197" s="220">
        <f t="shared" ref="AI197:AI203" si="173">X197-AD197</f>
        <v>4324562506.666666</v>
      </c>
      <c r="AJ197" s="269">
        <f t="shared" ref="AJ197:AJ203" si="174">X197-AG197</f>
        <v>6690567623.666666</v>
      </c>
      <c r="AK197" s="101"/>
      <c r="AL197" s="204">
        <v>0</v>
      </c>
      <c r="AM197" s="210">
        <v>0</v>
      </c>
    </row>
    <row r="198" spans="19:39" ht="24.75" customHeight="1">
      <c r="S198" s="311" t="str">
        <f>+IF(MARZO!S199=0,"",MARZO!S199)</f>
        <v>2.4.5.01.03.302</v>
      </c>
      <c r="T198" s="312" t="str">
        <f>+IF(MARZO!T199=0,"",MARZO!T199)</f>
        <v>Material Médico Quirúrgico</v>
      </c>
      <c r="U198" s="373">
        <f>+ENERO!U199</f>
        <v>6198007399.166666</v>
      </c>
      <c r="V198" s="220">
        <f>MARZO!V199+ABRIL!AL198</f>
        <v>0</v>
      </c>
      <c r="W198" s="220">
        <f>MARZO!W199+ABRIL!AM198</f>
        <v>200000000</v>
      </c>
      <c r="X198" s="271">
        <f t="shared" si="168"/>
        <v>6398007399.166666</v>
      </c>
      <c r="Y198" s="270">
        <f>MARZO!AA199</f>
        <v>3386707440</v>
      </c>
      <c r="Z198" s="208">
        <v>982940390</v>
      </c>
      <c r="AA198" s="271">
        <f t="shared" si="169"/>
        <v>4369647830</v>
      </c>
      <c r="AB198" s="270">
        <f>MARZO!AD199</f>
        <v>2807125343</v>
      </c>
      <c r="AC198" s="208">
        <v>882320475</v>
      </c>
      <c r="AD198" s="271">
        <f t="shared" si="170"/>
        <v>3689445818</v>
      </c>
      <c r="AE198" s="270">
        <f>MARZO!AG199</f>
        <v>538652011</v>
      </c>
      <c r="AF198" s="208">
        <v>59123056</v>
      </c>
      <c r="AG198" s="271">
        <f t="shared" si="171"/>
        <v>597775067</v>
      </c>
      <c r="AH198" s="270">
        <f t="shared" si="172"/>
        <v>2028359569.166666</v>
      </c>
      <c r="AI198" s="220">
        <f t="shared" si="173"/>
        <v>2708561581.166666</v>
      </c>
      <c r="AJ198" s="269">
        <f t="shared" si="174"/>
        <v>5800232332.166666</v>
      </c>
      <c r="AK198" s="101"/>
      <c r="AL198" s="204">
        <v>0</v>
      </c>
      <c r="AM198" s="210">
        <v>0</v>
      </c>
    </row>
    <row r="199" spans="19:39" ht="24.75" customHeight="1">
      <c r="S199" s="311" t="str">
        <f>+IF(MARZO!S200=0,"",MARZO!S200)</f>
        <v>2.4.5.01.03.303</v>
      </c>
      <c r="T199" s="312" t="str">
        <f>+IF(MARZO!T200=0,"",MARZO!T200)</f>
        <v>Material de Laboratorio</v>
      </c>
      <c r="U199" s="373">
        <f>+ENERO!U200</f>
        <v>2001528195</v>
      </c>
      <c r="V199" s="220">
        <f>MARZO!V200+ABRIL!AL199</f>
        <v>0</v>
      </c>
      <c r="W199" s="220">
        <f>MARZO!W200+ABRIL!AM199</f>
        <v>1600000000</v>
      </c>
      <c r="X199" s="271">
        <f t="shared" si="168"/>
        <v>3601528195</v>
      </c>
      <c r="Y199" s="270">
        <f>MARZO!AA200</f>
        <v>1069470461</v>
      </c>
      <c r="Z199" s="208">
        <v>54401577</v>
      </c>
      <c r="AA199" s="271">
        <f t="shared" si="169"/>
        <v>1123872038</v>
      </c>
      <c r="AB199" s="270">
        <f>MARZO!AD200</f>
        <v>812535068</v>
      </c>
      <c r="AC199" s="208">
        <v>126889769</v>
      </c>
      <c r="AD199" s="271">
        <f t="shared" si="170"/>
        <v>939424837</v>
      </c>
      <c r="AE199" s="270">
        <f>MARZO!AG200</f>
        <v>93092555</v>
      </c>
      <c r="AF199" s="208">
        <v>7251296</v>
      </c>
      <c r="AG199" s="271">
        <f t="shared" si="171"/>
        <v>100343851</v>
      </c>
      <c r="AH199" s="270">
        <f t="shared" si="172"/>
        <v>2477656157</v>
      </c>
      <c r="AI199" s="220">
        <f t="shared" si="173"/>
        <v>2662103358</v>
      </c>
      <c r="AJ199" s="269">
        <f t="shared" si="174"/>
        <v>3501184344</v>
      </c>
      <c r="AK199" s="101"/>
      <c r="AL199" s="204">
        <v>0</v>
      </c>
      <c r="AM199" s="210">
        <v>1400000000</v>
      </c>
    </row>
    <row r="200" spans="19:39" ht="24.75" customHeight="1">
      <c r="S200" s="311" t="str">
        <f>+IF(MARZO!S201=0,"",MARZO!S201)</f>
        <v>2.4.5.02.09.901</v>
      </c>
      <c r="T200" s="312" t="str">
        <f>+IF(MARZO!T201=0,"",MARZO!T201)</f>
        <v xml:space="preserve">Servicio de Lavandería </v>
      </c>
      <c r="U200" s="373">
        <f>+ENERO!U201</f>
        <v>758333333.33333325</v>
      </c>
      <c r="V200" s="220">
        <f>MARZO!V201+ABRIL!AL200</f>
        <v>0</v>
      </c>
      <c r="W200" s="220">
        <f>MARZO!W201+ABRIL!AM200</f>
        <v>0</v>
      </c>
      <c r="X200" s="271">
        <f t="shared" si="168"/>
        <v>758333333.33333325</v>
      </c>
      <c r="Y200" s="270">
        <f>MARZO!AA201</f>
        <v>559900950</v>
      </c>
      <c r="Z200" s="208">
        <v>0</v>
      </c>
      <c r="AA200" s="271">
        <f t="shared" si="169"/>
        <v>559900950</v>
      </c>
      <c r="AB200" s="270">
        <f>MARZO!AD201</f>
        <v>297681380</v>
      </c>
      <c r="AC200" s="208">
        <v>110794081</v>
      </c>
      <c r="AD200" s="271">
        <f t="shared" si="170"/>
        <v>408475461</v>
      </c>
      <c r="AE200" s="270">
        <f>MARZO!AG201</f>
        <v>0</v>
      </c>
      <c r="AF200" s="208">
        <v>103127691</v>
      </c>
      <c r="AG200" s="271">
        <f t="shared" si="171"/>
        <v>103127691</v>
      </c>
      <c r="AH200" s="270">
        <f t="shared" si="172"/>
        <v>198432383.33333325</v>
      </c>
      <c r="AI200" s="220">
        <f t="shared" si="173"/>
        <v>349857872.33333325</v>
      </c>
      <c r="AJ200" s="269">
        <f t="shared" si="174"/>
        <v>655205642.33333325</v>
      </c>
      <c r="AK200" s="101"/>
      <c r="AL200" s="204">
        <v>0</v>
      </c>
      <c r="AM200" s="210">
        <v>0</v>
      </c>
    </row>
    <row r="201" spans="19:39" ht="24.75" customHeight="1">
      <c r="S201" s="311" t="str">
        <f>+IF(MARZO!S202=0,"",MARZO!S202)</f>
        <v>2.4.5.02.09.902</v>
      </c>
      <c r="T201" s="312" t="str">
        <f>+IF(MARZO!T202=0,"",MARZO!T202)</f>
        <v>Servicios de esterilización</v>
      </c>
      <c r="U201" s="373">
        <f>+ENERO!U202</f>
        <v>166666666.66666666</v>
      </c>
      <c r="V201" s="220">
        <f>MARZO!V202+ABRIL!AL201</f>
        <v>0</v>
      </c>
      <c r="W201" s="220">
        <f>MARZO!W202+ABRIL!AM201</f>
        <v>0</v>
      </c>
      <c r="X201" s="271">
        <f t="shared" si="168"/>
        <v>166666666.66666666</v>
      </c>
      <c r="Y201" s="270">
        <f>MARZO!AA202</f>
        <v>109200000</v>
      </c>
      <c r="Z201" s="208">
        <v>0</v>
      </c>
      <c r="AA201" s="271">
        <f t="shared" si="169"/>
        <v>109200000</v>
      </c>
      <c r="AB201" s="270">
        <f>MARZO!AD202</f>
        <v>19812537</v>
      </c>
      <c r="AC201" s="208">
        <v>7858616</v>
      </c>
      <c r="AD201" s="271">
        <f t="shared" si="170"/>
        <v>27671153</v>
      </c>
      <c r="AE201" s="270">
        <f>MARZO!AG202</f>
        <v>0</v>
      </c>
      <c r="AF201" s="208">
        <v>0</v>
      </c>
      <c r="AG201" s="271">
        <f t="shared" si="171"/>
        <v>0</v>
      </c>
      <c r="AH201" s="270">
        <f t="shared" si="172"/>
        <v>57466666.666666657</v>
      </c>
      <c r="AI201" s="220">
        <f t="shared" si="173"/>
        <v>138995513.66666666</v>
      </c>
      <c r="AJ201" s="269">
        <f t="shared" si="174"/>
        <v>166666666.66666666</v>
      </c>
      <c r="AK201" s="101"/>
      <c r="AL201" s="204">
        <v>0</v>
      </c>
      <c r="AM201" s="210">
        <v>0</v>
      </c>
    </row>
    <row r="202" spans="19:39" ht="24.75" customHeight="1">
      <c r="S202" s="311" t="str">
        <f>+IF(MARZO!S203=0,"",MARZO!S203)</f>
        <v>2.4.5.01.03.305</v>
      </c>
      <c r="T202" s="312" t="str">
        <f>+IF(MARZO!T203=0,"",MARZO!T203)</f>
        <v>Sangre</v>
      </c>
      <c r="U202" s="373">
        <f>+ENERO!U203</f>
        <v>1257440000</v>
      </c>
      <c r="V202" s="220">
        <f>MARZO!V203+ABRIL!AL202</f>
        <v>0</v>
      </c>
      <c r="W202" s="220">
        <f>MARZO!W203+ABRIL!AM202</f>
        <v>0</v>
      </c>
      <c r="X202" s="271">
        <f t="shared" si="168"/>
        <v>1257440000</v>
      </c>
      <c r="Y202" s="270">
        <f>MARZO!AA203</f>
        <v>816200000</v>
      </c>
      <c r="Z202" s="208">
        <v>75000000</v>
      </c>
      <c r="AA202" s="271">
        <f t="shared" si="169"/>
        <v>891200000</v>
      </c>
      <c r="AB202" s="270">
        <f>MARZO!AD203</f>
        <v>356067109</v>
      </c>
      <c r="AC202" s="208">
        <v>236328884</v>
      </c>
      <c r="AD202" s="271">
        <f t="shared" si="170"/>
        <v>592395993</v>
      </c>
      <c r="AE202" s="270">
        <f>MARZO!AG203</f>
        <v>0</v>
      </c>
      <c r="AF202" s="208">
        <v>75000000</v>
      </c>
      <c r="AG202" s="271">
        <f t="shared" si="171"/>
        <v>75000000</v>
      </c>
      <c r="AH202" s="270">
        <f t="shared" si="172"/>
        <v>366240000</v>
      </c>
      <c r="AI202" s="220">
        <f t="shared" si="173"/>
        <v>665044007</v>
      </c>
      <c r="AJ202" s="269">
        <f t="shared" si="174"/>
        <v>1182440000</v>
      </c>
      <c r="AK202" s="101"/>
      <c r="AL202" s="204">
        <v>0</v>
      </c>
      <c r="AM202" s="210">
        <v>0</v>
      </c>
    </row>
    <row r="203" spans="19:39" ht="24.75" customHeight="1">
      <c r="S203" s="311" t="str">
        <f>+IF(MARZO!S204=0,"",MARZO!S204)</f>
        <v>2.4.5.02.08</v>
      </c>
      <c r="T203" s="312" t="str">
        <f>+IF(MARZO!T204=0,"",MARZO!T204)</f>
        <v>Servicios de ayudas diagnòsticas</v>
      </c>
      <c r="U203" s="373">
        <f>+ENERO!U204</f>
        <v>10870667164.5</v>
      </c>
      <c r="V203" s="220">
        <f>MARZO!V204+ABRIL!AL203</f>
        <v>-495559635</v>
      </c>
      <c r="W203" s="220">
        <f>MARZO!W204+ABRIL!AM203</f>
        <v>530000000</v>
      </c>
      <c r="X203" s="271">
        <f t="shared" si="168"/>
        <v>10905107529.5</v>
      </c>
      <c r="Y203" s="270">
        <f>MARZO!AA204</f>
        <v>7456754319</v>
      </c>
      <c r="Z203" s="208">
        <v>0</v>
      </c>
      <c r="AA203" s="271">
        <f t="shared" si="169"/>
        <v>7456754319</v>
      </c>
      <c r="AB203" s="270">
        <f>MARZO!AD204</f>
        <v>2857071516</v>
      </c>
      <c r="AC203" s="208">
        <v>911616108</v>
      </c>
      <c r="AD203" s="271">
        <f t="shared" si="170"/>
        <v>3768687624</v>
      </c>
      <c r="AE203" s="270">
        <f>MARZO!AG204</f>
        <v>38540872</v>
      </c>
      <c r="AF203" s="208">
        <v>703067274</v>
      </c>
      <c r="AG203" s="271">
        <f t="shared" si="171"/>
        <v>741608146</v>
      </c>
      <c r="AH203" s="270">
        <f t="shared" si="172"/>
        <v>3448353210.5</v>
      </c>
      <c r="AI203" s="220">
        <f t="shared" si="173"/>
        <v>7136419905.5</v>
      </c>
      <c r="AJ203" s="269">
        <f t="shared" si="174"/>
        <v>10163499383.5</v>
      </c>
      <c r="AK203" s="101"/>
      <c r="AL203" s="204">
        <v>0</v>
      </c>
      <c r="AM203" s="210">
        <v>530000000</v>
      </c>
    </row>
    <row r="204" spans="19:39" ht="24.75" customHeight="1">
      <c r="S204" s="266">
        <f>+IF(MARZO!S205=0,"",MARZO!S205)</f>
        <v>4100200</v>
      </c>
      <c r="T204" s="267" t="str">
        <f>+IF(MARZO!T205=0,"",MARZO!T205)</f>
        <v>Gastos Complementarios e Intermedios</v>
      </c>
      <c r="U204" s="373">
        <f t="shared" ref="U204:AJ204" si="175">U205</f>
        <v>5609700000</v>
      </c>
      <c r="V204" s="220">
        <f t="shared" si="175"/>
        <v>0</v>
      </c>
      <c r="W204" s="220">
        <f t="shared" si="175"/>
        <v>0</v>
      </c>
      <c r="X204" s="271">
        <f t="shared" si="175"/>
        <v>5609700000</v>
      </c>
      <c r="Y204" s="270">
        <f t="shared" si="175"/>
        <v>4142600000</v>
      </c>
      <c r="Z204" s="300">
        <f t="shared" si="175"/>
        <v>0</v>
      </c>
      <c r="AA204" s="271">
        <f t="shared" si="175"/>
        <v>4142600000</v>
      </c>
      <c r="AB204" s="270">
        <f t="shared" si="175"/>
        <v>1698455564</v>
      </c>
      <c r="AC204" s="300">
        <f t="shared" si="175"/>
        <v>0</v>
      </c>
      <c r="AD204" s="271">
        <f t="shared" si="175"/>
        <v>1698455564</v>
      </c>
      <c r="AE204" s="270">
        <f t="shared" si="175"/>
        <v>1069313774</v>
      </c>
      <c r="AF204" s="300">
        <f t="shared" si="175"/>
        <v>629141790</v>
      </c>
      <c r="AG204" s="271">
        <f t="shared" si="175"/>
        <v>1698455564</v>
      </c>
      <c r="AH204" s="270">
        <f t="shared" si="175"/>
        <v>1467100000</v>
      </c>
      <c r="AI204" s="220">
        <f t="shared" si="175"/>
        <v>3911244436</v>
      </c>
      <c r="AJ204" s="269">
        <f t="shared" si="175"/>
        <v>3911244436</v>
      </c>
      <c r="AK204" s="101"/>
      <c r="AL204" s="301">
        <f>AL205</f>
        <v>0</v>
      </c>
      <c r="AM204" s="302">
        <f>AM205</f>
        <v>0</v>
      </c>
    </row>
    <row r="205" spans="19:39" ht="24.75" customHeight="1">
      <c r="S205" s="311" t="str">
        <f>+IF(MARZO!S206=0,"",MARZO!S206)</f>
        <v>2.4.5.02.06.601</v>
      </c>
      <c r="T205" s="312" t="str">
        <f>+IF(MARZO!T206=0,"",MARZO!T206)</f>
        <v>Servicio de alimentación</v>
      </c>
      <c r="U205" s="373">
        <f>+ENERO!U206</f>
        <v>5609700000</v>
      </c>
      <c r="V205" s="220">
        <f>MARZO!V206+ABRIL!AL205</f>
        <v>0</v>
      </c>
      <c r="W205" s="220">
        <f>MARZO!W206+ABRIL!AM205</f>
        <v>0</v>
      </c>
      <c r="X205" s="271">
        <f>SUM(U205:W205)</f>
        <v>5609700000</v>
      </c>
      <c r="Y205" s="270">
        <f>MARZO!AA206</f>
        <v>4142600000</v>
      </c>
      <c r="Z205" s="208">
        <v>0</v>
      </c>
      <c r="AA205" s="271">
        <f>SUM(Y205:Z205)</f>
        <v>4142600000</v>
      </c>
      <c r="AB205" s="270">
        <f>MARZO!AD206</f>
        <v>1698455564</v>
      </c>
      <c r="AC205" s="208">
        <v>0</v>
      </c>
      <c r="AD205" s="271">
        <f>SUM(AB205:AC205)</f>
        <v>1698455564</v>
      </c>
      <c r="AE205" s="270">
        <f>MARZO!AG206</f>
        <v>1069313774</v>
      </c>
      <c r="AF205" s="208">
        <v>629141790</v>
      </c>
      <c r="AG205" s="271">
        <f>SUM(AE205:AF205)</f>
        <v>1698455564</v>
      </c>
      <c r="AH205" s="270">
        <f>X205-AA205</f>
        <v>1467100000</v>
      </c>
      <c r="AI205" s="220">
        <f>X205-AD205</f>
        <v>3911244436</v>
      </c>
      <c r="AJ205" s="269">
        <f>X205-AG205</f>
        <v>3911244436</v>
      </c>
      <c r="AK205" s="101"/>
      <c r="AL205" s="204">
        <v>0</v>
      </c>
      <c r="AM205" s="210">
        <v>0</v>
      </c>
    </row>
    <row r="206" spans="19:39" ht="24.75" customHeight="1">
      <c r="S206" s="466" t="str">
        <f>+IF(MARZO!S207=0,"",MARZO!S207)</f>
        <v>2.4.5.01.03.99.01</v>
      </c>
      <c r="T206" s="467" t="str">
        <f>+IF(MARZO!T207=0,"",MARZO!T207)</f>
        <v>Vigencias Anteriores Medicamentos</v>
      </c>
      <c r="U206" s="547">
        <f>+ENERO!U207</f>
        <v>5913780963.333334</v>
      </c>
      <c r="V206" s="468">
        <f>MARZO!V207+ABRIL!AL206</f>
        <v>-598000000</v>
      </c>
      <c r="W206" s="468">
        <f>MARZO!W207+ABRIL!AM206</f>
        <v>0</v>
      </c>
      <c r="X206" s="471">
        <f>SUM(U206:W206)</f>
        <v>5315780963.333334</v>
      </c>
      <c r="Y206" s="470">
        <f>MARZO!AA207</f>
        <v>2579914800</v>
      </c>
      <c r="Z206" s="208">
        <v>434766923</v>
      </c>
      <c r="AA206" s="471">
        <f>SUM(Y206:Z206)</f>
        <v>3014681723</v>
      </c>
      <c r="AB206" s="470">
        <f>MARZO!AD207</f>
        <v>2573714800</v>
      </c>
      <c r="AC206" s="208">
        <v>434766923</v>
      </c>
      <c r="AD206" s="471">
        <f>SUM(AB206:AC206)</f>
        <v>3008481723</v>
      </c>
      <c r="AE206" s="470">
        <f>MARZO!AG207</f>
        <v>2573714798</v>
      </c>
      <c r="AF206" s="208">
        <v>434766923</v>
      </c>
      <c r="AG206" s="471">
        <f>SUM(AE206:AF206)</f>
        <v>3008481721</v>
      </c>
      <c r="AH206" s="470">
        <f>X206-AA206</f>
        <v>2301099240.333334</v>
      </c>
      <c r="AI206" s="468">
        <f>X206-AD206</f>
        <v>2307299240.333334</v>
      </c>
      <c r="AJ206" s="469">
        <f>X206-AG206</f>
        <v>2307299242.333334</v>
      </c>
      <c r="AK206" s="101"/>
      <c r="AL206" s="242">
        <v>0</v>
      </c>
      <c r="AM206" s="248">
        <v>0</v>
      </c>
    </row>
    <row r="207" spans="19:39" ht="24.75" customHeight="1">
      <c r="S207" s="455">
        <f>+IF(MARZO!S208=0,"",MARZO!S208)</f>
        <v>1050551296</v>
      </c>
      <c r="T207" s="456" t="str">
        <f>+IF(MARZO!T208=0,"",MARZO!T208)</f>
        <v/>
      </c>
      <c r="U207" s="457"/>
      <c r="V207" s="457"/>
      <c r="W207" s="457"/>
      <c r="X207" s="457"/>
      <c r="Y207" s="457"/>
      <c r="Z207" s="457"/>
      <c r="AA207" s="457"/>
      <c r="AB207" s="457"/>
      <c r="AC207" s="457"/>
      <c r="AD207" s="457"/>
      <c r="AE207" s="457"/>
      <c r="AF207" s="457"/>
      <c r="AG207" s="457"/>
      <c r="AH207" s="457"/>
      <c r="AI207" s="457"/>
      <c r="AJ207" s="458"/>
      <c r="AK207" s="101"/>
      <c r="AL207" s="460"/>
      <c r="AM207" s="461"/>
    </row>
    <row r="208" spans="19:39" ht="24.75" customHeight="1">
      <c r="S208" s="228">
        <f>+IF(MARZO!S209=0,"",MARZO!S209)</f>
        <v>5000000</v>
      </c>
      <c r="T208" s="545" t="str">
        <f>+IF(MARZO!T209=0,"",MARZO!T209)</f>
        <v>GASTOS DE COMERCIALIZACION</v>
      </c>
      <c r="U208" s="405">
        <f t="shared" ref="U208:AJ208" si="176">U209</f>
        <v>2203000000</v>
      </c>
      <c r="V208" s="406">
        <f t="shared" si="176"/>
        <v>1093559635</v>
      </c>
      <c r="W208" s="406">
        <f t="shared" si="176"/>
        <v>350000000</v>
      </c>
      <c r="X208" s="407">
        <f t="shared" si="176"/>
        <v>3646559635</v>
      </c>
      <c r="Y208" s="217">
        <f t="shared" si="176"/>
        <v>3114152413</v>
      </c>
      <c r="Z208" s="406">
        <f t="shared" si="176"/>
        <v>63871826</v>
      </c>
      <c r="AA208" s="407">
        <f t="shared" si="176"/>
        <v>3178024239</v>
      </c>
      <c r="AB208" s="217">
        <f t="shared" si="176"/>
        <v>3114152413</v>
      </c>
      <c r="AC208" s="406">
        <f t="shared" si="176"/>
        <v>63871826</v>
      </c>
      <c r="AD208" s="407">
        <f t="shared" si="176"/>
        <v>3178024239</v>
      </c>
      <c r="AE208" s="217">
        <f t="shared" si="176"/>
        <v>3114152413</v>
      </c>
      <c r="AF208" s="406">
        <f t="shared" si="176"/>
        <v>63871826</v>
      </c>
      <c r="AG208" s="407">
        <f t="shared" si="176"/>
        <v>3178024239</v>
      </c>
      <c r="AH208" s="217">
        <f t="shared" si="176"/>
        <v>468535396</v>
      </c>
      <c r="AI208" s="406">
        <f t="shared" si="176"/>
        <v>468535396</v>
      </c>
      <c r="AJ208" s="218">
        <f t="shared" si="176"/>
        <v>468535396</v>
      </c>
      <c r="AK208" s="101"/>
      <c r="AL208" s="233">
        <f>AL209</f>
        <v>0</v>
      </c>
      <c r="AM208" s="232">
        <f>AM209</f>
        <v>350000000</v>
      </c>
    </row>
    <row r="209" spans="19:39" ht="24.75" customHeight="1">
      <c r="S209" s="257">
        <f>+IF(MARZO!S210=0,"",MARZO!S210)</f>
        <v>5100000</v>
      </c>
      <c r="T209" s="546" t="str">
        <f>+IF(MARZO!T210=0,"",MARZO!T210)</f>
        <v>Insumos y Suministros para Venta al Público</v>
      </c>
      <c r="U209" s="230">
        <f t="shared" ref="U209:AJ209" si="177">U210+U217</f>
        <v>2203000000</v>
      </c>
      <c r="V209" s="231">
        <f t="shared" si="177"/>
        <v>1093559635</v>
      </c>
      <c r="W209" s="231">
        <f t="shared" si="177"/>
        <v>350000000</v>
      </c>
      <c r="X209" s="234">
        <f t="shared" si="177"/>
        <v>3646559635</v>
      </c>
      <c r="Y209" s="233">
        <f t="shared" si="177"/>
        <v>3114152413</v>
      </c>
      <c r="Z209" s="231">
        <f t="shared" si="177"/>
        <v>63871826</v>
      </c>
      <c r="AA209" s="234">
        <f t="shared" si="177"/>
        <v>3178024239</v>
      </c>
      <c r="AB209" s="233">
        <f t="shared" si="177"/>
        <v>3114152413</v>
      </c>
      <c r="AC209" s="231">
        <f t="shared" si="177"/>
        <v>63871826</v>
      </c>
      <c r="AD209" s="234">
        <f t="shared" si="177"/>
        <v>3178024239</v>
      </c>
      <c r="AE209" s="233">
        <f t="shared" si="177"/>
        <v>3114152413</v>
      </c>
      <c r="AF209" s="231">
        <f t="shared" si="177"/>
        <v>63871826</v>
      </c>
      <c r="AG209" s="234">
        <f t="shared" si="177"/>
        <v>3178024239</v>
      </c>
      <c r="AH209" s="233">
        <f t="shared" si="177"/>
        <v>468535396</v>
      </c>
      <c r="AI209" s="231">
        <f t="shared" si="177"/>
        <v>468535396</v>
      </c>
      <c r="AJ209" s="232">
        <f t="shared" si="177"/>
        <v>468535396</v>
      </c>
      <c r="AK209" s="101"/>
      <c r="AL209" s="233">
        <f>AL210+AL217</f>
        <v>0</v>
      </c>
      <c r="AM209" s="232">
        <f>AM210+AM217</f>
        <v>350000000</v>
      </c>
    </row>
    <row r="210" spans="19:39" ht="24.75" customHeight="1">
      <c r="S210" s="266">
        <f>+IF(MARZO!S211=0,"",MARZO!S211)</f>
        <v>5100100</v>
      </c>
      <c r="T210" s="267" t="str">
        <f>+IF(MARZO!T211=0,"",MARZO!T211)</f>
        <v>Compra de Bienes para la venta</v>
      </c>
      <c r="U210" s="373">
        <f t="shared" ref="U210:AJ210" si="178">SUM(U211:U216)</f>
        <v>3000000</v>
      </c>
      <c r="V210" s="220">
        <f t="shared" si="178"/>
        <v>0</v>
      </c>
      <c r="W210" s="220">
        <f t="shared" si="178"/>
        <v>0</v>
      </c>
      <c r="X210" s="271">
        <f t="shared" si="178"/>
        <v>3000000</v>
      </c>
      <c r="Y210" s="270">
        <f t="shared" si="178"/>
        <v>0</v>
      </c>
      <c r="Z210" s="300">
        <f t="shared" si="178"/>
        <v>0</v>
      </c>
      <c r="AA210" s="271">
        <f t="shared" si="178"/>
        <v>0</v>
      </c>
      <c r="AB210" s="270">
        <f t="shared" si="178"/>
        <v>0</v>
      </c>
      <c r="AC210" s="300">
        <f t="shared" si="178"/>
        <v>0</v>
      </c>
      <c r="AD210" s="271">
        <f t="shared" si="178"/>
        <v>0</v>
      </c>
      <c r="AE210" s="270">
        <f t="shared" si="178"/>
        <v>0</v>
      </c>
      <c r="AF210" s="300">
        <f t="shared" si="178"/>
        <v>0</v>
      </c>
      <c r="AG210" s="271">
        <f t="shared" si="178"/>
        <v>0</v>
      </c>
      <c r="AH210" s="270">
        <f t="shared" si="178"/>
        <v>3000000</v>
      </c>
      <c r="AI210" s="220">
        <f t="shared" si="178"/>
        <v>3000000</v>
      </c>
      <c r="AJ210" s="269">
        <f t="shared" si="178"/>
        <v>3000000</v>
      </c>
      <c r="AK210" s="216"/>
      <c r="AL210" s="301">
        <f>SUM(AL211:AL216)</f>
        <v>0</v>
      </c>
      <c r="AM210" s="302">
        <f>SUM(AM211:AM216)</f>
        <v>0</v>
      </c>
    </row>
    <row r="211" spans="19:39" ht="24.75" customHeight="1">
      <c r="S211" s="311" t="str">
        <f>+IF(MARZO!S212=0,"",MARZO!S212)</f>
        <v>5100100-1</v>
      </c>
      <c r="T211" s="312" t="str">
        <f>+IF(MARZO!T212=0,"",MARZO!T212)</f>
        <v>Productos Farmaceuticos</v>
      </c>
      <c r="U211" s="373">
        <f>+ENERO!U212</f>
        <v>0</v>
      </c>
      <c r="V211" s="220">
        <f>MARZO!V212+ABRIL!AL211</f>
        <v>0</v>
      </c>
      <c r="W211" s="220">
        <f>MARZO!W212+ABRIL!AM211</f>
        <v>0</v>
      </c>
      <c r="X211" s="271">
        <f t="shared" ref="X211:X217" si="179">SUM(U211:W211)</f>
        <v>0</v>
      </c>
      <c r="Y211" s="270">
        <f>MARZO!AA212</f>
        <v>0</v>
      </c>
      <c r="Z211" s="208">
        <v>0</v>
      </c>
      <c r="AA211" s="271">
        <f t="shared" ref="AA211:AA217" si="180">SUM(Y211:Z211)</f>
        <v>0</v>
      </c>
      <c r="AB211" s="270">
        <f>MARZO!AD212</f>
        <v>0</v>
      </c>
      <c r="AC211" s="208">
        <v>0</v>
      </c>
      <c r="AD211" s="271">
        <f t="shared" ref="AD211:AD217" si="181">SUM(AB211:AC211)</f>
        <v>0</v>
      </c>
      <c r="AE211" s="270">
        <f>MARZO!AG212</f>
        <v>0</v>
      </c>
      <c r="AF211" s="208">
        <v>0</v>
      </c>
      <c r="AG211" s="271">
        <f t="shared" ref="AG211:AG217" si="182">SUM(AE211:AF211)</f>
        <v>0</v>
      </c>
      <c r="AH211" s="270">
        <f t="shared" ref="AH211:AH217" si="183">X211-AA211</f>
        <v>0</v>
      </c>
      <c r="AI211" s="220">
        <f t="shared" ref="AI211:AI217" si="184">X211-AD211</f>
        <v>0</v>
      </c>
      <c r="AJ211" s="269">
        <f t="shared" ref="AJ211:AJ217" si="185">X211-AG211</f>
        <v>0</v>
      </c>
      <c r="AK211" s="101"/>
      <c r="AL211" s="204">
        <v>0</v>
      </c>
      <c r="AM211" s="210">
        <v>0</v>
      </c>
    </row>
    <row r="212" spans="19:39" ht="24.75" customHeight="1">
      <c r="S212" s="311" t="str">
        <f>+IF(MARZO!S213=0,"",MARZO!S213)</f>
        <v>5100100-2</v>
      </c>
      <c r="T212" s="312" t="str">
        <f>+IF(MARZO!T213=0,"",MARZO!T213)</f>
        <v>Material Médico Quirúrgico</v>
      </c>
      <c r="U212" s="373">
        <f>+ENERO!U213</f>
        <v>0</v>
      </c>
      <c r="V212" s="220">
        <f>MARZO!V213+ABRIL!AL212</f>
        <v>0</v>
      </c>
      <c r="W212" s="220">
        <f>MARZO!W213+ABRIL!AM212</f>
        <v>0</v>
      </c>
      <c r="X212" s="271">
        <f t="shared" si="179"/>
        <v>0</v>
      </c>
      <c r="Y212" s="270">
        <f>MARZO!AA213</f>
        <v>0</v>
      </c>
      <c r="Z212" s="208">
        <v>0</v>
      </c>
      <c r="AA212" s="271">
        <f t="shared" si="180"/>
        <v>0</v>
      </c>
      <c r="AB212" s="270">
        <f>MARZO!AD213</f>
        <v>0</v>
      </c>
      <c r="AC212" s="208">
        <v>0</v>
      </c>
      <c r="AD212" s="271">
        <f t="shared" si="181"/>
        <v>0</v>
      </c>
      <c r="AE212" s="270">
        <f>MARZO!AG213</f>
        <v>0</v>
      </c>
      <c r="AF212" s="208">
        <v>0</v>
      </c>
      <c r="AG212" s="271">
        <f t="shared" si="182"/>
        <v>0</v>
      </c>
      <c r="AH212" s="270">
        <f t="shared" si="183"/>
        <v>0</v>
      </c>
      <c r="AI212" s="220">
        <f t="shared" si="184"/>
        <v>0</v>
      </c>
      <c r="AJ212" s="269">
        <f t="shared" si="185"/>
        <v>0</v>
      </c>
      <c r="AK212" s="101"/>
      <c r="AL212" s="204">
        <v>0</v>
      </c>
      <c r="AM212" s="210">
        <v>0</v>
      </c>
    </row>
    <row r="213" spans="19:39" ht="24.75" customHeight="1">
      <c r="S213" s="311" t="str">
        <f>+IF(MARZO!S214=0,"",MARZO!S214)</f>
        <v>5100100-3</v>
      </c>
      <c r="T213" s="312" t="str">
        <f>+IF(MARZO!T214=0,"",MARZO!T214)</f>
        <v>Material de Laboratorio</v>
      </c>
      <c r="U213" s="373">
        <f>+ENERO!U214</f>
        <v>0</v>
      </c>
      <c r="V213" s="220">
        <f>MARZO!V214+ABRIL!AL213</f>
        <v>0</v>
      </c>
      <c r="W213" s="220">
        <f>MARZO!W214+ABRIL!AM213</f>
        <v>0</v>
      </c>
      <c r="X213" s="271">
        <f t="shared" si="179"/>
        <v>0</v>
      </c>
      <c r="Y213" s="270">
        <f>MARZO!AA214</f>
        <v>0</v>
      </c>
      <c r="Z213" s="208">
        <v>0</v>
      </c>
      <c r="AA213" s="271">
        <f t="shared" si="180"/>
        <v>0</v>
      </c>
      <c r="AB213" s="270">
        <f>MARZO!AD214</f>
        <v>0</v>
      </c>
      <c r="AC213" s="208">
        <v>0</v>
      </c>
      <c r="AD213" s="271">
        <f t="shared" si="181"/>
        <v>0</v>
      </c>
      <c r="AE213" s="270">
        <f>MARZO!AG214</f>
        <v>0</v>
      </c>
      <c r="AF213" s="208">
        <v>0</v>
      </c>
      <c r="AG213" s="271">
        <f t="shared" si="182"/>
        <v>0</v>
      </c>
      <c r="AH213" s="270">
        <f t="shared" si="183"/>
        <v>0</v>
      </c>
      <c r="AI213" s="220">
        <f t="shared" si="184"/>
        <v>0</v>
      </c>
      <c r="AJ213" s="269">
        <f t="shared" si="185"/>
        <v>0</v>
      </c>
      <c r="AK213" s="101"/>
      <c r="AL213" s="204">
        <v>0</v>
      </c>
      <c r="AM213" s="210">
        <v>0</v>
      </c>
    </row>
    <row r="214" spans="19:39" ht="24.75" customHeight="1">
      <c r="S214" s="311" t="str">
        <f>+IF(MARZO!S215=0,"",MARZO!S215)</f>
        <v>2.4.5.02.09.91122</v>
      </c>
      <c r="T214" s="312" t="str">
        <f>+IF(MARZO!T215=0,"",MARZO!T215)</f>
        <v>Servicios de Certificación, Habilitación y Acreditación</v>
      </c>
      <c r="U214" s="373">
        <f>+ENERO!U215</f>
        <v>3000000</v>
      </c>
      <c r="V214" s="220">
        <f>MARZO!V215+ABRIL!AL214</f>
        <v>0</v>
      </c>
      <c r="W214" s="220">
        <f>MARZO!W215+ABRIL!AM214</f>
        <v>0</v>
      </c>
      <c r="X214" s="271">
        <f t="shared" si="179"/>
        <v>3000000</v>
      </c>
      <c r="Y214" s="270">
        <f>MARZO!AA215</f>
        <v>0</v>
      </c>
      <c r="Z214" s="208">
        <v>0</v>
      </c>
      <c r="AA214" s="271">
        <f t="shared" si="180"/>
        <v>0</v>
      </c>
      <c r="AB214" s="270">
        <f>MARZO!AD215</f>
        <v>0</v>
      </c>
      <c r="AC214" s="208">
        <v>0</v>
      </c>
      <c r="AD214" s="271">
        <f t="shared" si="181"/>
        <v>0</v>
      </c>
      <c r="AE214" s="270">
        <f>MARZO!AG215</f>
        <v>0</v>
      </c>
      <c r="AF214" s="208">
        <v>0</v>
      </c>
      <c r="AG214" s="271">
        <f t="shared" si="182"/>
        <v>0</v>
      </c>
      <c r="AH214" s="270">
        <f t="shared" si="183"/>
        <v>3000000</v>
      </c>
      <c r="AI214" s="220">
        <f t="shared" si="184"/>
        <v>3000000</v>
      </c>
      <c r="AJ214" s="269">
        <f t="shared" si="185"/>
        <v>3000000</v>
      </c>
      <c r="AK214" s="101"/>
      <c r="AL214" s="204">
        <v>0</v>
      </c>
      <c r="AM214" s="210">
        <v>0</v>
      </c>
    </row>
    <row r="215" spans="19:39" ht="24.75" customHeight="1">
      <c r="S215" s="311" t="str">
        <f>+IF(MARZO!S216=0,"",MARZO!S216)</f>
        <v>2.4.5.02.08.801.99</v>
      </c>
      <c r="T215" s="312" t="str">
        <f>+IF(MARZO!T216=0,"",MARZO!T216)</f>
        <v>Vigencias Anteriores lavanderia</v>
      </c>
      <c r="U215" s="373">
        <f>+ENERO!U216</f>
        <v>0</v>
      </c>
      <c r="V215" s="220">
        <f>MARZO!V216+ABRIL!AL215</f>
        <v>0</v>
      </c>
      <c r="W215" s="220">
        <f>MARZO!W216+ABRIL!AM215</f>
        <v>0</v>
      </c>
      <c r="X215" s="271">
        <f t="shared" si="179"/>
        <v>0</v>
      </c>
      <c r="Y215" s="270">
        <f>MARZO!AA216</f>
        <v>0</v>
      </c>
      <c r="Z215" s="208">
        <v>0</v>
      </c>
      <c r="AA215" s="271">
        <f t="shared" si="180"/>
        <v>0</v>
      </c>
      <c r="AB215" s="270">
        <f>MARZO!AD216</f>
        <v>0</v>
      </c>
      <c r="AC215" s="208">
        <v>0</v>
      </c>
      <c r="AD215" s="271">
        <f t="shared" si="181"/>
        <v>0</v>
      </c>
      <c r="AE215" s="270">
        <f>MARZO!AG216</f>
        <v>0</v>
      </c>
      <c r="AF215" s="208">
        <v>0</v>
      </c>
      <c r="AG215" s="271">
        <f t="shared" si="182"/>
        <v>0</v>
      </c>
      <c r="AH215" s="270">
        <f t="shared" si="183"/>
        <v>0</v>
      </c>
      <c r="AI215" s="220">
        <f t="shared" si="184"/>
        <v>0</v>
      </c>
      <c r="AJ215" s="269">
        <f t="shared" si="185"/>
        <v>0</v>
      </c>
      <c r="AK215" s="101"/>
      <c r="AL215" s="204">
        <v>0</v>
      </c>
      <c r="AM215" s="210">
        <v>0</v>
      </c>
    </row>
    <row r="216" spans="19:39" ht="24.75" customHeight="1">
      <c r="S216" s="311" t="str">
        <f>+IF(MARZO!S217=0,"",MARZO!S217)</f>
        <v>2.4.5.02.08.802.99</v>
      </c>
      <c r="T216" s="312" t="str">
        <f>+IF(MARZO!T217=0,"",MARZO!T217)</f>
        <v>Vigencias Anteriores de esterilizacion</v>
      </c>
      <c r="U216" s="373">
        <f>+ENERO!U217</f>
        <v>0</v>
      </c>
      <c r="V216" s="220">
        <f>MARZO!V217+ABRIL!AL216</f>
        <v>0</v>
      </c>
      <c r="W216" s="220">
        <f>MARZO!W217+ABRIL!AM216</f>
        <v>0</v>
      </c>
      <c r="X216" s="271">
        <f t="shared" si="179"/>
        <v>0</v>
      </c>
      <c r="Y216" s="270">
        <f>MARZO!AA217</f>
        <v>0</v>
      </c>
      <c r="Z216" s="208">
        <v>0</v>
      </c>
      <c r="AA216" s="271">
        <f t="shared" si="180"/>
        <v>0</v>
      </c>
      <c r="AB216" s="270">
        <f>MARZO!AD217</f>
        <v>0</v>
      </c>
      <c r="AC216" s="208">
        <v>0</v>
      </c>
      <c r="AD216" s="271">
        <f t="shared" si="181"/>
        <v>0</v>
      </c>
      <c r="AE216" s="270">
        <f>MARZO!AG217</f>
        <v>0</v>
      </c>
      <c r="AF216" s="208">
        <v>0</v>
      </c>
      <c r="AG216" s="271">
        <f t="shared" si="182"/>
        <v>0</v>
      </c>
      <c r="AH216" s="270">
        <f t="shared" si="183"/>
        <v>0</v>
      </c>
      <c r="AI216" s="220">
        <f t="shared" si="184"/>
        <v>0</v>
      </c>
      <c r="AJ216" s="269">
        <f t="shared" si="185"/>
        <v>0</v>
      </c>
      <c r="AK216" s="101"/>
      <c r="AL216" s="204">
        <v>0</v>
      </c>
      <c r="AM216" s="210">
        <v>0</v>
      </c>
    </row>
    <row r="217" spans="19:39" ht="24.75" customHeight="1">
      <c r="S217" s="499" t="str">
        <f>+IF(MARZO!S218=0,"",MARZO!S218)</f>
        <v>2.4.5.02.08.99</v>
      </c>
      <c r="T217" s="500" t="str">
        <f>+IF(MARZO!T218=0,"",MARZO!T218)</f>
        <v>Vigencias Anteriores ayudas diagnosticas, lavanderia, esterilizacion,alimentacion</v>
      </c>
      <c r="U217" s="547">
        <f>+ENERO!U218</f>
        <v>2200000000</v>
      </c>
      <c r="V217" s="468">
        <f>MARZO!V218+ABRIL!AL217</f>
        <v>1093559635</v>
      </c>
      <c r="W217" s="468">
        <f>MARZO!W218+ABRIL!AM217</f>
        <v>350000000</v>
      </c>
      <c r="X217" s="471">
        <f t="shared" si="179"/>
        <v>3643559635</v>
      </c>
      <c r="Y217" s="470">
        <f>MARZO!AA218</f>
        <v>3114152413</v>
      </c>
      <c r="Z217" s="246">
        <v>63871826</v>
      </c>
      <c r="AA217" s="471">
        <f t="shared" si="180"/>
        <v>3178024239</v>
      </c>
      <c r="AB217" s="470">
        <f>MARZO!AD218</f>
        <v>3114152413</v>
      </c>
      <c r="AC217" s="246">
        <v>63871826</v>
      </c>
      <c r="AD217" s="471">
        <f t="shared" si="181"/>
        <v>3178024239</v>
      </c>
      <c r="AE217" s="470">
        <f>MARZO!AG218</f>
        <v>3114152413</v>
      </c>
      <c r="AF217" s="246">
        <v>63871826</v>
      </c>
      <c r="AG217" s="471">
        <f t="shared" si="182"/>
        <v>3178024239</v>
      </c>
      <c r="AH217" s="470">
        <f t="shared" si="183"/>
        <v>465535396</v>
      </c>
      <c r="AI217" s="468">
        <f t="shared" si="184"/>
        <v>465535396</v>
      </c>
      <c r="AJ217" s="469">
        <f t="shared" si="185"/>
        <v>465535396</v>
      </c>
      <c r="AK217" s="101"/>
      <c r="AL217" s="489">
        <v>0</v>
      </c>
      <c r="AM217" s="490">
        <v>350000000</v>
      </c>
    </row>
    <row r="218" spans="19:39" ht="24.75" customHeight="1">
      <c r="S218" s="480">
        <f>+IF(MARZO!S219=0,"",MARZO!S219)</f>
        <v>1133096960</v>
      </c>
      <c r="T218" s="481" t="str">
        <f>+IF(MARZO!T219=0,"",MARZO!T219)</f>
        <v/>
      </c>
      <c r="U218" s="482"/>
      <c r="V218" s="482"/>
      <c r="W218" s="482"/>
      <c r="X218" s="482"/>
      <c r="Y218" s="482"/>
      <c r="Z218" s="482"/>
      <c r="AA218" s="482"/>
      <c r="AB218" s="482"/>
      <c r="AC218" s="482"/>
      <c r="AD218" s="482"/>
      <c r="AE218" s="482"/>
      <c r="AF218" s="482"/>
      <c r="AG218" s="482"/>
      <c r="AH218" s="482"/>
      <c r="AI218" s="482"/>
      <c r="AJ218" s="484"/>
      <c r="AK218" s="216"/>
      <c r="AL218" s="485"/>
      <c r="AM218" s="486"/>
    </row>
    <row r="219" spans="19:39" ht="24.75" customHeight="1">
      <c r="S219" s="176" t="str">
        <f>+IF(MARZO!S220=0,"",MARZO!S220)</f>
        <v>C</v>
      </c>
      <c r="T219" s="177" t="str">
        <f>+IF(MARZO!T220=0,"",MARZO!T220)</f>
        <v xml:space="preserve">SERVICIO DE LA DEUDA </v>
      </c>
      <c r="U219" s="178">
        <f t="shared" ref="U219:AJ219" si="186">U221+U226</f>
        <v>3239175000</v>
      </c>
      <c r="V219" s="179">
        <f t="shared" si="186"/>
        <v>0</v>
      </c>
      <c r="W219" s="179">
        <f t="shared" si="186"/>
        <v>0</v>
      </c>
      <c r="X219" s="182">
        <f t="shared" si="186"/>
        <v>3239175000</v>
      </c>
      <c r="Y219" s="181">
        <f t="shared" si="186"/>
        <v>331093822</v>
      </c>
      <c r="Z219" s="179">
        <f t="shared" si="186"/>
        <v>109410330</v>
      </c>
      <c r="AA219" s="182">
        <f t="shared" si="186"/>
        <v>440504152</v>
      </c>
      <c r="AB219" s="181">
        <f t="shared" si="186"/>
        <v>331093822</v>
      </c>
      <c r="AC219" s="179">
        <f t="shared" si="186"/>
        <v>109410330</v>
      </c>
      <c r="AD219" s="182">
        <f t="shared" si="186"/>
        <v>440504152</v>
      </c>
      <c r="AE219" s="181">
        <f t="shared" si="186"/>
        <v>331093822</v>
      </c>
      <c r="AF219" s="179">
        <f t="shared" si="186"/>
        <v>109410330</v>
      </c>
      <c r="AG219" s="182">
        <f t="shared" si="186"/>
        <v>440504152</v>
      </c>
      <c r="AH219" s="181">
        <f t="shared" si="186"/>
        <v>2798670848</v>
      </c>
      <c r="AI219" s="179">
        <f t="shared" si="186"/>
        <v>2798670848</v>
      </c>
      <c r="AJ219" s="180">
        <f t="shared" si="186"/>
        <v>2798670848</v>
      </c>
      <c r="AK219" s="487"/>
      <c r="AL219" s="181">
        <f>AL221+AL226</f>
        <v>0</v>
      </c>
      <c r="AM219" s="180">
        <f>AM221+AM226</f>
        <v>0</v>
      </c>
    </row>
    <row r="220" spans="19:39" ht="24.75" customHeight="1">
      <c r="S220" s="189">
        <f>+IF(MARZO!S221=0,"",MARZO!S221)</f>
        <v>1133096960</v>
      </c>
      <c r="T220" s="488" t="str">
        <f>+IF(MARZO!T221=0,"",MARZO!T221)</f>
        <v/>
      </c>
      <c r="U220" s="191"/>
      <c r="V220" s="191"/>
      <c r="W220" s="191"/>
      <c r="X220" s="191"/>
      <c r="Y220" s="191"/>
      <c r="Z220" s="191"/>
      <c r="AA220" s="191"/>
      <c r="AB220" s="191"/>
      <c r="AC220" s="191"/>
      <c r="AD220" s="191"/>
      <c r="AE220" s="191"/>
      <c r="AF220" s="191"/>
      <c r="AG220" s="191"/>
      <c r="AH220" s="191"/>
      <c r="AI220" s="191"/>
      <c r="AJ220" s="192"/>
      <c r="AK220" s="101"/>
      <c r="AL220" s="370"/>
      <c r="AM220" s="371"/>
    </row>
    <row r="221" spans="19:39" ht="24.75" customHeight="1">
      <c r="S221" s="257">
        <f>+IF(MARZO!S222=0,"",MARZO!S222)</f>
        <v>7001000</v>
      </c>
      <c r="T221" s="546" t="str">
        <f>+IF(MARZO!T222=0,"",MARZO!T222)</f>
        <v>SERVICIO DE LA DEUDA INTERNA</v>
      </c>
      <c r="U221" s="230">
        <f t="shared" ref="U221:AJ221" si="187">SUM(U222:U224)</f>
        <v>3239175000</v>
      </c>
      <c r="V221" s="231">
        <f t="shared" si="187"/>
        <v>0</v>
      </c>
      <c r="W221" s="231">
        <f t="shared" si="187"/>
        <v>0</v>
      </c>
      <c r="X221" s="234">
        <f t="shared" si="187"/>
        <v>3239175000</v>
      </c>
      <c r="Y221" s="233">
        <f t="shared" si="187"/>
        <v>331093822</v>
      </c>
      <c r="Z221" s="231">
        <f t="shared" si="187"/>
        <v>109410330</v>
      </c>
      <c r="AA221" s="234">
        <f t="shared" si="187"/>
        <v>440504152</v>
      </c>
      <c r="AB221" s="233">
        <f t="shared" si="187"/>
        <v>331093822</v>
      </c>
      <c r="AC221" s="231">
        <f t="shared" si="187"/>
        <v>109410330</v>
      </c>
      <c r="AD221" s="234">
        <f t="shared" si="187"/>
        <v>440504152</v>
      </c>
      <c r="AE221" s="233">
        <f t="shared" si="187"/>
        <v>331093822</v>
      </c>
      <c r="AF221" s="231">
        <f t="shared" si="187"/>
        <v>109410330</v>
      </c>
      <c r="AG221" s="234">
        <f t="shared" si="187"/>
        <v>440504152</v>
      </c>
      <c r="AH221" s="233">
        <f t="shared" si="187"/>
        <v>2798670848</v>
      </c>
      <c r="AI221" s="231">
        <f t="shared" si="187"/>
        <v>2798670848</v>
      </c>
      <c r="AJ221" s="232">
        <f t="shared" si="187"/>
        <v>2798670848</v>
      </c>
      <c r="AK221" s="101"/>
      <c r="AL221" s="233">
        <f>SUM(AL222:AL224)</f>
        <v>0</v>
      </c>
      <c r="AM221" s="232">
        <f>SUM(AM222:AM224)</f>
        <v>0</v>
      </c>
    </row>
    <row r="222" spans="19:39" ht="24.75" customHeight="1">
      <c r="S222" s="266" t="str">
        <f>+IF(MARZO!S223=0,"",MARZO!S223)</f>
        <v>2.2.2.2.01.02.002.02</v>
      </c>
      <c r="T222" s="267" t="str">
        <f>+IF(MARZO!T223=0,"",MARZO!T223)</f>
        <v>Banca Comercial</v>
      </c>
      <c r="U222" s="373">
        <f>+ENERO!U223</f>
        <v>2000000000</v>
      </c>
      <c r="V222" s="220">
        <f>MARZO!V223+ABRIL!AL222</f>
        <v>0</v>
      </c>
      <c r="W222" s="220">
        <f>MARZO!W223+ABRIL!AM222</f>
        <v>0</v>
      </c>
      <c r="X222" s="271">
        <f>SUM(U222:W222)</f>
        <v>2000000000</v>
      </c>
      <c r="Y222" s="270">
        <f>MARZO!AA223</f>
        <v>0</v>
      </c>
      <c r="Z222" s="208">
        <v>0</v>
      </c>
      <c r="AA222" s="271">
        <f>SUM(Y222:Z222)</f>
        <v>0</v>
      </c>
      <c r="AB222" s="270">
        <f>MARZO!AD223</f>
        <v>0</v>
      </c>
      <c r="AC222" s="208">
        <v>0</v>
      </c>
      <c r="AD222" s="271">
        <f>SUM(AB222:AC222)</f>
        <v>0</v>
      </c>
      <c r="AE222" s="270">
        <f>MARZO!AG223</f>
        <v>0</v>
      </c>
      <c r="AF222" s="208">
        <v>0</v>
      </c>
      <c r="AG222" s="271">
        <f>SUM(AE222:AF222)</f>
        <v>0</v>
      </c>
      <c r="AH222" s="270">
        <f>X222-AA222</f>
        <v>2000000000</v>
      </c>
      <c r="AI222" s="220">
        <f>X222-AD222</f>
        <v>2000000000</v>
      </c>
      <c r="AJ222" s="269">
        <f>X222-AG222</f>
        <v>2000000000</v>
      </c>
      <c r="AK222" s="101"/>
      <c r="AL222" s="204">
        <v>0</v>
      </c>
      <c r="AM222" s="210">
        <v>0</v>
      </c>
    </row>
    <row r="223" spans="19:39" ht="24.75" customHeight="1">
      <c r="S223" s="266" t="str">
        <f>+IF(MARZO!S224=0,"",MARZO!S224)</f>
        <v>2.2.2.02</v>
      </c>
      <c r="T223" s="267" t="str">
        <f>+IF(MARZO!T224=0,"",MARZO!T224)</f>
        <v>Intereses Comisiones y gastos de la Deuda Pública</v>
      </c>
      <c r="U223" s="373">
        <f>+ENERO!U224</f>
        <v>1239175000</v>
      </c>
      <c r="V223" s="220">
        <f>MARZO!V224+ABRIL!AL223</f>
        <v>0</v>
      </c>
      <c r="W223" s="220">
        <f>MARZO!W224+ABRIL!AM223</f>
        <v>0</v>
      </c>
      <c r="X223" s="271">
        <f>SUM(U223:W223)</f>
        <v>1239175000</v>
      </c>
      <c r="Y223" s="270">
        <f>MARZO!AA224</f>
        <v>331093822</v>
      </c>
      <c r="Z223" s="208">
        <v>109410330</v>
      </c>
      <c r="AA223" s="271">
        <f>SUM(Y223:Z223)</f>
        <v>440504152</v>
      </c>
      <c r="AB223" s="270">
        <f>MARZO!AD224</f>
        <v>331093822</v>
      </c>
      <c r="AC223" s="208">
        <v>109410330</v>
      </c>
      <c r="AD223" s="271">
        <f>SUM(AB223:AC223)</f>
        <v>440504152</v>
      </c>
      <c r="AE223" s="270">
        <f>MARZO!AG224</f>
        <v>331093822</v>
      </c>
      <c r="AF223" s="208">
        <v>109410330</v>
      </c>
      <c r="AG223" s="271">
        <f>SUM(AE223:AF223)</f>
        <v>440504152</v>
      </c>
      <c r="AH223" s="270">
        <f>X223-AA223</f>
        <v>798670848</v>
      </c>
      <c r="AI223" s="220">
        <f>X223-AD223</f>
        <v>798670848</v>
      </c>
      <c r="AJ223" s="269">
        <f>X223-AG223</f>
        <v>798670848</v>
      </c>
      <c r="AK223" s="101"/>
      <c r="AL223" s="204">
        <v>0</v>
      </c>
      <c r="AM223" s="210">
        <v>0</v>
      </c>
    </row>
    <row r="224" spans="19:39" ht="24.75" customHeight="1">
      <c r="S224" s="266" t="str">
        <f>+IF(MARZO!S225=0,"",MARZO!S225)</f>
        <v>2.2.2.02</v>
      </c>
      <c r="T224" s="267" t="str">
        <f>+IF(MARZO!T225=0,"",MARZO!T225)</f>
        <v>Vigencias Anteriores Deuda Pública</v>
      </c>
      <c r="U224" s="373">
        <f>+ENERO!U225</f>
        <v>0</v>
      </c>
      <c r="V224" s="220">
        <f>MARZO!V225+ABRIL!AL224</f>
        <v>0</v>
      </c>
      <c r="W224" s="220">
        <f>MARZO!W225+ABRIL!AM224</f>
        <v>0</v>
      </c>
      <c r="X224" s="271">
        <f>SUM(U224:W224)</f>
        <v>0</v>
      </c>
      <c r="Y224" s="270">
        <f>MARZO!AA225</f>
        <v>0</v>
      </c>
      <c r="Z224" s="208">
        <v>0</v>
      </c>
      <c r="AA224" s="271">
        <f>SUM(Y224:Z224)</f>
        <v>0</v>
      </c>
      <c r="AB224" s="270">
        <f>MARZO!AD225</f>
        <v>0</v>
      </c>
      <c r="AC224" s="208">
        <v>0</v>
      </c>
      <c r="AD224" s="271">
        <f>SUM(AB224:AC224)</f>
        <v>0</v>
      </c>
      <c r="AE224" s="270">
        <f>MARZO!AG225</f>
        <v>0</v>
      </c>
      <c r="AF224" s="208">
        <v>0</v>
      </c>
      <c r="AG224" s="271">
        <f>SUM(AE224:AF224)</f>
        <v>0</v>
      </c>
      <c r="AH224" s="270">
        <f>X224-AA224</f>
        <v>0</v>
      </c>
      <c r="AI224" s="220">
        <f>X224-AD224</f>
        <v>0</v>
      </c>
      <c r="AJ224" s="269">
        <f>X224-AG224</f>
        <v>0</v>
      </c>
      <c r="AK224" s="101"/>
      <c r="AL224" s="204">
        <v>0</v>
      </c>
      <c r="AM224" s="210">
        <v>0</v>
      </c>
    </row>
    <row r="225" spans="19:39" ht="24.75" customHeight="1">
      <c r="S225" s="189" t="str">
        <f>+IF(MARZO!S226=0,"",MARZO!S226)</f>
        <v/>
      </c>
      <c r="T225" s="488" t="str">
        <f>+IF(MARZO!T226=0,"",MARZO!T226)</f>
        <v/>
      </c>
      <c r="U225" s="191"/>
      <c r="V225" s="191"/>
      <c r="W225" s="191"/>
      <c r="X225" s="191"/>
      <c r="Y225" s="191"/>
      <c r="Z225" s="191"/>
      <c r="AA225" s="191"/>
      <c r="AB225" s="191"/>
      <c r="AC225" s="191"/>
      <c r="AD225" s="191"/>
      <c r="AE225" s="191"/>
      <c r="AF225" s="191"/>
      <c r="AG225" s="191"/>
      <c r="AH225" s="191"/>
      <c r="AI225" s="191"/>
      <c r="AJ225" s="192"/>
      <c r="AK225" s="216"/>
      <c r="AL225" s="370"/>
      <c r="AM225" s="371"/>
    </row>
    <row r="226" spans="19:39" ht="24.75" customHeight="1">
      <c r="S226" s="257">
        <f>+IF(MARZO!S227=0,"",MARZO!S227)</f>
        <v>7002001</v>
      </c>
      <c r="T226" s="546" t="str">
        <f>+IF(MARZO!T227=0,"",MARZO!T227)</f>
        <v>SERVICIO DE LA DEUDA EXTERNA</v>
      </c>
      <c r="U226" s="230">
        <f t="shared" ref="U226:AJ226" si="188">SUM(U227:U229)</f>
        <v>0</v>
      </c>
      <c r="V226" s="231">
        <f t="shared" si="188"/>
        <v>0</v>
      </c>
      <c r="W226" s="231">
        <f t="shared" si="188"/>
        <v>0</v>
      </c>
      <c r="X226" s="234">
        <f t="shared" si="188"/>
        <v>0</v>
      </c>
      <c r="Y226" s="233">
        <f t="shared" si="188"/>
        <v>0</v>
      </c>
      <c r="Z226" s="231">
        <f t="shared" si="188"/>
        <v>0</v>
      </c>
      <c r="AA226" s="234">
        <f t="shared" si="188"/>
        <v>0</v>
      </c>
      <c r="AB226" s="233">
        <f t="shared" si="188"/>
        <v>0</v>
      </c>
      <c r="AC226" s="231">
        <f t="shared" si="188"/>
        <v>0</v>
      </c>
      <c r="AD226" s="234">
        <f t="shared" si="188"/>
        <v>0</v>
      </c>
      <c r="AE226" s="233">
        <f t="shared" si="188"/>
        <v>0</v>
      </c>
      <c r="AF226" s="231">
        <f t="shared" si="188"/>
        <v>0</v>
      </c>
      <c r="AG226" s="234">
        <f t="shared" si="188"/>
        <v>0</v>
      </c>
      <c r="AH226" s="233">
        <f t="shared" si="188"/>
        <v>0</v>
      </c>
      <c r="AI226" s="231">
        <f t="shared" si="188"/>
        <v>0</v>
      </c>
      <c r="AJ226" s="232">
        <f t="shared" si="188"/>
        <v>0</v>
      </c>
      <c r="AK226" s="216"/>
      <c r="AL226" s="233">
        <f>SUM(AL227:AL229)</f>
        <v>0</v>
      </c>
      <c r="AM226" s="232">
        <f>SUM(AM227:AM229)</f>
        <v>0</v>
      </c>
    </row>
    <row r="227" spans="19:39" ht="24.75" customHeight="1">
      <c r="S227" s="266">
        <f>+IF(MARZO!S228=0,"",MARZO!S228)</f>
        <v>7002100</v>
      </c>
      <c r="T227" s="267" t="str">
        <f>+IF(MARZO!T228=0,"",MARZO!T228)</f>
        <v>Amortización deuda Pública Externa</v>
      </c>
      <c r="U227" s="373">
        <f>+ENERO!U228</f>
        <v>0</v>
      </c>
      <c r="V227" s="220">
        <f>MARZO!V228+ABRIL!AL227</f>
        <v>0</v>
      </c>
      <c r="W227" s="220">
        <f>MARZO!W228+ABRIL!AM227</f>
        <v>0</v>
      </c>
      <c r="X227" s="271">
        <f>SUM(U227:W227)</f>
        <v>0</v>
      </c>
      <c r="Y227" s="270">
        <f>MARZO!AA228</f>
        <v>0</v>
      </c>
      <c r="Z227" s="208">
        <v>0</v>
      </c>
      <c r="AA227" s="271">
        <f>SUM(Y227:Z227)</f>
        <v>0</v>
      </c>
      <c r="AB227" s="270">
        <f>MARZO!AD228</f>
        <v>0</v>
      </c>
      <c r="AC227" s="208">
        <v>0</v>
      </c>
      <c r="AD227" s="271">
        <f>SUM(AB227:AC227)</f>
        <v>0</v>
      </c>
      <c r="AE227" s="270">
        <f>MARZO!AG228</f>
        <v>0</v>
      </c>
      <c r="AF227" s="208">
        <v>0</v>
      </c>
      <c r="AG227" s="271">
        <f>SUM(AE227:AF227)</f>
        <v>0</v>
      </c>
      <c r="AH227" s="270">
        <f>X227-AA227</f>
        <v>0</v>
      </c>
      <c r="AI227" s="220">
        <f>X227-AD227</f>
        <v>0</v>
      </c>
      <c r="AJ227" s="269">
        <f>X227-AG227</f>
        <v>0</v>
      </c>
      <c r="AK227" s="101"/>
      <c r="AL227" s="204">
        <v>0</v>
      </c>
      <c r="AM227" s="210">
        <v>0</v>
      </c>
    </row>
    <row r="228" spans="19:39" ht="24.75" customHeight="1">
      <c r="S228" s="266">
        <f>+IF(MARZO!S229=0,"",MARZO!S229)</f>
        <v>7002200</v>
      </c>
      <c r="T228" s="267" t="str">
        <f>+IF(MARZO!T229=0,"",MARZO!T229)</f>
        <v>Intereses Comisiones y gastos de la Deuda Pública</v>
      </c>
      <c r="U228" s="373">
        <f>+ENERO!U229</f>
        <v>0</v>
      </c>
      <c r="V228" s="220">
        <f>MARZO!V229+ABRIL!AL228</f>
        <v>0</v>
      </c>
      <c r="W228" s="220">
        <f>MARZO!W229+ABRIL!AM228</f>
        <v>0</v>
      </c>
      <c r="X228" s="271">
        <f>SUM(U228:W228)</f>
        <v>0</v>
      </c>
      <c r="Y228" s="270">
        <f>MARZO!AA229</f>
        <v>0</v>
      </c>
      <c r="Z228" s="208">
        <v>0</v>
      </c>
      <c r="AA228" s="271">
        <f>SUM(Y228:Z228)</f>
        <v>0</v>
      </c>
      <c r="AB228" s="270">
        <f>MARZO!AD229</f>
        <v>0</v>
      </c>
      <c r="AC228" s="208">
        <v>0</v>
      </c>
      <c r="AD228" s="271">
        <f>SUM(AB228:AC228)</f>
        <v>0</v>
      </c>
      <c r="AE228" s="270">
        <f>MARZO!AG229</f>
        <v>0</v>
      </c>
      <c r="AF228" s="208">
        <v>0</v>
      </c>
      <c r="AG228" s="271">
        <f>SUM(AE228:AF228)</f>
        <v>0</v>
      </c>
      <c r="AH228" s="270">
        <f>X228-AA228</f>
        <v>0</v>
      </c>
      <c r="AI228" s="220">
        <f>X228-AD228</f>
        <v>0</v>
      </c>
      <c r="AJ228" s="269">
        <f>X228-AG228</f>
        <v>0</v>
      </c>
      <c r="AK228" s="101"/>
      <c r="AL228" s="204">
        <v>0</v>
      </c>
      <c r="AM228" s="210">
        <v>0</v>
      </c>
    </row>
    <row r="229" spans="19:39" ht="24.75" customHeight="1">
      <c r="S229" s="466">
        <f>+IF(MARZO!S230=0,"",MARZO!S230)</f>
        <v>7002999</v>
      </c>
      <c r="T229" s="467" t="str">
        <f>+IF(MARZO!T230=0,"",MARZO!T230)</f>
        <v>Vigencias Anteriores</v>
      </c>
      <c r="U229" s="547">
        <f>+ENERO!U230</f>
        <v>0</v>
      </c>
      <c r="V229" s="468">
        <f>MARZO!V230+ABRIL!AL229</f>
        <v>0</v>
      </c>
      <c r="W229" s="468">
        <f>MARZO!W230+ABRIL!AM229</f>
        <v>0</v>
      </c>
      <c r="X229" s="471">
        <f>SUM(U229:W229)</f>
        <v>0</v>
      </c>
      <c r="Y229" s="470">
        <f>MARZO!AA230</f>
        <v>0</v>
      </c>
      <c r="Z229" s="246">
        <v>0</v>
      </c>
      <c r="AA229" s="471">
        <f>SUM(Y229:Z229)</f>
        <v>0</v>
      </c>
      <c r="AB229" s="470">
        <f>MARZO!AD230</f>
        <v>0</v>
      </c>
      <c r="AC229" s="246">
        <v>0</v>
      </c>
      <c r="AD229" s="471">
        <f>SUM(AB229:AC229)</f>
        <v>0</v>
      </c>
      <c r="AE229" s="470">
        <f>MARZO!AG230</f>
        <v>0</v>
      </c>
      <c r="AF229" s="246">
        <v>0</v>
      </c>
      <c r="AG229" s="471">
        <f>SUM(AE229:AF229)</f>
        <v>0</v>
      </c>
      <c r="AH229" s="470">
        <f>X229-AA229</f>
        <v>0</v>
      </c>
      <c r="AI229" s="468">
        <f>X229-AD229</f>
        <v>0</v>
      </c>
      <c r="AJ229" s="469">
        <f>X229-AG229</f>
        <v>0</v>
      </c>
      <c r="AK229" s="101"/>
      <c r="AL229" s="489">
        <v>0</v>
      </c>
      <c r="AM229" s="490">
        <v>0</v>
      </c>
    </row>
    <row r="230" spans="19:39" ht="24.75" customHeight="1">
      <c r="S230" s="455" t="str">
        <f>+IF(MARZO!S231=0,"",MARZO!S231)</f>
        <v/>
      </c>
      <c r="T230" s="456" t="str">
        <f>+IF(MARZO!T231=0,"",MARZO!T231)</f>
        <v/>
      </c>
      <c r="U230" s="457"/>
      <c r="V230" s="457"/>
      <c r="W230" s="457"/>
      <c r="X230" s="457"/>
      <c r="Y230" s="457"/>
      <c r="Z230" s="457"/>
      <c r="AA230" s="457"/>
      <c r="AB230" s="457"/>
      <c r="AC230" s="457"/>
      <c r="AD230" s="457"/>
      <c r="AE230" s="457"/>
      <c r="AF230" s="457"/>
      <c r="AG230" s="457"/>
      <c r="AH230" s="457"/>
      <c r="AI230" s="457"/>
      <c r="AJ230" s="458"/>
      <c r="AK230" s="101"/>
      <c r="AL230" s="491"/>
      <c r="AM230" s="492"/>
    </row>
    <row r="231" spans="19:39" ht="24.75" customHeight="1">
      <c r="S231" s="493" t="str">
        <f>+IF(MARZO!S232=0,"",MARZO!S232)</f>
        <v>D</v>
      </c>
      <c r="T231" s="494" t="str">
        <f>+IF(MARZO!T232=0,"",MARZO!T232)</f>
        <v>INVERSION</v>
      </c>
      <c r="U231" s="405">
        <f t="shared" ref="U231:AJ231" si="189">U233+U242</f>
        <v>0</v>
      </c>
      <c r="V231" s="406">
        <f t="shared" si="189"/>
        <v>0</v>
      </c>
      <c r="W231" s="406">
        <f t="shared" si="189"/>
        <v>14971262937</v>
      </c>
      <c r="X231" s="407">
        <f t="shared" si="189"/>
        <v>14971262937</v>
      </c>
      <c r="Y231" s="217">
        <f t="shared" si="189"/>
        <v>9353034530</v>
      </c>
      <c r="Z231" s="406">
        <f t="shared" si="189"/>
        <v>1548184235</v>
      </c>
      <c r="AA231" s="407">
        <f t="shared" si="189"/>
        <v>10901218765</v>
      </c>
      <c r="AB231" s="217">
        <f t="shared" si="189"/>
        <v>2231755852</v>
      </c>
      <c r="AC231" s="406">
        <f t="shared" si="189"/>
        <v>3342805127</v>
      </c>
      <c r="AD231" s="407">
        <f t="shared" si="189"/>
        <v>5574560979</v>
      </c>
      <c r="AE231" s="217">
        <f t="shared" si="189"/>
        <v>1868246404</v>
      </c>
      <c r="AF231" s="406">
        <f t="shared" si="189"/>
        <v>1039222801</v>
      </c>
      <c r="AG231" s="407">
        <f t="shared" si="189"/>
        <v>2907469205</v>
      </c>
      <c r="AH231" s="217">
        <f t="shared" si="189"/>
        <v>4070044172</v>
      </c>
      <c r="AI231" s="406">
        <f t="shared" si="189"/>
        <v>9396701958</v>
      </c>
      <c r="AJ231" s="218">
        <f t="shared" si="189"/>
        <v>12063793732</v>
      </c>
      <c r="AK231" s="487"/>
      <c r="AL231" s="217">
        <f>AL233+AL242</f>
        <v>0</v>
      </c>
      <c r="AM231" s="218">
        <f>AM233+AM242</f>
        <v>653254378</v>
      </c>
    </row>
    <row r="232" spans="19:39" ht="24.75" customHeight="1">
      <c r="S232" s="189" t="str">
        <f>+IF(MARZO!S233=0,"",MARZO!S233)</f>
        <v/>
      </c>
      <c r="T232" s="488" t="str">
        <f>+IF(MARZO!T233=0,"",MARZO!T233)</f>
        <v/>
      </c>
      <c r="U232" s="191"/>
      <c r="V232" s="191"/>
      <c r="W232" s="191"/>
      <c r="X232" s="191"/>
      <c r="Y232" s="191"/>
      <c r="Z232" s="191"/>
      <c r="AA232" s="191"/>
      <c r="AB232" s="191"/>
      <c r="AC232" s="191"/>
      <c r="AD232" s="191"/>
      <c r="AE232" s="191"/>
      <c r="AF232" s="191"/>
      <c r="AG232" s="191"/>
      <c r="AH232" s="191"/>
      <c r="AI232" s="191"/>
      <c r="AJ232" s="192"/>
      <c r="AK232" s="101"/>
      <c r="AL232" s="370"/>
      <c r="AM232" s="371"/>
    </row>
    <row r="233" spans="19:39" ht="24.75" customHeight="1">
      <c r="S233" s="257">
        <f>+IF(MARZO!S234=0,"",MARZO!S234)</f>
        <v>8000000</v>
      </c>
      <c r="T233" s="258" t="s">
        <v>313</v>
      </c>
      <c r="U233" s="230">
        <f t="shared" ref="U233:AJ233" si="190">U234</f>
        <v>0</v>
      </c>
      <c r="V233" s="231">
        <f t="shared" si="190"/>
        <v>0</v>
      </c>
      <c r="W233" s="231">
        <f t="shared" si="190"/>
        <v>14971262937</v>
      </c>
      <c r="X233" s="234">
        <f t="shared" si="190"/>
        <v>14971262937</v>
      </c>
      <c r="Y233" s="233">
        <f t="shared" si="190"/>
        <v>9353034530</v>
      </c>
      <c r="Z233" s="231">
        <f t="shared" si="190"/>
        <v>1548184235</v>
      </c>
      <c r="AA233" s="234">
        <f t="shared" si="190"/>
        <v>10901218765</v>
      </c>
      <c r="AB233" s="233">
        <f t="shared" si="190"/>
        <v>2231755852</v>
      </c>
      <c r="AC233" s="231">
        <f t="shared" si="190"/>
        <v>3342805127</v>
      </c>
      <c r="AD233" s="234">
        <f t="shared" si="190"/>
        <v>5574560979</v>
      </c>
      <c r="AE233" s="233">
        <f t="shared" si="190"/>
        <v>1868246404</v>
      </c>
      <c r="AF233" s="231">
        <f t="shared" si="190"/>
        <v>1039222801</v>
      </c>
      <c r="AG233" s="234">
        <f t="shared" si="190"/>
        <v>2907469205</v>
      </c>
      <c r="AH233" s="233">
        <f t="shared" si="190"/>
        <v>4070044172</v>
      </c>
      <c r="AI233" s="231">
        <f t="shared" si="190"/>
        <v>9396701958</v>
      </c>
      <c r="AJ233" s="232">
        <f t="shared" si="190"/>
        <v>12063793732</v>
      </c>
      <c r="AK233" s="101"/>
      <c r="AL233" s="233">
        <f>AL234</f>
        <v>0</v>
      </c>
      <c r="AM233" s="232">
        <f>AM234</f>
        <v>653254378</v>
      </c>
    </row>
    <row r="234" spans="19:39" ht="24.75" customHeight="1">
      <c r="S234" s="266">
        <f>+IF(MARZO!S235=0,"",MARZO!S235)</f>
        <v>8001000</v>
      </c>
      <c r="T234" s="267" t="str">
        <f>+IF(FEBRERO!T235=0,"",FEBRERO!T235)</f>
        <v>Formación Bruta del Capital</v>
      </c>
      <c r="U234" s="373">
        <f t="shared" ref="U234:AJ234" si="191">SUM(U235:U240)</f>
        <v>0</v>
      </c>
      <c r="V234" s="220">
        <f t="shared" si="191"/>
        <v>0</v>
      </c>
      <c r="W234" s="220">
        <f t="shared" si="191"/>
        <v>14971262937</v>
      </c>
      <c r="X234" s="271">
        <f t="shared" si="191"/>
        <v>14971262937</v>
      </c>
      <c r="Y234" s="270">
        <f t="shared" si="191"/>
        <v>9353034530</v>
      </c>
      <c r="Z234" s="300">
        <f t="shared" si="191"/>
        <v>1548184235</v>
      </c>
      <c r="AA234" s="271">
        <f t="shared" si="191"/>
        <v>10901218765</v>
      </c>
      <c r="AB234" s="270">
        <f t="shared" si="191"/>
        <v>2231755852</v>
      </c>
      <c r="AC234" s="300">
        <f t="shared" si="191"/>
        <v>3342805127</v>
      </c>
      <c r="AD234" s="271">
        <f t="shared" si="191"/>
        <v>5574560979</v>
      </c>
      <c r="AE234" s="270">
        <f t="shared" si="191"/>
        <v>1868246404</v>
      </c>
      <c r="AF234" s="300">
        <f t="shared" si="191"/>
        <v>1039222801</v>
      </c>
      <c r="AG234" s="271">
        <f t="shared" si="191"/>
        <v>2907469205</v>
      </c>
      <c r="AH234" s="270">
        <f t="shared" si="191"/>
        <v>4070044172</v>
      </c>
      <c r="AI234" s="220">
        <f t="shared" si="191"/>
        <v>9396701958</v>
      </c>
      <c r="AJ234" s="269">
        <f t="shared" si="191"/>
        <v>12063793732</v>
      </c>
      <c r="AK234" s="101"/>
      <c r="AL234" s="301">
        <f>SUM(AL235:AL240)</f>
        <v>0</v>
      </c>
      <c r="AM234" s="302">
        <f>SUM(AM235:AM240)</f>
        <v>653254378</v>
      </c>
    </row>
    <row r="235" spans="19:39" ht="24.75" customHeight="1">
      <c r="S235" s="311" t="str">
        <f>+IF(MARZO!S236=0,"",MARZO!S236)</f>
        <v>2.3.2.01.01</v>
      </c>
      <c r="T235" s="312" t="s">
        <v>681</v>
      </c>
      <c r="U235" s="373">
        <f>+ENERO!U236</f>
        <v>0</v>
      </c>
      <c r="V235" s="220">
        <f>MARZO!V236+ABRIL!AL235</f>
        <v>0</v>
      </c>
      <c r="W235" s="220">
        <f>MARZO!W236+ABRIL!AM235</f>
        <v>0</v>
      </c>
      <c r="X235" s="271">
        <f t="shared" ref="X235:X240" si="192">SUM(U235:W235)</f>
        <v>0</v>
      </c>
      <c r="Y235" s="270">
        <f>MARZO!AA236</f>
        <v>0</v>
      </c>
      <c r="Z235" s="208">
        <v>0</v>
      </c>
      <c r="AA235" s="271">
        <f t="shared" ref="AA235:AA240" si="193">SUM(Y235:Z235)</f>
        <v>0</v>
      </c>
      <c r="AB235" s="270">
        <f>MARZO!AD236</f>
        <v>0</v>
      </c>
      <c r="AC235" s="208">
        <v>0</v>
      </c>
      <c r="AD235" s="271">
        <f t="shared" ref="AD235:AD240" si="194">SUM(AB235:AC235)</f>
        <v>0</v>
      </c>
      <c r="AE235" s="270">
        <f>MARZO!AG236</f>
        <v>0</v>
      </c>
      <c r="AF235" s="208">
        <v>0</v>
      </c>
      <c r="AG235" s="271">
        <f t="shared" ref="AG235:AG240" si="195">SUM(AE235:AF235)</f>
        <v>0</v>
      </c>
      <c r="AH235" s="270">
        <f t="shared" ref="AH235:AH240" si="196">X235-AA235</f>
        <v>0</v>
      </c>
      <c r="AI235" s="220">
        <f t="shared" ref="AI235:AI240" si="197">X235-AD235</f>
        <v>0</v>
      </c>
      <c r="AJ235" s="269">
        <f t="shared" ref="AJ235:AJ240" si="198">X235-AG235</f>
        <v>0</v>
      </c>
      <c r="AK235" s="101"/>
      <c r="AL235" s="204">
        <v>0</v>
      </c>
      <c r="AM235" s="210">
        <v>0</v>
      </c>
    </row>
    <row r="236" spans="19:39" ht="24.75" customHeight="1">
      <c r="S236" s="311" t="str">
        <f>+IF(MARZO!S237=0,"",MARZO!S237)</f>
        <v>2.3.2.02.02.005</v>
      </c>
      <c r="T236" s="312" t="s">
        <v>682</v>
      </c>
      <c r="U236" s="373">
        <f>+ENERO!U237</f>
        <v>0</v>
      </c>
      <c r="V236" s="220">
        <f>MARZO!V237+ABRIL!AL236</f>
        <v>0</v>
      </c>
      <c r="W236" s="220">
        <f>MARZO!W237+ABRIL!AM236</f>
        <v>0</v>
      </c>
      <c r="X236" s="271">
        <f t="shared" si="192"/>
        <v>0</v>
      </c>
      <c r="Y236" s="270">
        <f>MARZO!AA237</f>
        <v>0</v>
      </c>
      <c r="Z236" s="208">
        <v>0</v>
      </c>
      <c r="AA236" s="271">
        <f t="shared" si="193"/>
        <v>0</v>
      </c>
      <c r="AB236" s="270">
        <f>MARZO!AD237</f>
        <v>0</v>
      </c>
      <c r="AC236" s="208">
        <v>0</v>
      </c>
      <c r="AD236" s="271">
        <f t="shared" si="194"/>
        <v>0</v>
      </c>
      <c r="AE236" s="270">
        <f>MARZO!AG237</f>
        <v>0</v>
      </c>
      <c r="AF236" s="208">
        <v>0</v>
      </c>
      <c r="AG236" s="271">
        <f t="shared" si="195"/>
        <v>0</v>
      </c>
      <c r="AH236" s="270">
        <f t="shared" si="196"/>
        <v>0</v>
      </c>
      <c r="AI236" s="220">
        <f t="shared" si="197"/>
        <v>0</v>
      </c>
      <c r="AJ236" s="269">
        <f t="shared" si="198"/>
        <v>0</v>
      </c>
      <c r="AK236" s="101"/>
      <c r="AL236" s="204">
        <v>0</v>
      </c>
      <c r="AM236" s="210">
        <v>0</v>
      </c>
    </row>
    <row r="237" spans="19:39" ht="24.75" customHeight="1">
      <c r="S237" s="311" t="str">
        <f>+IF(MARZO!S238=0,"",MARZO!S238)</f>
        <v>2.3.2.02.02.009</v>
      </c>
      <c r="T237" s="312" t="s">
        <v>665</v>
      </c>
      <c r="U237" s="373">
        <f>+ENERO!U238</f>
        <v>0</v>
      </c>
      <c r="V237" s="220">
        <f>MARZO!V238+ABRIL!AL237</f>
        <v>0</v>
      </c>
      <c r="W237" s="220">
        <f>MARZO!W238+ABRIL!AM237</f>
        <v>14520480408</v>
      </c>
      <c r="X237" s="271">
        <f t="shared" si="192"/>
        <v>14520480408</v>
      </c>
      <c r="Y237" s="270">
        <f>MARZO!AA238</f>
        <v>9353034530</v>
      </c>
      <c r="Z237" s="208">
        <v>1548184235</v>
      </c>
      <c r="AA237" s="271">
        <f t="shared" si="193"/>
        <v>10901218765</v>
      </c>
      <c r="AB237" s="270">
        <f>MARZO!AD238</f>
        <v>2231755852</v>
      </c>
      <c r="AC237" s="208">
        <v>3342805127</v>
      </c>
      <c r="AD237" s="271">
        <f t="shared" si="194"/>
        <v>5574560979</v>
      </c>
      <c r="AE237" s="270">
        <f>MARZO!AG238</f>
        <v>1868246404</v>
      </c>
      <c r="AF237" s="208">
        <v>1039222801</v>
      </c>
      <c r="AG237" s="271">
        <f t="shared" si="195"/>
        <v>2907469205</v>
      </c>
      <c r="AH237" s="270">
        <f t="shared" si="196"/>
        <v>3619261643</v>
      </c>
      <c r="AI237" s="220">
        <f t="shared" si="197"/>
        <v>8945919429</v>
      </c>
      <c r="AJ237" s="269">
        <f t="shared" si="198"/>
        <v>11613011203</v>
      </c>
      <c r="AK237" s="101"/>
      <c r="AL237" s="204">
        <v>0</v>
      </c>
      <c r="AM237" s="210">
        <v>653254378</v>
      </c>
    </row>
    <row r="238" spans="19:39" ht="24.75" customHeight="1">
      <c r="S238" s="311" t="str">
        <f>+IF(MARZO!S239=0,"",MARZO!S239)</f>
        <v>8001000-4</v>
      </c>
      <c r="T238" s="312" t="s">
        <v>316</v>
      </c>
      <c r="U238" s="373">
        <f>+ENERO!U239</f>
        <v>0</v>
      </c>
      <c r="V238" s="220">
        <f>MARZO!V239+ABRIL!AL238</f>
        <v>0</v>
      </c>
      <c r="W238" s="220">
        <f>MARZO!W239+ABRIL!AM238</f>
        <v>0</v>
      </c>
      <c r="X238" s="271">
        <f t="shared" si="192"/>
        <v>0</v>
      </c>
      <c r="Y238" s="270">
        <f>MARZO!AA239</f>
        <v>0</v>
      </c>
      <c r="Z238" s="208">
        <v>0</v>
      </c>
      <c r="AA238" s="271">
        <f t="shared" si="193"/>
        <v>0</v>
      </c>
      <c r="AB238" s="270">
        <f>MARZO!AD239</f>
        <v>0</v>
      </c>
      <c r="AC238" s="208">
        <v>0</v>
      </c>
      <c r="AD238" s="271">
        <f t="shared" si="194"/>
        <v>0</v>
      </c>
      <c r="AE238" s="270">
        <f>MARZO!AG239</f>
        <v>0</v>
      </c>
      <c r="AF238" s="208">
        <v>0</v>
      </c>
      <c r="AG238" s="271">
        <f t="shared" si="195"/>
        <v>0</v>
      </c>
      <c r="AH238" s="270">
        <f t="shared" si="196"/>
        <v>0</v>
      </c>
      <c r="AI238" s="220">
        <f t="shared" si="197"/>
        <v>0</v>
      </c>
      <c r="AJ238" s="269">
        <f t="shared" si="198"/>
        <v>0</v>
      </c>
      <c r="AK238" s="101"/>
      <c r="AL238" s="204">
        <v>0</v>
      </c>
      <c r="AM238" s="210">
        <v>0</v>
      </c>
    </row>
    <row r="239" spans="19:39" ht="24.75" customHeight="1">
      <c r="S239" s="311" t="str">
        <f>+IF(MARZO!S240=0,"",MARZO!S240)</f>
        <v>8001000-5</v>
      </c>
      <c r="T239" s="312" t="s">
        <v>318</v>
      </c>
      <c r="U239" s="373">
        <f>+ENERO!U240</f>
        <v>0</v>
      </c>
      <c r="V239" s="220">
        <f>MARZO!V240+ABRIL!AL239</f>
        <v>0</v>
      </c>
      <c r="W239" s="220">
        <f>MARZO!W240+ABRIL!AM239</f>
        <v>0</v>
      </c>
      <c r="X239" s="271">
        <f t="shared" si="192"/>
        <v>0</v>
      </c>
      <c r="Y239" s="270">
        <f>MARZO!AA240</f>
        <v>0</v>
      </c>
      <c r="Z239" s="208">
        <v>0</v>
      </c>
      <c r="AA239" s="271">
        <f t="shared" si="193"/>
        <v>0</v>
      </c>
      <c r="AB239" s="270">
        <f>MARZO!AD240</f>
        <v>0</v>
      </c>
      <c r="AC239" s="208">
        <v>0</v>
      </c>
      <c r="AD239" s="271">
        <f t="shared" si="194"/>
        <v>0</v>
      </c>
      <c r="AE239" s="270">
        <f>MARZO!AG240</f>
        <v>0</v>
      </c>
      <c r="AF239" s="208">
        <v>0</v>
      </c>
      <c r="AG239" s="271">
        <f t="shared" si="195"/>
        <v>0</v>
      </c>
      <c r="AH239" s="270">
        <f t="shared" si="196"/>
        <v>0</v>
      </c>
      <c r="AI239" s="220">
        <f t="shared" si="197"/>
        <v>0</v>
      </c>
      <c r="AJ239" s="269">
        <f t="shared" si="198"/>
        <v>0</v>
      </c>
      <c r="AK239" s="101"/>
      <c r="AL239" s="204">
        <v>0</v>
      </c>
      <c r="AM239" s="210">
        <v>0</v>
      </c>
    </row>
    <row r="240" spans="19:39" ht="24.75" customHeight="1">
      <c r="S240" s="311" t="str">
        <f>+IF(MARZO!S241=0,"",MARZO!S241)</f>
        <v>2.3.2.02.02.009.99</v>
      </c>
      <c r="T240" s="312" t="s">
        <v>678</v>
      </c>
      <c r="U240" s="373">
        <f>+ENERO!U241</f>
        <v>0</v>
      </c>
      <c r="V240" s="220">
        <f>MARZO!V241+ABRIL!AL240</f>
        <v>0</v>
      </c>
      <c r="W240" s="220">
        <f>MARZO!W241+ABRIL!AM240</f>
        <v>450782529</v>
      </c>
      <c r="X240" s="271">
        <f t="shared" si="192"/>
        <v>450782529</v>
      </c>
      <c r="Y240" s="270">
        <f>MARZO!AA241</f>
        <v>0</v>
      </c>
      <c r="Z240" s="208">
        <v>0</v>
      </c>
      <c r="AA240" s="271">
        <f t="shared" si="193"/>
        <v>0</v>
      </c>
      <c r="AB240" s="270">
        <f>MARZO!AD241</f>
        <v>0</v>
      </c>
      <c r="AC240" s="208">
        <v>0</v>
      </c>
      <c r="AD240" s="271">
        <f t="shared" si="194"/>
        <v>0</v>
      </c>
      <c r="AE240" s="270">
        <f>MARZO!AG241</f>
        <v>0</v>
      </c>
      <c r="AF240" s="208">
        <v>0</v>
      </c>
      <c r="AG240" s="271">
        <f t="shared" si="195"/>
        <v>0</v>
      </c>
      <c r="AH240" s="270">
        <f t="shared" si="196"/>
        <v>450782529</v>
      </c>
      <c r="AI240" s="220">
        <f t="shared" si="197"/>
        <v>450782529</v>
      </c>
      <c r="AJ240" s="269">
        <f t="shared" si="198"/>
        <v>450782529</v>
      </c>
      <c r="AK240" s="101"/>
      <c r="AL240" s="204">
        <v>0</v>
      </c>
      <c r="AM240" s="210">
        <v>0</v>
      </c>
    </row>
    <row r="241" spans="19:39" ht="24.75" customHeight="1">
      <c r="S241" s="189" t="str">
        <f>+IF(MARZO!S242=0,"",MARZO!S242)</f>
        <v/>
      </c>
      <c r="T241" s="488"/>
      <c r="U241" s="191"/>
      <c r="V241" s="191"/>
      <c r="W241" s="191"/>
      <c r="X241" s="191"/>
      <c r="Y241" s="191"/>
      <c r="Z241" s="191"/>
      <c r="AA241" s="191"/>
      <c r="AB241" s="191"/>
      <c r="AC241" s="191"/>
      <c r="AD241" s="191"/>
      <c r="AE241" s="191"/>
      <c r="AF241" s="191"/>
      <c r="AG241" s="191"/>
      <c r="AH241" s="191"/>
      <c r="AI241" s="191"/>
      <c r="AJ241" s="192"/>
      <c r="AK241" s="101"/>
      <c r="AL241" s="370"/>
      <c r="AM241" s="371"/>
    </row>
    <row r="242" spans="19:39" ht="24.75" customHeight="1">
      <c r="S242" s="257">
        <f>+IF(MARZO!S243=0,"",MARZO!S243)</f>
        <v>8002001</v>
      </c>
      <c r="T242" s="498" t="s">
        <v>319</v>
      </c>
      <c r="U242" s="230">
        <f t="shared" ref="U242:AJ242" si="199">SUM(U243:U255)</f>
        <v>0</v>
      </c>
      <c r="V242" s="231">
        <f t="shared" si="199"/>
        <v>0</v>
      </c>
      <c r="W242" s="231">
        <f t="shared" si="199"/>
        <v>0</v>
      </c>
      <c r="X242" s="234">
        <f t="shared" si="199"/>
        <v>0</v>
      </c>
      <c r="Y242" s="233">
        <f t="shared" si="199"/>
        <v>0</v>
      </c>
      <c r="Z242" s="231">
        <f t="shared" si="199"/>
        <v>0</v>
      </c>
      <c r="AA242" s="234">
        <f t="shared" si="199"/>
        <v>0</v>
      </c>
      <c r="AB242" s="233">
        <f t="shared" si="199"/>
        <v>0</v>
      </c>
      <c r="AC242" s="231">
        <f t="shared" si="199"/>
        <v>0</v>
      </c>
      <c r="AD242" s="234">
        <f t="shared" si="199"/>
        <v>0</v>
      </c>
      <c r="AE242" s="233">
        <f t="shared" si="199"/>
        <v>0</v>
      </c>
      <c r="AF242" s="231">
        <f t="shared" si="199"/>
        <v>0</v>
      </c>
      <c r="AG242" s="234">
        <f t="shared" si="199"/>
        <v>0</v>
      </c>
      <c r="AH242" s="233">
        <f t="shared" si="199"/>
        <v>0</v>
      </c>
      <c r="AI242" s="231">
        <f t="shared" si="199"/>
        <v>0</v>
      </c>
      <c r="AJ242" s="232">
        <f t="shared" si="199"/>
        <v>0</v>
      </c>
      <c r="AK242" s="101"/>
      <c r="AL242" s="233">
        <f>SUM(AL243:AL255)</f>
        <v>0</v>
      </c>
      <c r="AM242" s="232">
        <f>SUM(AM243:AM255)</f>
        <v>0</v>
      </c>
    </row>
    <row r="243" spans="19:39" ht="24.75" customHeight="1">
      <c r="S243" s="311" t="str">
        <f>+IF(MARZO!S244=0,"",MARZO!S244)</f>
        <v>8002100-1</v>
      </c>
      <c r="T243" s="312" t="s">
        <v>265</v>
      </c>
      <c r="U243" s="373">
        <f>+ENERO!U244</f>
        <v>0</v>
      </c>
      <c r="V243" s="220">
        <f>MARZO!V244+ABRIL!AL243</f>
        <v>0</v>
      </c>
      <c r="W243" s="220">
        <f>MARZO!W244+ABRIL!AM243</f>
        <v>0</v>
      </c>
      <c r="X243" s="271">
        <f t="shared" ref="X243:X255" si="200">SUM(U243:W243)</f>
        <v>0</v>
      </c>
      <c r="Y243" s="270">
        <f>MARZO!AA244</f>
        <v>0</v>
      </c>
      <c r="Z243" s="208">
        <v>0</v>
      </c>
      <c r="AA243" s="271">
        <f t="shared" ref="AA243:AA255" si="201">SUM(Y243:Z243)</f>
        <v>0</v>
      </c>
      <c r="AB243" s="270">
        <f>MARZO!AD244</f>
        <v>0</v>
      </c>
      <c r="AC243" s="208">
        <v>0</v>
      </c>
      <c r="AD243" s="271">
        <f t="shared" ref="AD243:AD255" si="202">SUM(AB243:AC243)</f>
        <v>0</v>
      </c>
      <c r="AE243" s="270">
        <f>MARZO!AG244</f>
        <v>0</v>
      </c>
      <c r="AF243" s="208">
        <v>0</v>
      </c>
      <c r="AG243" s="271">
        <f t="shared" ref="AG243:AG255" si="203">SUM(AE243:AF243)</f>
        <v>0</v>
      </c>
      <c r="AH243" s="270">
        <f t="shared" ref="AH243:AH255" si="204">X243-AA243</f>
        <v>0</v>
      </c>
      <c r="AI243" s="220">
        <f t="shared" ref="AI243:AI255" si="205">X243-AD243</f>
        <v>0</v>
      </c>
      <c r="AJ243" s="269">
        <f t="shared" ref="AJ243:AJ255" si="206">X243-AG243</f>
        <v>0</v>
      </c>
      <c r="AK243" s="101"/>
      <c r="AL243" s="204">
        <v>0</v>
      </c>
      <c r="AM243" s="210">
        <v>0</v>
      </c>
    </row>
    <row r="244" spans="19:39" ht="24.75" customHeight="1">
      <c r="S244" s="311" t="str">
        <f>+IF(MARZO!S245=0,"",MARZO!S245)</f>
        <v>8002100-2</v>
      </c>
      <c r="T244" s="548" t="s">
        <v>350</v>
      </c>
      <c r="U244" s="373">
        <f>+ENERO!U245</f>
        <v>0</v>
      </c>
      <c r="V244" s="220">
        <f>MARZO!V245+ABRIL!AL244</f>
        <v>0</v>
      </c>
      <c r="W244" s="220">
        <f>MARZO!W245+ABRIL!AM244</f>
        <v>0</v>
      </c>
      <c r="X244" s="271">
        <f t="shared" si="200"/>
        <v>0</v>
      </c>
      <c r="Y244" s="270">
        <f>MARZO!AA245</f>
        <v>0</v>
      </c>
      <c r="Z244" s="208">
        <v>0</v>
      </c>
      <c r="AA244" s="271">
        <f t="shared" si="201"/>
        <v>0</v>
      </c>
      <c r="AB244" s="270">
        <f>MARZO!AD245</f>
        <v>0</v>
      </c>
      <c r="AC244" s="208">
        <v>0</v>
      </c>
      <c r="AD244" s="271">
        <f t="shared" si="202"/>
        <v>0</v>
      </c>
      <c r="AE244" s="270">
        <f>MARZO!AG245</f>
        <v>0</v>
      </c>
      <c r="AF244" s="208">
        <v>0</v>
      </c>
      <c r="AG244" s="271">
        <f t="shared" si="203"/>
        <v>0</v>
      </c>
      <c r="AH244" s="270">
        <f t="shared" si="204"/>
        <v>0</v>
      </c>
      <c r="AI244" s="220">
        <f t="shared" si="205"/>
        <v>0</v>
      </c>
      <c r="AJ244" s="269">
        <f t="shared" si="206"/>
        <v>0</v>
      </c>
      <c r="AK244" s="101"/>
      <c r="AL244" s="204">
        <v>0</v>
      </c>
      <c r="AM244" s="210">
        <v>0</v>
      </c>
    </row>
    <row r="245" spans="19:39" ht="24.75" customHeight="1">
      <c r="S245" s="311" t="str">
        <f>+IF(MARZO!S246=0,"",MARZO!S246)</f>
        <v>8002100-3</v>
      </c>
      <c r="T245" s="312" t="str">
        <f>+IF(MARZO!T246=0,"",MARZO!T246)</f>
        <v>Programas Especial 02</v>
      </c>
      <c r="U245" s="373">
        <f>+ENERO!U246</f>
        <v>0</v>
      </c>
      <c r="V245" s="220">
        <f>MARZO!V246+ABRIL!AL245</f>
        <v>0</v>
      </c>
      <c r="W245" s="220">
        <f>MARZO!W246+ABRIL!AM245</f>
        <v>0</v>
      </c>
      <c r="X245" s="271">
        <f t="shared" si="200"/>
        <v>0</v>
      </c>
      <c r="Y245" s="270">
        <f>MARZO!AA246</f>
        <v>0</v>
      </c>
      <c r="Z245" s="208">
        <v>0</v>
      </c>
      <c r="AA245" s="271">
        <f t="shared" si="201"/>
        <v>0</v>
      </c>
      <c r="AB245" s="270">
        <f>MARZO!AD246</f>
        <v>0</v>
      </c>
      <c r="AC245" s="208">
        <v>0</v>
      </c>
      <c r="AD245" s="271">
        <f t="shared" si="202"/>
        <v>0</v>
      </c>
      <c r="AE245" s="270">
        <f>MARZO!AG246</f>
        <v>0</v>
      </c>
      <c r="AF245" s="208">
        <v>0</v>
      </c>
      <c r="AG245" s="271">
        <f t="shared" si="203"/>
        <v>0</v>
      </c>
      <c r="AH245" s="270">
        <f t="shared" si="204"/>
        <v>0</v>
      </c>
      <c r="AI245" s="220">
        <f t="shared" si="205"/>
        <v>0</v>
      </c>
      <c r="AJ245" s="269">
        <f t="shared" si="206"/>
        <v>0</v>
      </c>
      <c r="AK245" s="101"/>
      <c r="AL245" s="204">
        <v>0</v>
      </c>
      <c r="AM245" s="210">
        <v>0</v>
      </c>
    </row>
    <row r="246" spans="19:39" ht="24.75" customHeight="1">
      <c r="S246" s="311" t="str">
        <f>+IF(MARZO!S247=0,"",MARZO!S247)</f>
        <v>8002100-4</v>
      </c>
      <c r="T246" s="312" t="str">
        <f>+IF(MARZO!T247=0,"",MARZO!T247)</f>
        <v>Programas Especial 03</v>
      </c>
      <c r="U246" s="373">
        <f>+ENERO!U247</f>
        <v>0</v>
      </c>
      <c r="V246" s="220">
        <f>MARZO!V247+ABRIL!AL246</f>
        <v>0</v>
      </c>
      <c r="W246" s="220">
        <f>MARZO!W247+ABRIL!AM246</f>
        <v>0</v>
      </c>
      <c r="X246" s="271">
        <f t="shared" si="200"/>
        <v>0</v>
      </c>
      <c r="Y246" s="270">
        <f>MARZO!AA247</f>
        <v>0</v>
      </c>
      <c r="Z246" s="208">
        <v>0</v>
      </c>
      <c r="AA246" s="271">
        <f t="shared" si="201"/>
        <v>0</v>
      </c>
      <c r="AB246" s="270">
        <f>MARZO!AD247</f>
        <v>0</v>
      </c>
      <c r="AC246" s="208">
        <v>0</v>
      </c>
      <c r="AD246" s="271">
        <f t="shared" si="202"/>
        <v>0</v>
      </c>
      <c r="AE246" s="270">
        <f>MARZO!AG247</f>
        <v>0</v>
      </c>
      <c r="AF246" s="208">
        <v>0</v>
      </c>
      <c r="AG246" s="271">
        <f t="shared" si="203"/>
        <v>0</v>
      </c>
      <c r="AH246" s="270">
        <f t="shared" si="204"/>
        <v>0</v>
      </c>
      <c r="AI246" s="220">
        <f t="shared" si="205"/>
        <v>0</v>
      </c>
      <c r="AJ246" s="269">
        <f t="shared" si="206"/>
        <v>0</v>
      </c>
      <c r="AK246" s="101"/>
      <c r="AL246" s="204">
        <v>0</v>
      </c>
      <c r="AM246" s="210">
        <v>0</v>
      </c>
    </row>
    <row r="247" spans="19:39" ht="24.75" customHeight="1">
      <c r="S247" s="311" t="str">
        <f>+IF(MARZO!S248=0,"",MARZO!S248)</f>
        <v>8002100-5</v>
      </c>
      <c r="T247" s="312" t="str">
        <f>+IF(MARZO!T248=0,"",MARZO!T248)</f>
        <v>Programas Especial 04</v>
      </c>
      <c r="U247" s="373">
        <f>+ENERO!U248</f>
        <v>0</v>
      </c>
      <c r="V247" s="220">
        <f>MARZO!V248+ABRIL!AL247</f>
        <v>0</v>
      </c>
      <c r="W247" s="220">
        <f>MARZO!W248+ABRIL!AM247</f>
        <v>0</v>
      </c>
      <c r="X247" s="271">
        <f t="shared" si="200"/>
        <v>0</v>
      </c>
      <c r="Y247" s="270">
        <f>MARZO!AA248</f>
        <v>0</v>
      </c>
      <c r="Z247" s="208">
        <v>0</v>
      </c>
      <c r="AA247" s="271">
        <f t="shared" si="201"/>
        <v>0</v>
      </c>
      <c r="AB247" s="270">
        <f>MARZO!AD248</f>
        <v>0</v>
      </c>
      <c r="AC247" s="208">
        <v>0</v>
      </c>
      <c r="AD247" s="271">
        <f t="shared" si="202"/>
        <v>0</v>
      </c>
      <c r="AE247" s="270">
        <f>MARZO!AG248</f>
        <v>0</v>
      </c>
      <c r="AF247" s="208">
        <v>0</v>
      </c>
      <c r="AG247" s="271">
        <f t="shared" si="203"/>
        <v>0</v>
      </c>
      <c r="AH247" s="270">
        <f t="shared" si="204"/>
        <v>0</v>
      </c>
      <c r="AI247" s="220">
        <f t="shared" si="205"/>
        <v>0</v>
      </c>
      <c r="AJ247" s="269">
        <f t="shared" si="206"/>
        <v>0</v>
      </c>
      <c r="AK247" s="101"/>
      <c r="AL247" s="204">
        <v>0</v>
      </c>
      <c r="AM247" s="210">
        <v>0</v>
      </c>
    </row>
    <row r="248" spans="19:39" ht="24.75" customHeight="1">
      <c r="S248" s="311" t="str">
        <f>+IF(MARZO!S249=0,"",MARZO!S249)</f>
        <v>8002100-6</v>
      </c>
      <c r="T248" s="312" t="str">
        <f>+IF(MARZO!T249=0,"",MARZO!T249)</f>
        <v>Programas Especial 05</v>
      </c>
      <c r="U248" s="373">
        <f>+ENERO!U249</f>
        <v>0</v>
      </c>
      <c r="V248" s="220">
        <f>MARZO!V249+ABRIL!AL248</f>
        <v>0</v>
      </c>
      <c r="W248" s="220">
        <f>MARZO!W249+ABRIL!AM248</f>
        <v>0</v>
      </c>
      <c r="X248" s="271">
        <f t="shared" si="200"/>
        <v>0</v>
      </c>
      <c r="Y248" s="270">
        <f>MARZO!AA249</f>
        <v>0</v>
      </c>
      <c r="Z248" s="208">
        <v>0</v>
      </c>
      <c r="AA248" s="271">
        <f t="shared" si="201"/>
        <v>0</v>
      </c>
      <c r="AB248" s="270">
        <f>MARZO!AD249</f>
        <v>0</v>
      </c>
      <c r="AC248" s="208">
        <v>0</v>
      </c>
      <c r="AD248" s="271">
        <f t="shared" si="202"/>
        <v>0</v>
      </c>
      <c r="AE248" s="270">
        <f>MARZO!AG249</f>
        <v>0</v>
      </c>
      <c r="AF248" s="208">
        <v>0</v>
      </c>
      <c r="AG248" s="271">
        <f t="shared" si="203"/>
        <v>0</v>
      </c>
      <c r="AH248" s="270">
        <f t="shared" si="204"/>
        <v>0</v>
      </c>
      <c r="AI248" s="220">
        <f t="shared" si="205"/>
        <v>0</v>
      </c>
      <c r="AJ248" s="269">
        <f t="shared" si="206"/>
        <v>0</v>
      </c>
      <c r="AK248" s="101"/>
      <c r="AL248" s="204">
        <v>0</v>
      </c>
      <c r="AM248" s="210">
        <v>0</v>
      </c>
    </row>
    <row r="249" spans="19:39" ht="24.75" customHeight="1">
      <c r="S249" s="311" t="str">
        <f>+IF(MARZO!S250=0,"",MARZO!S250)</f>
        <v>8002100-7</v>
      </c>
      <c r="T249" s="312" t="str">
        <f>+IF(MARZO!T250=0,"",MARZO!T250)</f>
        <v>Programas Especial 06</v>
      </c>
      <c r="U249" s="373">
        <f>+ENERO!U250</f>
        <v>0</v>
      </c>
      <c r="V249" s="220">
        <f>MARZO!V250+ABRIL!AL249</f>
        <v>0</v>
      </c>
      <c r="W249" s="220">
        <f>MARZO!W250+ABRIL!AM249</f>
        <v>0</v>
      </c>
      <c r="X249" s="271">
        <f t="shared" si="200"/>
        <v>0</v>
      </c>
      <c r="Y249" s="270">
        <f>MARZO!AA250</f>
        <v>0</v>
      </c>
      <c r="Z249" s="208">
        <v>0</v>
      </c>
      <c r="AA249" s="271">
        <f t="shared" si="201"/>
        <v>0</v>
      </c>
      <c r="AB249" s="270">
        <f>MARZO!AD250</f>
        <v>0</v>
      </c>
      <c r="AC249" s="208">
        <v>0</v>
      </c>
      <c r="AD249" s="271">
        <f t="shared" si="202"/>
        <v>0</v>
      </c>
      <c r="AE249" s="270">
        <f>MARZO!AG250</f>
        <v>0</v>
      </c>
      <c r="AF249" s="208">
        <v>0</v>
      </c>
      <c r="AG249" s="271">
        <f t="shared" si="203"/>
        <v>0</v>
      </c>
      <c r="AH249" s="270">
        <f t="shared" si="204"/>
        <v>0</v>
      </c>
      <c r="AI249" s="220">
        <f t="shared" si="205"/>
        <v>0</v>
      </c>
      <c r="AJ249" s="269">
        <f t="shared" si="206"/>
        <v>0</v>
      </c>
      <c r="AK249" s="101"/>
      <c r="AL249" s="204">
        <v>0</v>
      </c>
      <c r="AM249" s="210">
        <v>0</v>
      </c>
    </row>
    <row r="250" spans="19:39" ht="24.75" customHeight="1">
      <c r="S250" s="311" t="str">
        <f>+IF(MARZO!S251=0,"",MARZO!S251)</f>
        <v>8002100-8</v>
      </c>
      <c r="T250" s="312" t="str">
        <f>+IF(MARZO!T251=0,"",MARZO!T251)</f>
        <v>Programas Especial 07</v>
      </c>
      <c r="U250" s="373">
        <f>+ENERO!U251</f>
        <v>0</v>
      </c>
      <c r="V250" s="220">
        <f>MARZO!V251+ABRIL!AL250</f>
        <v>0</v>
      </c>
      <c r="W250" s="220">
        <f>MARZO!W251+ABRIL!AM250</f>
        <v>0</v>
      </c>
      <c r="X250" s="271">
        <f t="shared" si="200"/>
        <v>0</v>
      </c>
      <c r="Y250" s="270">
        <f>MARZO!AA251</f>
        <v>0</v>
      </c>
      <c r="Z250" s="208">
        <v>0</v>
      </c>
      <c r="AA250" s="271">
        <f t="shared" si="201"/>
        <v>0</v>
      </c>
      <c r="AB250" s="270">
        <f>MARZO!AD251</f>
        <v>0</v>
      </c>
      <c r="AC250" s="208">
        <v>0</v>
      </c>
      <c r="AD250" s="271">
        <f t="shared" si="202"/>
        <v>0</v>
      </c>
      <c r="AE250" s="270">
        <f>MARZO!AG251</f>
        <v>0</v>
      </c>
      <c r="AF250" s="208">
        <v>0</v>
      </c>
      <c r="AG250" s="271">
        <f t="shared" si="203"/>
        <v>0</v>
      </c>
      <c r="AH250" s="270">
        <f t="shared" si="204"/>
        <v>0</v>
      </c>
      <c r="AI250" s="220">
        <f t="shared" si="205"/>
        <v>0</v>
      </c>
      <c r="AJ250" s="269">
        <f t="shared" si="206"/>
        <v>0</v>
      </c>
      <c r="AK250" s="101"/>
      <c r="AL250" s="204">
        <v>0</v>
      </c>
      <c r="AM250" s="210">
        <v>0</v>
      </c>
    </row>
    <row r="251" spans="19:39" ht="24.75" customHeight="1">
      <c r="S251" s="311" t="str">
        <f>+IF(MARZO!S252=0,"",MARZO!S252)</f>
        <v>8002100-9</v>
      </c>
      <c r="T251" s="312" t="str">
        <f>+IF(MARZO!T252=0,"",MARZO!T252)</f>
        <v>Programas Especial 08</v>
      </c>
      <c r="U251" s="373">
        <f>+ENERO!U252</f>
        <v>0</v>
      </c>
      <c r="V251" s="220">
        <f>MARZO!V252+ABRIL!AL251</f>
        <v>0</v>
      </c>
      <c r="W251" s="220">
        <f>MARZO!W252+ABRIL!AM251</f>
        <v>0</v>
      </c>
      <c r="X251" s="271">
        <f t="shared" si="200"/>
        <v>0</v>
      </c>
      <c r="Y251" s="270">
        <f>MARZO!AA252</f>
        <v>0</v>
      </c>
      <c r="Z251" s="208">
        <v>0</v>
      </c>
      <c r="AA251" s="271">
        <f t="shared" si="201"/>
        <v>0</v>
      </c>
      <c r="AB251" s="270">
        <f>MARZO!AD252</f>
        <v>0</v>
      </c>
      <c r="AC251" s="208">
        <v>0</v>
      </c>
      <c r="AD251" s="271">
        <f t="shared" si="202"/>
        <v>0</v>
      </c>
      <c r="AE251" s="270">
        <f>MARZO!AG252</f>
        <v>0</v>
      </c>
      <c r="AF251" s="208">
        <v>0</v>
      </c>
      <c r="AG251" s="271">
        <f t="shared" si="203"/>
        <v>0</v>
      </c>
      <c r="AH251" s="270">
        <f t="shared" si="204"/>
        <v>0</v>
      </c>
      <c r="AI251" s="220">
        <f t="shared" si="205"/>
        <v>0</v>
      </c>
      <c r="AJ251" s="269">
        <f t="shared" si="206"/>
        <v>0</v>
      </c>
      <c r="AK251" s="101"/>
      <c r="AL251" s="204">
        <v>0</v>
      </c>
      <c r="AM251" s="210">
        <v>0</v>
      </c>
    </row>
    <row r="252" spans="19:39" ht="24.75" customHeight="1">
      <c r="S252" s="311" t="str">
        <f>+IF(MARZO!S253=0,"",MARZO!S253)</f>
        <v>8002100-10</v>
      </c>
      <c r="T252" s="312" t="str">
        <f>+IF(MARZO!T253=0,"",MARZO!T253)</f>
        <v>Programas Especial 09</v>
      </c>
      <c r="U252" s="373">
        <f>+ENERO!U253</f>
        <v>0</v>
      </c>
      <c r="V252" s="220">
        <f>MARZO!V253+ABRIL!AL252</f>
        <v>0</v>
      </c>
      <c r="W252" s="220">
        <f>MARZO!W253+ABRIL!AM252</f>
        <v>0</v>
      </c>
      <c r="X252" s="271">
        <f t="shared" si="200"/>
        <v>0</v>
      </c>
      <c r="Y252" s="270">
        <f>MARZO!AA253</f>
        <v>0</v>
      </c>
      <c r="Z252" s="208">
        <v>0</v>
      </c>
      <c r="AA252" s="271">
        <f t="shared" si="201"/>
        <v>0</v>
      </c>
      <c r="AB252" s="270">
        <f>MARZO!AD253</f>
        <v>0</v>
      </c>
      <c r="AC252" s="208">
        <v>0</v>
      </c>
      <c r="AD252" s="271">
        <f t="shared" si="202"/>
        <v>0</v>
      </c>
      <c r="AE252" s="270">
        <f>MARZO!AG253</f>
        <v>0</v>
      </c>
      <c r="AF252" s="208">
        <v>0</v>
      </c>
      <c r="AG252" s="271">
        <f t="shared" si="203"/>
        <v>0</v>
      </c>
      <c r="AH252" s="270">
        <f t="shared" si="204"/>
        <v>0</v>
      </c>
      <c r="AI252" s="220">
        <f t="shared" si="205"/>
        <v>0</v>
      </c>
      <c r="AJ252" s="269">
        <f t="shared" si="206"/>
        <v>0</v>
      </c>
      <c r="AK252" s="101"/>
      <c r="AL252" s="204">
        <v>0</v>
      </c>
      <c r="AM252" s="210">
        <v>0</v>
      </c>
    </row>
    <row r="253" spans="19:39" ht="24.75" customHeight="1">
      <c r="S253" s="311" t="str">
        <f>+IF(MARZO!S254=0,"",MARZO!S254)</f>
        <v>8002100-11</v>
      </c>
      <c r="T253" s="312" t="str">
        <f>+IF(MARZO!T254=0,"",MARZO!T254)</f>
        <v>Programas Especial 10</v>
      </c>
      <c r="U253" s="373">
        <f>+ENERO!U254</f>
        <v>0</v>
      </c>
      <c r="V253" s="220">
        <f>MARZO!V254+ABRIL!AL253</f>
        <v>0</v>
      </c>
      <c r="W253" s="220">
        <f>MARZO!W254+ABRIL!AM253</f>
        <v>0</v>
      </c>
      <c r="X253" s="271">
        <f t="shared" si="200"/>
        <v>0</v>
      </c>
      <c r="Y253" s="270">
        <f>MARZO!AA254</f>
        <v>0</v>
      </c>
      <c r="Z253" s="208">
        <v>0</v>
      </c>
      <c r="AA253" s="271">
        <f t="shared" si="201"/>
        <v>0</v>
      </c>
      <c r="AB253" s="270">
        <f>MARZO!AD254</f>
        <v>0</v>
      </c>
      <c r="AC253" s="208">
        <v>0</v>
      </c>
      <c r="AD253" s="271">
        <f t="shared" si="202"/>
        <v>0</v>
      </c>
      <c r="AE253" s="270">
        <f>MARZO!AG254</f>
        <v>0</v>
      </c>
      <c r="AF253" s="208">
        <v>0</v>
      </c>
      <c r="AG253" s="271">
        <f t="shared" si="203"/>
        <v>0</v>
      </c>
      <c r="AH253" s="270">
        <f t="shared" si="204"/>
        <v>0</v>
      </c>
      <c r="AI253" s="220">
        <f t="shared" si="205"/>
        <v>0</v>
      </c>
      <c r="AJ253" s="269">
        <f t="shared" si="206"/>
        <v>0</v>
      </c>
      <c r="AK253" s="101"/>
      <c r="AL253" s="204">
        <v>0</v>
      </c>
      <c r="AM253" s="210">
        <v>0</v>
      </c>
    </row>
    <row r="254" spans="19:39" ht="24.75" customHeight="1">
      <c r="S254" s="311" t="str">
        <f>+IF(MARZO!S255=0,"",MARZO!S255)</f>
        <v>8002100-12</v>
      </c>
      <c r="T254" s="312" t="str">
        <f>+IF(MARZO!T255=0,"",MARZO!T255)</f>
        <v>Programas Especial 11</v>
      </c>
      <c r="U254" s="373">
        <f>+ENERO!U255</f>
        <v>0</v>
      </c>
      <c r="V254" s="220">
        <f>MARZO!V255+ABRIL!AL254</f>
        <v>0</v>
      </c>
      <c r="W254" s="220">
        <f>MARZO!W255+ABRIL!AM254</f>
        <v>0</v>
      </c>
      <c r="X254" s="271">
        <f t="shared" si="200"/>
        <v>0</v>
      </c>
      <c r="Y254" s="270">
        <f>MARZO!AA255</f>
        <v>0</v>
      </c>
      <c r="Z254" s="208">
        <v>0</v>
      </c>
      <c r="AA254" s="271">
        <f t="shared" si="201"/>
        <v>0</v>
      </c>
      <c r="AB254" s="270">
        <f>MARZO!AD255</f>
        <v>0</v>
      </c>
      <c r="AC254" s="208">
        <v>0</v>
      </c>
      <c r="AD254" s="271">
        <f t="shared" si="202"/>
        <v>0</v>
      </c>
      <c r="AE254" s="270">
        <f>MARZO!AG255</f>
        <v>0</v>
      </c>
      <c r="AF254" s="208">
        <v>0</v>
      </c>
      <c r="AG254" s="271">
        <f t="shared" si="203"/>
        <v>0</v>
      </c>
      <c r="AH254" s="270">
        <f t="shared" si="204"/>
        <v>0</v>
      </c>
      <c r="AI254" s="220">
        <f t="shared" si="205"/>
        <v>0</v>
      </c>
      <c r="AJ254" s="269">
        <f t="shared" si="206"/>
        <v>0</v>
      </c>
      <c r="AK254" s="101"/>
      <c r="AL254" s="204">
        <v>0</v>
      </c>
      <c r="AM254" s="210">
        <v>0</v>
      </c>
    </row>
    <row r="255" spans="19:39" ht="24.75" customHeight="1">
      <c r="S255" s="499" t="str">
        <f>+IF(MARZO!S256=0,"",MARZO!S256)</f>
        <v>2.3.2.01.01.99</v>
      </c>
      <c r="T255" s="500" t="str">
        <f>+IF(MARZO!T256=0,"",MARZO!T256)</f>
        <v>Vigencias Anteriores Activos Fijos</v>
      </c>
      <c r="U255" s="547">
        <f>+ENERO!U256</f>
        <v>0</v>
      </c>
      <c r="V255" s="468">
        <f>MARZO!V256+ABRIL!AL255</f>
        <v>0</v>
      </c>
      <c r="W255" s="468">
        <f>MARZO!W256+ABRIL!AM255</f>
        <v>0</v>
      </c>
      <c r="X255" s="471">
        <f t="shared" si="200"/>
        <v>0</v>
      </c>
      <c r="Y255" s="470">
        <f>MARZO!AA256</f>
        <v>0</v>
      </c>
      <c r="Z255" s="977">
        <v>0</v>
      </c>
      <c r="AA255" s="978">
        <f t="shared" si="201"/>
        <v>0</v>
      </c>
      <c r="AB255" s="470">
        <f>MARZO!AD256</f>
        <v>0</v>
      </c>
      <c r="AC255" s="977">
        <v>0</v>
      </c>
      <c r="AD255" s="471">
        <f t="shared" si="202"/>
        <v>0</v>
      </c>
      <c r="AE255" s="470">
        <f>MARZO!AG256</f>
        <v>0</v>
      </c>
      <c r="AF255" s="977">
        <v>0</v>
      </c>
      <c r="AG255" s="471">
        <f t="shared" si="203"/>
        <v>0</v>
      </c>
      <c r="AH255" s="470">
        <f t="shared" si="204"/>
        <v>0</v>
      </c>
      <c r="AI255" s="468">
        <f t="shared" si="205"/>
        <v>0</v>
      </c>
      <c r="AJ255" s="469">
        <f t="shared" si="206"/>
        <v>0</v>
      </c>
      <c r="AK255" s="101"/>
      <c r="AL255" s="242">
        <v>0</v>
      </c>
      <c r="AM255" s="248">
        <v>0</v>
      </c>
    </row>
    <row r="256" spans="19:39" ht="24.75" customHeight="1">
      <c r="S256" s="480" t="str">
        <f>+IF(MARZO!S257=0,"",MARZO!S257)</f>
        <v/>
      </c>
      <c r="T256" s="481" t="str">
        <f>+IF(MARZO!T257=0,"",MARZO!T257)</f>
        <v/>
      </c>
      <c r="U256" s="482"/>
      <c r="V256" s="482"/>
      <c r="W256" s="482"/>
      <c r="X256" s="482"/>
      <c r="Y256" s="482"/>
      <c r="Z256" s="482"/>
      <c r="AA256" s="482"/>
      <c r="AB256" s="482"/>
      <c r="AC256" s="482"/>
      <c r="AD256" s="482"/>
      <c r="AE256" s="482"/>
      <c r="AF256" s="482"/>
      <c r="AG256" s="482"/>
      <c r="AH256" s="482"/>
      <c r="AI256" s="482"/>
      <c r="AJ256" s="484"/>
      <c r="AK256" s="216"/>
      <c r="AL256" s="501"/>
      <c r="AM256" s="502"/>
    </row>
    <row r="257" spans="19:39" ht="24.75" customHeight="1">
      <c r="S257" s="503" t="s">
        <v>342</v>
      </c>
      <c r="T257" s="504" t="s">
        <v>197</v>
      </c>
      <c r="U257" s="136">
        <f t="shared" ref="U257:AJ257" si="207">+(C10+C17+C113)-(U10+U192+U219+U231)</f>
        <v>0.30987548828125</v>
      </c>
      <c r="V257" s="136">
        <f t="shared" si="207"/>
        <v>0</v>
      </c>
      <c r="W257" s="136">
        <f t="shared" si="207"/>
        <v>0</v>
      </c>
      <c r="X257" s="136">
        <f t="shared" si="207"/>
        <v>0.30987548828125</v>
      </c>
      <c r="Y257" s="136">
        <f t="shared" si="207"/>
        <v>-34950047344</v>
      </c>
      <c r="Z257" s="136">
        <f t="shared" si="207"/>
        <v>14129949877</v>
      </c>
      <c r="AA257" s="136">
        <f t="shared" si="207"/>
        <v>-20820097467</v>
      </c>
      <c r="AB257" s="136">
        <f t="shared" si="207"/>
        <v>-24981317640</v>
      </c>
      <c r="AC257" s="136">
        <f t="shared" si="207"/>
        <v>-2880276063</v>
      </c>
      <c r="AD257" s="136">
        <f t="shared" si="207"/>
        <v>-27861593703</v>
      </c>
      <c r="AE257" s="136">
        <f t="shared" si="207"/>
        <v>58454609364.476517</v>
      </c>
      <c r="AF257" s="136">
        <f t="shared" si="207"/>
        <v>121700909286.47652</v>
      </c>
      <c r="AG257" s="136">
        <f t="shared" si="207"/>
        <v>-43152271823</v>
      </c>
      <c r="AH257" s="136">
        <f t="shared" si="207"/>
        <v>-69424893287.166656</v>
      </c>
      <c r="AI257" s="136">
        <f t="shared" si="207"/>
        <v>-97639768877.166656</v>
      </c>
      <c r="AJ257" s="505">
        <f t="shared" si="207"/>
        <v>-137599021748.16666</v>
      </c>
      <c r="AK257" s="101"/>
      <c r="AL257" s="134">
        <v>0</v>
      </c>
      <c r="AM257" s="135">
        <v>0</v>
      </c>
    </row>
    <row r="258" spans="19:39" ht="24.75" customHeight="1">
      <c r="S258" s="1326"/>
      <c r="T258" s="1327"/>
      <c r="U258" s="506"/>
      <c r="V258" s="506"/>
      <c r="W258" s="506"/>
      <c r="X258" s="506"/>
      <c r="Y258" s="506"/>
      <c r="Z258" s="506"/>
      <c r="AA258" s="506"/>
      <c r="AB258" s="506"/>
      <c r="AC258" s="506"/>
      <c r="AD258" s="506"/>
      <c r="AE258" s="506"/>
      <c r="AF258" s="506"/>
      <c r="AG258" s="506"/>
      <c r="AH258" s="506"/>
      <c r="AI258" s="506"/>
      <c r="AJ258" s="507"/>
      <c r="AK258" s="216"/>
      <c r="AL258" s="508">
        <f>+SUMIF(AK8:AK255,AK33,AL8:AL255)</f>
        <v>0</v>
      </c>
      <c r="AM258" s="509">
        <f>+SUMIF(AL8:AL255,AL33,AM8:AM255)</f>
        <v>43465368456</v>
      </c>
    </row>
    <row r="259" spans="19:39" ht="24.75" customHeight="1">
      <c r="S259" s="510" t="s">
        <v>343</v>
      </c>
      <c r="T259" s="511"/>
      <c r="U259" s="512">
        <f t="shared" ref="U259:AJ259" si="208">+U8-U261</f>
        <v>137789809140.16681</v>
      </c>
      <c r="V259" s="512">
        <f t="shared" si="208"/>
        <v>-6171258168</v>
      </c>
      <c r="W259" s="512">
        <f t="shared" si="208"/>
        <v>18579175144</v>
      </c>
      <c r="X259" s="512">
        <f t="shared" si="208"/>
        <v>147604906783.94461</v>
      </c>
      <c r="Y259" s="512">
        <f t="shared" si="208"/>
        <v>79942362873</v>
      </c>
      <c r="Z259" s="512">
        <f t="shared" si="208"/>
        <v>7425147175</v>
      </c>
      <c r="AA259" s="512">
        <f t="shared" si="208"/>
        <v>87367510048</v>
      </c>
      <c r="AB259" s="512">
        <f t="shared" si="208"/>
        <v>36538367917</v>
      </c>
      <c r="AC259" s="512">
        <f t="shared" si="208"/>
        <v>15059029402</v>
      </c>
      <c r="AD259" s="512">
        <f t="shared" si="208"/>
        <v>51597397319</v>
      </c>
      <c r="AE259" s="512">
        <f t="shared" si="208"/>
        <v>8781419661</v>
      </c>
      <c r="AF259" s="512">
        <f t="shared" si="208"/>
        <v>10263911538</v>
      </c>
      <c r="AG259" s="512">
        <f t="shared" si="208"/>
        <v>19199581589</v>
      </c>
      <c r="AH259" s="512">
        <f t="shared" si="208"/>
        <v>62830216068.166824</v>
      </c>
      <c r="AI259" s="512">
        <f t="shared" si="208"/>
        <v>98600328797.166824</v>
      </c>
      <c r="AJ259" s="513">
        <f t="shared" si="208"/>
        <v>130998144527.16682</v>
      </c>
      <c r="AK259" s="216"/>
      <c r="AL259" s="67"/>
      <c r="AM259" s="67"/>
    </row>
    <row r="260" spans="19:39" ht="24.75" customHeight="1">
      <c r="S260" s="514"/>
      <c r="T260" s="515"/>
      <c r="U260" s="516"/>
      <c r="V260" s="516"/>
      <c r="W260" s="516"/>
      <c r="X260" s="516"/>
      <c r="Y260" s="516"/>
      <c r="Z260" s="516"/>
      <c r="AA260" s="516"/>
      <c r="AB260" s="516"/>
      <c r="AC260" s="516"/>
      <c r="AD260" s="516"/>
      <c r="AE260" s="516"/>
      <c r="AF260" s="516"/>
      <c r="AG260" s="516"/>
      <c r="AH260" s="516"/>
      <c r="AI260" s="516"/>
      <c r="AJ260" s="517"/>
      <c r="AK260" s="36"/>
      <c r="AL260" s="31"/>
      <c r="AM260" s="31"/>
    </row>
    <row r="261" spans="19:39" ht="24.75" customHeight="1">
      <c r="S261" s="518" t="s">
        <v>344</v>
      </c>
      <c r="T261" s="519"/>
      <c r="U261" s="660">
        <f>SUM(U255+U240+U229+U224+U217+U206+U190+U181+U153+U139+U121+U108+U102+U88+U81+U61+U55+U41+U33)</f>
        <v>20353343996.999836</v>
      </c>
      <c r="V261" s="660">
        <f t="shared" ref="V261:AJ261" si="209">SUM(V255+V240+V229+V224+V217+V206+V190+V181+V153+V139+V121+V108+V102+V88+V81+V61+V55+V41+V33)</f>
        <v>6171258168</v>
      </c>
      <c r="W261" s="660">
        <f t="shared" si="209"/>
        <v>4028965290</v>
      </c>
      <c r="X261" s="660">
        <f>SUM(X255+X240+X229+X224+X217+X206+X190+X181+X153+X139+X121+X108+X102+X88+X81+X61+X55+X41+X33+X166)</f>
        <v>33146386787.222057</v>
      </c>
      <c r="Y261" s="660">
        <f t="shared" si="209"/>
        <v>23015161731</v>
      </c>
      <c r="Z261" s="660">
        <f t="shared" si="209"/>
        <v>943728505</v>
      </c>
      <c r="AA261" s="660">
        <f t="shared" si="209"/>
        <v>23958890236</v>
      </c>
      <c r="AB261" s="660">
        <f t="shared" si="209"/>
        <v>23008961731</v>
      </c>
      <c r="AC261" s="660">
        <f t="shared" si="209"/>
        <v>943728505</v>
      </c>
      <c r="AD261" s="660">
        <f t="shared" si="209"/>
        <v>23952690236</v>
      </c>
      <c r="AE261" s="660">
        <f t="shared" si="209"/>
        <v>23008961729</v>
      </c>
      <c r="AF261" s="660">
        <f>SUM(AF255+AF240+AF229+AF224+AF217+AF206+AF190+AF181+AF153+AF139+AF121+AF108+AF102+AF88+AF81+AF61+AF55+AF41+AF33+AF166)</f>
        <v>1097978895</v>
      </c>
      <c r="AG261" s="660">
        <f t="shared" si="209"/>
        <v>23952690234</v>
      </c>
      <c r="AH261" s="660">
        <f t="shared" si="209"/>
        <v>6594677218.999835</v>
      </c>
      <c r="AI261" s="660">
        <f t="shared" si="209"/>
        <v>6600877218.999835</v>
      </c>
      <c r="AJ261" s="660">
        <f t="shared" si="209"/>
        <v>6600877220.999835</v>
      </c>
      <c r="AK261" s="36"/>
      <c r="AL261" s="31"/>
      <c r="AM261" s="31"/>
    </row>
    <row r="262" spans="19:39" ht="24.75" customHeight="1">
      <c r="S262" s="514"/>
      <c r="T262" s="515"/>
      <c r="U262" s="515"/>
      <c r="V262" s="516"/>
      <c r="W262" s="516"/>
      <c r="X262" s="516"/>
      <c r="Y262" s="516"/>
      <c r="Z262" s="516"/>
      <c r="AA262" s="516"/>
      <c r="AB262" s="516"/>
      <c r="AC262" s="516"/>
      <c r="AD262" s="516"/>
      <c r="AE262" s="516"/>
      <c r="AF262" s="516"/>
      <c r="AG262" s="516"/>
      <c r="AH262" s="516"/>
      <c r="AI262" s="516"/>
      <c r="AJ262" s="516"/>
      <c r="AK262" s="36"/>
      <c r="AL262" s="31"/>
      <c r="AM262" s="31"/>
    </row>
    <row r="263" spans="19:39" ht="24.75" customHeight="1">
      <c r="S263" s="520" t="s">
        <v>345</v>
      </c>
      <c r="T263" s="521"/>
      <c r="U263" s="522">
        <f>+U259+U261</f>
        <v>158143153137.16666</v>
      </c>
      <c r="V263" s="522">
        <f>+V259+V261</f>
        <v>0</v>
      </c>
      <c r="W263" s="522">
        <f>+W259+W261</f>
        <v>22608140434</v>
      </c>
      <c r="X263" s="522">
        <f t="shared" ref="X263:AJ263" si="210">+X259+X261</f>
        <v>180751293571.16666</v>
      </c>
      <c r="Y263" s="522">
        <f t="shared" si="210"/>
        <v>102957524604</v>
      </c>
      <c r="Z263" s="522">
        <f t="shared" si="210"/>
        <v>8368875680</v>
      </c>
      <c r="AA263" s="522">
        <f t="shared" si="210"/>
        <v>111326400284</v>
      </c>
      <c r="AB263" s="522">
        <f t="shared" si="210"/>
        <v>59547329648</v>
      </c>
      <c r="AC263" s="522">
        <f>+AC259+AC261</f>
        <v>16002757907</v>
      </c>
      <c r="AD263" s="522">
        <f t="shared" si="210"/>
        <v>75550087555</v>
      </c>
      <c r="AE263" s="522">
        <f t="shared" si="210"/>
        <v>31790381390</v>
      </c>
      <c r="AF263" s="522">
        <f t="shared" si="210"/>
        <v>11361890433</v>
      </c>
      <c r="AG263" s="522">
        <f t="shared" si="210"/>
        <v>43152271823</v>
      </c>
      <c r="AH263" s="522">
        <f t="shared" si="210"/>
        <v>69424893287.166656</v>
      </c>
      <c r="AI263" s="522">
        <f t="shared" si="210"/>
        <v>105201206016.16666</v>
      </c>
      <c r="AJ263" s="523">
        <f t="shared" si="210"/>
        <v>137599021748.16666</v>
      </c>
      <c r="AK263" s="36"/>
      <c r="AL263" s="31"/>
      <c r="AM263" s="31"/>
    </row>
  </sheetData>
  <mergeCells count="53">
    <mergeCell ref="A5:A6"/>
    <mergeCell ref="B5:B6"/>
    <mergeCell ref="C5:F5"/>
    <mergeCell ref="A1:B1"/>
    <mergeCell ref="C1:J1"/>
    <mergeCell ref="K1:N1"/>
    <mergeCell ref="L2:M2"/>
    <mergeCell ref="P2:Q2"/>
    <mergeCell ref="D2:E2"/>
    <mergeCell ref="B3:B4"/>
    <mergeCell ref="D3:E4"/>
    <mergeCell ref="AP3:AZ3"/>
    <mergeCell ref="BB3:BC3"/>
    <mergeCell ref="F3:K4"/>
    <mergeCell ref="L3:M4"/>
    <mergeCell ref="P3:P5"/>
    <mergeCell ref="Q3:Q5"/>
    <mergeCell ref="G5:I5"/>
    <mergeCell ref="J5:L5"/>
    <mergeCell ref="M5:N5"/>
    <mergeCell ref="BC5:BE5"/>
    <mergeCell ref="BG3:BI3"/>
    <mergeCell ref="BM3:BO3"/>
    <mergeCell ref="AW4:AZ4"/>
    <mergeCell ref="S5:S6"/>
    <mergeCell ref="Y2:AG2"/>
    <mergeCell ref="AH2:AI2"/>
    <mergeCell ref="AL2:AM2"/>
    <mergeCell ref="AP2:AZ2"/>
    <mergeCell ref="BB2:BC2"/>
    <mergeCell ref="V2:X2"/>
    <mergeCell ref="BH5:BK5"/>
    <mergeCell ref="BM5:BM6"/>
    <mergeCell ref="BN5:BQ5"/>
    <mergeCell ref="BG2:BI2"/>
    <mergeCell ref="BM2:BO2"/>
    <mergeCell ref="V3:X4"/>
    <mergeCell ref="S258:T258"/>
    <mergeCell ref="AM3:AM5"/>
    <mergeCell ref="AW19:AZ19"/>
    <mergeCell ref="AW35:AX35"/>
    <mergeCell ref="N3:N4"/>
    <mergeCell ref="T3:T4"/>
    <mergeCell ref="Y3:AG4"/>
    <mergeCell ref="AH3:AI4"/>
    <mergeCell ref="AJ3:AJ4"/>
    <mergeCell ref="AL3:AL5"/>
    <mergeCell ref="AH5:AJ5"/>
    <mergeCell ref="T5:T6"/>
    <mergeCell ref="U5:X5"/>
    <mergeCell ref="Y5:AA5"/>
    <mergeCell ref="AB5:AD5"/>
    <mergeCell ref="AE5:AG5"/>
  </mergeCells>
  <conditionalFormatting sqref="B5:B7">
    <cfRule type="expression" dxfId="8" priority="1" stopIfTrue="1">
      <formula>$B$5="OJO - RECUERDE RECAUDAR LA DISPONIBLIDAD INICIAL EN ESTE TRIMESTRE, haga clik en H9 para ampliar la información"</formula>
    </cfRule>
  </conditionalFormatting>
  <printOptions horizontalCentered="1" verticalCentered="1"/>
  <pageMargins left="0.59055118110236227" right="0.59055118110236227" top="0.43307086614173229" bottom="0.39370078740157483" header="0" footer="0"/>
  <pageSetup paperSize="14" scale="50" orientation="landscape" r:id="rId1"/>
  <headerFooter>
    <oddFooter>&amp;CPágina &amp;P de</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Q263"/>
  <sheetViews>
    <sheetView showGridLines="0" topLeftCell="AD249" zoomScale="84" zoomScaleNormal="84" workbookViewId="0">
      <selection activeCell="AF263" sqref="AF263"/>
    </sheetView>
  </sheetViews>
  <sheetFormatPr baseColWidth="10" defaultColWidth="14.42578125" defaultRowHeight="15" customHeight="1"/>
  <cols>
    <col min="1" max="1" width="35.28515625" customWidth="1"/>
    <col min="2" max="2" width="59.5703125" customWidth="1"/>
    <col min="3" max="3" width="23.85546875" customWidth="1"/>
    <col min="4" max="4" width="16.140625" customWidth="1"/>
    <col min="5" max="5" width="14.42578125" customWidth="1"/>
    <col min="6" max="6" width="15.28515625" customWidth="1"/>
    <col min="7" max="7" width="17.140625" customWidth="1"/>
    <col min="8" max="8" width="20.85546875" customWidth="1"/>
    <col min="9" max="9" width="17" customWidth="1"/>
    <col min="10" max="10" width="21.140625" customWidth="1"/>
    <col min="11" max="11" width="20.5703125" customWidth="1"/>
    <col min="12" max="12" width="21.140625" customWidth="1"/>
    <col min="13" max="14" width="16.7109375" customWidth="1"/>
    <col min="15" max="15" width="2.85546875" customWidth="1"/>
    <col min="16" max="17" width="23.7109375" customWidth="1"/>
    <col min="18" max="18" width="5.42578125" customWidth="1"/>
    <col min="19" max="19" width="28" customWidth="1"/>
    <col min="20" max="20" width="60.140625" customWidth="1"/>
    <col min="21" max="21" width="22.7109375" customWidth="1"/>
    <col min="22" max="22" width="16.85546875" customWidth="1"/>
    <col min="23" max="23" width="19.140625" customWidth="1"/>
    <col min="24" max="24" width="21.28515625" customWidth="1"/>
    <col min="25" max="25" width="20.42578125" customWidth="1"/>
    <col min="26" max="26" width="18.28515625" customWidth="1"/>
    <col min="27" max="27" width="19.85546875" customWidth="1"/>
    <col min="28" max="29" width="18.42578125" customWidth="1"/>
    <col min="30" max="30" width="18.7109375" customWidth="1"/>
    <col min="31" max="31" width="18.28515625" customWidth="1"/>
    <col min="32" max="32" width="20.42578125" customWidth="1"/>
    <col min="33" max="33" width="18.85546875" customWidth="1"/>
    <col min="34" max="34" width="19.7109375" customWidth="1"/>
    <col min="35" max="35" width="18.7109375" customWidth="1"/>
    <col min="36" max="36" width="19" customWidth="1"/>
    <col min="37" max="37" width="8.85546875" customWidth="1"/>
    <col min="38" max="39" width="23.7109375" customWidth="1"/>
    <col min="40" max="40" width="4.85546875" customWidth="1"/>
    <col min="41" max="41" width="12.28515625" customWidth="1"/>
    <col min="42" max="42" width="53.42578125" customWidth="1"/>
    <col min="43" max="45" width="16.85546875" customWidth="1"/>
    <col min="46" max="46" width="12.7109375" customWidth="1"/>
    <col min="47" max="47" width="27.42578125" customWidth="1"/>
    <col min="48" max="48" width="25" customWidth="1"/>
    <col min="49" max="52" width="16.85546875" customWidth="1"/>
    <col min="53" max="53" width="11" customWidth="1"/>
    <col min="54" max="54" width="65.140625" customWidth="1"/>
    <col min="55" max="57" width="18.85546875" customWidth="1"/>
    <col min="58" max="58" width="6.140625" customWidth="1"/>
    <col min="59" max="59" width="72.7109375" customWidth="1"/>
    <col min="60" max="63" width="17.5703125" customWidth="1"/>
    <col min="64" max="64" width="11" customWidth="1"/>
    <col min="65" max="65" width="76" customWidth="1"/>
    <col min="66" max="66" width="19.7109375" customWidth="1"/>
    <col min="67" max="67" width="19.28515625" customWidth="1"/>
    <col min="68" max="68" width="17.85546875" customWidth="1"/>
    <col min="69" max="69" width="18.5703125" customWidth="1"/>
    <col min="70" max="70" width="11" customWidth="1"/>
  </cols>
  <sheetData>
    <row r="1" spans="1:69" ht="24.75" customHeight="1" thickBot="1">
      <c r="A1" s="1447" t="str">
        <f>IF($F$8-$X$8=0," ","OJO: PRESUPUESTO DESEQUILIBRADO")</f>
        <v>OJO: PRESUPUESTO DESEQUILIBRADO</v>
      </c>
      <c r="B1" s="1366"/>
      <c r="C1" s="1448"/>
      <c r="D1" s="1365"/>
      <c r="E1" s="1365"/>
      <c r="F1" s="1365"/>
      <c r="G1" s="1365"/>
      <c r="H1" s="1365"/>
      <c r="I1" s="1365"/>
      <c r="J1" s="1366"/>
      <c r="K1" s="1364" t="str">
        <f>+IF(L8&gt;I8,"OJO - SUS RECAUDOS SON SUPERIORES A SUS RECONOCIMIENTOS, VERIFIQUE","")</f>
        <v/>
      </c>
      <c r="L1" s="1365"/>
      <c r="M1" s="1365"/>
      <c r="N1" s="1366"/>
      <c r="O1" s="31"/>
      <c r="P1" s="32"/>
      <c r="Q1" s="32"/>
      <c r="R1" s="31"/>
      <c r="S1" s="33"/>
      <c r="T1" s="34"/>
      <c r="U1" s="35" t="str">
        <f>+IF(AA8&gt;X8,"OJO - HA COMPROMETIDO MUCHO MAS DE LO QUE TIENE PRESUPUESTADO","")</f>
        <v/>
      </c>
      <c r="V1" s="31"/>
      <c r="W1" s="31"/>
      <c r="X1" s="35"/>
      <c r="Y1" s="35" t="str">
        <f>+IF(AD8&gt;AA8,"OJO - SUS OBLIGACIONES SUPERAN SUS COMPROMISOS, VERIFIQUE","")</f>
        <v/>
      </c>
      <c r="Z1" s="31"/>
      <c r="AA1" s="31"/>
      <c r="AB1" s="31"/>
      <c r="AC1" s="35" t="str">
        <f>+IF(AG8&gt;AD8,"OJO - SUS PAGOS NO PUEDEN SUPERAR SUS OBLIGACIONES, VERIFIQUE","")</f>
        <v/>
      </c>
      <c r="AD1" s="31"/>
      <c r="AE1" s="31"/>
      <c r="AF1" s="31"/>
      <c r="AG1" s="31"/>
      <c r="AH1" s="31"/>
      <c r="AI1" s="31"/>
      <c r="AJ1" s="31"/>
      <c r="AK1" s="36"/>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r="2" spans="1:69" ht="53.25" customHeight="1" thickBot="1">
      <c r="A2" s="524"/>
      <c r="B2" s="45" t="str">
        <f>+ENERO!B2</f>
        <v>SECRETARIA SECCIONAL DE SALUD Y PROTECCION SOCIAL DE ANTIOQUIA DE ANTIOQUIA</v>
      </c>
      <c r="C2" s="39"/>
      <c r="D2" s="1346" t="str">
        <f>+IF(F2="","","MUNICIPIO:")</f>
        <v>MUNICIPIO:</v>
      </c>
      <c r="E2" s="1327"/>
      <c r="F2" s="40" t="str">
        <f>IF(INSTRUCCIONES!B3=0,"",INSTRUCCIONES!B3)</f>
        <v>BELLO</v>
      </c>
      <c r="G2" s="41"/>
      <c r="H2" s="41"/>
      <c r="I2" s="41"/>
      <c r="J2" s="41"/>
      <c r="K2" s="42"/>
      <c r="L2" s="1368" t="s">
        <v>37</v>
      </c>
      <c r="M2" s="1340"/>
      <c r="N2" s="43" t="s">
        <v>38</v>
      </c>
      <c r="O2" s="31"/>
      <c r="P2" s="1341" t="s">
        <v>346</v>
      </c>
      <c r="Q2" s="1338"/>
      <c r="R2" s="31"/>
      <c r="S2" s="44"/>
      <c r="T2" s="45" t="str">
        <f>+ENERO!T2</f>
        <v>SECRETARIA SECCIONAL DE SALUD Y PROTECCION SOCIAL DE ANTIOQUIA DE ANTIOQUIA</v>
      </c>
      <c r="U2" s="39"/>
      <c r="V2" s="1369" t="str">
        <f>+IF(Y2="","","M U N I C I P I O:")</f>
        <v>M U N I C I P I O:</v>
      </c>
      <c r="W2" s="1337"/>
      <c r="X2" s="1327"/>
      <c r="Y2" s="1336" t="str">
        <f>IF(INSTRUCCIONES!B3=0,"",INSTRUCCIONES!B3)</f>
        <v>BELLO</v>
      </c>
      <c r="Z2" s="1337"/>
      <c r="AA2" s="1337"/>
      <c r="AB2" s="1337"/>
      <c r="AC2" s="1337"/>
      <c r="AD2" s="1337"/>
      <c r="AE2" s="1337"/>
      <c r="AF2" s="1337"/>
      <c r="AG2" s="1338"/>
      <c r="AH2" s="1339" t="s">
        <v>37</v>
      </c>
      <c r="AI2" s="1340"/>
      <c r="AJ2" s="43" t="s">
        <v>38</v>
      </c>
      <c r="AK2" s="36"/>
      <c r="AL2" s="1341" t="s">
        <v>346</v>
      </c>
      <c r="AM2" s="1338"/>
      <c r="AN2" s="31"/>
      <c r="AO2" s="46">
        <v>5</v>
      </c>
      <c r="AP2" s="1342" t="s">
        <v>40</v>
      </c>
      <c r="AQ2" s="1322"/>
      <c r="AR2" s="1322"/>
      <c r="AS2" s="1322"/>
      <c r="AT2" s="1322"/>
      <c r="AU2" s="1322"/>
      <c r="AV2" s="1322"/>
      <c r="AW2" s="1322"/>
      <c r="AX2" s="1322"/>
      <c r="AY2" s="1322"/>
      <c r="AZ2" s="1323"/>
      <c r="BA2" s="31"/>
      <c r="BB2" s="1341" t="s">
        <v>41</v>
      </c>
      <c r="BC2" s="1327"/>
      <c r="BD2" s="47" t="s">
        <v>37</v>
      </c>
      <c r="BE2" s="43" t="str">
        <f>+L3</f>
        <v>MAYO</v>
      </c>
      <c r="BF2" s="35"/>
      <c r="BG2" s="1341" t="s">
        <v>42</v>
      </c>
      <c r="BH2" s="1337"/>
      <c r="BI2" s="1327"/>
      <c r="BJ2" s="47" t="s">
        <v>37</v>
      </c>
      <c r="BK2" s="43" t="str">
        <f>+BE2</f>
        <v>MAYO</v>
      </c>
      <c r="BL2" s="31"/>
      <c r="BM2" s="1343" t="s">
        <v>42</v>
      </c>
      <c r="BN2" s="1344"/>
      <c r="BO2" s="1345"/>
      <c r="BP2" s="732" t="s">
        <v>37</v>
      </c>
      <c r="BQ2" s="733" t="str">
        <f>+BK2</f>
        <v>MAYO</v>
      </c>
    </row>
    <row r="3" spans="1:69" ht="24.75" customHeight="1" thickBot="1">
      <c r="A3" s="525"/>
      <c r="B3" s="1332" t="s">
        <v>43</v>
      </c>
      <c r="C3" s="49"/>
      <c r="D3" s="1347" t="str">
        <f>+IF(F3="","","INSTITUCION:")</f>
        <v>INSTITUCION:</v>
      </c>
      <c r="E3" s="1348"/>
      <c r="F3" s="1308" t="str">
        <f>IF(INSTRUCCIONES!B5=0,"",INSTRUCCIONES!B5)</f>
        <v>ESE HOSPITAL MARCO FIDEL SUAREZ</v>
      </c>
      <c r="G3" s="1309"/>
      <c r="H3" s="1309"/>
      <c r="I3" s="1309"/>
      <c r="J3" s="1309"/>
      <c r="K3" s="1310"/>
      <c r="L3" s="1312" t="s">
        <v>363</v>
      </c>
      <c r="M3" s="1313"/>
      <c r="N3" s="1331">
        <f>SUM(ENERO!N3)</f>
        <v>2025</v>
      </c>
      <c r="O3" s="31"/>
      <c r="P3" s="1315" t="s">
        <v>364</v>
      </c>
      <c r="Q3" s="1318" t="s">
        <v>365</v>
      </c>
      <c r="R3" s="31"/>
      <c r="S3" s="50"/>
      <c r="T3" s="1332" t="s">
        <v>47</v>
      </c>
      <c r="U3" s="51"/>
      <c r="V3" s="1357" t="str">
        <f>+IF(Y3="","","E.S.E. H O S P I T A L:")</f>
        <v>E.S.E. H O S P I T A L:</v>
      </c>
      <c r="W3" s="1309"/>
      <c r="X3" s="1348"/>
      <c r="Y3" s="1308" t="str">
        <f>IF(INSTRUCCIONES!B5=0,"",INSTRUCCIONES!B5)</f>
        <v>ESE HOSPITAL MARCO FIDEL SUAREZ</v>
      </c>
      <c r="Z3" s="1309"/>
      <c r="AA3" s="1309"/>
      <c r="AB3" s="1309"/>
      <c r="AC3" s="1309"/>
      <c r="AD3" s="1309"/>
      <c r="AE3" s="1309"/>
      <c r="AF3" s="1309"/>
      <c r="AG3" s="1310"/>
      <c r="AH3" s="1334" t="str">
        <f>+L3</f>
        <v>MAYO</v>
      </c>
      <c r="AI3" s="1313"/>
      <c r="AJ3" s="1331">
        <f>SUM(ENERO!N3)</f>
        <v>2025</v>
      </c>
      <c r="AK3" s="36"/>
      <c r="AL3" s="1315" t="s">
        <v>366</v>
      </c>
      <c r="AM3" s="1318" t="s">
        <v>367</v>
      </c>
      <c r="AN3" s="31"/>
      <c r="AO3" s="52"/>
      <c r="AP3" s="1373" t="s">
        <v>50</v>
      </c>
      <c r="AQ3" s="1374"/>
      <c r="AR3" s="1374"/>
      <c r="AS3" s="1374"/>
      <c r="AT3" s="1374"/>
      <c r="AU3" s="1374"/>
      <c r="AV3" s="1374"/>
      <c r="AW3" s="1374"/>
      <c r="AX3" s="1374"/>
      <c r="AY3" s="1374"/>
      <c r="AZ3" s="1375"/>
      <c r="BA3" s="31"/>
      <c r="BB3" s="1376" t="str">
        <f>+CONCATENATE(INSTRUCCIONES!B5, " - ", INSTRUCCIONES!B3)</f>
        <v>ESE HOSPITAL MARCO FIDEL SUAREZ - BELLO</v>
      </c>
      <c r="BC3" s="1377"/>
      <c r="BD3" s="53" t="s">
        <v>38</v>
      </c>
      <c r="BE3" s="54">
        <f>+N3</f>
        <v>2025</v>
      </c>
      <c r="BF3" s="55" t="s">
        <v>51</v>
      </c>
      <c r="BG3" s="1376" t="str">
        <f>+CONCATENATE(INSTRUCCIONES!B5, " - ", INSTRUCCIONES!B3)</f>
        <v>ESE HOSPITAL MARCO FIDEL SUAREZ - BELLO</v>
      </c>
      <c r="BH3" s="1378"/>
      <c r="BI3" s="1377"/>
      <c r="BJ3" s="53" t="s">
        <v>38</v>
      </c>
      <c r="BK3" s="54">
        <f>+BE3</f>
        <v>2025</v>
      </c>
      <c r="BL3" s="31"/>
      <c r="BM3" s="1379" t="str">
        <f>+CONCATENATE(INSTRUCCIONES!B5, " - ", INSTRUCCIONES!B3)</f>
        <v>ESE HOSPITAL MARCO FIDEL SUAREZ - BELLO</v>
      </c>
      <c r="BN3" s="1380"/>
      <c r="BO3" s="1381"/>
      <c r="BP3" s="53" t="s">
        <v>38</v>
      </c>
      <c r="BQ3" s="734">
        <f>+BK3</f>
        <v>2025</v>
      </c>
    </row>
    <row r="4" spans="1:69" ht="24.75" customHeight="1" thickBot="1">
      <c r="A4" s="525"/>
      <c r="B4" s="1363"/>
      <c r="C4" s="56"/>
      <c r="D4" s="1311"/>
      <c r="E4" s="1349"/>
      <c r="F4" s="1311"/>
      <c r="G4" s="1295"/>
      <c r="H4" s="1295"/>
      <c r="I4" s="1295"/>
      <c r="J4" s="1295"/>
      <c r="K4" s="1296"/>
      <c r="L4" s="1300"/>
      <c r="M4" s="1314"/>
      <c r="N4" s="1320"/>
      <c r="O4" s="31"/>
      <c r="P4" s="1316"/>
      <c r="Q4" s="1319"/>
      <c r="R4" s="31"/>
      <c r="S4" s="50"/>
      <c r="T4" s="1333"/>
      <c r="U4" s="56"/>
      <c r="V4" s="1311"/>
      <c r="W4" s="1295"/>
      <c r="X4" s="1349"/>
      <c r="Y4" s="1311"/>
      <c r="Z4" s="1295"/>
      <c r="AA4" s="1295"/>
      <c r="AB4" s="1295"/>
      <c r="AC4" s="1295"/>
      <c r="AD4" s="1295"/>
      <c r="AE4" s="1295"/>
      <c r="AF4" s="1295"/>
      <c r="AG4" s="1296"/>
      <c r="AH4" s="1311"/>
      <c r="AI4" s="1314"/>
      <c r="AJ4" s="1320"/>
      <c r="AK4" s="36"/>
      <c r="AL4" s="1316"/>
      <c r="AM4" s="1319"/>
      <c r="AN4" s="31"/>
      <c r="AO4" s="52"/>
      <c r="AP4" s="57"/>
      <c r="AQ4" s="58" t="s">
        <v>52</v>
      </c>
      <c r="AR4" s="58" t="s">
        <v>53</v>
      </c>
      <c r="AS4" s="58" t="s">
        <v>54</v>
      </c>
      <c r="AT4" s="58" t="s">
        <v>55</v>
      </c>
      <c r="AU4" s="58" t="s">
        <v>55</v>
      </c>
      <c r="AV4" s="59" t="s">
        <v>55</v>
      </c>
      <c r="AW4" s="1382" t="str">
        <f>+CONCATENATE("PROYECCION A DICIEMBRE 31 DEL ",N3)</f>
        <v>PROYECCION A DICIEMBRE 31 DEL 2025</v>
      </c>
      <c r="AX4" s="1374"/>
      <c r="AY4" s="1374"/>
      <c r="AZ4" s="1375"/>
      <c r="BA4" s="31"/>
      <c r="BB4" s="60"/>
      <c r="BC4" s="61"/>
      <c r="BD4" s="61"/>
      <c r="BE4" s="63"/>
      <c r="BF4" s="64"/>
      <c r="BG4" s="60"/>
      <c r="BH4" s="61"/>
      <c r="BI4" s="61"/>
      <c r="BJ4" s="62"/>
      <c r="BK4" s="65"/>
      <c r="BL4" s="66"/>
      <c r="BM4" s="735"/>
      <c r="BN4" s="736"/>
      <c r="BO4" s="737"/>
      <c r="BP4" s="737"/>
      <c r="BQ4" s="738"/>
    </row>
    <row r="5" spans="1:69" ht="42" customHeight="1" thickBot="1">
      <c r="A5" s="1446" t="s">
        <v>56</v>
      </c>
      <c r="B5" s="1359" t="s">
        <v>61</v>
      </c>
      <c r="C5" s="1354" t="s">
        <v>57</v>
      </c>
      <c r="D5" s="1322"/>
      <c r="E5" s="1322"/>
      <c r="F5" s="1323"/>
      <c r="G5" s="1321" t="s">
        <v>368</v>
      </c>
      <c r="H5" s="1322"/>
      <c r="I5" s="1323"/>
      <c r="J5" s="1324" t="str">
        <f>+IF(L8&gt;I8,"OJO - RECAUDOS MAYORES QUE RECONOCIMIENTOS","RECAUDO")</f>
        <v>RECAUDO</v>
      </c>
      <c r="K5" s="1322"/>
      <c r="L5" s="1323"/>
      <c r="M5" s="1325" t="s">
        <v>59</v>
      </c>
      <c r="N5" s="1323"/>
      <c r="O5" s="31"/>
      <c r="P5" s="1317"/>
      <c r="Q5" s="1320"/>
      <c r="R5" s="31"/>
      <c r="S5" s="1418" t="s">
        <v>60</v>
      </c>
      <c r="T5" s="1359" t="s">
        <v>61</v>
      </c>
      <c r="U5" s="1360" t="s">
        <v>57</v>
      </c>
      <c r="V5" s="1322"/>
      <c r="W5" s="1322"/>
      <c r="X5" s="1323"/>
      <c r="Y5" s="1335" t="s">
        <v>369</v>
      </c>
      <c r="Z5" s="1322"/>
      <c r="AA5" s="1340"/>
      <c r="AB5" s="1335" t="s">
        <v>370</v>
      </c>
      <c r="AC5" s="1322"/>
      <c r="AD5" s="1323"/>
      <c r="AE5" s="1335" t="s">
        <v>34</v>
      </c>
      <c r="AF5" s="1322"/>
      <c r="AG5" s="1323"/>
      <c r="AH5" s="1335" t="s">
        <v>64</v>
      </c>
      <c r="AI5" s="1322"/>
      <c r="AJ5" s="1323"/>
      <c r="AK5" s="36"/>
      <c r="AL5" s="1317"/>
      <c r="AM5" s="1320"/>
      <c r="AN5" s="31"/>
      <c r="AO5" s="68"/>
      <c r="AP5" s="69" t="s">
        <v>65</v>
      </c>
      <c r="AQ5" s="58"/>
      <c r="AR5" s="58" t="s">
        <v>66</v>
      </c>
      <c r="AS5" s="58" t="s">
        <v>66</v>
      </c>
      <c r="AT5" s="58" t="s">
        <v>67</v>
      </c>
      <c r="AU5" s="58" t="s">
        <v>68</v>
      </c>
      <c r="AV5" s="58" t="s">
        <v>68</v>
      </c>
      <c r="AW5" s="58" t="s">
        <v>23</v>
      </c>
      <c r="AX5" s="58" t="s">
        <v>26</v>
      </c>
      <c r="AY5" s="58" t="s">
        <v>69</v>
      </c>
      <c r="AZ5" s="70" t="s">
        <v>69</v>
      </c>
      <c r="BA5" s="31"/>
      <c r="BB5" s="71" t="s">
        <v>70</v>
      </c>
      <c r="BC5" s="1445" t="str">
        <f>+CONCATENATE("ACUMULADO ",N3)</f>
        <v>ACUMULADO 2025</v>
      </c>
      <c r="BD5" s="1322"/>
      <c r="BE5" s="1323"/>
      <c r="BF5" s="75" t="s">
        <v>51</v>
      </c>
      <c r="BG5" s="549" t="s">
        <v>71</v>
      </c>
      <c r="BH5" s="1361" t="str">
        <f>+CONCATENATE("ACUMULADO ",N3)</f>
        <v>ACUMULADO 2025</v>
      </c>
      <c r="BI5" s="1322"/>
      <c r="BJ5" s="1322"/>
      <c r="BK5" s="1323"/>
      <c r="BL5" s="31"/>
      <c r="BM5" s="1384" t="s">
        <v>71</v>
      </c>
      <c r="BN5" s="1370" t="str">
        <f>+CONCATENATE("ACUMULADO ",BQ3)</f>
        <v>ACUMULADO 2025</v>
      </c>
      <c r="BO5" s="1371"/>
      <c r="BP5" s="1371"/>
      <c r="BQ5" s="1372"/>
    </row>
    <row r="6" spans="1:69" ht="24.75" customHeight="1" thickBot="1">
      <c r="A6" s="1398"/>
      <c r="B6" s="1401"/>
      <c r="C6" s="76" t="s">
        <v>72</v>
      </c>
      <c r="D6" s="77" t="s">
        <v>73</v>
      </c>
      <c r="E6" s="77" t="s">
        <v>74</v>
      </c>
      <c r="F6" s="78" t="s">
        <v>75</v>
      </c>
      <c r="G6" s="76" t="s">
        <v>76</v>
      </c>
      <c r="H6" s="77" t="s">
        <v>77</v>
      </c>
      <c r="I6" s="78" t="s">
        <v>78</v>
      </c>
      <c r="J6" s="76" t="s">
        <v>76</v>
      </c>
      <c r="K6" s="77" t="s">
        <v>77</v>
      </c>
      <c r="L6" s="78" t="s">
        <v>78</v>
      </c>
      <c r="M6" s="76" t="s">
        <v>79</v>
      </c>
      <c r="N6" s="78" t="s">
        <v>80</v>
      </c>
      <c r="O6" s="31"/>
      <c r="P6" s="79" t="s">
        <v>39</v>
      </c>
      <c r="Q6" s="80" t="s">
        <v>82</v>
      </c>
      <c r="R6" s="31"/>
      <c r="S6" s="1451"/>
      <c r="T6" s="1320"/>
      <c r="U6" s="81" t="s">
        <v>72</v>
      </c>
      <c r="V6" s="82" t="s">
        <v>73</v>
      </c>
      <c r="W6" s="82" t="s">
        <v>74</v>
      </c>
      <c r="X6" s="83" t="s">
        <v>75</v>
      </c>
      <c r="Y6" s="84" t="s">
        <v>76</v>
      </c>
      <c r="Z6" s="82" t="s">
        <v>77</v>
      </c>
      <c r="AA6" s="82" t="s">
        <v>78</v>
      </c>
      <c r="AB6" s="84" t="s">
        <v>76</v>
      </c>
      <c r="AC6" s="82" t="s">
        <v>77</v>
      </c>
      <c r="AD6" s="82" t="s">
        <v>78</v>
      </c>
      <c r="AE6" s="84" t="s">
        <v>76</v>
      </c>
      <c r="AF6" s="82" t="s">
        <v>77</v>
      </c>
      <c r="AG6" s="82" t="s">
        <v>78</v>
      </c>
      <c r="AH6" s="84" t="s">
        <v>29</v>
      </c>
      <c r="AI6" s="82" t="s">
        <v>31</v>
      </c>
      <c r="AJ6" s="83" t="s">
        <v>34</v>
      </c>
      <c r="AK6" s="36"/>
      <c r="AL6" s="76" t="s">
        <v>39</v>
      </c>
      <c r="AM6" s="78" t="s">
        <v>82</v>
      </c>
      <c r="AN6" s="31"/>
      <c r="AO6" s="85"/>
      <c r="AP6" s="86"/>
      <c r="AQ6" s="87" t="s">
        <v>75</v>
      </c>
      <c r="AR6" s="87" t="str">
        <f>+L3</f>
        <v>MAYO</v>
      </c>
      <c r="AS6" s="87" t="str">
        <f>AR6</f>
        <v>MAYO</v>
      </c>
      <c r="AT6" s="87" t="str">
        <f>AR6</f>
        <v>MAYO</v>
      </c>
      <c r="AU6" s="87" t="s">
        <v>53</v>
      </c>
      <c r="AV6" s="87" t="s">
        <v>26</v>
      </c>
      <c r="AW6" s="87"/>
      <c r="AX6" s="87"/>
      <c r="AY6" s="87" t="s">
        <v>53</v>
      </c>
      <c r="AZ6" s="88" t="s">
        <v>26</v>
      </c>
      <c r="BA6" s="31"/>
      <c r="BB6" s="89"/>
      <c r="BC6" s="90" t="s">
        <v>83</v>
      </c>
      <c r="BD6" s="91" t="s">
        <v>84</v>
      </c>
      <c r="BE6" s="92" t="s">
        <v>85</v>
      </c>
      <c r="BF6" s="93"/>
      <c r="BG6" s="550"/>
      <c r="BH6" s="551" t="s">
        <v>83</v>
      </c>
      <c r="BI6" s="551" t="s">
        <v>86</v>
      </c>
      <c r="BJ6" s="551" t="s">
        <v>87</v>
      </c>
      <c r="BK6" s="552" t="s">
        <v>88</v>
      </c>
      <c r="BL6" s="31"/>
      <c r="BM6" s="1385"/>
      <c r="BN6" s="96" t="s">
        <v>83</v>
      </c>
      <c r="BO6" s="739" t="s">
        <v>86</v>
      </c>
      <c r="BP6" s="739" t="s">
        <v>87</v>
      </c>
      <c r="BQ6" s="740" t="s">
        <v>88</v>
      </c>
    </row>
    <row r="7" spans="1:69" ht="24.75" customHeight="1" thickBot="1">
      <c r="A7" s="526"/>
      <c r="B7" s="103"/>
      <c r="C7" s="104"/>
      <c r="D7" s="104"/>
      <c r="E7" s="104"/>
      <c r="F7" s="104"/>
      <c r="G7" s="104"/>
      <c r="H7" s="104"/>
      <c r="I7" s="104"/>
      <c r="J7" s="104"/>
      <c r="K7" s="104"/>
      <c r="L7" s="104"/>
      <c r="M7" s="104"/>
      <c r="N7" s="105"/>
      <c r="O7" s="31"/>
      <c r="P7" s="527"/>
      <c r="Q7" s="105"/>
      <c r="R7" s="101"/>
      <c r="S7" s="102"/>
      <c r="T7" s="103"/>
      <c r="U7" s="104"/>
      <c r="V7" s="104"/>
      <c r="W7" s="104"/>
      <c r="X7" s="104"/>
      <c r="Y7" s="104"/>
      <c r="Z7" s="104"/>
      <c r="AA7" s="104"/>
      <c r="AB7" s="104"/>
      <c r="AC7" s="104"/>
      <c r="AD7" s="104"/>
      <c r="AE7" s="104"/>
      <c r="AF7" s="104"/>
      <c r="AG7" s="104"/>
      <c r="AH7" s="104"/>
      <c r="AI7" s="104"/>
      <c r="AJ7" s="105"/>
      <c r="AK7" s="36"/>
      <c r="AL7" s="106"/>
      <c r="AM7" s="107"/>
      <c r="AN7" s="101"/>
      <c r="AO7" s="108"/>
      <c r="AP7" s="109" t="s">
        <v>89</v>
      </c>
      <c r="AQ7" s="110">
        <f>F22</f>
        <v>56030749893.586876</v>
      </c>
      <c r="AR7" s="110">
        <f>I22</f>
        <v>38646831210</v>
      </c>
      <c r="AS7" s="110">
        <f>L22</f>
        <v>22084494162</v>
      </c>
      <c r="AT7" s="101"/>
      <c r="AU7" s="111">
        <f t="shared" ref="AU7:AU17" si="0">IF(AQ7=0," ",AR7/AQ7)</f>
        <v>0.68974324426136957</v>
      </c>
      <c r="AV7" s="111">
        <f t="shared" ref="AV7:AV17" si="1">IF(AQ7=0," ",AS7/AQ7)</f>
        <v>0.39414953760109733</v>
      </c>
      <c r="AW7" s="110">
        <f>I23/AO$2*12+I24</f>
        <v>77524695369.399994</v>
      </c>
      <c r="AX7" s="110">
        <f>L23/AO$2*12+L24</f>
        <v>37775086454.199997</v>
      </c>
      <c r="AY7" s="110">
        <f t="shared" ref="AY7:AY16" si="2">AW7-AQ7</f>
        <v>21493945475.813118</v>
      </c>
      <c r="AZ7" s="112">
        <f t="shared" ref="AZ7:AZ16" si="3">AX7-AQ7</f>
        <v>-18255663439.386879</v>
      </c>
      <c r="BA7" s="101"/>
      <c r="BB7" s="113" t="s">
        <v>90</v>
      </c>
      <c r="BC7" s="114">
        <f>F10</f>
        <v>1179477265</v>
      </c>
      <c r="BD7" s="115">
        <f>I10</f>
        <v>1179477265</v>
      </c>
      <c r="BE7" s="116">
        <f>K10</f>
        <v>0</v>
      </c>
      <c r="BF7" s="117"/>
      <c r="BG7" s="227" t="s">
        <v>91</v>
      </c>
      <c r="BH7" s="554">
        <f>+SUM(BH8:BH11)</f>
        <v>93749401860.611267</v>
      </c>
      <c r="BI7" s="554">
        <f>+SUM(BI8:BI11)</f>
        <v>54751656552</v>
      </c>
      <c r="BJ7" s="554">
        <f>+SUM(BJ8:BJ11)</f>
        <v>38416398058</v>
      </c>
      <c r="BK7" s="554">
        <f>+SUM(BK8:BK11)</f>
        <v>6998840995</v>
      </c>
      <c r="BL7" s="101"/>
      <c r="BM7" s="741" t="s">
        <v>91</v>
      </c>
      <c r="BN7" s="121">
        <f>BN8+BN15+BN22</f>
        <v>93749401860.611282</v>
      </c>
      <c r="BO7" s="121">
        <f>BO8+BO15+BO22</f>
        <v>54751656552</v>
      </c>
      <c r="BP7" s="121">
        <f>BP8+BP15+BP22</f>
        <v>38416398058</v>
      </c>
      <c r="BQ7" s="121">
        <f>BQ8+BQ15+BQ22</f>
        <v>6998840995</v>
      </c>
    </row>
    <row r="8" spans="1:69" ht="24.75" customHeight="1" thickBot="1">
      <c r="A8" s="123">
        <f>+IF(ABRIL!A8=0,"",ABRIL!A8)</f>
        <v>1</v>
      </c>
      <c r="B8" s="124" t="str">
        <f>+IF(ABRIL!B8=0,"",ABRIL!B8)</f>
        <v>INGRESOS</v>
      </c>
      <c r="C8" s="125">
        <f t="shared" ref="C8:N8" si="4">C10+C17+C113</f>
        <v>158143153137.47653</v>
      </c>
      <c r="D8" s="125">
        <f t="shared" si="4"/>
        <v>0</v>
      </c>
      <c r="E8" s="125">
        <f t="shared" si="4"/>
        <v>29662380392</v>
      </c>
      <c r="F8" s="1170">
        <f t="shared" si="4"/>
        <v>187805533529.47653</v>
      </c>
      <c r="G8" s="125">
        <f t="shared" si="4"/>
        <v>90506302817</v>
      </c>
      <c r="H8" s="125">
        <f t="shared" si="4"/>
        <v>20492205449</v>
      </c>
      <c r="I8" s="1170">
        <f t="shared" si="4"/>
        <v>110998508266</v>
      </c>
      <c r="J8" s="125">
        <f t="shared" si="4"/>
        <v>47688493852</v>
      </c>
      <c r="K8" s="125">
        <f t="shared" si="4"/>
        <v>14642988093</v>
      </c>
      <c r="L8" s="1170">
        <f t="shared" si="4"/>
        <v>62331481945</v>
      </c>
      <c r="M8" s="125">
        <f t="shared" si="4"/>
        <v>76807025263.476501</v>
      </c>
      <c r="N8" s="125">
        <f t="shared" si="4"/>
        <v>125474051584.47652</v>
      </c>
      <c r="O8" s="126"/>
      <c r="P8" s="127">
        <f>P10+P17+P113</f>
        <v>0</v>
      </c>
      <c r="Q8" s="128">
        <f>Q10+Q17+Q113</f>
        <v>7054239958</v>
      </c>
      <c r="R8" s="101"/>
      <c r="S8" s="129" t="str">
        <f>+IF(ABRIL!S8=0,"",ABRIL!S8)</f>
        <v>2</v>
      </c>
      <c r="T8" s="130" t="str">
        <f>+IF(ABRIL!T8=0,"",ABRIL!T8)</f>
        <v>GASTOS</v>
      </c>
      <c r="U8" s="812">
        <f>U10+U192+U219+U231</f>
        <v>158143153137.16666</v>
      </c>
      <c r="V8" s="812">
        <f t="shared" ref="V8:AJ8" si="5">V10+V192+V219+V231</f>
        <v>0</v>
      </c>
      <c r="W8" s="812">
        <f t="shared" si="5"/>
        <v>29662380392</v>
      </c>
      <c r="X8" s="812">
        <f t="shared" si="5"/>
        <v>187805533529.16666</v>
      </c>
      <c r="Y8" s="812">
        <f t="shared" si="5"/>
        <v>111326400284</v>
      </c>
      <c r="Z8" s="812">
        <f t="shared" si="5"/>
        <v>10866414095</v>
      </c>
      <c r="AA8" s="812">
        <f t="shared" si="5"/>
        <v>122192814379</v>
      </c>
      <c r="AB8" s="812">
        <f t="shared" si="5"/>
        <v>75550087555</v>
      </c>
      <c r="AC8" s="812">
        <f t="shared" si="5"/>
        <v>16082966930</v>
      </c>
      <c r="AD8" s="812">
        <f t="shared" si="5"/>
        <v>91633054485</v>
      </c>
      <c r="AE8" s="812">
        <f t="shared" si="5"/>
        <v>43152271823</v>
      </c>
      <c r="AF8" s="812">
        <f t="shared" si="5"/>
        <v>14689687191</v>
      </c>
      <c r="AG8" s="812">
        <f t="shared" si="5"/>
        <v>57841959014</v>
      </c>
      <c r="AH8" s="812">
        <f t="shared" si="5"/>
        <v>65612719150.166664</v>
      </c>
      <c r="AI8" s="812">
        <f t="shared" si="5"/>
        <v>96172479044.166656</v>
      </c>
      <c r="AJ8" s="812">
        <f t="shared" si="5"/>
        <v>129963574515.16666</v>
      </c>
      <c r="AK8" s="101"/>
      <c r="AL8" s="136">
        <f>AL10+AL192+AL219+AL231</f>
        <v>0</v>
      </c>
      <c r="AM8" s="137">
        <f>AM10+AM192+AM219+AM231</f>
        <v>7054239958</v>
      </c>
      <c r="AN8" s="101"/>
      <c r="AO8" s="108"/>
      <c r="AP8" s="109" t="s">
        <v>93</v>
      </c>
      <c r="AQ8" s="138">
        <f>F25</f>
        <v>98449887678</v>
      </c>
      <c r="AR8" s="138">
        <f>I25</f>
        <v>58335102848</v>
      </c>
      <c r="AS8" s="138">
        <f>L25</f>
        <v>30985680376</v>
      </c>
      <c r="AT8" s="101"/>
      <c r="AU8" s="139">
        <f t="shared" si="0"/>
        <v>0.59253600206022172</v>
      </c>
      <c r="AV8" s="139">
        <f t="shared" si="1"/>
        <v>0.31473555843298523</v>
      </c>
      <c r="AW8" s="138">
        <f>I26/AO$2*12+I27</f>
        <v>104187642112</v>
      </c>
      <c r="AX8" s="138">
        <f>L26/AO$2*12+L27</f>
        <v>38549028179.199997</v>
      </c>
      <c r="AY8" s="138">
        <f t="shared" si="2"/>
        <v>5737754434</v>
      </c>
      <c r="AZ8" s="140">
        <f t="shared" si="3"/>
        <v>-59900859498.800003</v>
      </c>
      <c r="BA8" s="101"/>
      <c r="BB8" s="141" t="s">
        <v>94</v>
      </c>
      <c r="BC8" s="142">
        <f>BC9+BC19</f>
        <v>160562213924.37653</v>
      </c>
      <c r="BD8" s="143">
        <f>BD9+BD19</f>
        <v>71518556635</v>
      </c>
      <c r="BE8" s="142">
        <f>SUM(BE9+BE19+BE18)</f>
        <v>8373500208</v>
      </c>
      <c r="BF8" s="117"/>
      <c r="BG8" s="145" t="s">
        <v>95</v>
      </c>
      <c r="BH8" s="146">
        <f>BN9+BN13</f>
        <v>10756167331.212667</v>
      </c>
      <c r="BI8" s="146">
        <f>BO9+BO13</f>
        <v>3238892354</v>
      </c>
      <c r="BJ8" s="146">
        <f>BP9+BP13</f>
        <v>3238892354</v>
      </c>
      <c r="BK8" s="146">
        <f>BQ9+BQ13</f>
        <v>704427600</v>
      </c>
      <c r="BL8" s="101"/>
      <c r="BM8" s="743" t="s">
        <v>96</v>
      </c>
      <c r="BN8" s="148">
        <f>BN9+BN14+BN13</f>
        <v>72513473588.212677</v>
      </c>
      <c r="BO8" s="146">
        <f>BO9+BO14+BO13</f>
        <v>44979455079</v>
      </c>
      <c r="BP8" s="146">
        <f>BP9+BP14+BP13</f>
        <v>32061189630</v>
      </c>
      <c r="BQ8" s="744">
        <f>BQ9+BQ14+BQ13</f>
        <v>5756410415</v>
      </c>
    </row>
    <row r="9" spans="1:69" ht="24.75" customHeight="1" thickBot="1">
      <c r="A9" s="149"/>
      <c r="B9" s="150"/>
      <c r="C9" s="151"/>
      <c r="D9" s="151"/>
      <c r="E9" s="151"/>
      <c r="F9" s="151"/>
      <c r="G9" s="151"/>
      <c r="H9" s="151"/>
      <c r="I9" s="151"/>
      <c r="J9" s="151"/>
      <c r="K9" s="151"/>
      <c r="L9" s="151"/>
      <c r="M9" s="151"/>
      <c r="N9" s="152"/>
      <c r="O9" s="126"/>
      <c r="P9" s="153"/>
      <c r="Q9" s="152"/>
      <c r="R9" s="101"/>
      <c r="S9" s="102"/>
      <c r="T9" s="103"/>
      <c r="U9" s="104"/>
      <c r="V9" s="104"/>
      <c r="W9" s="104"/>
      <c r="X9" s="104"/>
      <c r="Y9" s="104"/>
      <c r="Z9" s="104"/>
      <c r="AA9" s="104"/>
      <c r="AB9" s="104"/>
      <c r="AC9" s="104"/>
      <c r="AD9" s="104"/>
      <c r="AE9" s="104"/>
      <c r="AF9" s="104"/>
      <c r="AG9" s="104"/>
      <c r="AH9" s="104"/>
      <c r="AI9" s="104"/>
      <c r="AJ9" s="105"/>
      <c r="AK9" s="101"/>
      <c r="AL9" s="154"/>
      <c r="AM9" s="155"/>
      <c r="AN9" s="101"/>
      <c r="AO9" s="156"/>
      <c r="AP9" s="109" t="s">
        <v>97</v>
      </c>
      <c r="AQ9" s="138">
        <f>F28+F75</f>
        <v>2299679776</v>
      </c>
      <c r="AR9" s="138">
        <f>I28+I75</f>
        <v>1024346764</v>
      </c>
      <c r="AS9" s="138">
        <f>L28+L75</f>
        <v>626212258</v>
      </c>
      <c r="AT9" s="101"/>
      <c r="AU9" s="157">
        <f t="shared" si="0"/>
        <v>0.44543017453574368</v>
      </c>
      <c r="AV9" s="157">
        <f t="shared" si="1"/>
        <v>0.27230411143990513</v>
      </c>
      <c r="AW9" s="158">
        <f>(I30+I33+I36+I76)/AO$2*12+I31+I34+I37+I38+I39+I40+I77</f>
        <v>2046599958.1999998</v>
      </c>
      <c r="AX9" s="158">
        <f>(L30+L33+L36+L76)/AO$2*12+L31+L34+L37+L38+L39+L40+L77</f>
        <v>1091077143.8</v>
      </c>
      <c r="AY9" s="158">
        <f t="shared" si="2"/>
        <v>-253079817.80000019</v>
      </c>
      <c r="AZ9" s="159">
        <f t="shared" si="3"/>
        <v>-1208602632.2</v>
      </c>
      <c r="BA9" s="101"/>
      <c r="BB9" s="160" t="s">
        <v>98</v>
      </c>
      <c r="BC9" s="161">
        <f>BC10+BC18</f>
        <v>159649989034.37653</v>
      </c>
      <c r="BD9" s="162">
        <f>BD10+BD18</f>
        <v>71358848576</v>
      </c>
      <c r="BE9" s="161">
        <f>BE10+BE16</f>
        <v>8346957966</v>
      </c>
      <c r="BF9" s="164"/>
      <c r="BG9" s="165" t="s">
        <v>99</v>
      </c>
      <c r="BH9" s="166">
        <f t="shared" ref="BH9:BK10" si="6">BN14</f>
        <v>61757306257</v>
      </c>
      <c r="BI9" s="166">
        <f t="shared" si="6"/>
        <v>41740562725</v>
      </c>
      <c r="BJ9" s="166">
        <f t="shared" si="6"/>
        <v>28822297276</v>
      </c>
      <c r="BK9" s="166">
        <f t="shared" si="6"/>
        <v>5051982815</v>
      </c>
      <c r="BL9" s="101"/>
      <c r="BM9" s="745" t="s">
        <v>100</v>
      </c>
      <c r="BN9" s="168">
        <f>SUM(BN10:BN12)</f>
        <v>8090515927.916667</v>
      </c>
      <c r="BO9" s="574">
        <f>SUM(BO10:BO12)</f>
        <v>2456511570</v>
      </c>
      <c r="BP9" s="166">
        <f>SUM(BP10:BP12)</f>
        <v>2456511570</v>
      </c>
      <c r="BQ9" s="746">
        <f>SUM(BQ10:BQ12)</f>
        <v>506476416</v>
      </c>
    </row>
    <row r="10" spans="1:69" ht="24.75" customHeight="1">
      <c r="A10" s="169" t="str">
        <f>+IF(ABRIL!A10=0,"",ABRIL!A10)</f>
        <v>1.0</v>
      </c>
      <c r="B10" s="170" t="str">
        <f>+IF(ABRIL!B10=0,"",ABRIL!B10)</f>
        <v>DISPONIBILIDAD INICIAL</v>
      </c>
      <c r="C10" s="171">
        <f t="shared" ref="C10:N10" si="7">SUM(C12:C15)</f>
        <v>0</v>
      </c>
      <c r="D10" s="172">
        <f t="shared" si="7"/>
        <v>0</v>
      </c>
      <c r="E10" s="172">
        <f t="shared" si="7"/>
        <v>1179477265</v>
      </c>
      <c r="F10" s="173">
        <f t="shared" si="7"/>
        <v>1179477265</v>
      </c>
      <c r="G10" s="174">
        <f t="shared" si="7"/>
        <v>1179477265</v>
      </c>
      <c r="H10" s="172">
        <f t="shared" si="7"/>
        <v>0</v>
      </c>
      <c r="I10" s="175">
        <f t="shared" si="7"/>
        <v>1179477265</v>
      </c>
      <c r="J10" s="171">
        <f t="shared" si="7"/>
        <v>1179477265</v>
      </c>
      <c r="K10" s="172">
        <f t="shared" si="7"/>
        <v>0</v>
      </c>
      <c r="L10" s="173">
        <f t="shared" si="7"/>
        <v>1179477265</v>
      </c>
      <c r="M10" s="171">
        <f t="shared" si="7"/>
        <v>0</v>
      </c>
      <c r="N10" s="173">
        <f t="shared" si="7"/>
        <v>0</v>
      </c>
      <c r="O10" s="101"/>
      <c r="P10" s="171">
        <f>SUM(P12:P15)</f>
        <v>0</v>
      </c>
      <c r="Q10" s="173">
        <f>SUM(Q12:Q15)</f>
        <v>0</v>
      </c>
      <c r="R10" s="101"/>
      <c r="S10" s="176" t="str">
        <f>+IF(ABRIL!S10=0,"",ABRIL!S10)</f>
        <v>2.1</v>
      </c>
      <c r="T10" s="177" t="str">
        <f>+IF(ABRIL!T10=0,"",ABRIL!T10)</f>
        <v>GASTOS DE FUNCIONAMIENTO</v>
      </c>
      <c r="U10" s="178">
        <f t="shared" ref="U10:AJ10" si="8">U12+U110+U168</f>
        <v>112528788023.5</v>
      </c>
      <c r="V10" s="179">
        <f t="shared" si="8"/>
        <v>0</v>
      </c>
      <c r="W10" s="179">
        <f t="shared" si="8"/>
        <v>4956877497</v>
      </c>
      <c r="X10" s="182">
        <f t="shared" si="8"/>
        <v>117485665520.5</v>
      </c>
      <c r="Y10" s="181">
        <f t="shared" si="8"/>
        <v>70942443812</v>
      </c>
      <c r="Z10" s="179">
        <f t="shared" si="8"/>
        <v>2647558328</v>
      </c>
      <c r="AA10" s="182">
        <f t="shared" si="8"/>
        <v>73590002140</v>
      </c>
      <c r="AB10" s="181">
        <f t="shared" si="8"/>
        <v>49152456127</v>
      </c>
      <c r="AC10" s="179">
        <f t="shared" si="8"/>
        <v>8102287519</v>
      </c>
      <c r="AD10" s="182">
        <f t="shared" si="8"/>
        <v>57254743646</v>
      </c>
      <c r="AE10" s="181">
        <f t="shared" si="8"/>
        <v>29595983419</v>
      </c>
      <c r="AF10" s="179">
        <f t="shared" si="8"/>
        <v>7513511913</v>
      </c>
      <c r="AG10" s="182">
        <f t="shared" si="8"/>
        <v>37109495332</v>
      </c>
      <c r="AH10" s="181">
        <f t="shared" si="8"/>
        <v>43895663380.5</v>
      </c>
      <c r="AI10" s="179">
        <f t="shared" si="8"/>
        <v>60230921874.5</v>
      </c>
      <c r="AJ10" s="180">
        <f t="shared" si="8"/>
        <v>80376170188.5</v>
      </c>
      <c r="AK10" s="101"/>
      <c r="AL10" s="183">
        <f>AL12+AL110+AL168</f>
        <v>0</v>
      </c>
      <c r="AM10" s="184">
        <f>AM12+AM110+AM168</f>
        <v>0</v>
      </c>
      <c r="AN10" s="101"/>
      <c r="AO10" s="156"/>
      <c r="AP10" s="109" t="s">
        <v>102</v>
      </c>
      <c r="AQ10" s="138">
        <f>F42</f>
        <v>287170800</v>
      </c>
      <c r="AR10" s="138">
        <f>I42</f>
        <v>160172233</v>
      </c>
      <c r="AS10" s="138">
        <f>L42</f>
        <v>143741949</v>
      </c>
      <c r="AT10" s="101"/>
      <c r="AU10" s="157">
        <f t="shared" si="0"/>
        <v>0.55775946927751707</v>
      </c>
      <c r="AV10" s="157">
        <f t="shared" si="1"/>
        <v>0.50054514247270265</v>
      </c>
      <c r="AW10" s="158">
        <f>I43/AO$2*12+I44</f>
        <v>188158116.80000001</v>
      </c>
      <c r="AX10" s="158">
        <f>L43/AO$2*12+L44</f>
        <v>148725435.19999999</v>
      </c>
      <c r="AY10" s="158">
        <f t="shared" si="2"/>
        <v>-99012683.199999988</v>
      </c>
      <c r="AZ10" s="159">
        <f t="shared" si="3"/>
        <v>-138445364.80000001</v>
      </c>
      <c r="BA10" s="101"/>
      <c r="BB10" s="185" t="s">
        <v>103</v>
      </c>
      <c r="BC10" s="161">
        <f>BC11+BC12+BC13+BC14+BC16+BC17+BC15</f>
        <v>159649989034.37653</v>
      </c>
      <c r="BD10" s="162">
        <f>BD11+BD12+BD13+BD14+BD16+BD17+BD15</f>
        <v>71358848576</v>
      </c>
      <c r="BE10" s="161">
        <f>SUM(BE11+BE12+BE13+BE14+BE17)</f>
        <v>7231692895</v>
      </c>
      <c r="BF10" s="164"/>
      <c r="BG10" s="145" t="s">
        <v>104</v>
      </c>
      <c r="BH10" s="186">
        <f t="shared" si="6"/>
        <v>18026867687.398609</v>
      </c>
      <c r="BI10" s="186">
        <f t="shared" si="6"/>
        <v>9178124285</v>
      </c>
      <c r="BJ10" s="186">
        <f t="shared" si="6"/>
        <v>5761131240</v>
      </c>
      <c r="BK10" s="186">
        <f t="shared" si="6"/>
        <v>1122672482</v>
      </c>
      <c r="BL10" s="101"/>
      <c r="BM10" s="747" t="s">
        <v>105</v>
      </c>
      <c r="BN10" s="188">
        <f>X17+X66</f>
        <v>6464913230</v>
      </c>
      <c r="BO10" s="575">
        <f>AA17+AA66</f>
        <v>2063564186</v>
      </c>
      <c r="BP10" s="186">
        <f>AD17+AD66</f>
        <v>2063564186</v>
      </c>
      <c r="BQ10" s="748">
        <f>AF17+AF66</f>
        <v>407723024</v>
      </c>
    </row>
    <row r="11" spans="1:69" ht="24.75" customHeight="1">
      <c r="A11" s="149"/>
      <c r="B11" s="150"/>
      <c r="C11" s="151"/>
      <c r="D11" s="151"/>
      <c r="E11" s="151"/>
      <c r="F11" s="151"/>
      <c r="G11" s="151"/>
      <c r="H11" s="151"/>
      <c r="I11" s="151"/>
      <c r="J11" s="151"/>
      <c r="K11" s="151"/>
      <c r="L11" s="151"/>
      <c r="M11" s="151"/>
      <c r="N11" s="152"/>
      <c r="O11" s="126"/>
      <c r="P11" s="153"/>
      <c r="Q11" s="152"/>
      <c r="R11" s="101"/>
      <c r="S11" s="189"/>
      <c r="T11" s="488"/>
      <c r="U11" s="191"/>
      <c r="V11" s="191"/>
      <c r="W11" s="191"/>
      <c r="X11" s="191"/>
      <c r="Y11" s="191"/>
      <c r="Z11" s="191"/>
      <c r="AA11" s="191"/>
      <c r="AB11" s="191"/>
      <c r="AC11" s="191"/>
      <c r="AD11" s="191"/>
      <c r="AE11" s="191"/>
      <c r="AF11" s="191"/>
      <c r="AG11" s="191"/>
      <c r="AH11" s="191"/>
      <c r="AI11" s="191"/>
      <c r="AJ11" s="192"/>
      <c r="AK11" s="101"/>
      <c r="AL11" s="194"/>
      <c r="AM11" s="195"/>
      <c r="AN11" s="101"/>
      <c r="AO11" s="196" t="s">
        <v>50</v>
      </c>
      <c r="AP11" s="109" t="s">
        <v>106</v>
      </c>
      <c r="AQ11" s="138">
        <f>F88</f>
        <v>2337265046</v>
      </c>
      <c r="AR11" s="138">
        <f>I88</f>
        <v>1383079809</v>
      </c>
      <c r="AS11" s="138">
        <f>L88</f>
        <v>1641910401</v>
      </c>
      <c r="AT11" s="198">
        <f>AO2/12</f>
        <v>0.41666666666666669</v>
      </c>
      <c r="AU11" s="157">
        <f t="shared" si="0"/>
        <v>0.59175137683550505</v>
      </c>
      <c r="AV11" s="157">
        <f t="shared" si="1"/>
        <v>0.70249217298225064</v>
      </c>
      <c r="AW11" s="158">
        <f>I88</f>
        <v>1383079809</v>
      </c>
      <c r="AX11" s="158">
        <f>L88</f>
        <v>1641910401</v>
      </c>
      <c r="AY11" s="158">
        <f t="shared" si="2"/>
        <v>-954185237</v>
      </c>
      <c r="AZ11" s="159">
        <f t="shared" si="3"/>
        <v>-695354645</v>
      </c>
      <c r="BA11" s="101"/>
      <c r="BB11" s="185" t="s">
        <v>107</v>
      </c>
      <c r="BC11" s="161">
        <f>F26</f>
        <v>81866799864</v>
      </c>
      <c r="BD11" s="162">
        <f>I26</f>
        <v>32751813760</v>
      </c>
      <c r="BE11" s="161">
        <f>SUM(K26)</f>
        <v>1067960328</v>
      </c>
      <c r="BF11" s="164"/>
      <c r="BG11" s="145" t="s">
        <v>108</v>
      </c>
      <c r="BH11" s="199">
        <f>BN22</f>
        <v>3209060585</v>
      </c>
      <c r="BI11" s="199">
        <f>BO22</f>
        <v>594077188</v>
      </c>
      <c r="BJ11" s="199">
        <f>BP22</f>
        <v>594077188</v>
      </c>
      <c r="BK11" s="199">
        <f>BQ22</f>
        <v>119758098</v>
      </c>
      <c r="BL11" s="101"/>
      <c r="BM11" s="749" t="s">
        <v>109</v>
      </c>
      <c r="BN11" s="201">
        <f>X18+X67</f>
        <v>17000000</v>
      </c>
      <c r="BO11" s="576">
        <f>AA18+AA67</f>
        <v>5198745</v>
      </c>
      <c r="BP11" s="199">
        <f>AD18+AD67</f>
        <v>5198745</v>
      </c>
      <c r="BQ11" s="750">
        <f>AF18+AF67</f>
        <v>1252149</v>
      </c>
    </row>
    <row r="12" spans="1:69" ht="24.75" customHeight="1">
      <c r="A12" s="202" t="str">
        <f>+IF(ABRIL!A12=0,"",ABRIL!A12)</f>
        <v>1.0.01</v>
      </c>
      <c r="B12" s="203" t="str">
        <f>+IF(ABRIL!B12=0,"",ABRIL!B12)</f>
        <v>Caja</v>
      </c>
      <c r="C12" s="204">
        <f>+ENERO!C12</f>
        <v>0</v>
      </c>
      <c r="D12" s="205">
        <f>ABRIL!D12+MAYO!P12</f>
        <v>0</v>
      </c>
      <c r="E12" s="205">
        <f>ABRIL!E12+MAYO!Q12</f>
        <v>3941159</v>
      </c>
      <c r="F12" s="206">
        <f>SUM(C12:E12)</f>
        <v>3941159</v>
      </c>
      <c r="G12" s="207">
        <f>ABRIL!I12</f>
        <v>3941159</v>
      </c>
      <c r="H12" s="208">
        <v>0</v>
      </c>
      <c r="I12" s="206">
        <f>SUM(G12:H12)</f>
        <v>3941159</v>
      </c>
      <c r="J12" s="207">
        <f>ABRIL!L12</f>
        <v>3941159</v>
      </c>
      <c r="K12" s="209">
        <f>+H12</f>
        <v>0</v>
      </c>
      <c r="L12" s="206">
        <f>SUM(J12:K12)</f>
        <v>3941159</v>
      </c>
      <c r="M12" s="207">
        <f>F12-I12</f>
        <v>0</v>
      </c>
      <c r="N12" s="206">
        <f>F12-L12</f>
        <v>0</v>
      </c>
      <c r="O12" s="67"/>
      <c r="P12" s="204">
        <v>0</v>
      </c>
      <c r="Q12" s="210">
        <v>0</v>
      </c>
      <c r="R12" s="101"/>
      <c r="S12" s="211" t="str">
        <f>+IF(ABRIL!S12=0,"",ABRIL!S12)</f>
        <v>2.1.1</v>
      </c>
      <c r="T12" s="212" t="str">
        <f>+IF(ABRIL!T12=0,"",ABRIL!T12)</f>
        <v>GASTOS DE PERSONAL</v>
      </c>
      <c r="U12" s="213">
        <f t="shared" ref="U12:AJ12" si="9">U14+U63</f>
        <v>88367557767.879166</v>
      </c>
      <c r="V12" s="214">
        <f t="shared" si="9"/>
        <v>664062130</v>
      </c>
      <c r="W12" s="214">
        <f t="shared" si="9"/>
        <v>2928182761</v>
      </c>
      <c r="X12" s="215">
        <f t="shared" si="9"/>
        <v>91959802658.879166</v>
      </c>
      <c r="Y12" s="183">
        <f t="shared" si="9"/>
        <v>60376407842</v>
      </c>
      <c r="Z12" s="214">
        <f t="shared" si="9"/>
        <v>1586242326</v>
      </c>
      <c r="AA12" s="215">
        <f t="shared" si="9"/>
        <v>61962650168</v>
      </c>
      <c r="AB12" s="183">
        <f t="shared" si="9"/>
        <v>42070325276</v>
      </c>
      <c r="AC12" s="214">
        <f t="shared" si="9"/>
        <v>6974059443</v>
      </c>
      <c r="AD12" s="215">
        <f t="shared" si="9"/>
        <v>49044384719</v>
      </c>
      <c r="AE12" s="183">
        <f t="shared" si="9"/>
        <v>25144518695</v>
      </c>
      <c r="AF12" s="214">
        <f t="shared" si="9"/>
        <v>5953106440</v>
      </c>
      <c r="AG12" s="215">
        <f t="shared" si="9"/>
        <v>31097625135</v>
      </c>
      <c r="AH12" s="183">
        <f t="shared" si="9"/>
        <v>29997152490.879166</v>
      </c>
      <c r="AI12" s="214">
        <f t="shared" si="9"/>
        <v>42915417939.879166</v>
      </c>
      <c r="AJ12" s="184">
        <f t="shared" si="9"/>
        <v>60862177523.879166</v>
      </c>
      <c r="AK12" s="216"/>
      <c r="AL12" s="217">
        <f>AL14+AL63</f>
        <v>-16937563</v>
      </c>
      <c r="AM12" s="218">
        <f>AM14+AM63</f>
        <v>0</v>
      </c>
      <c r="AN12" s="101"/>
      <c r="AO12" s="196"/>
      <c r="AP12" s="109" t="s">
        <v>111</v>
      </c>
      <c r="AQ12" s="138">
        <f>F89</f>
        <v>9574697797</v>
      </c>
      <c r="AR12" s="138">
        <f>I89</f>
        <v>2100381532</v>
      </c>
      <c r="AS12" s="138">
        <f>L89</f>
        <v>2079377717</v>
      </c>
      <c r="AT12" s="101"/>
      <c r="AU12" s="157">
        <f t="shared" si="0"/>
        <v>0.21936791912723383</v>
      </c>
      <c r="AV12" s="157">
        <f t="shared" si="1"/>
        <v>0.21717423996938293</v>
      </c>
      <c r="AW12" s="158">
        <f>I89</f>
        <v>2100381532</v>
      </c>
      <c r="AX12" s="158">
        <f>L89</f>
        <v>2079377717</v>
      </c>
      <c r="AY12" s="158">
        <f t="shared" si="2"/>
        <v>-7474316265</v>
      </c>
      <c r="AZ12" s="159">
        <f t="shared" si="3"/>
        <v>-7495320080</v>
      </c>
      <c r="BA12" s="101"/>
      <c r="BB12" s="185" t="s">
        <v>112</v>
      </c>
      <c r="BC12" s="161">
        <f>F23</f>
        <v>49300076925.586876</v>
      </c>
      <c r="BD12" s="162">
        <f>I23</f>
        <v>27769902971</v>
      </c>
      <c r="BE12" s="161">
        <f>SUM(K23)</f>
        <v>5855891294</v>
      </c>
      <c r="BF12" s="164"/>
      <c r="BG12" s="219" t="s">
        <v>113</v>
      </c>
      <c r="BH12" s="199">
        <f>BN25</f>
        <v>35575849515.333328</v>
      </c>
      <c r="BI12" s="220">
        <f>BO25</f>
        <v>25760716590</v>
      </c>
      <c r="BJ12" s="199">
        <f>BP25</f>
        <v>18400049405</v>
      </c>
      <c r="BK12" s="199">
        <f>BQ25</f>
        <v>3451383659</v>
      </c>
      <c r="BL12" s="101"/>
      <c r="BM12" s="751" t="s">
        <v>114</v>
      </c>
      <c r="BN12" s="201">
        <f>X16+X65-X81-X33-BN10-BN11</f>
        <v>1608602697.916667</v>
      </c>
      <c r="BO12" s="576">
        <f>AA16+AA65-AA81-AA33-BO10-BO11</f>
        <v>387748639</v>
      </c>
      <c r="BP12" s="199">
        <f>AD16+AD65-AD81-AD33-BP10-BP11</f>
        <v>387748639</v>
      </c>
      <c r="BQ12" s="750">
        <f>AF16+AF65-AF81-AF33-BQ10-BQ11</f>
        <v>97501243</v>
      </c>
    </row>
    <row r="13" spans="1:69" ht="24.75" customHeight="1">
      <c r="A13" s="202" t="str">
        <f>+IF(ABRIL!A13=0,"",ABRIL!A13)</f>
        <v>1.0.02</v>
      </c>
      <c r="B13" s="203" t="str">
        <f>+IF(ABRIL!B13=0,"",ABRIL!B13)</f>
        <v>Bancos</v>
      </c>
      <c r="C13" s="204">
        <f>+ENERO!C13</f>
        <v>0</v>
      </c>
      <c r="D13" s="205">
        <f>ABRIL!D13+MAYO!P13</f>
        <v>0</v>
      </c>
      <c r="E13" s="205">
        <f>ABRIL!E13+MAYO!Q13</f>
        <v>554873586</v>
      </c>
      <c r="F13" s="206">
        <f>SUM(C13:E13)</f>
        <v>554873586</v>
      </c>
      <c r="G13" s="207">
        <f>ABRIL!I13</f>
        <v>554873586</v>
      </c>
      <c r="H13" s="208">
        <v>0</v>
      </c>
      <c r="I13" s="206">
        <f>SUM(G13:H13)</f>
        <v>554873586</v>
      </c>
      <c r="J13" s="207">
        <f>ABRIL!L13</f>
        <v>554873586</v>
      </c>
      <c r="K13" s="209">
        <f>+H13</f>
        <v>0</v>
      </c>
      <c r="L13" s="206">
        <f>SUM(J13:K13)</f>
        <v>554873586</v>
      </c>
      <c r="M13" s="207">
        <f>F13-I13</f>
        <v>0</v>
      </c>
      <c r="N13" s="206">
        <f>F13-L13</f>
        <v>0</v>
      </c>
      <c r="O13" s="67"/>
      <c r="P13" s="204">
        <v>0</v>
      </c>
      <c r="Q13" s="210">
        <v>0</v>
      </c>
      <c r="R13" s="101"/>
      <c r="S13" s="189"/>
      <c r="T13" s="488"/>
      <c r="U13" s="191"/>
      <c r="V13" s="191"/>
      <c r="W13" s="191"/>
      <c r="X13" s="191"/>
      <c r="Y13" s="191"/>
      <c r="Z13" s="191"/>
      <c r="AA13" s="191"/>
      <c r="AB13" s="191"/>
      <c r="AC13" s="191"/>
      <c r="AD13" s="191"/>
      <c r="AE13" s="191"/>
      <c r="AF13" s="191"/>
      <c r="AG13" s="191"/>
      <c r="AH13" s="191"/>
      <c r="AI13" s="191"/>
      <c r="AJ13" s="192"/>
      <c r="AK13" s="216"/>
      <c r="AL13" s="194"/>
      <c r="AM13" s="195"/>
      <c r="AN13" s="101"/>
      <c r="AO13" s="221"/>
      <c r="AP13" s="109" t="s">
        <v>115</v>
      </c>
      <c r="AQ13" s="138">
        <f>F90</f>
        <v>9662757523</v>
      </c>
      <c r="AR13" s="138">
        <f>I90</f>
        <v>4275773320</v>
      </c>
      <c r="AS13" s="138">
        <f>L90</f>
        <v>1505157563</v>
      </c>
      <c r="AT13" s="101"/>
      <c r="AU13" s="157">
        <f t="shared" si="0"/>
        <v>0.44250032248273774</v>
      </c>
      <c r="AV13" s="157">
        <f t="shared" si="1"/>
        <v>0.1557689468474516</v>
      </c>
      <c r="AW13" s="158">
        <f>I90</f>
        <v>4275773320</v>
      </c>
      <c r="AX13" s="158">
        <f>L90</f>
        <v>1505157563</v>
      </c>
      <c r="AY13" s="158">
        <f t="shared" si="2"/>
        <v>-5386984203</v>
      </c>
      <c r="AZ13" s="159">
        <f t="shared" si="3"/>
        <v>-8157599960</v>
      </c>
      <c r="BA13" s="67"/>
      <c r="BB13" s="236" t="s">
        <v>116</v>
      </c>
      <c r="BC13" s="223">
        <f>+F30+F33+F36+F38+F39+F40</f>
        <v>1140706891</v>
      </c>
      <c r="BD13" s="224">
        <f>+I30+I33+I36+I38+I39+I40</f>
        <v>653431489</v>
      </c>
      <c r="BE13" s="161">
        <f>SUM(K33)</f>
        <v>153546432</v>
      </c>
      <c r="BF13" s="226"/>
      <c r="BG13" s="227" t="s">
        <v>117</v>
      </c>
      <c r="BH13" s="199">
        <f t="shared" ref="BH13:BK15" si="10">BN29</f>
        <v>21574720366</v>
      </c>
      <c r="BI13" s="199">
        <f t="shared" si="10"/>
        <v>14238867873</v>
      </c>
      <c r="BJ13" s="199">
        <f t="shared" si="10"/>
        <v>7381233658</v>
      </c>
      <c r="BK13" s="199">
        <f t="shared" si="10"/>
        <v>1754773957</v>
      </c>
      <c r="BL13" s="101"/>
      <c r="BM13" s="745" t="s">
        <v>118</v>
      </c>
      <c r="BN13" s="188">
        <f>X43-X55+X57-X61+X90-X102+X104-X108</f>
        <v>2665651403.2960005</v>
      </c>
      <c r="BO13" s="575">
        <f>AA43-AA55+AA57-AA61+AA90-AA102+AA104-AA108</f>
        <v>782380784</v>
      </c>
      <c r="BP13" s="186">
        <f>AD43-AD55+AD57-AD61+AD90-AD102+AD104-AD108</f>
        <v>782380784</v>
      </c>
      <c r="BQ13" s="748">
        <f>AF43-AF55+AF57-AF61+AF90-AF102+AF104-AF108</f>
        <v>197951184</v>
      </c>
    </row>
    <row r="14" spans="1:69" ht="24.75" customHeight="1">
      <c r="A14" s="202" t="str">
        <f>+IF(ABRIL!A14=0,"",ABRIL!A14)</f>
        <v>1.0.03</v>
      </c>
      <c r="B14" s="203" t="str">
        <f>+IF(ABRIL!B14=0,"",ABRIL!B14)</f>
        <v>Inversiones Temporales</v>
      </c>
      <c r="C14" s="204">
        <f>+ENERO!C14</f>
        <v>0</v>
      </c>
      <c r="D14" s="205">
        <f>ABRIL!D14+MAYO!P14</f>
        <v>0</v>
      </c>
      <c r="E14" s="205">
        <f>ABRIL!E14+MAYO!Q14</f>
        <v>620662520</v>
      </c>
      <c r="F14" s="206">
        <f>SUM(C14:E14)</f>
        <v>620662520</v>
      </c>
      <c r="G14" s="207">
        <f>ABRIL!I14</f>
        <v>620662520</v>
      </c>
      <c r="H14" s="208">
        <v>0</v>
      </c>
      <c r="I14" s="206">
        <f>SUM(G14:H14)</f>
        <v>620662520</v>
      </c>
      <c r="J14" s="207">
        <f>ABRIL!L14</f>
        <v>620662520</v>
      </c>
      <c r="K14" s="209">
        <f>+H14</f>
        <v>0</v>
      </c>
      <c r="L14" s="206">
        <f>SUM(J14:K14)</f>
        <v>620662520</v>
      </c>
      <c r="M14" s="207">
        <f>F14-I14</f>
        <v>0</v>
      </c>
      <c r="N14" s="206">
        <f>F14-L14</f>
        <v>0</v>
      </c>
      <c r="O14" s="67"/>
      <c r="P14" s="204">
        <v>0</v>
      </c>
      <c r="Q14" s="210">
        <v>0</v>
      </c>
      <c r="R14" s="101"/>
      <c r="S14" s="228" t="str">
        <f>+IF(ABRIL!S14=0,"",ABRIL!S14)</f>
        <v>2.1.1.01</v>
      </c>
      <c r="T14" s="229" t="str">
        <f>+IF(ABRIL!T14=0,"",ABRIL!T14)</f>
        <v>Gastos de Administración</v>
      </c>
      <c r="U14" s="230">
        <f>U16+U35+U43+U57</f>
        <v>23848754297.879169</v>
      </c>
      <c r="V14" s="231">
        <f t="shared" ref="V14:AJ14" si="11">V16+V35+V43+V57</f>
        <v>737062130</v>
      </c>
      <c r="W14" s="231">
        <f t="shared" si="11"/>
        <v>0</v>
      </c>
      <c r="X14" s="234">
        <f t="shared" si="11"/>
        <v>24585816427.879169</v>
      </c>
      <c r="Y14" s="233">
        <f t="shared" si="11"/>
        <v>13536879490</v>
      </c>
      <c r="Z14" s="231">
        <f t="shared" si="11"/>
        <v>1226185957</v>
      </c>
      <c r="AA14" s="234">
        <f t="shared" si="11"/>
        <v>14763065447</v>
      </c>
      <c r="AB14" s="233">
        <f t="shared" si="11"/>
        <v>10339961460</v>
      </c>
      <c r="AC14" s="231">
        <f t="shared" si="11"/>
        <v>1977183972</v>
      </c>
      <c r="AD14" s="234">
        <f t="shared" si="11"/>
        <v>12317145432</v>
      </c>
      <c r="AE14" s="233">
        <f t="shared" si="11"/>
        <v>6841775505</v>
      </c>
      <c r="AF14" s="231">
        <f t="shared" si="11"/>
        <v>1861692262</v>
      </c>
      <c r="AG14" s="234">
        <f t="shared" si="11"/>
        <v>8703467767</v>
      </c>
      <c r="AH14" s="233">
        <f t="shared" si="11"/>
        <v>9822750980.8791676</v>
      </c>
      <c r="AI14" s="231">
        <f t="shared" si="11"/>
        <v>12268670995.879169</v>
      </c>
      <c r="AJ14" s="232">
        <f t="shared" si="11"/>
        <v>15882348660.879169</v>
      </c>
      <c r="AK14" s="216"/>
      <c r="AL14" s="233">
        <f>AL16+AL35+AL43+AL57</f>
        <v>-16937563</v>
      </c>
      <c r="AM14" s="232">
        <f>AM16+AM35+AM43+AM57</f>
        <v>0</v>
      </c>
      <c r="AN14" s="101"/>
      <c r="AO14" s="108"/>
      <c r="AP14" s="109" t="s">
        <v>120</v>
      </c>
      <c r="AQ14" s="138">
        <f>F19-AQ7-AQ8-AQ9-AQ10-AQ11-AQ12-AQ13</f>
        <v>7051886071.8896484</v>
      </c>
      <c r="AR14" s="138">
        <f>I19-AR7-AR8-AR9-AR10-AR11-AR12-AR13</f>
        <v>3713898437</v>
      </c>
      <c r="AS14" s="138">
        <f>L19-AS7-AS8-AS9-AS10-AS11-AS12-AS13</f>
        <v>1911518645</v>
      </c>
      <c r="AT14" s="67"/>
      <c r="AU14" s="157">
        <f t="shared" si="0"/>
        <v>0.52665321009714083</v>
      </c>
      <c r="AV14" s="157">
        <f t="shared" si="1"/>
        <v>0.27106487902856641</v>
      </c>
      <c r="AW14" s="158">
        <f>(I41+I46+I49+I52+I55+I58+I61+I64+I67+I70+I73+I78+I81+I82+I83+I85+I94+I104)/AO$2*12+I47+I50+I53+I56+I59+I62+I65+I68+I71+I74</f>
        <v>26515088015.599998</v>
      </c>
      <c r="AX14" s="158">
        <f>(L41+L46+L49+L52+L55+L58+L61+L64+L67+L70+L73+L78+L81+L82+L83+L85+L94+L104)/AO$2*12+L47+L50+L53+L56+L59+L62+L65+L68+L71+L74</f>
        <v>16010295227.599998</v>
      </c>
      <c r="AY14" s="158">
        <f t="shared" si="2"/>
        <v>19463201943.71035</v>
      </c>
      <c r="AZ14" s="159">
        <f t="shared" si="3"/>
        <v>8958409155.71035</v>
      </c>
      <c r="BA14" s="101"/>
      <c r="BB14" s="236" t="s">
        <v>121</v>
      </c>
      <c r="BC14" s="237">
        <f>+F64</f>
        <v>2137731076.9417498</v>
      </c>
      <c r="BD14" s="238">
        <f>+I64</f>
        <v>801217042</v>
      </c>
      <c r="BE14" s="239">
        <f>K64</f>
        <v>102460222</v>
      </c>
      <c r="BF14" s="240"/>
      <c r="BG14" s="227" t="s">
        <v>122</v>
      </c>
      <c r="BH14" s="186">
        <f t="shared" si="10"/>
        <v>3239175000</v>
      </c>
      <c r="BI14" s="186">
        <f t="shared" si="10"/>
        <v>549531288</v>
      </c>
      <c r="BJ14" s="186">
        <f t="shared" si="10"/>
        <v>549531288</v>
      </c>
      <c r="BK14" s="186">
        <f t="shared" si="10"/>
        <v>109027136</v>
      </c>
      <c r="BL14" s="101"/>
      <c r="BM14" s="752" t="s">
        <v>123</v>
      </c>
      <c r="BN14" s="201">
        <f>X35-X41+X83-X88</f>
        <v>61757306257</v>
      </c>
      <c r="BO14" s="199">
        <f>AA35-AA41+AA83-AA88</f>
        <v>41740562725</v>
      </c>
      <c r="BP14" s="199">
        <f>AD35-AD41+AD83-AD88</f>
        <v>28822297276</v>
      </c>
      <c r="BQ14" s="753">
        <f>AF35-AF41+AF83-AF88</f>
        <v>5051982815</v>
      </c>
    </row>
    <row r="15" spans="1:69" ht="24.75" customHeight="1" thickBot="1">
      <c r="A15" s="241">
        <f>+IF(ABRIL!A15=0,"",ABRIL!A15)</f>
        <v>1004</v>
      </c>
      <c r="B15" s="203" t="str">
        <f>+IF(ABRIL!B15=0,"",ABRIL!B15)</f>
        <v>Cesantias Ley 50/1990 a Dic-31-2024</v>
      </c>
      <c r="C15" s="242">
        <f>+ENERO!C15</f>
        <v>0</v>
      </c>
      <c r="D15" s="243">
        <f>ABRIL!D15+MAYO!P15</f>
        <v>0</v>
      </c>
      <c r="E15" s="243">
        <f>ABRIL!E15+MAYO!Q15</f>
        <v>0</v>
      </c>
      <c r="F15" s="244">
        <f>SUM(C15:E15)</f>
        <v>0</v>
      </c>
      <c r="G15" s="245">
        <f>ABRIL!I15</f>
        <v>0</v>
      </c>
      <c r="H15" s="246">
        <v>0</v>
      </c>
      <c r="I15" s="244">
        <f>SUM(G15:H15)</f>
        <v>0</v>
      </c>
      <c r="J15" s="245">
        <f>ABRIL!L15</f>
        <v>0</v>
      </c>
      <c r="K15" s="247">
        <f>+H15</f>
        <v>0</v>
      </c>
      <c r="L15" s="244">
        <f>SUM(J15:K15)</f>
        <v>0</v>
      </c>
      <c r="M15" s="245">
        <f>F15-I15</f>
        <v>0</v>
      </c>
      <c r="N15" s="244">
        <f>F15-L15</f>
        <v>0</v>
      </c>
      <c r="O15" s="67"/>
      <c r="P15" s="242">
        <v>0</v>
      </c>
      <c r="Q15" s="248">
        <v>0</v>
      </c>
      <c r="R15" s="101"/>
      <c r="S15" s="189" t="str">
        <f>+IF(ABRIL!S15=0,"",ABRIL!S15)</f>
        <v/>
      </c>
      <c r="T15" s="488" t="str">
        <f>+IF(ABRIL!T15=0,"",ABRIL!T15)</f>
        <v xml:space="preserve"> </v>
      </c>
      <c r="U15" s="191"/>
      <c r="V15" s="191"/>
      <c r="W15" s="191"/>
      <c r="X15" s="191"/>
      <c r="Y15" s="191"/>
      <c r="Z15" s="191"/>
      <c r="AA15" s="191"/>
      <c r="AB15" s="191"/>
      <c r="AC15" s="191"/>
      <c r="AD15" s="191"/>
      <c r="AE15" s="191"/>
      <c r="AF15" s="191"/>
      <c r="AG15" s="191"/>
      <c r="AH15" s="191"/>
      <c r="AI15" s="191"/>
      <c r="AJ15" s="192"/>
      <c r="AK15" s="216"/>
      <c r="AL15" s="249"/>
      <c r="AM15" s="250"/>
      <c r="AN15" s="101"/>
      <c r="AO15" s="221"/>
      <c r="AP15" s="109" t="s">
        <v>124</v>
      </c>
      <c r="AQ15" s="138">
        <f>F113</f>
        <v>0</v>
      </c>
      <c r="AR15" s="138">
        <f>I113</f>
        <v>0</v>
      </c>
      <c r="AS15" s="138">
        <f>L113</f>
        <v>0</v>
      </c>
      <c r="AT15" s="101"/>
      <c r="AU15" s="157" t="str">
        <f t="shared" si="0"/>
        <v xml:space="preserve"> </v>
      </c>
      <c r="AV15" s="157" t="str">
        <f t="shared" si="1"/>
        <v xml:space="preserve"> </v>
      </c>
      <c r="AW15" s="138">
        <f>+AR15</f>
        <v>0</v>
      </c>
      <c r="AX15" s="138">
        <f>+AS15</f>
        <v>0</v>
      </c>
      <c r="AY15" s="138">
        <f t="shared" si="2"/>
        <v>0</v>
      </c>
      <c r="AZ15" s="140">
        <f t="shared" si="3"/>
        <v>0</v>
      </c>
      <c r="BA15" s="67"/>
      <c r="BB15" s="236" t="s">
        <v>125</v>
      </c>
      <c r="BC15" s="237">
        <f>F46+F49</f>
        <v>976431378</v>
      </c>
      <c r="BD15" s="238">
        <f>I46+I49</f>
        <v>217269107</v>
      </c>
      <c r="BE15" s="239">
        <f>K46</f>
        <v>0</v>
      </c>
      <c r="BF15" s="240"/>
      <c r="BG15" s="227" t="s">
        <v>126</v>
      </c>
      <c r="BH15" s="186">
        <f t="shared" si="10"/>
        <v>33666386787.222057</v>
      </c>
      <c r="BI15" s="186">
        <f t="shared" si="10"/>
        <v>26892042076</v>
      </c>
      <c r="BJ15" s="186">
        <f t="shared" si="10"/>
        <v>26885842076</v>
      </c>
      <c r="BK15" s="186">
        <f t="shared" si="10"/>
        <v>2375661444</v>
      </c>
      <c r="BL15" s="101"/>
      <c r="BM15" s="743" t="s">
        <v>104</v>
      </c>
      <c r="BN15" s="188">
        <f>SUM(BN16:BN21)</f>
        <v>18026867687.398609</v>
      </c>
      <c r="BO15" s="186">
        <f>SUM(BO16:BO21)</f>
        <v>9178124285</v>
      </c>
      <c r="BP15" s="186">
        <f>SUM(BP16:BP21)</f>
        <v>5761131240</v>
      </c>
      <c r="BQ15" s="754">
        <f>SUM(BQ16:BQ21)</f>
        <v>1122672482</v>
      </c>
    </row>
    <row r="16" spans="1:69" ht="24.75" customHeight="1" thickBot="1">
      <c r="A16" s="251" t="str">
        <f>+IF(ABRIL!A16=0,"",ABRIL!A16)</f>
        <v/>
      </c>
      <c r="B16" s="252" t="str">
        <f>+IF(ABRIL!B16=0,"",ABRIL!B16)</f>
        <v/>
      </c>
      <c r="C16" s="253"/>
      <c r="D16" s="253"/>
      <c r="E16" s="253"/>
      <c r="F16" s="253"/>
      <c r="G16" s="253"/>
      <c r="H16" s="253"/>
      <c r="I16" s="253"/>
      <c r="J16" s="253"/>
      <c r="K16" s="253"/>
      <c r="L16" s="253"/>
      <c r="M16" s="253"/>
      <c r="N16" s="254"/>
      <c r="O16" s="67"/>
      <c r="P16" s="255"/>
      <c r="Q16" s="256"/>
      <c r="R16" s="101"/>
      <c r="S16" s="257" t="str">
        <f>+IF(ABRIL!S16=0,"",ABRIL!S16)</f>
        <v>2.1.1.01.01</v>
      </c>
      <c r="T16" s="546" t="str">
        <f>+IF(ABRIL!T16=0,"",ABRIL!T16)</f>
        <v>Servicios Personales Asociados a Nómina</v>
      </c>
      <c r="U16" s="230">
        <f t="shared" ref="U16:AJ16" si="12">SUM(U17:U20)+U33</f>
        <v>8136453797.916667</v>
      </c>
      <c r="V16" s="231">
        <f t="shared" si="12"/>
        <v>-45937870</v>
      </c>
      <c r="W16" s="231">
        <f t="shared" si="12"/>
        <v>0</v>
      </c>
      <c r="X16" s="234">
        <f t="shared" si="12"/>
        <v>8090515927.916667</v>
      </c>
      <c r="Y16" s="233">
        <f t="shared" si="12"/>
        <v>1956908063</v>
      </c>
      <c r="Z16" s="231">
        <f t="shared" si="12"/>
        <v>499603507</v>
      </c>
      <c r="AA16" s="234">
        <f t="shared" si="12"/>
        <v>2456511570</v>
      </c>
      <c r="AB16" s="233">
        <f t="shared" si="12"/>
        <v>1956908063</v>
      </c>
      <c r="AC16" s="231">
        <f t="shared" si="12"/>
        <v>499603507</v>
      </c>
      <c r="AD16" s="234">
        <f t="shared" si="12"/>
        <v>2456511570</v>
      </c>
      <c r="AE16" s="233">
        <f t="shared" si="12"/>
        <v>1950035154</v>
      </c>
      <c r="AF16" s="231">
        <f t="shared" si="12"/>
        <v>506476416</v>
      </c>
      <c r="AG16" s="234">
        <f t="shared" si="12"/>
        <v>2456511570</v>
      </c>
      <c r="AH16" s="233">
        <f t="shared" si="12"/>
        <v>5634004357.916667</v>
      </c>
      <c r="AI16" s="231">
        <f t="shared" si="12"/>
        <v>5634004357.916667</v>
      </c>
      <c r="AJ16" s="232">
        <f t="shared" si="12"/>
        <v>5634004357.916667</v>
      </c>
      <c r="AK16" s="216"/>
      <c r="AL16" s="233">
        <f>SUM(AL17:AL20)+AL33</f>
        <v>-16937563</v>
      </c>
      <c r="AM16" s="232">
        <f>SUM(AM17:AM20)+AM33</f>
        <v>0</v>
      </c>
      <c r="AN16" s="101"/>
      <c r="AO16" s="108"/>
      <c r="AP16" s="259" t="s">
        <v>128</v>
      </c>
      <c r="AQ16" s="260">
        <f>F10</f>
        <v>1179477265</v>
      </c>
      <c r="AR16" s="260">
        <f>I10</f>
        <v>1179477265</v>
      </c>
      <c r="AS16" s="260">
        <f>L10</f>
        <v>1179477265</v>
      </c>
      <c r="AT16" s="67"/>
      <c r="AU16" s="261">
        <f t="shared" si="0"/>
        <v>1</v>
      </c>
      <c r="AV16" s="261">
        <f t="shared" si="1"/>
        <v>1</v>
      </c>
      <c r="AW16" s="260">
        <f>+AR16</f>
        <v>1179477265</v>
      </c>
      <c r="AX16" s="260">
        <f>+AS16</f>
        <v>1179477265</v>
      </c>
      <c r="AY16" s="138">
        <f t="shared" si="2"/>
        <v>0</v>
      </c>
      <c r="AZ16" s="262">
        <f t="shared" si="3"/>
        <v>0</v>
      </c>
      <c r="BA16" s="67"/>
      <c r="BB16" s="185" t="s">
        <v>129</v>
      </c>
      <c r="BC16" s="161">
        <f>F43</f>
        <v>0</v>
      </c>
      <c r="BD16" s="162">
        <f>I43</f>
        <v>19989917</v>
      </c>
      <c r="BE16" s="237">
        <f>SUM(K86:K91)</f>
        <v>1115265071</v>
      </c>
      <c r="BF16" s="164"/>
      <c r="BG16" s="227" t="s">
        <v>130</v>
      </c>
      <c r="BH16" s="263">
        <f>BH7+BH12+BH13+BH14+BH15</f>
        <v>187805533529.16663</v>
      </c>
      <c r="BI16" s="263">
        <f>BI7+BI12+BI13+BI14+BI15</f>
        <v>122192814379</v>
      </c>
      <c r="BJ16" s="263">
        <f>BJ7+BJ12+BJ13+BJ14+BJ15</f>
        <v>91633054485</v>
      </c>
      <c r="BK16" s="263">
        <f>BK7+BK12+BK13+BK14+BK15</f>
        <v>14689687191</v>
      </c>
      <c r="BL16" s="101"/>
      <c r="BM16" s="745" t="s">
        <v>131</v>
      </c>
      <c r="BN16" s="188">
        <f>SUM(X115+X116+X117+X149)</f>
        <v>1583007702.1208334</v>
      </c>
      <c r="BO16" s="188">
        <f>SUM(AA115+AA116+AA117+AA149)</f>
        <v>928652971</v>
      </c>
      <c r="BP16" s="188">
        <f>SUM(AD115+AD116+AD117+AD149)</f>
        <v>584207579</v>
      </c>
      <c r="BQ16" s="188">
        <f>SUM(AF115+AF116+AF117+AF149)</f>
        <v>130883227</v>
      </c>
    </row>
    <row r="17" spans="1:69" ht="24.75" customHeight="1" thickBot="1">
      <c r="A17" s="169" t="str">
        <f>+IF(ABRIL!A17=0,"",ABRIL!A17)</f>
        <v>1.1</v>
      </c>
      <c r="B17" s="265" t="str">
        <f>+IF(ABRIL!B17=0,"",ABRIL!B17)</f>
        <v>INGRESOS  CORRIENTES</v>
      </c>
      <c r="C17" s="127">
        <f t="shared" ref="C17:N17" si="13">C19+C94+C104</f>
        <v>158143153137.47653</v>
      </c>
      <c r="D17" s="125">
        <f t="shared" si="13"/>
        <v>0</v>
      </c>
      <c r="E17" s="125">
        <f t="shared" si="13"/>
        <v>28482903127</v>
      </c>
      <c r="F17" s="125">
        <f t="shared" si="13"/>
        <v>186626056264.47653</v>
      </c>
      <c r="G17" s="125">
        <f t="shared" si="13"/>
        <v>89326825552</v>
      </c>
      <c r="H17" s="125">
        <f t="shared" si="13"/>
        <v>20492205449</v>
      </c>
      <c r="I17" s="125">
        <f t="shared" si="13"/>
        <v>109819031001</v>
      </c>
      <c r="J17" s="125">
        <f t="shared" si="13"/>
        <v>46509016587</v>
      </c>
      <c r="K17" s="125">
        <f t="shared" si="13"/>
        <v>14642988093</v>
      </c>
      <c r="L17" s="125">
        <f t="shared" si="13"/>
        <v>61152004680</v>
      </c>
      <c r="M17" s="125">
        <f t="shared" si="13"/>
        <v>76807025263.476501</v>
      </c>
      <c r="N17" s="128">
        <f t="shared" si="13"/>
        <v>125474051584.47652</v>
      </c>
      <c r="O17" s="67"/>
      <c r="P17" s="171">
        <f>P19+P94+P104</f>
        <v>0</v>
      </c>
      <c r="Q17" s="173">
        <f>Q19+Q94+Q104</f>
        <v>7054239958</v>
      </c>
      <c r="R17" s="101"/>
      <c r="S17" s="266" t="str">
        <f>+IF(ABRIL!S17=0,"",ABRIL!S17)</f>
        <v>2.1.1.01.01.001.01</v>
      </c>
      <c r="T17" s="267" t="str">
        <f>+IF(ABRIL!T17=0,"",ABRIL!T17)</f>
        <v>Sueldos del Personal de nómina</v>
      </c>
      <c r="U17" s="373">
        <f>+ENERO!U17</f>
        <v>6531851100</v>
      </c>
      <c r="V17" s="220">
        <f>ABRIL!V17+MAYO!AL17</f>
        <v>-66937870</v>
      </c>
      <c r="W17" s="220">
        <f>ABRIL!W17+MAYO!AM17</f>
        <v>0</v>
      </c>
      <c r="X17" s="271">
        <f>SUM(U17:W17)</f>
        <v>6464913230</v>
      </c>
      <c r="Y17" s="270">
        <f>ABRIL!AA17</f>
        <v>1655841162</v>
      </c>
      <c r="Z17" s="208">
        <v>407723024</v>
      </c>
      <c r="AA17" s="271">
        <f>SUM(Y17:Z17)</f>
        <v>2063564186</v>
      </c>
      <c r="AB17" s="270">
        <f>ABRIL!AD17</f>
        <v>1655841162</v>
      </c>
      <c r="AC17" s="208">
        <v>407723024</v>
      </c>
      <c r="AD17" s="271">
        <f>SUM(AB17:AC17)</f>
        <v>2063564186</v>
      </c>
      <c r="AE17" s="270">
        <f>ABRIL!AG17</f>
        <v>1655841162</v>
      </c>
      <c r="AF17" s="208">
        <v>407723024</v>
      </c>
      <c r="AG17" s="271">
        <f>SUM(AE17:AF17)</f>
        <v>2063564186</v>
      </c>
      <c r="AH17" s="270">
        <f>X17-AA17</f>
        <v>4401349044</v>
      </c>
      <c r="AI17" s="220">
        <f>X17-AD17</f>
        <v>4401349044</v>
      </c>
      <c r="AJ17" s="269">
        <f>X17-AG17</f>
        <v>4401349044</v>
      </c>
      <c r="AK17" s="101"/>
      <c r="AL17" s="204">
        <v>-16937563</v>
      </c>
      <c r="AM17" s="210">
        <v>0</v>
      </c>
      <c r="AN17" s="101"/>
      <c r="AO17" s="156"/>
      <c r="AP17" s="272" t="s">
        <v>134</v>
      </c>
      <c r="AQ17" s="273">
        <f>SUM(AQ7:AQ16)</f>
        <v>186873571850.47653</v>
      </c>
      <c r="AR17" s="274">
        <f>SUM(AR7:AR16)</f>
        <v>110819063418</v>
      </c>
      <c r="AS17" s="275">
        <f>SUM(AS7:AS16)</f>
        <v>62157570336</v>
      </c>
      <c r="AT17" s="276"/>
      <c r="AU17" s="274">
        <f t="shared" si="0"/>
        <v>0.59301624258924024</v>
      </c>
      <c r="AV17" s="274">
        <f t="shared" si="1"/>
        <v>0.33261830295476047</v>
      </c>
      <c r="AW17" s="277">
        <f>SUM(AX7:AX16)</f>
        <v>99980135386</v>
      </c>
      <c r="AX17" s="277">
        <f>SUM(AX7:AX16)</f>
        <v>99980135386</v>
      </c>
      <c r="AY17" s="277">
        <f>SUM(AY7:AY16)</f>
        <v>32527323647.523468</v>
      </c>
      <c r="AZ17" s="278">
        <f>SUM(AZ7:AZ16)</f>
        <v>-86893436464.476532</v>
      </c>
      <c r="BA17" s="101"/>
      <c r="BB17" s="185" t="s">
        <v>135</v>
      </c>
      <c r="BC17" s="161">
        <f>F41+F52+F55+F58+F61+F67+F70+F73+F76+F79+F82+F86+F87+F88+F89+F90+F91</f>
        <v>24228242898.847889</v>
      </c>
      <c r="BD17" s="162">
        <f>I41+I52+I55+I58+I61+I67+I70+I73+I76+I79+I82+I86+I87+I88+I89+I90+I91</f>
        <v>9145224290</v>
      </c>
      <c r="BE17" s="161">
        <f>SUM(K43+K49+K46+K49+K52+K55+K58+K61+K67+K70+K73+K79+K76+K82)</f>
        <v>51834619</v>
      </c>
      <c r="BF17" s="164"/>
      <c r="BG17" s="279" t="s">
        <v>136</v>
      </c>
      <c r="BH17" s="280">
        <f>BC23-BH16</f>
        <v>-187805533529.16663</v>
      </c>
      <c r="BI17" s="280"/>
      <c r="BJ17" s="280"/>
      <c r="BK17" s="280"/>
      <c r="BL17" s="67"/>
      <c r="BM17" s="745" t="s">
        <v>137</v>
      </c>
      <c r="BN17" s="188">
        <f>X124+X127+X128+X129+X130+X131+X132+X133+X134+X135+X136+X125+X137+X138</f>
        <v>4777970291.2777777</v>
      </c>
      <c r="BO17" s="188">
        <f>AA124+AA127+AA128+AA129+AA130+AA131+AA132+AA133+AA134+AA135+AA136+AA125+AA137+AA138</f>
        <v>4192559882</v>
      </c>
      <c r="BP17" s="188">
        <f>AD124+AD127+AD128+AD129+AD130+AD131+AD132+AD133+AD134+AD135+AD136+AD125+AD137+AD138</f>
        <v>2271985512</v>
      </c>
      <c r="BQ17" s="188">
        <f>AF124+AF127+AF128+AF129+AF130+AF131+AF132+AF133+AF134+AF135+AF136+AF125+AF137+AF138</f>
        <v>331785223</v>
      </c>
    </row>
    <row r="18" spans="1:69" ht="24.75" customHeight="1" thickBot="1">
      <c r="A18" s="202">
        <f>+IF(ABRIL!A18=0,"",ABRIL!A18)</f>
        <v>399373312</v>
      </c>
      <c r="B18" s="282">
        <f>+IF(ABRIL!B18=0,"",ABRIL!B18)</f>
        <v>399373312</v>
      </c>
      <c r="C18" s="67"/>
      <c r="D18" s="67"/>
      <c r="E18" s="67"/>
      <c r="F18" s="67"/>
      <c r="G18" s="67"/>
      <c r="H18" s="67"/>
      <c r="I18" s="67"/>
      <c r="J18" s="67"/>
      <c r="K18" s="67"/>
      <c r="L18" s="67"/>
      <c r="M18" s="67"/>
      <c r="N18" s="283"/>
      <c r="O18" s="101"/>
      <c r="P18" s="284"/>
      <c r="Q18" s="285"/>
      <c r="R18" s="101"/>
      <c r="S18" s="266" t="str">
        <f>+IF(ABRIL!S18=0,"",ABRIL!S18)</f>
        <v>2.1.1.01.01.001.02</v>
      </c>
      <c r="T18" s="267" t="str">
        <f>+IF(ABRIL!T18=0,"",ABRIL!T18)</f>
        <v>Horas Extras,Dominic.,Festivos y Rec. Nocturnos</v>
      </c>
      <c r="U18" s="373">
        <f>+ENERO!U18</f>
        <v>17000000</v>
      </c>
      <c r="V18" s="220">
        <f>ABRIL!V18+MAYO!AL18</f>
        <v>0</v>
      </c>
      <c r="W18" s="220">
        <f>ABRIL!W18+MAYO!AM18</f>
        <v>0</v>
      </c>
      <c r="X18" s="271">
        <f>SUM(U18:W18)</f>
        <v>17000000</v>
      </c>
      <c r="Y18" s="270">
        <f>ABRIL!AA18</f>
        <v>3946596</v>
      </c>
      <c r="Z18" s="208">
        <v>1252149</v>
      </c>
      <c r="AA18" s="271">
        <f>SUM(Y18:Z18)</f>
        <v>5198745</v>
      </c>
      <c r="AB18" s="270">
        <f>ABRIL!AD18</f>
        <v>3946596</v>
      </c>
      <c r="AC18" s="208">
        <v>1252149</v>
      </c>
      <c r="AD18" s="271">
        <f>SUM(AB18:AC18)</f>
        <v>5198745</v>
      </c>
      <c r="AE18" s="270">
        <f>ABRIL!AG18</f>
        <v>3946596</v>
      </c>
      <c r="AF18" s="208">
        <v>1252149</v>
      </c>
      <c r="AG18" s="271">
        <f>SUM(AE18:AF18)</f>
        <v>5198745</v>
      </c>
      <c r="AH18" s="270">
        <f>X18-AA18</f>
        <v>11801255</v>
      </c>
      <c r="AI18" s="220">
        <f>X18-AD18</f>
        <v>11801255</v>
      </c>
      <c r="AJ18" s="269">
        <f>X18-AG18</f>
        <v>11801255</v>
      </c>
      <c r="AK18" s="101"/>
      <c r="AL18" s="204">
        <v>0</v>
      </c>
      <c r="AM18" s="210">
        <v>0</v>
      </c>
      <c r="AN18" s="101"/>
      <c r="AO18" s="108"/>
      <c r="AP18" s="67" t="s">
        <v>92</v>
      </c>
      <c r="AQ18" s="67"/>
      <c r="AR18" s="67"/>
      <c r="AS18" s="67"/>
      <c r="AT18" s="67"/>
      <c r="AU18" s="67"/>
      <c r="AV18" s="67"/>
      <c r="AW18" s="67"/>
      <c r="AX18" s="67"/>
      <c r="AY18" s="67"/>
      <c r="AZ18" s="67"/>
      <c r="BA18" s="67"/>
      <c r="BB18" s="236" t="s">
        <v>139</v>
      </c>
      <c r="BC18" s="161">
        <f>+F95+F96+F97+F99</f>
        <v>0</v>
      </c>
      <c r="BD18" s="162">
        <f>+I95+I96+I97+I99</f>
        <v>0</v>
      </c>
      <c r="BE18" s="163">
        <f>+K95+K96+K97+K99</f>
        <v>0</v>
      </c>
      <c r="BF18" s="240"/>
      <c r="BG18" s="101"/>
      <c r="BH18" s="101"/>
      <c r="BI18" s="101"/>
      <c r="BJ18" s="101"/>
      <c r="BK18" s="101"/>
      <c r="BL18" s="101"/>
      <c r="BM18" s="745" t="s">
        <v>140</v>
      </c>
      <c r="BN18" s="188">
        <f>X118+X120+X148+X156+X157-X166</f>
        <v>8493867034.999999</v>
      </c>
      <c r="BO18" s="188">
        <f>AA118+AA120+AA148+AA156+AA157-AA166</f>
        <v>2697525952</v>
      </c>
      <c r="BP18" s="188">
        <f>AD118+AD120+AD148+AD156+AD157-AD166</f>
        <v>1561545015</v>
      </c>
      <c r="BQ18" s="188">
        <f>AF118+AF120+AF148+AF156+AF157-AF166</f>
        <v>363611820</v>
      </c>
    </row>
    <row r="19" spans="1:69" ht="24.75" customHeight="1" thickBot="1">
      <c r="A19" s="286">
        <f>+IF(ABRIL!A19=0,"",ABRIL!A19)</f>
        <v>113</v>
      </c>
      <c r="B19" s="287" t="str">
        <f>+IF(ABRIL!B19=0,"",ABRIL!B19)</f>
        <v>VENTA DE SERVICIOS</v>
      </c>
      <c r="C19" s="127">
        <f t="shared" ref="C19:N19" si="14">C21+C85</f>
        <v>157258153137.47653</v>
      </c>
      <c r="D19" s="125">
        <f t="shared" si="14"/>
        <v>0</v>
      </c>
      <c r="E19" s="125">
        <f t="shared" si="14"/>
        <v>28435941448</v>
      </c>
      <c r="F19" s="128">
        <f t="shared" si="14"/>
        <v>185694094585.47653</v>
      </c>
      <c r="G19" s="127">
        <f t="shared" si="14"/>
        <v>89176300332</v>
      </c>
      <c r="H19" s="125">
        <f t="shared" si="14"/>
        <v>20463285821</v>
      </c>
      <c r="I19" s="128">
        <f t="shared" si="14"/>
        <v>109639586153</v>
      </c>
      <c r="J19" s="127">
        <f t="shared" si="14"/>
        <v>46361647220</v>
      </c>
      <c r="K19" s="125">
        <f t="shared" si="14"/>
        <v>14616445851</v>
      </c>
      <c r="L19" s="128">
        <f t="shared" si="14"/>
        <v>60978093071</v>
      </c>
      <c r="M19" s="127">
        <f t="shared" si="14"/>
        <v>76054508432.476501</v>
      </c>
      <c r="N19" s="128">
        <f t="shared" si="14"/>
        <v>124716001514.47652</v>
      </c>
      <c r="O19" s="67"/>
      <c r="P19" s="288">
        <f>P21+P85</f>
        <v>0</v>
      </c>
      <c r="Q19" s="289">
        <f>Q21+Q85</f>
        <v>7054239958</v>
      </c>
      <c r="R19" s="101"/>
      <c r="S19" s="266">
        <f>+IF(ABRIL!S19=0,"",ABRIL!S19)</f>
        <v>1010103</v>
      </c>
      <c r="T19" s="267" t="str">
        <f>+IF(ABRIL!T19=0,"",ABRIL!T19)</f>
        <v>Prima Técnica</v>
      </c>
      <c r="U19" s="373">
        <f>+ENERO!U19</f>
        <v>0</v>
      </c>
      <c r="V19" s="220">
        <f>ABRIL!V19+MAYO!AL19</f>
        <v>0</v>
      </c>
      <c r="W19" s="220">
        <f>ABRIL!W19+MAYO!AM19</f>
        <v>0</v>
      </c>
      <c r="X19" s="271">
        <f>SUM(U19:W19)</f>
        <v>0</v>
      </c>
      <c r="Y19" s="270">
        <f>ABRIL!AA19</f>
        <v>0</v>
      </c>
      <c r="Z19" s="208">
        <v>0</v>
      </c>
      <c r="AA19" s="271">
        <f>SUM(Y19:Z19)</f>
        <v>0</v>
      </c>
      <c r="AB19" s="270">
        <f>ABRIL!AD19</f>
        <v>0</v>
      </c>
      <c r="AC19" s="208">
        <v>0</v>
      </c>
      <c r="AD19" s="271">
        <f>SUM(AB19:AC19)</f>
        <v>0</v>
      </c>
      <c r="AE19" s="270">
        <f>ABRIL!AG19</f>
        <v>0</v>
      </c>
      <c r="AF19" s="208">
        <v>0</v>
      </c>
      <c r="AG19" s="271">
        <f>SUM(AE19:AF19)</f>
        <v>0</v>
      </c>
      <c r="AH19" s="270">
        <f>X19-AA19</f>
        <v>0</v>
      </c>
      <c r="AI19" s="220">
        <f>X19-AD19</f>
        <v>0</v>
      </c>
      <c r="AJ19" s="269">
        <f>X19-AG19</f>
        <v>0</v>
      </c>
      <c r="AK19" s="101"/>
      <c r="AL19" s="204">
        <v>0</v>
      </c>
      <c r="AM19" s="210">
        <v>0</v>
      </c>
      <c r="AN19" s="101"/>
      <c r="AO19" s="108"/>
      <c r="AP19" s="290"/>
      <c r="AQ19" s="291" t="s">
        <v>52</v>
      </c>
      <c r="AR19" s="292" t="s">
        <v>31</v>
      </c>
      <c r="AS19" s="293" t="s">
        <v>143</v>
      </c>
      <c r="AT19" s="292" t="s">
        <v>55</v>
      </c>
      <c r="AU19" s="294" t="s">
        <v>55</v>
      </c>
      <c r="AV19" s="295" t="s">
        <v>55</v>
      </c>
      <c r="AW19" s="1328" t="str">
        <f>+CONCATENATE("PROYECCION A DICIEMBRE 31 DEL ",N3)</f>
        <v>PROYECCION A DICIEMBRE 31 DEL 2025</v>
      </c>
      <c r="AX19" s="1322"/>
      <c r="AY19" s="1322"/>
      <c r="AZ19" s="1323"/>
      <c r="BA19" s="67"/>
      <c r="BB19" s="296" t="s">
        <v>144</v>
      </c>
      <c r="BC19" s="297">
        <f>+F105+F106+F107+F108+F109+F110+F98+F100+F101</f>
        <v>912224890</v>
      </c>
      <c r="BD19" s="238">
        <f>+I105+I106+I107+I108+I109+I110+I98+I100+I101</f>
        <v>159708059</v>
      </c>
      <c r="BE19" s="239">
        <f>+K105+K106+K107+K108+K109+K110+K98+K100+K101</f>
        <v>26542242</v>
      </c>
      <c r="BF19" s="117"/>
      <c r="BG19" s="67"/>
      <c r="BH19" s="67">
        <f>BN33</f>
        <v>0</v>
      </c>
      <c r="BI19" s="67"/>
      <c r="BJ19" s="67"/>
      <c r="BK19" s="67"/>
      <c r="BL19" s="101"/>
      <c r="BM19" s="745" t="s">
        <v>145</v>
      </c>
      <c r="BN19" s="188">
        <f>X126</f>
        <v>2624022659</v>
      </c>
      <c r="BO19" s="188">
        <f>AA126</f>
        <v>1190544467</v>
      </c>
      <c r="BP19" s="188">
        <f>AD126</f>
        <v>1174552121</v>
      </c>
      <c r="BQ19" s="755">
        <f>AF126</f>
        <v>215156139</v>
      </c>
    </row>
    <row r="20" spans="1:69" ht="24.75" customHeight="1" thickBot="1">
      <c r="A20" s="202" t="str">
        <f>+IF(ABRIL!A20=0,"",ABRIL!A20)</f>
        <v/>
      </c>
      <c r="B20" s="298" t="str">
        <f>+IF(ABRIL!B20=0,"",ABRIL!B20)</f>
        <v/>
      </c>
      <c r="C20" s="67"/>
      <c r="D20" s="67"/>
      <c r="E20" s="67"/>
      <c r="F20" s="67"/>
      <c r="G20" s="67"/>
      <c r="H20" s="67"/>
      <c r="I20" s="67"/>
      <c r="J20" s="67"/>
      <c r="K20" s="67"/>
      <c r="L20" s="67"/>
      <c r="M20" s="67"/>
      <c r="N20" s="283"/>
      <c r="O20" s="101"/>
      <c r="P20" s="284"/>
      <c r="Q20" s="285"/>
      <c r="R20" s="101"/>
      <c r="S20" s="266">
        <f>+IF(ABRIL!S20=0,"",ABRIL!S20)</f>
        <v>1010104</v>
      </c>
      <c r="T20" s="267" t="str">
        <f>+IF(ABRIL!T20=0,"",ABRIL!T20)</f>
        <v>Otros</v>
      </c>
      <c r="U20" s="373">
        <f t="shared" ref="U20:AJ20" si="15">SUM(U21:U32)</f>
        <v>1587602697.9166667</v>
      </c>
      <c r="V20" s="220">
        <f t="shared" si="15"/>
        <v>21000000</v>
      </c>
      <c r="W20" s="220">
        <f t="shared" si="15"/>
        <v>0</v>
      </c>
      <c r="X20" s="271">
        <f t="shared" si="15"/>
        <v>1608602697.9166667</v>
      </c>
      <c r="Y20" s="270">
        <f t="shared" si="15"/>
        <v>297120305</v>
      </c>
      <c r="Z20" s="300">
        <f t="shared" si="15"/>
        <v>90628334</v>
      </c>
      <c r="AA20" s="271">
        <f t="shared" si="15"/>
        <v>387748639</v>
      </c>
      <c r="AB20" s="270">
        <f t="shared" si="15"/>
        <v>297120305</v>
      </c>
      <c r="AC20" s="300">
        <f t="shared" si="15"/>
        <v>90628334</v>
      </c>
      <c r="AD20" s="271">
        <f t="shared" si="15"/>
        <v>387748639</v>
      </c>
      <c r="AE20" s="270">
        <f t="shared" si="15"/>
        <v>290247396</v>
      </c>
      <c r="AF20" s="300">
        <f t="shared" si="15"/>
        <v>97501243</v>
      </c>
      <c r="AG20" s="271">
        <f t="shared" si="15"/>
        <v>387748639</v>
      </c>
      <c r="AH20" s="270">
        <f t="shared" si="15"/>
        <v>1220854058.9166667</v>
      </c>
      <c r="AI20" s="220">
        <f t="shared" si="15"/>
        <v>1220854058.9166667</v>
      </c>
      <c r="AJ20" s="269">
        <f t="shared" si="15"/>
        <v>1220854058.9166667</v>
      </c>
      <c r="AK20" s="101"/>
      <c r="AL20" s="301">
        <f>SUM(AL21:AL32)</f>
        <v>0</v>
      </c>
      <c r="AM20" s="302">
        <f>SUM(AM21:AM32)</f>
        <v>0</v>
      </c>
      <c r="AN20" s="101"/>
      <c r="AO20" s="156"/>
      <c r="AP20" s="303" t="s">
        <v>65</v>
      </c>
      <c r="AQ20" s="304" t="s">
        <v>75</v>
      </c>
      <c r="AR20" s="304" t="s">
        <v>66</v>
      </c>
      <c r="AS20" s="305" t="s">
        <v>66</v>
      </c>
      <c r="AT20" s="304" t="s">
        <v>67</v>
      </c>
      <c r="AU20" s="306" t="s">
        <v>68</v>
      </c>
      <c r="AV20" s="306" t="s">
        <v>68</v>
      </c>
      <c r="AW20" s="306" t="s">
        <v>31</v>
      </c>
      <c r="AX20" s="306" t="s">
        <v>34</v>
      </c>
      <c r="AY20" s="306" t="s">
        <v>147</v>
      </c>
      <c r="AZ20" s="307" t="s">
        <v>147</v>
      </c>
      <c r="BA20" s="67"/>
      <c r="BB20" s="308" t="s">
        <v>148</v>
      </c>
      <c r="BC20" s="142">
        <f>+F115+F117+F119+F120+F121+F123+F124</f>
        <v>0</v>
      </c>
      <c r="BD20" s="143">
        <f>+I115+I117+I119+I120+I121+I123+I124</f>
        <v>0</v>
      </c>
      <c r="BE20" s="144">
        <f>+K115+K117+K119+K120+K121+K123+K124</f>
        <v>0</v>
      </c>
      <c r="BF20" s="117"/>
      <c r="BG20" s="67"/>
      <c r="BH20" s="67">
        <f>BH19-BH16</f>
        <v>-187805533529.16663</v>
      </c>
      <c r="BI20" s="67"/>
      <c r="BJ20" s="67"/>
      <c r="BK20" s="67"/>
      <c r="BL20" s="67"/>
      <c r="BM20" s="745" t="s">
        <v>149</v>
      </c>
      <c r="BN20" s="188">
        <f>+X141</f>
        <v>548000000</v>
      </c>
      <c r="BO20" s="188">
        <f>+AA141</f>
        <v>168841013</v>
      </c>
      <c r="BP20" s="188">
        <f>+AD141</f>
        <v>168841013</v>
      </c>
      <c r="BQ20" s="755">
        <f>+AF141</f>
        <v>81236073</v>
      </c>
    </row>
    <row r="21" spans="1:69" ht="24.75" customHeight="1" thickBot="1">
      <c r="A21" s="309" t="str">
        <f>+IF(ABRIL!A21=0,"",ABRIL!A21)</f>
        <v>1.1.02.05.001.09.02</v>
      </c>
      <c r="B21" s="310" t="str">
        <f>+IF(ABRIL!B21=0,"",ABRIL!B21)</f>
        <v>Venta de Servicios de Salud</v>
      </c>
      <c r="C21" s="171">
        <f t="shared" ref="C21:N21" si="16">C22+C25+C28+C41+C42+C45+C48+C51+C54+C57+C60+C63+C66+C69+C72+C75+C78+C81</f>
        <v>157258153137.47653</v>
      </c>
      <c r="D21" s="172">
        <f t="shared" si="16"/>
        <v>0</v>
      </c>
      <c r="E21" s="172">
        <f t="shared" si="16"/>
        <v>6861221082</v>
      </c>
      <c r="F21" s="172">
        <f t="shared" si="16"/>
        <v>164119374219.47653</v>
      </c>
      <c r="G21" s="172">
        <f t="shared" si="16"/>
        <v>81417065671</v>
      </c>
      <c r="H21" s="172">
        <f t="shared" si="16"/>
        <v>20463285821</v>
      </c>
      <c r="I21" s="172">
        <f t="shared" si="16"/>
        <v>101880351492</v>
      </c>
      <c r="J21" s="172">
        <f t="shared" si="16"/>
        <v>42250466610</v>
      </c>
      <c r="K21" s="172">
        <f t="shared" si="16"/>
        <v>13501180780</v>
      </c>
      <c r="L21" s="172">
        <f t="shared" si="16"/>
        <v>55751647390</v>
      </c>
      <c r="M21" s="172">
        <f t="shared" si="16"/>
        <v>62239022727.476509</v>
      </c>
      <c r="N21" s="173">
        <f t="shared" si="16"/>
        <v>108367726829.47652</v>
      </c>
      <c r="O21" s="67"/>
      <c r="P21" s="288">
        <f>P22+P25+P28+P41+P42+P45+P48+P51+P54+P57+P60+P63+P66+P69+P72+P75+P78+P81</f>
        <v>0</v>
      </c>
      <c r="Q21" s="289">
        <f>Q22+Q25+Q28+Q41+Q42+Q45+Q48+Q51+Q54+Q57+Q60+Q63+Q66+Q69+Q72+Q75+Q78+Q81</f>
        <v>0</v>
      </c>
      <c r="R21" s="101"/>
      <c r="S21" s="311" t="str">
        <f>+IF(ABRIL!S21=0,"",ABRIL!S21)</f>
        <v>2.1.1.01.01.001.08.01</v>
      </c>
      <c r="T21" s="312" t="str">
        <f>+IF(ABRIL!T21=0,"",ABRIL!T21)</f>
        <v xml:space="preserve">Prima de Navidad </v>
      </c>
      <c r="U21" s="373">
        <f>+ENERO!U21</f>
        <v>544320925</v>
      </c>
      <c r="V21" s="220">
        <f>ABRIL!V21+MAYO!AL21</f>
        <v>0</v>
      </c>
      <c r="W21" s="220">
        <f>ABRIL!W21+MAYO!AM21</f>
        <v>0</v>
      </c>
      <c r="X21" s="271">
        <f t="shared" ref="X21:X33" si="17">SUM(U21:W21)</f>
        <v>544320925</v>
      </c>
      <c r="Y21" s="270">
        <f>ABRIL!AA21</f>
        <v>5056122</v>
      </c>
      <c r="Z21" s="208">
        <v>0</v>
      </c>
      <c r="AA21" s="271">
        <f t="shared" ref="AA21:AA33" si="18">SUM(Y21:Z21)</f>
        <v>5056122</v>
      </c>
      <c r="AB21" s="270">
        <f>ABRIL!AD21</f>
        <v>5056122</v>
      </c>
      <c r="AC21" s="208">
        <v>0</v>
      </c>
      <c r="AD21" s="271">
        <f t="shared" ref="AD21:AD33" si="19">SUM(AB21:AC21)</f>
        <v>5056122</v>
      </c>
      <c r="AE21" s="270">
        <f>ABRIL!AG21</f>
        <v>3547652</v>
      </c>
      <c r="AF21" s="208">
        <v>1508470</v>
      </c>
      <c r="AG21" s="271">
        <f t="shared" ref="AG21:AG33" si="20">SUM(AE21:AF21)</f>
        <v>5056122</v>
      </c>
      <c r="AH21" s="270">
        <f t="shared" ref="AH21:AH33" si="21">X21-AA21</f>
        <v>539264803</v>
      </c>
      <c r="AI21" s="220">
        <f t="shared" ref="AI21:AI33" si="22">X21-AD21</f>
        <v>539264803</v>
      </c>
      <c r="AJ21" s="269">
        <f t="shared" ref="AJ21:AJ33" si="23">X21-AG21</f>
        <v>539264803</v>
      </c>
      <c r="AK21" s="101"/>
      <c r="AL21" s="204">
        <v>0</v>
      </c>
      <c r="AM21" s="210">
        <v>0</v>
      </c>
      <c r="AN21" s="101"/>
      <c r="AO21" s="156"/>
      <c r="AP21" s="313"/>
      <c r="AQ21" s="314"/>
      <c r="AR21" s="315" t="str">
        <f>AR6</f>
        <v>MAYO</v>
      </c>
      <c r="AS21" s="316" t="str">
        <f>AR6</f>
        <v>MAYO</v>
      </c>
      <c r="AT21" s="315" t="str">
        <f>AR6</f>
        <v>MAYO</v>
      </c>
      <c r="AU21" s="315" t="s">
        <v>31</v>
      </c>
      <c r="AV21" s="315" t="s">
        <v>34</v>
      </c>
      <c r="AW21" s="317"/>
      <c r="AX21" s="317"/>
      <c r="AY21" s="315" t="s">
        <v>31</v>
      </c>
      <c r="AZ21" s="318" t="s">
        <v>34</v>
      </c>
      <c r="BA21" s="101"/>
      <c r="BB21" s="308" t="s">
        <v>152</v>
      </c>
      <c r="BC21" s="142">
        <f>SUMIF($B8:B122,$B24,F8:F122)+F122</f>
        <v>26044105551.099998</v>
      </c>
      <c r="BD21" s="143">
        <f>SUMIF($B8:B122,$B24,I8:I122)+I122</f>
        <v>38280737577</v>
      </c>
      <c r="BE21" s="142">
        <f>SUM(K128)</f>
        <v>6274767235</v>
      </c>
      <c r="BF21" s="117"/>
      <c r="BG21" s="67"/>
      <c r="BH21" s="67"/>
      <c r="BI21" s="67"/>
      <c r="BJ21" s="67"/>
      <c r="BK21" s="67"/>
      <c r="BL21" s="67"/>
      <c r="BM21" s="745" t="s">
        <v>153</v>
      </c>
      <c r="BN21" s="188">
        <v>0</v>
      </c>
      <c r="BO21" s="186">
        <v>0</v>
      </c>
      <c r="BP21" s="186">
        <v>0</v>
      </c>
      <c r="BQ21" s="754">
        <v>0</v>
      </c>
    </row>
    <row r="22" spans="1:69" ht="24.75" customHeight="1" thickBot="1">
      <c r="A22" s="286" t="str">
        <f>+IF(ABRIL!A22=0,"",ABRIL!A22)</f>
        <v>1.1.02.05.001.09.02.02</v>
      </c>
      <c r="B22" s="319" t="str">
        <f>+IF(ABRIL!B22=0,"",ABRIL!B22)</f>
        <v>EPS - REGIMEN CONTRIBUTIVO</v>
      </c>
      <c r="C22" s="288">
        <f t="shared" ref="C22:N22" si="24">SUM(C23:C24)</f>
        <v>56030749893.586876</v>
      </c>
      <c r="D22" s="320">
        <f t="shared" si="24"/>
        <v>0</v>
      </c>
      <c r="E22" s="320">
        <f t="shared" si="24"/>
        <v>0</v>
      </c>
      <c r="F22" s="320">
        <f t="shared" si="24"/>
        <v>56030749893.586876</v>
      </c>
      <c r="G22" s="320">
        <f t="shared" si="24"/>
        <v>31066502034</v>
      </c>
      <c r="H22" s="320">
        <f t="shared" si="24"/>
        <v>7580329176</v>
      </c>
      <c r="I22" s="320">
        <f t="shared" si="24"/>
        <v>38646831210</v>
      </c>
      <c r="J22" s="320">
        <f t="shared" si="24"/>
        <v>15227168189</v>
      </c>
      <c r="K22" s="320">
        <f t="shared" si="24"/>
        <v>6857325973</v>
      </c>
      <c r="L22" s="320">
        <f t="shared" si="24"/>
        <v>22084494162</v>
      </c>
      <c r="M22" s="320">
        <f t="shared" si="24"/>
        <v>17383918683.586876</v>
      </c>
      <c r="N22" s="289">
        <f t="shared" si="24"/>
        <v>33946255731.586876</v>
      </c>
      <c r="O22" s="101"/>
      <c r="P22" s="288">
        <f>SUM(P23:P24)</f>
        <v>0</v>
      </c>
      <c r="Q22" s="289">
        <f>SUM(Q23:Q24)</f>
        <v>0</v>
      </c>
      <c r="R22" s="101"/>
      <c r="S22" s="311" t="str">
        <f>+IF(ABRIL!S22=0,"",ABRIL!S22)</f>
        <v>2.1.1.01.01.001.08.02</v>
      </c>
      <c r="T22" s="312" t="str">
        <f>+IF(ABRIL!T22=0,"",ABRIL!T22)</f>
        <v>Prima de Vacaciones</v>
      </c>
      <c r="U22" s="373">
        <f>+ENERO!U22</f>
        <v>272160462.5</v>
      </c>
      <c r="V22" s="220">
        <f>ABRIL!V22+MAYO!AL22</f>
        <v>0</v>
      </c>
      <c r="W22" s="220">
        <f>ABRIL!W22+MAYO!AM22</f>
        <v>0</v>
      </c>
      <c r="X22" s="271">
        <f t="shared" si="17"/>
        <v>272160462.5</v>
      </c>
      <c r="Y22" s="270">
        <f>ABRIL!AA22</f>
        <v>69811562</v>
      </c>
      <c r="Z22" s="208">
        <v>31113010</v>
      </c>
      <c r="AA22" s="271">
        <f t="shared" si="18"/>
        <v>100924572</v>
      </c>
      <c r="AB22" s="270">
        <f>ABRIL!AD22</f>
        <v>69811562</v>
      </c>
      <c r="AC22" s="208">
        <v>31113010</v>
      </c>
      <c r="AD22" s="271">
        <f t="shared" si="19"/>
        <v>100924572</v>
      </c>
      <c r="AE22" s="270">
        <f>ABRIL!AG22</f>
        <v>68430399</v>
      </c>
      <c r="AF22" s="208">
        <v>32494173</v>
      </c>
      <c r="AG22" s="271">
        <f t="shared" si="20"/>
        <v>100924572</v>
      </c>
      <c r="AH22" s="270">
        <f t="shared" si="21"/>
        <v>171235890.5</v>
      </c>
      <c r="AI22" s="220">
        <f t="shared" si="22"/>
        <v>171235890.5</v>
      </c>
      <c r="AJ22" s="269">
        <f t="shared" si="23"/>
        <v>171235890.5</v>
      </c>
      <c r="AK22" s="101"/>
      <c r="AL22" s="204">
        <v>0</v>
      </c>
      <c r="AM22" s="210">
        <v>0</v>
      </c>
      <c r="AN22" s="101"/>
      <c r="AO22" s="108"/>
      <c r="AP22" s="536" t="s">
        <v>156</v>
      </c>
      <c r="AQ22" s="537">
        <f>X17+X66</f>
        <v>6464913230</v>
      </c>
      <c r="AR22" s="537">
        <f>AD17+AD66</f>
        <v>2063564186</v>
      </c>
      <c r="AS22" s="537">
        <f>AG17+AG66</f>
        <v>2063564186</v>
      </c>
      <c r="AT22" s="338"/>
      <c r="AU22" s="325">
        <f t="shared" ref="AU22:AU32" si="25">IF(AQ22=0," ",AR22/AQ22)</f>
        <v>0.3191944133796209</v>
      </c>
      <c r="AV22" s="325">
        <f t="shared" ref="AV22:AV32" si="26">IF(AQ22=0," ",AS22/AQ22)</f>
        <v>0.3191944133796209</v>
      </c>
      <c r="AW22" s="323">
        <f>AR22/$AO$2*12</f>
        <v>4952554046.3999996</v>
      </c>
      <c r="AX22" s="323">
        <f>AS22/$AO$2*12</f>
        <v>4952554046.3999996</v>
      </c>
      <c r="AY22" s="323">
        <f t="shared" ref="AY22:AY31" si="27">AQ22-AW22</f>
        <v>1512359183.6000004</v>
      </c>
      <c r="AZ22" s="326">
        <f t="shared" ref="AZ22:AZ31" si="28">AQ22-AX22</f>
        <v>1512359183.6000004</v>
      </c>
      <c r="BA22" s="67"/>
      <c r="BB22" s="327" t="s">
        <v>157</v>
      </c>
      <c r="BC22" s="328">
        <f>BC7+BC8+BC20+BC21</f>
        <v>187785796740.47653</v>
      </c>
      <c r="BD22" s="329">
        <f>BD7+BD8+BD20+BD21</f>
        <v>110978771477</v>
      </c>
      <c r="BE22" s="328">
        <f>SUM(BE8+BE21)</f>
        <v>14648267443</v>
      </c>
      <c r="BF22" s="117"/>
      <c r="BG22" s="67"/>
      <c r="BH22" s="67"/>
      <c r="BI22" s="67"/>
      <c r="BJ22" s="67"/>
      <c r="BK22" s="67"/>
      <c r="BL22" s="101"/>
      <c r="BM22" s="743" t="s">
        <v>108</v>
      </c>
      <c r="BN22" s="188">
        <f>BN23+BN24</f>
        <v>3209060585</v>
      </c>
      <c r="BO22" s="186">
        <f>BO23+BO24</f>
        <v>594077188</v>
      </c>
      <c r="BP22" s="186">
        <f>BP23+BP24</f>
        <v>594077188</v>
      </c>
      <c r="BQ22" s="748">
        <f>BQ23+BQ24</f>
        <v>119758098</v>
      </c>
    </row>
    <row r="23" spans="1:69" ht="24.75" customHeight="1">
      <c r="A23" s="202" t="str">
        <f>+IF(ABRIL!A23=0,"",ABRIL!A23)</f>
        <v>1.1.02.05.001.09.02.02</v>
      </c>
      <c r="B23" s="331" t="str">
        <f>+CONCATENATE("Vigencia ",INSTRUCCIONES!$F$3)</f>
        <v>Vigencia 2025</v>
      </c>
      <c r="C23" s="204">
        <f>+ENERO!C23</f>
        <v>49300076925.586876</v>
      </c>
      <c r="D23" s="205">
        <f>ABRIL!D23+MAYO!P23</f>
        <v>0</v>
      </c>
      <c r="E23" s="205">
        <f>ABRIL!E23+MAYO!Q23</f>
        <v>0</v>
      </c>
      <c r="F23" s="205">
        <f>SUM(C23:E23)</f>
        <v>49300076925.586876</v>
      </c>
      <c r="G23" s="205">
        <f>ABRIL!I23</f>
        <v>21191008474</v>
      </c>
      <c r="H23" s="208">
        <v>6578894497</v>
      </c>
      <c r="I23" s="205">
        <f>SUM(G23:H23)</f>
        <v>27769902971</v>
      </c>
      <c r="J23" s="205">
        <f>ABRIL!L23</f>
        <v>5351674629</v>
      </c>
      <c r="K23" s="208">
        <v>5855891294</v>
      </c>
      <c r="L23" s="205">
        <f>SUM(J23:K23)</f>
        <v>11207565923</v>
      </c>
      <c r="M23" s="205">
        <f>F23-I23</f>
        <v>21530173954.586876</v>
      </c>
      <c r="N23" s="206">
        <f>F23-L23</f>
        <v>38092511002.586876</v>
      </c>
      <c r="O23" s="101"/>
      <c r="P23" s="204">
        <v>0</v>
      </c>
      <c r="Q23" s="210">
        <v>0</v>
      </c>
      <c r="R23" s="101"/>
      <c r="S23" s="311" t="str">
        <f>+IF(ABRIL!S23=0,"",ABRIL!S23)</f>
        <v>2.1.1.01.01.001.07</v>
      </c>
      <c r="T23" s="312" t="str">
        <f>+IF(ABRIL!T23=0,"",ABRIL!T23)</f>
        <v>Bonificación  por servicios prestados</v>
      </c>
      <c r="U23" s="373">
        <f>+ENERO!U23</f>
        <v>190512323.74999997</v>
      </c>
      <c r="V23" s="220">
        <f>ABRIL!V23+MAYO!AL23</f>
        <v>0</v>
      </c>
      <c r="W23" s="220">
        <f>ABRIL!W23+MAYO!AM23</f>
        <v>0</v>
      </c>
      <c r="X23" s="271">
        <f t="shared" si="17"/>
        <v>190512323.74999997</v>
      </c>
      <c r="Y23" s="270">
        <f>ABRIL!AA23</f>
        <v>99745320</v>
      </c>
      <c r="Z23" s="208">
        <v>1746432</v>
      </c>
      <c r="AA23" s="271">
        <f t="shared" si="18"/>
        <v>101491752</v>
      </c>
      <c r="AB23" s="270">
        <f>ABRIL!AD23</f>
        <v>99745320</v>
      </c>
      <c r="AC23" s="208">
        <v>1746432</v>
      </c>
      <c r="AD23" s="271">
        <f t="shared" si="19"/>
        <v>101491752</v>
      </c>
      <c r="AE23" s="270">
        <f>ABRIL!AG23</f>
        <v>98869401</v>
      </c>
      <c r="AF23" s="208">
        <v>2622351</v>
      </c>
      <c r="AG23" s="271">
        <f t="shared" si="20"/>
        <v>101491752</v>
      </c>
      <c r="AH23" s="270">
        <f t="shared" si="21"/>
        <v>89020571.74999997</v>
      </c>
      <c r="AI23" s="220">
        <f t="shared" si="22"/>
        <v>89020571.74999997</v>
      </c>
      <c r="AJ23" s="269">
        <f t="shared" si="23"/>
        <v>89020571.74999997</v>
      </c>
      <c r="AK23" s="101"/>
      <c r="AL23" s="204">
        <v>0</v>
      </c>
      <c r="AM23" s="210">
        <v>0</v>
      </c>
      <c r="AN23" s="101"/>
      <c r="AO23" s="196"/>
      <c r="AP23" s="538" t="s">
        <v>159</v>
      </c>
      <c r="AQ23" s="334">
        <f>X16+X65-AQ22</f>
        <v>1625602697.916667</v>
      </c>
      <c r="AR23" s="334">
        <f>AD16+AD65-AR22</f>
        <v>392947384</v>
      </c>
      <c r="AS23" s="334">
        <f>AG16+AG65-AS22</f>
        <v>392947384</v>
      </c>
      <c r="AT23" s="110"/>
      <c r="AU23" s="139">
        <f t="shared" si="25"/>
        <v>0.24172412146189953</v>
      </c>
      <c r="AV23" s="139">
        <f t="shared" si="26"/>
        <v>0.24172412146189953</v>
      </c>
      <c r="AW23" s="334">
        <f>(AR23-AD21-AD22-AD23-AD25-AD30-AD33-AD70-AD71-AD72-AD74-AD78-AD81)/$AO$2*12+AX22/12*2.5+AD30+AD33+AD78+AD81</f>
        <v>1459263180</v>
      </c>
      <c r="AX23" s="334">
        <f>(AS23-AG21-AG22-AG23-AG25-AG30-AG33-AG70-AG71-AG72-AG74-AG78-AG81)/$AO$2*12+AX22/12*2.5+AG30+AG33+AG78+AG81</f>
        <v>1459263180</v>
      </c>
      <c r="AY23" s="334">
        <f t="shared" si="27"/>
        <v>166339517.91666698</v>
      </c>
      <c r="AZ23" s="335">
        <f t="shared" si="28"/>
        <v>166339517.91666698</v>
      </c>
      <c r="BA23" s="67"/>
      <c r="BB23" s="336"/>
      <c r="BC23" s="336"/>
      <c r="BD23" s="336"/>
      <c r="BE23" s="336"/>
      <c r="BF23" s="67"/>
      <c r="BG23" s="67"/>
      <c r="BH23" s="67"/>
      <c r="BI23" s="67"/>
      <c r="BJ23" s="67"/>
      <c r="BK23" s="67"/>
      <c r="BL23" s="67"/>
      <c r="BM23" s="745" t="s">
        <v>160</v>
      </c>
      <c r="BN23" s="188">
        <f>X176</f>
        <v>0</v>
      </c>
      <c r="BO23" s="186">
        <f>AA176</f>
        <v>0</v>
      </c>
      <c r="BP23" s="186">
        <f>AD176</f>
        <v>0</v>
      </c>
      <c r="BQ23" s="748">
        <f>AF176</f>
        <v>0</v>
      </c>
    </row>
    <row r="24" spans="1:69" ht="24.75" customHeight="1">
      <c r="A24" s="202" t="str">
        <f>+IF(ABRIL!A24=0,"",ABRIL!A24)</f>
        <v>1.1.02.05.001.09.02.02,99</v>
      </c>
      <c r="B24" s="331" t="str">
        <f>+IF(ABRIL!B24=0,"",ABRIL!B24)</f>
        <v>Vigencia Anterior</v>
      </c>
      <c r="C24" s="204">
        <f>+ENERO!C24</f>
        <v>6730672968</v>
      </c>
      <c r="D24" s="205">
        <f>ABRIL!D24+MAYO!P24</f>
        <v>0</v>
      </c>
      <c r="E24" s="205">
        <f>ABRIL!E24+MAYO!Q24</f>
        <v>0</v>
      </c>
      <c r="F24" s="205">
        <f>SUM(C24:E24)</f>
        <v>6730672968</v>
      </c>
      <c r="G24" s="205">
        <f>ABRIL!I24</f>
        <v>9875493560</v>
      </c>
      <c r="H24" s="208">
        <f>995565415+5869264</f>
        <v>1001434679</v>
      </c>
      <c r="I24" s="205">
        <f>SUM(G24:H24)</f>
        <v>10876928239</v>
      </c>
      <c r="J24" s="205">
        <f>ABRIL!L24</f>
        <v>9875493560</v>
      </c>
      <c r="K24" s="208">
        <f>995565415+5869264</f>
        <v>1001434679</v>
      </c>
      <c r="L24" s="205">
        <f>SUM(J24:K24)</f>
        <v>10876928239</v>
      </c>
      <c r="M24" s="205">
        <f>F24-I24</f>
        <v>-4146255271</v>
      </c>
      <c r="N24" s="206">
        <f>F24-L24</f>
        <v>-4146255271</v>
      </c>
      <c r="O24" s="67"/>
      <c r="P24" s="204">
        <v>0</v>
      </c>
      <c r="Q24" s="210">
        <v>0</v>
      </c>
      <c r="R24" s="101"/>
      <c r="S24" s="311" t="str">
        <f>+IF(ABRIL!S24=0,"",ABRIL!S24)</f>
        <v>2.1.1.01.01.001.06</v>
      </c>
      <c r="T24" s="312" t="str">
        <f>+IF(ABRIL!T24=0,"",ABRIL!T24)</f>
        <v>Prima de Servicios</v>
      </c>
      <c r="U24" s="373">
        <f>+ENERO!U24</f>
        <v>272160462.5</v>
      </c>
      <c r="V24" s="220">
        <f>ABRIL!V24+MAYO!AL24</f>
        <v>0</v>
      </c>
      <c r="W24" s="220">
        <f>ABRIL!W24+MAYO!AM24</f>
        <v>0</v>
      </c>
      <c r="X24" s="271">
        <f t="shared" si="17"/>
        <v>272160462.5</v>
      </c>
      <c r="Y24" s="270">
        <f>ABRIL!AA24</f>
        <v>16911848</v>
      </c>
      <c r="Z24" s="208">
        <v>0</v>
      </c>
      <c r="AA24" s="271">
        <f t="shared" si="18"/>
        <v>16911848</v>
      </c>
      <c r="AB24" s="270">
        <f>ABRIL!AD24</f>
        <v>16911848</v>
      </c>
      <c r="AC24" s="208">
        <v>0</v>
      </c>
      <c r="AD24" s="271">
        <f t="shared" si="19"/>
        <v>16911848</v>
      </c>
      <c r="AE24" s="270">
        <f>ABRIL!AG24</f>
        <v>15353483</v>
      </c>
      <c r="AF24" s="208">
        <v>1558365</v>
      </c>
      <c r="AG24" s="271">
        <f t="shared" si="20"/>
        <v>16911848</v>
      </c>
      <c r="AH24" s="270">
        <f t="shared" si="21"/>
        <v>255248614.5</v>
      </c>
      <c r="AI24" s="220">
        <f t="shared" si="22"/>
        <v>255248614.5</v>
      </c>
      <c r="AJ24" s="269">
        <f t="shared" si="23"/>
        <v>255248614.5</v>
      </c>
      <c r="AK24" s="101"/>
      <c r="AL24" s="204">
        <v>0</v>
      </c>
      <c r="AM24" s="210">
        <v>0</v>
      </c>
      <c r="AN24" s="101"/>
      <c r="AO24" s="196"/>
      <c r="AP24" s="303" t="s">
        <v>163</v>
      </c>
      <c r="AQ24" s="338">
        <f>X35+X83</f>
        <v>80651494238</v>
      </c>
      <c r="AR24" s="338">
        <f>AD35+AD83</f>
        <v>45262923160</v>
      </c>
      <c r="AS24" s="338">
        <f>AG35+AG83</f>
        <v>27316163576</v>
      </c>
      <c r="AT24" s="338"/>
      <c r="AU24" s="205">
        <f t="shared" si="25"/>
        <v>0.56121617569081295</v>
      </c>
      <c r="AV24" s="205">
        <f t="shared" si="26"/>
        <v>0.33869383120653496</v>
      </c>
      <c r="AW24" s="205">
        <f>(AR24-AD41-AD88)/$AO$2*12+AD41+AD88</f>
        <v>85614139346.399994</v>
      </c>
      <c r="AX24" s="205">
        <f>(AS24-AG41-AG88)/$AO$2*12+AG41+AG88</f>
        <v>42541916344.800003</v>
      </c>
      <c r="AY24" s="205">
        <f t="shared" si="27"/>
        <v>-4962645108.3999939</v>
      </c>
      <c r="AZ24" s="206">
        <f t="shared" si="28"/>
        <v>38109577893.199997</v>
      </c>
      <c r="BA24" s="101"/>
      <c r="BB24" s="339"/>
      <c r="BC24" s="67"/>
      <c r="BD24" s="67"/>
      <c r="BE24" s="67"/>
      <c r="BF24" s="67"/>
      <c r="BG24" s="67"/>
      <c r="BH24" s="67"/>
      <c r="BI24" s="67"/>
      <c r="BJ24" s="67"/>
      <c r="BK24" s="67"/>
      <c r="BL24" s="67"/>
      <c r="BM24" s="745" t="s">
        <v>164</v>
      </c>
      <c r="BN24" s="188">
        <f>X168-X190</f>
        <v>3209060585</v>
      </c>
      <c r="BO24" s="188">
        <f>AA168-AA190</f>
        <v>594077188</v>
      </c>
      <c r="BP24" s="188">
        <f>AD168-AD190</f>
        <v>594077188</v>
      </c>
      <c r="BQ24" s="188">
        <f>AF168-AF190</f>
        <v>119758098</v>
      </c>
    </row>
    <row r="25" spans="1:69" ht="24.75" customHeight="1">
      <c r="A25" s="286" t="str">
        <f>+IF(ABRIL!A25=0,"",ABRIL!A25)</f>
        <v>1.1.02.05.001.09.02.01</v>
      </c>
      <c r="B25" s="319" t="str">
        <f>+IF(ABRIL!B25=0,"",ABRIL!B25)</f>
        <v>ARS - REGIMEN SUBSIDIADO</v>
      </c>
      <c r="C25" s="288">
        <f t="shared" ref="C25:N25" si="29">SUM(C26:C27)</f>
        <v>91588666596</v>
      </c>
      <c r="D25" s="320">
        <f t="shared" si="29"/>
        <v>0</v>
      </c>
      <c r="E25" s="320">
        <f t="shared" si="29"/>
        <v>6861221082</v>
      </c>
      <c r="F25" s="320">
        <f t="shared" si="29"/>
        <v>98449887678</v>
      </c>
      <c r="G25" s="320">
        <f t="shared" si="29"/>
        <v>46278516984</v>
      </c>
      <c r="H25" s="320">
        <f t="shared" si="29"/>
        <v>12056585864</v>
      </c>
      <c r="I25" s="320">
        <f t="shared" si="29"/>
        <v>58335102848</v>
      </c>
      <c r="J25" s="320">
        <f t="shared" si="29"/>
        <v>24983506538</v>
      </c>
      <c r="K25" s="320">
        <f t="shared" si="29"/>
        <v>6002173838</v>
      </c>
      <c r="L25" s="320">
        <f t="shared" si="29"/>
        <v>30985680376</v>
      </c>
      <c r="M25" s="320">
        <f t="shared" si="29"/>
        <v>40114784830</v>
      </c>
      <c r="N25" s="289">
        <f t="shared" si="29"/>
        <v>67464207302</v>
      </c>
      <c r="O25" s="67"/>
      <c r="P25" s="288">
        <f>SUM(P26:P27)</f>
        <v>0</v>
      </c>
      <c r="Q25" s="289">
        <f>SUM(Q26:Q27)</f>
        <v>0</v>
      </c>
      <c r="R25" s="101"/>
      <c r="S25" s="311" t="str">
        <f>+IF(ABRIL!S25=0,"",ABRIL!S25)</f>
        <v>1010104-5</v>
      </c>
      <c r="T25" s="312" t="str">
        <f>+IF(ABRIL!T25=0,"",ABRIL!T25)</f>
        <v>Bonificación Convencional</v>
      </c>
      <c r="U25" s="373">
        <f>+ENERO!U25</f>
        <v>0</v>
      </c>
      <c r="V25" s="220">
        <f>ABRIL!V25+MAYO!AL25</f>
        <v>0</v>
      </c>
      <c r="W25" s="220">
        <f>ABRIL!W25+MAYO!AM25</f>
        <v>0</v>
      </c>
      <c r="X25" s="271">
        <f t="shared" si="17"/>
        <v>0</v>
      </c>
      <c r="Y25" s="270">
        <f>ABRIL!AA25</f>
        <v>0</v>
      </c>
      <c r="Z25" s="208">
        <v>0</v>
      </c>
      <c r="AA25" s="271">
        <f t="shared" si="18"/>
        <v>0</v>
      </c>
      <c r="AB25" s="270">
        <f>ABRIL!AD25</f>
        <v>0</v>
      </c>
      <c r="AC25" s="208">
        <v>0</v>
      </c>
      <c r="AD25" s="271">
        <f t="shared" si="19"/>
        <v>0</v>
      </c>
      <c r="AE25" s="270">
        <f>ABRIL!AG25</f>
        <v>0</v>
      </c>
      <c r="AF25" s="208">
        <v>0</v>
      </c>
      <c r="AG25" s="271">
        <f t="shared" si="20"/>
        <v>0</v>
      </c>
      <c r="AH25" s="270">
        <f t="shared" si="21"/>
        <v>0</v>
      </c>
      <c r="AI25" s="220">
        <f t="shared" si="22"/>
        <v>0</v>
      </c>
      <c r="AJ25" s="269">
        <f t="shared" si="23"/>
        <v>0</v>
      </c>
      <c r="AK25" s="101"/>
      <c r="AL25" s="204">
        <v>0</v>
      </c>
      <c r="AM25" s="210">
        <v>0</v>
      </c>
      <c r="AN25" s="101"/>
      <c r="AO25" s="108"/>
      <c r="AP25" s="420" t="s">
        <v>168</v>
      </c>
      <c r="AQ25" s="205">
        <f>X43+X57+X90+X104</f>
        <v>3217792492.9625015</v>
      </c>
      <c r="AR25" s="205">
        <f>AD43+AD57+AD90+AD104</f>
        <v>1324949989</v>
      </c>
      <c r="AS25" s="205">
        <f>AG43+AG57+AG90+AG104</f>
        <v>1324949989</v>
      </c>
      <c r="AT25" s="338"/>
      <c r="AU25" s="205">
        <f t="shared" si="25"/>
        <v>0.41175743678243465</v>
      </c>
      <c r="AV25" s="205">
        <f t="shared" si="26"/>
        <v>0.41175743678243465</v>
      </c>
      <c r="AW25" s="205">
        <f>(AR25-AD55-AD61-AD102-AD108)/$AO$2*12+AD55+AD61+AD102+AD108</f>
        <v>2420283086.6000004</v>
      </c>
      <c r="AX25" s="205">
        <f>(AS25-AG55-AG61-AG102-AG108)/$AO$2*12+AG55+AG61+AG102+AG108</f>
        <v>2420283086.6000004</v>
      </c>
      <c r="AY25" s="205">
        <f t="shared" si="27"/>
        <v>797509406.36250114</v>
      </c>
      <c r="AZ25" s="206">
        <f t="shared" si="28"/>
        <v>797509406.36250114</v>
      </c>
      <c r="BA25" s="67"/>
      <c r="BB25" s="67"/>
      <c r="BC25" s="67"/>
      <c r="BD25" s="67"/>
      <c r="BE25" s="67"/>
      <c r="BF25" s="67"/>
      <c r="BG25" s="67"/>
      <c r="BH25" s="67"/>
      <c r="BI25" s="67"/>
      <c r="BJ25" s="67"/>
      <c r="BK25" s="67"/>
      <c r="BL25" s="67"/>
      <c r="BM25" s="756" t="s">
        <v>169</v>
      </c>
      <c r="BN25" s="340">
        <f>+SUM(BN26:BN28)</f>
        <v>35575849515.333328</v>
      </c>
      <c r="BO25" s="341">
        <f>+SUM(BO26:BO28)</f>
        <v>25760716590</v>
      </c>
      <c r="BP25" s="341">
        <f>+SUM(BP26:BP28)</f>
        <v>18400049405</v>
      </c>
      <c r="BQ25" s="757">
        <f>+SUM(BQ26:BQ28)</f>
        <v>3451383659</v>
      </c>
    </row>
    <row r="26" spans="1:69" ht="24.75" customHeight="1">
      <c r="A26" s="202" t="str">
        <f>+IF(ABRIL!A26=0,"",ABRIL!A26)</f>
        <v>1.1.02.05.001.09.02.01</v>
      </c>
      <c r="B26" s="331" t="str">
        <f>+CONCATENATE("Vigencia ",INSTRUCCIONES!$F$3)</f>
        <v>Vigencia 2025</v>
      </c>
      <c r="C26" s="204">
        <f>+ENERO!C26</f>
        <v>81866799864</v>
      </c>
      <c r="D26" s="205">
        <f>ABRIL!D26+MAYO!P26</f>
        <v>0</v>
      </c>
      <c r="E26" s="205">
        <f>ABRIL!E26+MAYO!Q26</f>
        <v>0</v>
      </c>
      <c r="F26" s="205">
        <f>SUM(C26:E26)</f>
        <v>81866799864</v>
      </c>
      <c r="G26" s="205">
        <f>ABRIL!I26</f>
        <v>25629441406</v>
      </c>
      <c r="H26" s="208">
        <v>7122372354</v>
      </c>
      <c r="I26" s="205">
        <f>SUM(G26:H26)</f>
        <v>32751813760</v>
      </c>
      <c r="J26" s="205">
        <f>ABRIL!L26</f>
        <v>4334430960</v>
      </c>
      <c r="K26" s="208">
        <v>1067960328</v>
      </c>
      <c r="L26" s="205">
        <f>SUM(J26:K26)</f>
        <v>5402391288</v>
      </c>
      <c r="M26" s="205">
        <f>F26-I26</f>
        <v>49114986104</v>
      </c>
      <c r="N26" s="206">
        <f>F26-L26</f>
        <v>76464408576</v>
      </c>
      <c r="O26" s="101"/>
      <c r="P26" s="204">
        <v>0</v>
      </c>
      <c r="Q26" s="210">
        <v>0</v>
      </c>
      <c r="R26" s="101"/>
      <c r="S26" s="311" t="str">
        <f>+IF(ABRIL!S26=0,"",ABRIL!S26)</f>
        <v>2.1.1.01.01.001.05</v>
      </c>
      <c r="T26" s="312" t="str">
        <f>+IF(ABRIL!T26=0,"",ABRIL!T26)</f>
        <v>Auxilio de Transporte</v>
      </c>
      <c r="U26" s="373">
        <f>+ENERO!U26</f>
        <v>0</v>
      </c>
      <c r="V26" s="220">
        <f>ABRIL!V26+MAYO!AL26</f>
        <v>21000000</v>
      </c>
      <c r="W26" s="220">
        <f>ABRIL!W26+MAYO!AM26</f>
        <v>0</v>
      </c>
      <c r="X26" s="271">
        <f t="shared" si="17"/>
        <v>21000000</v>
      </c>
      <c r="Y26" s="270">
        <f>ABRIL!AA26</f>
        <v>9059999</v>
      </c>
      <c r="Z26" s="208">
        <v>1966666</v>
      </c>
      <c r="AA26" s="271">
        <f t="shared" si="18"/>
        <v>11026665</v>
      </c>
      <c r="AB26" s="270">
        <f>ABRIL!AD26</f>
        <v>9059999</v>
      </c>
      <c r="AC26" s="208">
        <v>1966666</v>
      </c>
      <c r="AD26" s="271">
        <f t="shared" si="19"/>
        <v>11026665</v>
      </c>
      <c r="AE26" s="270">
        <f>ABRIL!AG26</f>
        <v>9059999</v>
      </c>
      <c r="AF26" s="208">
        <v>1966666</v>
      </c>
      <c r="AG26" s="271">
        <f t="shared" si="20"/>
        <v>11026665</v>
      </c>
      <c r="AH26" s="270">
        <f t="shared" si="21"/>
        <v>9973335</v>
      </c>
      <c r="AI26" s="220">
        <f t="shared" si="22"/>
        <v>9973335</v>
      </c>
      <c r="AJ26" s="269">
        <f t="shared" si="23"/>
        <v>9973335</v>
      </c>
      <c r="AK26" s="101"/>
      <c r="AL26" s="204">
        <v>0</v>
      </c>
      <c r="AM26" s="210">
        <v>0</v>
      </c>
      <c r="AN26" s="101"/>
      <c r="AO26" s="108"/>
      <c r="AP26" s="539" t="s">
        <v>171</v>
      </c>
      <c r="AQ26" s="110">
        <f>X110</f>
        <v>21916802276.620834</v>
      </c>
      <c r="AR26" s="110">
        <f>AD110</f>
        <v>7413507530</v>
      </c>
      <c r="AS26" s="110">
        <f>AG110</f>
        <v>5288306096</v>
      </c>
      <c r="AT26" s="198">
        <f>AO2/12</f>
        <v>0.41666666666666669</v>
      </c>
      <c r="AU26" s="139">
        <f t="shared" si="25"/>
        <v>0.33825680573430011</v>
      </c>
      <c r="AV26" s="139">
        <f t="shared" si="26"/>
        <v>0.24129003990884015</v>
      </c>
      <c r="AW26" s="334" t="e">
        <f>(AR26-AD121-AD139-AD143-AD153-#REF!)/$AO$2*12+AD121+AD139+AD143+AD153+#REF!</f>
        <v>#REF!</v>
      </c>
      <c r="AX26" s="334" t="e">
        <f>(AS26-AG121-AG139-AG143-AG153-#REF!)/$AO$2*12+AG121+AG139+AG143+AG153+#REF!</f>
        <v>#REF!</v>
      </c>
      <c r="AY26" s="334" t="e">
        <f t="shared" si="27"/>
        <v>#REF!</v>
      </c>
      <c r="AZ26" s="335" t="e">
        <f t="shared" si="28"/>
        <v>#REF!</v>
      </c>
      <c r="BA26" s="67"/>
      <c r="BB26" s="67"/>
      <c r="BC26" s="67"/>
      <c r="BD26" s="67"/>
      <c r="BE26" s="67"/>
      <c r="BF26" s="67"/>
      <c r="BG26" s="67"/>
      <c r="BH26" s="67"/>
      <c r="BI26" s="67"/>
      <c r="BJ26" s="67"/>
      <c r="BK26" s="67"/>
      <c r="BL26" s="101"/>
      <c r="BM26" s="758" t="s">
        <v>172</v>
      </c>
      <c r="BN26" s="199">
        <f>+X197</f>
        <v>6964066391.666666</v>
      </c>
      <c r="BO26" s="199">
        <f>+AA197</f>
        <v>4860223590</v>
      </c>
      <c r="BP26" s="199">
        <f>+AD197</f>
        <v>3814608634</v>
      </c>
      <c r="BQ26" s="750">
        <f>+AF197</f>
        <v>645083704</v>
      </c>
    </row>
    <row r="27" spans="1:69" ht="24.75" customHeight="1">
      <c r="A27" s="202" t="str">
        <f>+IF(ABRIL!A27=0,"",ABRIL!A27)</f>
        <v>1.1.02.05.001.09.02.01.99</v>
      </c>
      <c r="B27" s="331" t="str">
        <f>+IF(ABRIL!B27=0,"",ABRIL!B27)</f>
        <v>Vigencia Anterior</v>
      </c>
      <c r="C27" s="204">
        <f>+ENERO!C27</f>
        <v>9721866732</v>
      </c>
      <c r="D27" s="205">
        <f>ABRIL!D27+MAYO!P27</f>
        <v>0</v>
      </c>
      <c r="E27" s="205">
        <f>ABRIL!E27+MAYO!Q27</f>
        <v>6861221082</v>
      </c>
      <c r="F27" s="205">
        <f>SUM(C27:E27)</f>
        <v>16583087814</v>
      </c>
      <c r="G27" s="205">
        <f>ABRIL!I27</f>
        <v>20649075578</v>
      </c>
      <c r="H27" s="208">
        <f>4865484093+68729417</f>
        <v>4934213510</v>
      </c>
      <c r="I27" s="205">
        <f>SUM(G27:H27)</f>
        <v>25583289088</v>
      </c>
      <c r="J27" s="205">
        <f>ABRIL!L27</f>
        <v>20649075578</v>
      </c>
      <c r="K27" s="208">
        <f>4865484093+68729417</f>
        <v>4934213510</v>
      </c>
      <c r="L27" s="205">
        <f>SUM(J27:K27)</f>
        <v>25583289088</v>
      </c>
      <c r="M27" s="205">
        <f>F27-I27</f>
        <v>-9000201274</v>
      </c>
      <c r="N27" s="206">
        <f>F27-L27</f>
        <v>-9000201274</v>
      </c>
      <c r="O27" s="67"/>
      <c r="P27" s="204">
        <v>0</v>
      </c>
      <c r="Q27" s="210">
        <v>0</v>
      </c>
      <c r="R27" s="101"/>
      <c r="S27" s="311" t="str">
        <f>+IF(ABRIL!S27=0,"",ABRIL!S27)</f>
        <v>2.1.1.01.01.001.04</v>
      </c>
      <c r="T27" s="312" t="str">
        <f>+IF(ABRIL!T27=0,"",ABRIL!T27)</f>
        <v>Auxilio de Alimentación</v>
      </c>
      <c r="U27" s="373">
        <f>+ENERO!U27</f>
        <v>0</v>
      </c>
      <c r="V27" s="220">
        <f>ABRIL!V27+MAYO!AL27</f>
        <v>0</v>
      </c>
      <c r="W27" s="220">
        <f>ABRIL!W27+MAYO!AM27</f>
        <v>0</v>
      </c>
      <c r="X27" s="271">
        <f t="shared" si="17"/>
        <v>0</v>
      </c>
      <c r="Y27" s="270">
        <f>ABRIL!AA27</f>
        <v>0</v>
      </c>
      <c r="Z27" s="208">
        <v>0</v>
      </c>
      <c r="AA27" s="271">
        <f t="shared" si="18"/>
        <v>0</v>
      </c>
      <c r="AB27" s="270">
        <f>ABRIL!AD27</f>
        <v>0</v>
      </c>
      <c r="AC27" s="208">
        <v>0</v>
      </c>
      <c r="AD27" s="271">
        <f t="shared" si="19"/>
        <v>0</v>
      </c>
      <c r="AE27" s="270">
        <f>ABRIL!AG27</f>
        <v>0</v>
      </c>
      <c r="AF27" s="208">
        <v>0</v>
      </c>
      <c r="AG27" s="271">
        <f t="shared" si="20"/>
        <v>0</v>
      </c>
      <c r="AH27" s="270">
        <f t="shared" si="21"/>
        <v>0</v>
      </c>
      <c r="AI27" s="220">
        <f t="shared" si="22"/>
        <v>0</v>
      </c>
      <c r="AJ27" s="269">
        <f t="shared" si="23"/>
        <v>0</v>
      </c>
      <c r="AK27" s="101"/>
      <c r="AL27" s="204">
        <v>0</v>
      </c>
      <c r="AM27" s="210">
        <v>0</v>
      </c>
      <c r="AN27" s="101"/>
      <c r="AO27" s="156"/>
      <c r="AP27" s="420" t="s">
        <v>174</v>
      </c>
      <c r="AQ27" s="205">
        <f>X168</f>
        <v>3609060585</v>
      </c>
      <c r="AR27" s="205">
        <f>AD168</f>
        <v>796851397</v>
      </c>
      <c r="AS27" s="205">
        <f>AG168</f>
        <v>723564101</v>
      </c>
      <c r="AT27" s="338"/>
      <c r="AU27" s="205">
        <f t="shared" si="25"/>
        <v>0.2207919147469784</v>
      </c>
      <c r="AV27" s="205">
        <f t="shared" si="26"/>
        <v>0.20048544045153513</v>
      </c>
      <c r="AW27" s="205">
        <f>(AR27-AD172-AD181-AD190)/$AO$2*12+AD172+AD181+AD190</f>
        <v>1462550772.5999999</v>
      </c>
      <c r="AX27" s="205">
        <f>(AS27-AG172-AG181-AG190)/$AO$2*12+AG172+AG181+AG190</f>
        <v>1286661262.1999998</v>
      </c>
      <c r="AY27" s="205">
        <f t="shared" si="27"/>
        <v>2146509812.4000001</v>
      </c>
      <c r="AZ27" s="206">
        <f t="shared" si="28"/>
        <v>2322399322.8000002</v>
      </c>
      <c r="BA27" s="101"/>
      <c r="BB27" s="67"/>
      <c r="BC27" s="67"/>
      <c r="BD27" s="67"/>
      <c r="BE27" s="67"/>
      <c r="BF27" s="67"/>
      <c r="BG27" s="67"/>
      <c r="BH27" s="67"/>
      <c r="BI27" s="67"/>
      <c r="BJ27" s="67"/>
      <c r="BK27" s="67"/>
      <c r="BL27" s="67"/>
      <c r="BM27" s="758" t="s">
        <v>175</v>
      </c>
      <c r="BN27" s="201">
        <f>+X210</f>
        <v>3000000</v>
      </c>
      <c r="BO27" s="199">
        <f>+AA210</f>
        <v>0</v>
      </c>
      <c r="BP27" s="199">
        <f>+AD210</f>
        <v>0</v>
      </c>
      <c r="BQ27" s="750">
        <f>+AF210</f>
        <v>0</v>
      </c>
    </row>
    <row r="28" spans="1:69" ht="24.75" customHeight="1">
      <c r="A28" s="286">
        <f>+IF(ABRIL!A28=0,"",ABRIL!A28)</f>
        <v>1130103</v>
      </c>
      <c r="B28" s="344" t="str">
        <f>+IF(ABRIL!B28=0,"",ABRIL!B28)</f>
        <v>SUBSIDIO A LA OFERTA- ATENCION PERSONAS POBRES NO CUBIERTOS CON SUBSIDIO A LA DEMANDA</v>
      </c>
      <c r="C28" s="288">
        <f>C29+C32+C35+C38+C39+C40</f>
        <v>1850957800</v>
      </c>
      <c r="D28" s="320">
        <f>+D29+D32+D35+D38+D39+D40</f>
        <v>0</v>
      </c>
      <c r="E28" s="320">
        <f>+E29+E32+E35+E38+E39+E40</f>
        <v>0</v>
      </c>
      <c r="F28" s="320">
        <f>+F29+F32+F35+F38+F39+F40</f>
        <v>1850957800</v>
      </c>
      <c r="G28" s="320">
        <f t="shared" ref="G28:N28" si="30">G29+G32+G35+G38+G39+G40</f>
        <v>804025156</v>
      </c>
      <c r="H28" s="320">
        <f t="shared" si="30"/>
        <v>122166965</v>
      </c>
      <c r="I28" s="320">
        <f t="shared" si="30"/>
        <v>926192121</v>
      </c>
      <c r="J28" s="320">
        <f t="shared" si="30"/>
        <v>451088247</v>
      </c>
      <c r="K28" s="320">
        <f t="shared" si="30"/>
        <v>153546432</v>
      </c>
      <c r="L28" s="320">
        <f t="shared" si="30"/>
        <v>604634679</v>
      </c>
      <c r="M28" s="320">
        <f t="shared" si="30"/>
        <v>924765679</v>
      </c>
      <c r="N28" s="289">
        <f t="shared" si="30"/>
        <v>1246323121</v>
      </c>
      <c r="O28" s="67"/>
      <c r="P28" s="288">
        <f>P29+P32+P35+P38+P39+P939</f>
        <v>0</v>
      </c>
      <c r="Q28" s="289">
        <f>Q29+Q32+Q35+Q38+Q39+Q40</f>
        <v>0</v>
      </c>
      <c r="R28" s="101"/>
      <c r="S28" s="311" t="str">
        <f>+IF(ABRIL!S28=0,"",ABRIL!S28)</f>
        <v>1010104-8</v>
      </c>
      <c r="T28" s="312" t="str">
        <f>+IF(ABRIL!T28=0,"",ABRIL!T28)</f>
        <v>Indemnizaciones por Vacaciones o Supresión de Cargos por Reestructuración</v>
      </c>
      <c r="U28" s="373">
        <f>+ENERO!U28</f>
        <v>0</v>
      </c>
      <c r="V28" s="220">
        <f>ABRIL!V28+MAYO!AL28</f>
        <v>0</v>
      </c>
      <c r="W28" s="220">
        <f>ABRIL!W28+MAYO!AM28</f>
        <v>0</v>
      </c>
      <c r="X28" s="271">
        <f t="shared" si="17"/>
        <v>0</v>
      </c>
      <c r="Y28" s="270">
        <f>ABRIL!AA28</f>
        <v>0</v>
      </c>
      <c r="Z28" s="208">
        <v>0</v>
      </c>
      <c r="AA28" s="271">
        <f t="shared" si="18"/>
        <v>0</v>
      </c>
      <c r="AB28" s="270">
        <f>ABRIL!AD28</f>
        <v>0</v>
      </c>
      <c r="AC28" s="208">
        <v>0</v>
      </c>
      <c r="AD28" s="271">
        <f t="shared" si="19"/>
        <v>0</v>
      </c>
      <c r="AE28" s="270">
        <f>ABRIL!AG28</f>
        <v>0</v>
      </c>
      <c r="AF28" s="208">
        <v>0</v>
      </c>
      <c r="AG28" s="271">
        <f t="shared" si="20"/>
        <v>0</v>
      </c>
      <c r="AH28" s="270">
        <f t="shared" si="21"/>
        <v>0</v>
      </c>
      <c r="AI28" s="220">
        <f t="shared" si="22"/>
        <v>0</v>
      </c>
      <c r="AJ28" s="269">
        <f t="shared" si="23"/>
        <v>0</v>
      </c>
      <c r="AK28" s="101"/>
      <c r="AL28" s="204">
        <v>0</v>
      </c>
      <c r="AM28" s="210">
        <v>0</v>
      </c>
      <c r="AN28" s="101"/>
      <c r="AO28" s="156"/>
      <c r="AP28" s="333" t="s">
        <v>179</v>
      </c>
      <c r="AQ28" s="205">
        <f>X194</f>
        <v>40389630478.666664</v>
      </c>
      <c r="AR28" s="205">
        <f>AD194</f>
        <v>22016146700</v>
      </c>
      <c r="AS28" s="205">
        <f>AG194</f>
        <v>11089290039</v>
      </c>
      <c r="AT28" s="338"/>
      <c r="AU28" s="205">
        <f t="shared" si="25"/>
        <v>0.5450940362435025</v>
      </c>
      <c r="AV28" s="205">
        <f t="shared" si="26"/>
        <v>0.27455784832835334</v>
      </c>
      <c r="AW28" s="205">
        <f>(AR28-AD206)/$AO$2*12+AD206</f>
        <v>47776215867</v>
      </c>
      <c r="AX28" s="205">
        <f>(AS28-AG206)/$AO$2*12+AG206</f>
        <v>21551759883.400002</v>
      </c>
      <c r="AY28" s="205">
        <f t="shared" si="27"/>
        <v>-7386585388.3333359</v>
      </c>
      <c r="AZ28" s="206">
        <f t="shared" si="28"/>
        <v>18837870595.266663</v>
      </c>
      <c r="BA28" s="67"/>
      <c r="BB28" s="67"/>
      <c r="BC28" s="67"/>
      <c r="BD28" s="67"/>
      <c r="BE28" s="67"/>
      <c r="BF28" s="67"/>
      <c r="BG28" s="67"/>
      <c r="BH28" s="67"/>
      <c r="BI28" s="67"/>
      <c r="BJ28" s="67"/>
      <c r="BK28" s="67"/>
      <c r="BL28" s="67"/>
      <c r="BM28" s="743" t="s">
        <v>180</v>
      </c>
      <c r="BN28" s="186">
        <f>+X196-X197+X204</f>
        <v>28608783123.666664</v>
      </c>
      <c r="BO28" s="186">
        <f>+AA196-AA197+AA204</f>
        <v>20900493000</v>
      </c>
      <c r="BP28" s="186">
        <f>+AD196-AD197+AD204</f>
        <v>14585440771</v>
      </c>
      <c r="BQ28" s="748">
        <f>+AF196-AF197+AF204</f>
        <v>2806299955</v>
      </c>
    </row>
    <row r="29" spans="1:69" ht="24.75" customHeight="1">
      <c r="A29" s="202" t="str">
        <f>+IF(ABRIL!A29=0,"",ABRIL!A29)</f>
        <v>1130103-1</v>
      </c>
      <c r="B29" s="345" t="str">
        <f>+IF(ABRIL!B29=0,"",ABRIL!B29)</f>
        <v>Prestación de Servicios de salud  1er Nivel</v>
      </c>
      <c r="C29" s="270">
        <f t="shared" ref="C29:N29" si="31">SUM(C30:C31)</f>
        <v>0</v>
      </c>
      <c r="D29" s="220">
        <f t="shared" si="31"/>
        <v>0</v>
      </c>
      <c r="E29" s="220">
        <f t="shared" si="31"/>
        <v>0</v>
      </c>
      <c r="F29" s="220">
        <f t="shared" si="31"/>
        <v>0</v>
      </c>
      <c r="G29" s="220">
        <f t="shared" si="31"/>
        <v>0</v>
      </c>
      <c r="H29" s="220">
        <f t="shared" si="31"/>
        <v>0</v>
      </c>
      <c r="I29" s="220">
        <f t="shared" si="31"/>
        <v>0</v>
      </c>
      <c r="J29" s="220">
        <f t="shared" si="31"/>
        <v>0</v>
      </c>
      <c r="K29" s="220">
        <f t="shared" si="31"/>
        <v>0</v>
      </c>
      <c r="L29" s="220">
        <f t="shared" si="31"/>
        <v>0</v>
      </c>
      <c r="M29" s="220">
        <f t="shared" si="31"/>
        <v>0</v>
      </c>
      <c r="N29" s="269">
        <f t="shared" si="31"/>
        <v>0</v>
      </c>
      <c r="O29" s="67"/>
      <c r="P29" s="346">
        <f>SUM(P30:P31)</f>
        <v>0</v>
      </c>
      <c r="Q29" s="347">
        <f>SUM(Q30:Q31)</f>
        <v>0</v>
      </c>
      <c r="R29" s="101"/>
      <c r="S29" s="311" t="str">
        <f>+IF(ABRIL!S29=0,"",ABRIL!S29)</f>
        <v>1010104-9</v>
      </c>
      <c r="T29" s="312" t="str">
        <f>+IF(ABRIL!T29=0,"",ABRIL!T29)</f>
        <v>Gastos de Representacion</v>
      </c>
      <c r="U29" s="373">
        <f>+ENERO!U29</f>
        <v>0</v>
      </c>
      <c r="V29" s="220">
        <f>ABRIL!V29+MAYO!AL29</f>
        <v>0</v>
      </c>
      <c r="W29" s="220">
        <f>ABRIL!W29+MAYO!AM29</f>
        <v>0</v>
      </c>
      <c r="X29" s="271">
        <f t="shared" si="17"/>
        <v>0</v>
      </c>
      <c r="Y29" s="270">
        <f>ABRIL!AA29</f>
        <v>0</v>
      </c>
      <c r="Z29" s="208">
        <v>0</v>
      </c>
      <c r="AA29" s="271">
        <f t="shared" si="18"/>
        <v>0</v>
      </c>
      <c r="AB29" s="270">
        <f>ABRIL!AD29</f>
        <v>0</v>
      </c>
      <c r="AC29" s="208">
        <v>0</v>
      </c>
      <c r="AD29" s="271">
        <f t="shared" si="19"/>
        <v>0</v>
      </c>
      <c r="AE29" s="270">
        <f>ABRIL!AG29</f>
        <v>0</v>
      </c>
      <c r="AF29" s="208">
        <v>0</v>
      </c>
      <c r="AG29" s="271">
        <f t="shared" si="20"/>
        <v>0</v>
      </c>
      <c r="AH29" s="270">
        <f t="shared" si="21"/>
        <v>0</v>
      </c>
      <c r="AI29" s="220">
        <f t="shared" si="22"/>
        <v>0</v>
      </c>
      <c r="AJ29" s="269">
        <f t="shared" si="23"/>
        <v>0</v>
      </c>
      <c r="AK29" s="101"/>
      <c r="AL29" s="204">
        <v>0</v>
      </c>
      <c r="AM29" s="210">
        <v>0</v>
      </c>
      <c r="AN29" s="101"/>
      <c r="AO29" s="108"/>
      <c r="AP29" s="333" t="s">
        <v>185</v>
      </c>
      <c r="AQ29" s="205">
        <f>X208</f>
        <v>4665559635</v>
      </c>
      <c r="AR29" s="205">
        <f>AD208</f>
        <v>4431399193</v>
      </c>
      <c r="AS29" s="205">
        <f>AG208</f>
        <v>4431399193</v>
      </c>
      <c r="AT29" s="110"/>
      <c r="AU29" s="139">
        <f t="shared" si="25"/>
        <v>0.94981085650617769</v>
      </c>
      <c r="AV29" s="139">
        <f t="shared" si="26"/>
        <v>0.94981085650617769</v>
      </c>
      <c r="AW29" s="334">
        <f>(AR29-AD217)/$AO$2*12+AD217</f>
        <v>4431399193</v>
      </c>
      <c r="AX29" s="334">
        <f>(AS29-AG217)/$AO$2*12+AG217</f>
        <v>4431399193</v>
      </c>
      <c r="AY29" s="334">
        <f t="shared" si="27"/>
        <v>234160442</v>
      </c>
      <c r="AZ29" s="335">
        <f t="shared" si="28"/>
        <v>234160442</v>
      </c>
      <c r="BA29" s="67"/>
      <c r="BB29" s="336"/>
      <c r="BC29" s="336"/>
      <c r="BD29" s="336"/>
      <c r="BE29" s="336"/>
      <c r="BF29" s="336"/>
      <c r="BG29" s="67"/>
      <c r="BH29" s="67"/>
      <c r="BI29" s="67"/>
      <c r="BJ29" s="67"/>
      <c r="BK29" s="67"/>
      <c r="BL29" s="101"/>
      <c r="BM29" s="759" t="s">
        <v>117</v>
      </c>
      <c r="BN29" s="340">
        <f>X234-X240</f>
        <v>21574720366</v>
      </c>
      <c r="BO29" s="340">
        <f>AA234-AA240</f>
        <v>14238867873</v>
      </c>
      <c r="BP29" s="340">
        <f>AD234-AD240</f>
        <v>7381233658</v>
      </c>
      <c r="BQ29" s="340">
        <f>AF234-AF240</f>
        <v>1754773957</v>
      </c>
    </row>
    <row r="30" spans="1:69" ht="24.75" customHeight="1">
      <c r="A30" s="202" t="str">
        <f>+IF(ABRIL!A30=0,"",ABRIL!A30)</f>
        <v>1130103-1-1</v>
      </c>
      <c r="B30" s="331" t="str">
        <f>+CONCATENATE("Vigencia ",INSTRUCCIONES!$F$3)</f>
        <v>Vigencia 2025</v>
      </c>
      <c r="C30" s="204">
        <f>+ENERO!C30</f>
        <v>0</v>
      </c>
      <c r="D30" s="205">
        <f>ABRIL!D30+MAYO!P30</f>
        <v>0</v>
      </c>
      <c r="E30" s="205">
        <f>ABRIL!E30+MAYO!Q30</f>
        <v>0</v>
      </c>
      <c r="F30" s="205">
        <f>SUM(C30:E30)</f>
        <v>0</v>
      </c>
      <c r="G30" s="205">
        <f>ABRIL!I30</f>
        <v>0</v>
      </c>
      <c r="H30" s="208">
        <v>0</v>
      </c>
      <c r="I30" s="205">
        <f>SUM(G30:H30)</f>
        <v>0</v>
      </c>
      <c r="J30" s="205">
        <f>ABRIL!L30</f>
        <v>0</v>
      </c>
      <c r="K30" s="208">
        <v>0</v>
      </c>
      <c r="L30" s="205">
        <f>SUM(J30:K30)</f>
        <v>0</v>
      </c>
      <c r="M30" s="205">
        <f>F30-I30</f>
        <v>0</v>
      </c>
      <c r="N30" s="206">
        <f>F30-L30</f>
        <v>0</v>
      </c>
      <c r="O30" s="101"/>
      <c r="P30" s="204">
        <v>0</v>
      </c>
      <c r="Q30" s="210">
        <v>0</v>
      </c>
      <c r="R30" s="101"/>
      <c r="S30" s="311" t="str">
        <f>+IF(ABRIL!S30=0,"",ABRIL!S30)</f>
        <v>2.1.1.01.03.001.03</v>
      </c>
      <c r="T30" s="312" t="str">
        <f>+IF(ABRIL!T30=0,"",ABRIL!T30)</f>
        <v>Bonificación Especial por Recreación</v>
      </c>
      <c r="U30" s="373">
        <f>+ENERO!U30</f>
        <v>36288061.666666657</v>
      </c>
      <c r="V30" s="220">
        <f>ABRIL!V30+MAYO!AL30</f>
        <v>0</v>
      </c>
      <c r="W30" s="220">
        <f>ABRIL!W30+MAYO!AM30</f>
        <v>0</v>
      </c>
      <c r="X30" s="271">
        <f t="shared" si="17"/>
        <v>36288061.666666657</v>
      </c>
      <c r="Y30" s="270">
        <f>ABRIL!AA30</f>
        <v>8577871</v>
      </c>
      <c r="Z30" s="208">
        <v>4035532</v>
      </c>
      <c r="AA30" s="271">
        <f t="shared" si="18"/>
        <v>12613403</v>
      </c>
      <c r="AB30" s="270">
        <f>ABRIL!AD30</f>
        <v>8577871</v>
      </c>
      <c r="AC30" s="208">
        <v>4035532</v>
      </c>
      <c r="AD30" s="271">
        <f t="shared" si="19"/>
        <v>12613403</v>
      </c>
      <c r="AE30" s="270">
        <f>ABRIL!AG30</f>
        <v>8410042</v>
      </c>
      <c r="AF30" s="208">
        <v>4203361</v>
      </c>
      <c r="AG30" s="271">
        <f t="shared" si="20"/>
        <v>12613403</v>
      </c>
      <c r="AH30" s="270">
        <f t="shared" si="21"/>
        <v>23674658.666666657</v>
      </c>
      <c r="AI30" s="220">
        <f t="shared" si="22"/>
        <v>23674658.666666657</v>
      </c>
      <c r="AJ30" s="269">
        <f t="shared" si="23"/>
        <v>23674658.666666657</v>
      </c>
      <c r="AK30" s="101"/>
      <c r="AL30" s="204">
        <v>0</v>
      </c>
      <c r="AM30" s="210">
        <v>0</v>
      </c>
      <c r="AN30" s="101"/>
      <c r="AO30" s="196" t="s">
        <v>92</v>
      </c>
      <c r="AP30" s="420" t="s">
        <v>188</v>
      </c>
      <c r="AQ30" s="205">
        <f>X219+X231</f>
        <v>25264677895</v>
      </c>
      <c r="AR30" s="205">
        <f>AD219+AD231</f>
        <v>7930764946</v>
      </c>
      <c r="AS30" s="205">
        <f>AG219+AG231</f>
        <v>5211774450</v>
      </c>
      <c r="AT30" s="338"/>
      <c r="AU30" s="205">
        <f t="shared" si="25"/>
        <v>0.31390722569115104</v>
      </c>
      <c r="AV30" s="205">
        <f t="shared" si="26"/>
        <v>0.20628699370956299</v>
      </c>
      <c r="AW30" s="205">
        <f>(AR30-AD224-AD229-AD240-AD255)/$AO$2*12+AD224+AD229+AD240+AD255</f>
        <v>19033835870.400002</v>
      </c>
      <c r="AX30" s="205">
        <f>(AS30-AG224-AG229-AG240-AG255)/$AO$2*12+AG224+AG229+AG240+AG255</f>
        <v>12508258680</v>
      </c>
      <c r="AY30" s="205">
        <f t="shared" si="27"/>
        <v>6230842024.5999985</v>
      </c>
      <c r="AZ30" s="206">
        <f t="shared" si="28"/>
        <v>12756419215</v>
      </c>
      <c r="BA30" s="67"/>
      <c r="BB30" s="336"/>
      <c r="BC30" s="336"/>
      <c r="BD30" s="336"/>
      <c r="BE30" s="336"/>
      <c r="BF30" s="336"/>
      <c r="BG30" s="67"/>
      <c r="BH30" s="67"/>
      <c r="BI30" s="67"/>
      <c r="BJ30" s="67"/>
      <c r="BK30" s="67"/>
      <c r="BL30" s="67"/>
      <c r="BM30" s="759" t="s">
        <v>122</v>
      </c>
      <c r="BN30" s="340">
        <f>X219-X229</f>
        <v>3239175000</v>
      </c>
      <c r="BO30" s="340">
        <f>AA219-AA229</f>
        <v>549531288</v>
      </c>
      <c r="BP30" s="340">
        <f>AD219-AD229</f>
        <v>549531288</v>
      </c>
      <c r="BQ30" s="340">
        <f>AF219-AF229</f>
        <v>109027136</v>
      </c>
    </row>
    <row r="31" spans="1:69" ht="24.75" customHeight="1">
      <c r="A31" s="202" t="str">
        <f>+IF(ABRIL!A31=0,"",ABRIL!A31)</f>
        <v>1130103-1-2</v>
      </c>
      <c r="B31" s="331" t="str">
        <f>+IF(ABRIL!B31=0,"",ABRIL!B31)</f>
        <v>Vigencia Anterior</v>
      </c>
      <c r="C31" s="204">
        <f>+ENERO!C31</f>
        <v>0</v>
      </c>
      <c r="D31" s="205">
        <f>ABRIL!D31+MAYO!P31</f>
        <v>0</v>
      </c>
      <c r="E31" s="205">
        <f>ABRIL!E31+MAYO!Q31</f>
        <v>0</v>
      </c>
      <c r="F31" s="205">
        <f>SUM(C31:E31)</f>
        <v>0</v>
      </c>
      <c r="G31" s="205">
        <f>ABRIL!I31</f>
        <v>0</v>
      </c>
      <c r="H31" s="208">
        <v>0</v>
      </c>
      <c r="I31" s="205">
        <f>SUM(G31:H31)</f>
        <v>0</v>
      </c>
      <c r="J31" s="205">
        <f>ABRIL!L31</f>
        <v>0</v>
      </c>
      <c r="K31" s="208">
        <v>0</v>
      </c>
      <c r="L31" s="205">
        <f>SUM(J31:K31)</f>
        <v>0</v>
      </c>
      <c r="M31" s="205">
        <f>F31-I31</f>
        <v>0</v>
      </c>
      <c r="N31" s="206">
        <f>F31-L31</f>
        <v>0</v>
      </c>
      <c r="O31" s="67"/>
      <c r="P31" s="204">
        <v>0</v>
      </c>
      <c r="Q31" s="210">
        <v>0</v>
      </c>
      <c r="R31" s="101"/>
      <c r="S31" s="311" t="str">
        <f>+IF(ABRIL!S31=0,"",ABRIL!S31)</f>
        <v>2.1.1.01.03.001.01</v>
      </c>
      <c r="T31" s="312" t="str">
        <f>+IF(ABRIL!T31=0,"",ABRIL!T31)</f>
        <v>Vacaciones</v>
      </c>
      <c r="U31" s="373">
        <f>+ENERO!U31</f>
        <v>272160462.5</v>
      </c>
      <c r="V31" s="220">
        <f>ABRIL!V31+MAYO!AL31</f>
        <v>0</v>
      </c>
      <c r="W31" s="220">
        <f>ABRIL!W31+MAYO!AM31</f>
        <v>0</v>
      </c>
      <c r="X31" s="271">
        <f t="shared" si="17"/>
        <v>272160462.5</v>
      </c>
      <c r="Y31" s="270">
        <f>ABRIL!AA31</f>
        <v>87957583</v>
      </c>
      <c r="Z31" s="208">
        <v>51766694</v>
      </c>
      <c r="AA31" s="271">
        <f t="shared" si="18"/>
        <v>139724277</v>
      </c>
      <c r="AB31" s="270">
        <f>ABRIL!AD31</f>
        <v>87957583</v>
      </c>
      <c r="AC31" s="208">
        <v>51766694</v>
      </c>
      <c r="AD31" s="271">
        <f t="shared" si="19"/>
        <v>139724277</v>
      </c>
      <c r="AE31" s="270">
        <f>ABRIL!AG31</f>
        <v>86576420</v>
      </c>
      <c r="AF31" s="208">
        <v>53147857</v>
      </c>
      <c r="AG31" s="271">
        <f t="shared" si="20"/>
        <v>139724277</v>
      </c>
      <c r="AH31" s="270">
        <f t="shared" si="21"/>
        <v>132436185.5</v>
      </c>
      <c r="AI31" s="220">
        <f t="shared" si="22"/>
        <v>132436185.5</v>
      </c>
      <c r="AJ31" s="269">
        <f t="shared" si="23"/>
        <v>132436185.5</v>
      </c>
      <c r="AK31" s="101"/>
      <c r="AL31" s="204">
        <v>0</v>
      </c>
      <c r="AM31" s="210">
        <v>0</v>
      </c>
      <c r="AN31" s="101"/>
      <c r="AO31" s="156"/>
      <c r="AP31" s="303" t="s">
        <v>190</v>
      </c>
      <c r="AQ31" s="338">
        <f>X257</f>
        <v>0.30987548828125</v>
      </c>
      <c r="AR31" s="338">
        <f>AD257</f>
        <v>-29301572540</v>
      </c>
      <c r="AS31" s="338">
        <f>AG257</f>
        <v>-57841959014</v>
      </c>
      <c r="AT31" s="338"/>
      <c r="AU31" s="205">
        <f t="shared" si="25"/>
        <v>-94559181503.911758</v>
      </c>
      <c r="AV31" s="205">
        <f t="shared" si="26"/>
        <v>-186661937460.18829</v>
      </c>
      <c r="AW31" s="205">
        <f>AQ31</f>
        <v>0.30987548828125</v>
      </c>
      <c r="AX31" s="205">
        <f>AQ31</f>
        <v>0.30987548828125</v>
      </c>
      <c r="AY31" s="205">
        <f t="shared" si="27"/>
        <v>0</v>
      </c>
      <c r="AZ31" s="206">
        <f t="shared" si="28"/>
        <v>0</v>
      </c>
      <c r="BA31" s="67"/>
      <c r="BB31" s="67"/>
      <c r="BC31" s="67"/>
      <c r="BD31" s="67"/>
      <c r="BE31" s="67"/>
      <c r="BF31" s="67"/>
      <c r="BG31" s="67"/>
      <c r="BH31" s="67"/>
      <c r="BI31" s="67"/>
      <c r="BJ31" s="67"/>
      <c r="BK31" s="67"/>
      <c r="BL31" s="67"/>
      <c r="BM31" s="759" t="s">
        <v>191</v>
      </c>
      <c r="BN31" s="340">
        <f>X261</f>
        <v>33666386787.222057</v>
      </c>
      <c r="BO31" s="340">
        <f>AA261</f>
        <v>26892042076</v>
      </c>
      <c r="BP31" s="340">
        <f>AD261</f>
        <v>26885842076</v>
      </c>
      <c r="BQ31" s="340">
        <f>AF261</f>
        <v>2375661444</v>
      </c>
    </row>
    <row r="32" spans="1:69" ht="24.75" customHeight="1" thickBot="1">
      <c r="A32" s="202" t="str">
        <f>+IF(ABRIL!A32=0,"",ABRIL!A32)</f>
        <v>1.1.02.05.001.09.02.15</v>
      </c>
      <c r="B32" s="345" t="str">
        <f>+IF(ABRIL!B32=0,"",ABRIL!B32)</f>
        <v>Prestación de Servicios de salud  2o. Nivel</v>
      </c>
      <c r="C32" s="270">
        <f t="shared" ref="C32:N32" si="32">SUM(C33:C34)</f>
        <v>1850957800</v>
      </c>
      <c r="D32" s="220">
        <f t="shared" si="32"/>
        <v>0</v>
      </c>
      <c r="E32" s="220">
        <f t="shared" si="32"/>
        <v>0</v>
      </c>
      <c r="F32" s="220">
        <f t="shared" si="32"/>
        <v>1850957800</v>
      </c>
      <c r="G32" s="220">
        <f t="shared" si="32"/>
        <v>804025156</v>
      </c>
      <c r="H32" s="220">
        <f t="shared" si="32"/>
        <v>122166965</v>
      </c>
      <c r="I32" s="220">
        <f t="shared" si="32"/>
        <v>926192121</v>
      </c>
      <c r="J32" s="220">
        <f t="shared" si="32"/>
        <v>451088247</v>
      </c>
      <c r="K32" s="220">
        <f t="shared" si="32"/>
        <v>153546432</v>
      </c>
      <c r="L32" s="220">
        <f t="shared" si="32"/>
        <v>604634679</v>
      </c>
      <c r="M32" s="220">
        <f t="shared" si="32"/>
        <v>924765679</v>
      </c>
      <c r="N32" s="269">
        <f t="shared" si="32"/>
        <v>1246323121</v>
      </c>
      <c r="O32" s="67"/>
      <c r="P32" s="346">
        <f>SUM(P33:P34)</f>
        <v>0</v>
      </c>
      <c r="Q32" s="347">
        <f>SUM(Q33:Q34)</f>
        <v>0</v>
      </c>
      <c r="R32" s="101"/>
      <c r="S32" s="311" t="str">
        <f>+IF(ABRIL!S32=0,"",ABRIL!S32)</f>
        <v>1010104-12</v>
      </c>
      <c r="T32" s="312" t="str">
        <f>+IF(ABRIL!T32=0,"",ABRIL!T32)</f>
        <v/>
      </c>
      <c r="U32" s="373">
        <f>+ENERO!U32</f>
        <v>0</v>
      </c>
      <c r="V32" s="220">
        <f>ABRIL!V32+MAYO!AL32</f>
        <v>0</v>
      </c>
      <c r="W32" s="220">
        <f>ABRIL!W32+MAYO!AM32</f>
        <v>0</v>
      </c>
      <c r="X32" s="271">
        <f t="shared" si="17"/>
        <v>0</v>
      </c>
      <c r="Y32" s="270">
        <f>ABRIL!AA32</f>
        <v>0</v>
      </c>
      <c r="Z32" s="208">
        <v>0</v>
      </c>
      <c r="AA32" s="271">
        <f t="shared" si="18"/>
        <v>0</v>
      </c>
      <c r="AB32" s="270">
        <f>ABRIL!AD32</f>
        <v>0</v>
      </c>
      <c r="AC32" s="208">
        <v>0</v>
      </c>
      <c r="AD32" s="271">
        <f t="shared" si="19"/>
        <v>0</v>
      </c>
      <c r="AE32" s="270">
        <f>ABRIL!AG32</f>
        <v>0</v>
      </c>
      <c r="AF32" s="208">
        <v>0</v>
      </c>
      <c r="AG32" s="271">
        <f t="shared" si="20"/>
        <v>0</v>
      </c>
      <c r="AH32" s="270">
        <f t="shared" si="21"/>
        <v>0</v>
      </c>
      <c r="AI32" s="220">
        <f t="shared" si="22"/>
        <v>0</v>
      </c>
      <c r="AJ32" s="269">
        <f t="shared" si="23"/>
        <v>0</v>
      </c>
      <c r="AK32" s="101"/>
      <c r="AL32" s="204">
        <v>0</v>
      </c>
      <c r="AM32" s="210">
        <v>0</v>
      </c>
      <c r="AN32" s="101"/>
      <c r="AO32" s="108"/>
      <c r="AP32" s="540" t="s">
        <v>194</v>
      </c>
      <c r="AQ32" s="260">
        <f>SUM(AQ22:AQ31)</f>
        <v>187805533529.47656</v>
      </c>
      <c r="AR32" s="260">
        <f>SUM(AR22:AR31)</f>
        <v>62331481945</v>
      </c>
      <c r="AS32" s="260">
        <f>SUM(AS22:AS31)</f>
        <v>0</v>
      </c>
      <c r="AT32" s="349"/>
      <c r="AU32" s="350">
        <f t="shared" si="25"/>
        <v>0.33189374548017198</v>
      </c>
      <c r="AV32" s="350">
        <f t="shared" si="26"/>
        <v>0</v>
      </c>
      <c r="AW32" s="158" t="e">
        <f>SUM(AW22:AW31)</f>
        <v>#REF!</v>
      </c>
      <c r="AX32" s="158" t="e">
        <f>SUM(AX22:AX31)</f>
        <v>#REF!</v>
      </c>
      <c r="AY32" s="158" t="e">
        <f>SUM(AY22:AY31)</f>
        <v>#REF!</v>
      </c>
      <c r="AZ32" s="159" t="e">
        <f>SUM(AZ22:AZ31)</f>
        <v>#REF!</v>
      </c>
      <c r="BA32" s="67"/>
      <c r="BB32" s="336"/>
      <c r="BC32" s="336"/>
      <c r="BD32" s="336"/>
      <c r="BE32" s="336"/>
      <c r="BF32" s="336"/>
      <c r="BG32" s="67"/>
      <c r="BH32" s="67"/>
      <c r="BI32" s="67"/>
      <c r="BJ32" s="67"/>
      <c r="BK32" s="67"/>
      <c r="BL32" s="101"/>
      <c r="BM32" s="759" t="s">
        <v>195</v>
      </c>
      <c r="BN32" s="340">
        <f>+BN7+BN25+BN29+BN30+BN31</f>
        <v>187805533529.16666</v>
      </c>
      <c r="BO32" s="340">
        <f>+BO7+BO25+BO29+BO30+BO31</f>
        <v>122192814379</v>
      </c>
      <c r="BP32" s="340">
        <f>+BP7+BP25+BP29+BP30+BP31</f>
        <v>91633054485</v>
      </c>
      <c r="BQ32" s="760">
        <f>+BQ7+BQ25+BQ29+BQ30+BQ31</f>
        <v>14689687191</v>
      </c>
    </row>
    <row r="33" spans="1:69" ht="24.75" customHeight="1" thickBot="1">
      <c r="A33" s="202" t="str">
        <f>+IF(ABRIL!A33=0,"",ABRIL!A33)</f>
        <v>1.1.02.05.001.09.02.15</v>
      </c>
      <c r="B33" s="331" t="str">
        <f>+CONCATENATE("Vigencia ",INSTRUCCIONES!$F$3)</f>
        <v>Vigencia 2025</v>
      </c>
      <c r="C33" s="204">
        <f>+ENERO!C33</f>
        <v>1140706891</v>
      </c>
      <c r="D33" s="205">
        <f>ABRIL!D33+MAYO!P33</f>
        <v>0</v>
      </c>
      <c r="E33" s="205">
        <f>ABRIL!E33+MAYO!Q33</f>
        <v>0</v>
      </c>
      <c r="F33" s="205">
        <f>SUM(C33:E33)</f>
        <v>1140706891</v>
      </c>
      <c r="G33" s="205">
        <f>ABRIL!I33</f>
        <v>531264524</v>
      </c>
      <c r="H33" s="208">
        <f>461628+121705337</f>
        <v>122166965</v>
      </c>
      <c r="I33" s="205">
        <f>SUM(G33:H33)</f>
        <v>653431489</v>
      </c>
      <c r="J33" s="205">
        <f>ABRIL!L33</f>
        <v>178327615</v>
      </c>
      <c r="K33" s="208">
        <v>153546432</v>
      </c>
      <c r="L33" s="205">
        <f>SUM(J33:K33)</f>
        <v>331874047</v>
      </c>
      <c r="M33" s="205">
        <f>F33-I33</f>
        <v>487275402</v>
      </c>
      <c r="N33" s="206">
        <f>F33-L33</f>
        <v>808832844</v>
      </c>
      <c r="O33" s="101"/>
      <c r="P33" s="204">
        <v>0</v>
      </c>
      <c r="Q33" s="210">
        <v>0</v>
      </c>
      <c r="R33" s="101"/>
      <c r="S33" s="266">
        <f>+IF(ABRIL!S33=0,"",ABRIL!S33)</f>
        <v>1010199</v>
      </c>
      <c r="T33" s="267" t="str">
        <f>+IF(ABRIL!T33=0,"",ABRIL!T33)</f>
        <v>Vigencias Anteriores</v>
      </c>
      <c r="U33" s="373">
        <f>+ENERO!U33</f>
        <v>0</v>
      </c>
      <c r="V33" s="220">
        <f>ABRIL!V33+MAYO!AL33</f>
        <v>0</v>
      </c>
      <c r="W33" s="220">
        <f>ABRIL!W33+MAYO!AM33</f>
        <v>0</v>
      </c>
      <c r="X33" s="271">
        <f t="shared" si="17"/>
        <v>0</v>
      </c>
      <c r="Y33" s="270">
        <f>ABRIL!AA33</f>
        <v>0</v>
      </c>
      <c r="Z33" s="208">
        <v>0</v>
      </c>
      <c r="AA33" s="271">
        <f t="shared" si="18"/>
        <v>0</v>
      </c>
      <c r="AB33" s="270">
        <f>ABRIL!AD33</f>
        <v>0</v>
      </c>
      <c r="AC33" s="208">
        <v>0</v>
      </c>
      <c r="AD33" s="271">
        <f t="shared" si="19"/>
        <v>0</v>
      </c>
      <c r="AE33" s="270">
        <f>ABRIL!AG33</f>
        <v>0</v>
      </c>
      <c r="AF33" s="208">
        <v>0</v>
      </c>
      <c r="AG33" s="271">
        <f t="shared" si="20"/>
        <v>0</v>
      </c>
      <c r="AH33" s="270">
        <f t="shared" si="21"/>
        <v>0</v>
      </c>
      <c r="AI33" s="220">
        <f t="shared" si="22"/>
        <v>0</v>
      </c>
      <c r="AJ33" s="269">
        <f t="shared" si="23"/>
        <v>0</v>
      </c>
      <c r="AK33" s="101"/>
      <c r="AL33" s="204">
        <v>0</v>
      </c>
      <c r="AM33" s="210">
        <v>0</v>
      </c>
      <c r="AN33" s="101"/>
      <c r="AO33" s="156"/>
      <c r="AP33" s="351"/>
      <c r="AQ33" s="352">
        <f>IF((AQ32-X8)&lt;&gt;0,(AQ32-X8),"")</f>
        <v>0.309906005859375</v>
      </c>
      <c r="AR33" s="352"/>
      <c r="AS33" s="352"/>
      <c r="AT33" s="352"/>
      <c r="AU33" s="353"/>
      <c r="AV33" s="325"/>
      <c r="AW33" s="323"/>
      <c r="AX33" s="323"/>
      <c r="AY33" s="323"/>
      <c r="AZ33" s="326"/>
      <c r="BA33" s="67"/>
      <c r="BB33" s="336"/>
      <c r="BC33" s="336"/>
      <c r="BD33" s="336"/>
      <c r="BE33" s="336"/>
      <c r="BF33" s="336"/>
      <c r="BG33" s="67"/>
      <c r="BH33" s="67"/>
      <c r="BI33" s="67"/>
      <c r="BJ33" s="67"/>
      <c r="BK33" s="67"/>
      <c r="BL33" s="67"/>
      <c r="BM33" s="761" t="s">
        <v>197</v>
      </c>
      <c r="BN33" s="762">
        <f>X258</f>
        <v>0</v>
      </c>
      <c r="BO33" s="763">
        <f>AA258</f>
        <v>0</v>
      </c>
      <c r="BP33" s="763">
        <f>AD258</f>
        <v>0</v>
      </c>
      <c r="BQ33" s="764">
        <f>AF258</f>
        <v>0</v>
      </c>
    </row>
    <row r="34" spans="1:69" ht="24.75" customHeight="1" thickBot="1">
      <c r="A34" s="202" t="str">
        <f>+IF(ABRIL!A34=0,"",ABRIL!A34)</f>
        <v>1.1.02.05.001.09.02.15.99</v>
      </c>
      <c r="B34" s="331" t="str">
        <f>+IF(ABRIL!B34=0,"",ABRIL!B34)</f>
        <v>Vigencia Anterior</v>
      </c>
      <c r="C34" s="204">
        <f>+ENERO!C34</f>
        <v>710250909</v>
      </c>
      <c r="D34" s="205">
        <f>ABRIL!D34+MAYO!P34</f>
        <v>0</v>
      </c>
      <c r="E34" s="205">
        <f>ABRIL!E34+MAYO!Q34</f>
        <v>0</v>
      </c>
      <c r="F34" s="205">
        <f>SUM(C34:E34)</f>
        <v>710250909</v>
      </c>
      <c r="G34" s="205">
        <f>ABRIL!I34</f>
        <v>272760632</v>
      </c>
      <c r="H34" s="208">
        <v>0</v>
      </c>
      <c r="I34" s="205">
        <f>SUM(G34:H34)</f>
        <v>272760632</v>
      </c>
      <c r="J34" s="205">
        <f>ABRIL!L34</f>
        <v>272760632</v>
      </c>
      <c r="K34" s="208">
        <v>0</v>
      </c>
      <c r="L34" s="205">
        <f>SUM(J34:K34)</f>
        <v>272760632</v>
      </c>
      <c r="M34" s="205">
        <f>F34-I34</f>
        <v>437490277</v>
      </c>
      <c r="N34" s="206">
        <f>F34-L34</f>
        <v>437490277</v>
      </c>
      <c r="O34" s="67"/>
      <c r="P34" s="204">
        <v>0</v>
      </c>
      <c r="Q34" s="210">
        <v>0</v>
      </c>
      <c r="R34" s="101"/>
      <c r="S34" s="189" t="str">
        <f>+IF(ABRIL!S34=0,"",ABRIL!S34)</f>
        <v/>
      </c>
      <c r="T34" s="488" t="str">
        <f>+IF(ABRIL!T34=0,"",ABRIL!T34)</f>
        <v/>
      </c>
      <c r="U34" s="191"/>
      <c r="V34" s="191"/>
      <c r="W34" s="191"/>
      <c r="X34" s="191"/>
      <c r="Y34" s="191"/>
      <c r="Z34" s="191"/>
      <c r="AA34" s="191"/>
      <c r="AB34" s="191"/>
      <c r="AC34" s="191"/>
      <c r="AD34" s="191"/>
      <c r="AE34" s="191"/>
      <c r="AF34" s="191"/>
      <c r="AG34" s="191"/>
      <c r="AH34" s="191"/>
      <c r="AI34" s="191"/>
      <c r="AJ34" s="192"/>
      <c r="AK34" s="101"/>
      <c r="AL34" s="249"/>
      <c r="AM34" s="250"/>
      <c r="AN34" s="101"/>
      <c r="AO34" s="156"/>
      <c r="AP34" s="354"/>
      <c r="AQ34" s="101"/>
      <c r="AR34" s="101"/>
      <c r="AS34" s="101" t="s">
        <v>198</v>
      </c>
      <c r="AT34" s="101"/>
      <c r="AU34" s="355" t="s">
        <v>199</v>
      </c>
      <c r="AV34" s="356" t="s">
        <v>200</v>
      </c>
      <c r="AW34" s="243" t="s">
        <v>198</v>
      </c>
      <c r="AX34" s="357"/>
      <c r="AY34" s="243" t="s">
        <v>201</v>
      </c>
      <c r="AZ34" s="244" t="s">
        <v>202</v>
      </c>
      <c r="BA34" s="67"/>
      <c r="BB34" s="67"/>
      <c r="BC34" s="67"/>
      <c r="BD34" s="67"/>
      <c r="BE34" s="67"/>
      <c r="BF34" s="67"/>
      <c r="BG34" s="67"/>
      <c r="BH34" s="67"/>
      <c r="BI34" s="67"/>
      <c r="BJ34" s="67"/>
      <c r="BK34" s="67"/>
      <c r="BL34" s="67"/>
      <c r="BM34" s="101"/>
      <c r="BN34" s="101"/>
      <c r="BO34" s="101"/>
      <c r="BP34" s="101"/>
      <c r="BQ34" s="101"/>
    </row>
    <row r="35" spans="1:69" ht="24.75" customHeight="1" thickBot="1">
      <c r="A35" s="202" t="str">
        <f>+IF(ABRIL!A35=0,"",ABRIL!A35)</f>
        <v>1130103-3</v>
      </c>
      <c r="B35" s="345" t="str">
        <f>+IF(ABRIL!B35=0,"",ABRIL!B35)</f>
        <v>Prestación de Servicios de salud  3o. Nivel</v>
      </c>
      <c r="C35" s="270">
        <f t="shared" ref="C35:N35" si="33">SUM(C36:C37)</f>
        <v>0</v>
      </c>
      <c r="D35" s="220">
        <f t="shared" si="33"/>
        <v>0</v>
      </c>
      <c r="E35" s="220">
        <f t="shared" si="33"/>
        <v>0</v>
      </c>
      <c r="F35" s="220">
        <f t="shared" si="33"/>
        <v>0</v>
      </c>
      <c r="G35" s="220">
        <f t="shared" si="33"/>
        <v>0</v>
      </c>
      <c r="H35" s="220">
        <f t="shared" si="33"/>
        <v>0</v>
      </c>
      <c r="I35" s="220">
        <f t="shared" si="33"/>
        <v>0</v>
      </c>
      <c r="J35" s="220">
        <f t="shared" si="33"/>
        <v>0</v>
      </c>
      <c r="K35" s="220">
        <f t="shared" si="33"/>
        <v>0</v>
      </c>
      <c r="L35" s="220">
        <f t="shared" si="33"/>
        <v>0</v>
      </c>
      <c r="M35" s="220">
        <f t="shared" si="33"/>
        <v>0</v>
      </c>
      <c r="N35" s="269">
        <f t="shared" si="33"/>
        <v>0</v>
      </c>
      <c r="O35" s="67"/>
      <c r="P35" s="346">
        <f>SUM(P36:P37)</f>
        <v>0</v>
      </c>
      <c r="Q35" s="347">
        <f>SUM(Q36:Q37)</f>
        <v>0</v>
      </c>
      <c r="R35" s="101"/>
      <c r="S35" s="257" t="str">
        <f>+IF(ABRIL!S35=0,"",ABRIL!S35)</f>
        <v>2.1.2.02.02.008</v>
      </c>
      <c r="T35" s="546" t="str">
        <f>+IF(ABRIL!T35=0,"",ABRIL!T35)</f>
        <v>Servicios Personales Indirectos</v>
      </c>
      <c r="U35" s="230">
        <f t="shared" ref="U35:AJ35" si="34">SUM(U36:U41)</f>
        <v>12514508007</v>
      </c>
      <c r="V35" s="231">
        <f t="shared" si="34"/>
        <v>783000000</v>
      </c>
      <c r="W35" s="231">
        <f t="shared" si="34"/>
        <v>0</v>
      </c>
      <c r="X35" s="234">
        <f t="shared" si="34"/>
        <v>13297508007</v>
      </c>
      <c r="Y35" s="233">
        <f t="shared" si="34"/>
        <v>10411400565</v>
      </c>
      <c r="Z35" s="231">
        <f t="shared" si="34"/>
        <v>588464894</v>
      </c>
      <c r="AA35" s="234">
        <f t="shared" si="34"/>
        <v>10999865459</v>
      </c>
      <c r="AB35" s="233">
        <f t="shared" si="34"/>
        <v>7214482535</v>
      </c>
      <c r="AC35" s="231">
        <f t="shared" si="34"/>
        <v>1339462909</v>
      </c>
      <c r="AD35" s="234">
        <f t="shared" si="34"/>
        <v>8553945444</v>
      </c>
      <c r="AE35" s="233">
        <f t="shared" si="34"/>
        <v>3785242773</v>
      </c>
      <c r="AF35" s="231">
        <f t="shared" si="34"/>
        <v>1155025006</v>
      </c>
      <c r="AG35" s="234">
        <f t="shared" si="34"/>
        <v>4940267779</v>
      </c>
      <c r="AH35" s="233">
        <f t="shared" si="34"/>
        <v>2297642548</v>
      </c>
      <c r="AI35" s="231">
        <f t="shared" si="34"/>
        <v>4743562563</v>
      </c>
      <c r="AJ35" s="232">
        <f t="shared" si="34"/>
        <v>8357240228</v>
      </c>
      <c r="AK35" s="101"/>
      <c r="AL35" s="233">
        <f>SUM(AL36:AL41)</f>
        <v>0</v>
      </c>
      <c r="AM35" s="232">
        <f>SUM(AM36:AM41)</f>
        <v>0</v>
      </c>
      <c r="AN35" s="101"/>
      <c r="AO35" s="156"/>
      <c r="AP35" s="358"/>
      <c r="AQ35" s="61"/>
      <c r="AR35" s="359"/>
      <c r="AS35" s="359"/>
      <c r="AT35" s="359"/>
      <c r="AU35" s="360">
        <f>AR17-AR32</f>
        <v>48487581473</v>
      </c>
      <c r="AV35" s="361">
        <f>AS17-AR32</f>
        <v>-173911609</v>
      </c>
      <c r="AW35" s="1329" t="s">
        <v>205</v>
      </c>
      <c r="AX35" s="1330"/>
      <c r="AY35" s="361" t="e">
        <f>AY17+AY32</f>
        <v>#REF!</v>
      </c>
      <c r="AZ35" s="362" t="e">
        <f>AZ17+AY32</f>
        <v>#REF!</v>
      </c>
      <c r="BA35" s="67"/>
      <c r="BB35" s="336"/>
      <c r="BC35" s="336"/>
      <c r="BD35" s="336"/>
      <c r="BE35" s="336"/>
      <c r="BF35" s="336"/>
      <c r="BG35" s="67"/>
      <c r="BH35" s="67"/>
      <c r="BI35" s="67"/>
      <c r="BJ35" s="67"/>
      <c r="BK35" s="67"/>
      <c r="BL35" s="67"/>
      <c r="BM35" s="67"/>
      <c r="BN35" s="67">
        <v>187805533529.16666</v>
      </c>
      <c r="BO35" s="67"/>
      <c r="BP35" s="67"/>
      <c r="BQ35" s="67"/>
    </row>
    <row r="36" spans="1:69" ht="24.75" customHeight="1" thickBot="1">
      <c r="A36" s="202" t="str">
        <f>+IF(ABRIL!A36=0,"",ABRIL!A36)</f>
        <v>1130103-3-1</v>
      </c>
      <c r="B36" s="331" t="str">
        <f>+CONCATENATE("Vigencia ",INSTRUCCIONES!$F$3)</f>
        <v>Vigencia 2025</v>
      </c>
      <c r="C36" s="204">
        <f>+ENERO!C36</f>
        <v>0</v>
      </c>
      <c r="D36" s="205">
        <f>ABRIL!D36+MAYO!P36</f>
        <v>0</v>
      </c>
      <c r="E36" s="205">
        <f>ABRIL!E36+MAYO!Q36</f>
        <v>0</v>
      </c>
      <c r="F36" s="205">
        <f t="shared" ref="F36:F41" si="35">SUM(C36:E36)</f>
        <v>0</v>
      </c>
      <c r="G36" s="205">
        <f>ABRIL!I36</f>
        <v>0</v>
      </c>
      <c r="H36" s="208">
        <v>0</v>
      </c>
      <c r="I36" s="205">
        <f t="shared" ref="I36:I41" si="36">SUM(G36:H36)</f>
        <v>0</v>
      </c>
      <c r="J36" s="205">
        <f>ABRIL!L36</f>
        <v>0</v>
      </c>
      <c r="K36" s="208">
        <v>0</v>
      </c>
      <c r="L36" s="205">
        <f t="shared" ref="L36:L41" si="37">SUM(J36:K36)</f>
        <v>0</v>
      </c>
      <c r="M36" s="205">
        <f t="shared" ref="M36:M41" si="38">F36-I36</f>
        <v>0</v>
      </c>
      <c r="N36" s="206">
        <f t="shared" ref="N36:N41" si="39">F36-L36</f>
        <v>0</v>
      </c>
      <c r="O36" s="101"/>
      <c r="P36" s="204">
        <v>0</v>
      </c>
      <c r="Q36" s="210">
        <v>0</v>
      </c>
      <c r="R36" s="101"/>
      <c r="S36" s="266" t="str">
        <f>+IF(ABRIL!S36=0,"",ABRIL!S36)</f>
        <v>2.1.2.02.02.008.802</v>
      </c>
      <c r="T36" s="267" t="str">
        <f>+IF(ABRIL!T36=0,"",ABRIL!T36)</f>
        <v>Servicios Personales Administrativos (Contador, Abogado, otros)</v>
      </c>
      <c r="U36" s="373">
        <f>+ENERO!U36</f>
        <v>771615965</v>
      </c>
      <c r="V36" s="220">
        <f>ABRIL!V36+MAYO!AL36</f>
        <v>0</v>
      </c>
      <c r="W36" s="220">
        <f>ABRIL!W36+MAYO!AM36</f>
        <v>0</v>
      </c>
      <c r="X36" s="271">
        <f t="shared" ref="X36:X41" si="40">SUM(U36:W36)</f>
        <v>771615965</v>
      </c>
      <c r="Y36" s="270">
        <f>ABRIL!AA36</f>
        <v>241006980</v>
      </c>
      <c r="Z36" s="208">
        <v>225000000</v>
      </c>
      <c r="AA36" s="271">
        <f t="shared" ref="AA36:AA41" si="41">SUM(Y36:Z36)</f>
        <v>466006980</v>
      </c>
      <c r="AB36" s="270">
        <f>ABRIL!AD36</f>
        <v>94122531</v>
      </c>
      <c r="AC36" s="208">
        <v>137425580</v>
      </c>
      <c r="AD36" s="271">
        <f t="shared" ref="AD36:AD41" si="42">SUM(AB36:AC36)</f>
        <v>231548111</v>
      </c>
      <c r="AE36" s="270">
        <f>ABRIL!AG36</f>
        <v>72459437</v>
      </c>
      <c r="AF36" s="208">
        <v>140151520</v>
      </c>
      <c r="AG36" s="271">
        <f t="shared" ref="AG36:AG41" si="43">SUM(AE36:AF36)</f>
        <v>212610957</v>
      </c>
      <c r="AH36" s="270">
        <f t="shared" ref="AH36:AH41" si="44">X36-AA36</f>
        <v>305608985</v>
      </c>
      <c r="AI36" s="220">
        <f t="shared" ref="AI36:AI41" si="45">X36-AD36</f>
        <v>540067854</v>
      </c>
      <c r="AJ36" s="269">
        <f t="shared" ref="AJ36:AJ41" si="46">X36-AG36</f>
        <v>559005008</v>
      </c>
      <c r="AK36" s="101"/>
      <c r="AL36" s="204">
        <v>0</v>
      </c>
      <c r="AM36" s="210">
        <v>0</v>
      </c>
      <c r="AN36" s="101"/>
      <c r="AO36" s="363"/>
      <c r="AP36" s="364"/>
      <c r="AQ36" s="364"/>
      <c r="AR36" s="364"/>
      <c r="AS36" s="364"/>
      <c r="AT36" s="364"/>
      <c r="AU36" s="364"/>
      <c r="AV36" s="364"/>
      <c r="AW36" s="364"/>
      <c r="AX36" s="364"/>
      <c r="AY36" s="364"/>
      <c r="AZ36" s="365"/>
      <c r="BA36" s="67"/>
      <c r="BB36" s="336"/>
      <c r="BC36" s="336"/>
      <c r="BD36" s="336"/>
      <c r="BE36" s="336"/>
      <c r="BF36" s="336"/>
      <c r="BG36" s="67"/>
      <c r="BH36" s="67"/>
      <c r="BI36" s="67"/>
      <c r="BJ36" s="67"/>
      <c r="BK36" s="67"/>
      <c r="BL36" s="67"/>
      <c r="BM36" s="67"/>
      <c r="BN36" s="67">
        <f>SUM(BN32-BN35)</f>
        <v>0</v>
      </c>
      <c r="BO36" s="67"/>
      <c r="BP36" s="67"/>
      <c r="BQ36" s="67"/>
    </row>
    <row r="37" spans="1:69" ht="24.75" customHeight="1">
      <c r="A37" s="202" t="str">
        <f>+IF(ABRIL!A37=0,"",ABRIL!A37)</f>
        <v>1130103-3-2</v>
      </c>
      <c r="B37" s="331" t="str">
        <f>+IF(ABRIL!B37=0,"",ABRIL!B37)</f>
        <v>Vigencia Anterior</v>
      </c>
      <c r="C37" s="204">
        <f>+ENERO!C37</f>
        <v>0</v>
      </c>
      <c r="D37" s="205">
        <f>ABRIL!D37+MAYO!P37</f>
        <v>0</v>
      </c>
      <c r="E37" s="205">
        <f>ABRIL!E37+MAYO!Q37</f>
        <v>0</v>
      </c>
      <c r="F37" s="205">
        <f t="shared" si="35"/>
        <v>0</v>
      </c>
      <c r="G37" s="205">
        <f>ABRIL!I37</f>
        <v>0</v>
      </c>
      <c r="H37" s="208">
        <v>0</v>
      </c>
      <c r="I37" s="205">
        <f t="shared" si="36"/>
        <v>0</v>
      </c>
      <c r="J37" s="205">
        <f>ABRIL!L37</f>
        <v>0</v>
      </c>
      <c r="K37" s="208">
        <v>0</v>
      </c>
      <c r="L37" s="205">
        <f t="shared" si="37"/>
        <v>0</v>
      </c>
      <c r="M37" s="205">
        <f t="shared" si="38"/>
        <v>0</v>
      </c>
      <c r="N37" s="206">
        <f t="shared" si="39"/>
        <v>0</v>
      </c>
      <c r="O37" s="67"/>
      <c r="P37" s="204">
        <v>0</v>
      </c>
      <c r="Q37" s="210">
        <v>0</v>
      </c>
      <c r="R37" s="101"/>
      <c r="S37" s="266" t="str">
        <f>+IF(ABRIL!S37=0,"",ABRIL!S37)</f>
        <v>1010200-2</v>
      </c>
      <c r="T37" s="267" t="str">
        <f>+IF(ABRIL!T37=0,"",ABRIL!T37)</f>
        <v>Personal Supernumerario</v>
      </c>
      <c r="U37" s="373">
        <f>+ENERO!U37</f>
        <v>0</v>
      </c>
      <c r="V37" s="220">
        <f>ABRIL!V37+MAYO!AL37</f>
        <v>0</v>
      </c>
      <c r="W37" s="220">
        <f>ABRIL!W37+MAYO!AM37</f>
        <v>0</v>
      </c>
      <c r="X37" s="271">
        <f t="shared" si="40"/>
        <v>0</v>
      </c>
      <c r="Y37" s="270">
        <f>ABRIL!AA37</f>
        <v>0</v>
      </c>
      <c r="Z37" s="208">
        <v>0</v>
      </c>
      <c r="AA37" s="271">
        <f t="shared" si="41"/>
        <v>0</v>
      </c>
      <c r="AB37" s="270">
        <f>ABRIL!AD37</f>
        <v>0</v>
      </c>
      <c r="AC37" s="208">
        <v>0</v>
      </c>
      <c r="AD37" s="271">
        <f t="shared" si="42"/>
        <v>0</v>
      </c>
      <c r="AE37" s="270">
        <f>ABRIL!AG37</f>
        <v>0</v>
      </c>
      <c r="AF37" s="208">
        <v>0</v>
      </c>
      <c r="AG37" s="271">
        <f t="shared" si="43"/>
        <v>0</v>
      </c>
      <c r="AH37" s="270">
        <f t="shared" si="44"/>
        <v>0</v>
      </c>
      <c r="AI37" s="220">
        <f t="shared" si="45"/>
        <v>0</v>
      </c>
      <c r="AJ37" s="269">
        <f t="shared" si="46"/>
        <v>0</v>
      </c>
      <c r="AK37" s="101"/>
      <c r="AL37" s="204">
        <v>0</v>
      </c>
      <c r="AM37" s="210">
        <v>0</v>
      </c>
      <c r="AN37" s="101"/>
      <c r="AO37" s="366" t="s">
        <v>209</v>
      </c>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row>
    <row r="38" spans="1:69" ht="24.75" customHeight="1">
      <c r="A38" s="367" t="str">
        <f>+IF(ABRIL!A38=0,"",ABRIL!A38)</f>
        <v>1130103-4</v>
      </c>
      <c r="B38" s="368" t="str">
        <f>+IF(ABRIL!B38=0,"",ABRIL!B38)</f>
        <v xml:space="preserve"> Aportes Patronales  1o. Nivel</v>
      </c>
      <c r="C38" s="204">
        <f>+ENERO!C38</f>
        <v>0</v>
      </c>
      <c r="D38" s="205">
        <f>ABRIL!D38+MAYO!P38</f>
        <v>0</v>
      </c>
      <c r="E38" s="205">
        <f>ABRIL!E38+MAYO!Q38</f>
        <v>0</v>
      </c>
      <c r="F38" s="205">
        <f t="shared" si="35"/>
        <v>0</v>
      </c>
      <c r="G38" s="205">
        <f>ABRIL!I38</f>
        <v>0</v>
      </c>
      <c r="H38" s="208">
        <v>0</v>
      </c>
      <c r="I38" s="205">
        <f t="shared" si="36"/>
        <v>0</v>
      </c>
      <c r="J38" s="205">
        <f>ABRIL!L38</f>
        <v>0</v>
      </c>
      <c r="K38" s="208">
        <v>0</v>
      </c>
      <c r="L38" s="205">
        <f t="shared" si="37"/>
        <v>0</v>
      </c>
      <c r="M38" s="205">
        <f t="shared" si="38"/>
        <v>0</v>
      </c>
      <c r="N38" s="206">
        <f t="shared" si="39"/>
        <v>0</v>
      </c>
      <c r="O38" s="369"/>
      <c r="P38" s="204">
        <v>0</v>
      </c>
      <c r="Q38" s="210">
        <v>0</v>
      </c>
      <c r="R38" s="101"/>
      <c r="S38" s="266" t="str">
        <f>+IF(ABRIL!S38=0,"",ABRIL!S38)</f>
        <v>2.1.2.02.02.008.810</v>
      </c>
      <c r="T38" s="267" t="str">
        <f>+IF(ABRIL!T38=0,"",ABRIL!T38)</f>
        <v>Honorarios de la Junta Directiva</v>
      </c>
      <c r="U38" s="373">
        <f>+ENERO!U38</f>
        <v>38518134</v>
      </c>
      <c r="V38" s="220">
        <f>ABRIL!V38+MAYO!AL38</f>
        <v>0</v>
      </c>
      <c r="W38" s="220">
        <f>ABRIL!W38+MAYO!AM38</f>
        <v>0</v>
      </c>
      <c r="X38" s="271">
        <f t="shared" si="40"/>
        <v>38518134</v>
      </c>
      <c r="Y38" s="270">
        <f>ABRIL!AA38</f>
        <v>9252750</v>
      </c>
      <c r="Z38" s="208">
        <v>2847000</v>
      </c>
      <c r="AA38" s="271">
        <f t="shared" si="41"/>
        <v>12099750</v>
      </c>
      <c r="AB38" s="270">
        <f>ABRIL!AD38</f>
        <v>3558750</v>
      </c>
      <c r="AC38" s="208">
        <v>8541000</v>
      </c>
      <c r="AD38" s="271">
        <f t="shared" si="42"/>
        <v>12099750</v>
      </c>
      <c r="AE38" s="270">
        <f>ABRIL!AG38</f>
        <v>3558750</v>
      </c>
      <c r="AF38" s="208">
        <v>5694000</v>
      </c>
      <c r="AG38" s="271">
        <f t="shared" si="43"/>
        <v>9252750</v>
      </c>
      <c r="AH38" s="270">
        <f t="shared" si="44"/>
        <v>26418384</v>
      </c>
      <c r="AI38" s="220">
        <f t="shared" si="45"/>
        <v>26418384</v>
      </c>
      <c r="AJ38" s="269">
        <f t="shared" si="46"/>
        <v>29265384</v>
      </c>
      <c r="AK38" s="101"/>
      <c r="AL38" s="204">
        <v>0</v>
      </c>
      <c r="AM38" s="210">
        <v>0</v>
      </c>
      <c r="AN38" s="101"/>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row>
    <row r="39" spans="1:69" ht="24.75" customHeight="1">
      <c r="A39" s="367" t="str">
        <f>+IF(ABRIL!A39=0,"",ABRIL!A39)</f>
        <v>1130103-5</v>
      </c>
      <c r="B39" s="368" t="str">
        <f>+IF(ABRIL!B39=0,"",ABRIL!B39)</f>
        <v xml:space="preserve"> Aportes Patronales  2o. Nivel</v>
      </c>
      <c r="C39" s="204">
        <f>+ENERO!C39</f>
        <v>0</v>
      </c>
      <c r="D39" s="205">
        <f>ABRIL!D39+MAYO!P39</f>
        <v>0</v>
      </c>
      <c r="E39" s="205">
        <f>ABRIL!E39+MAYO!Q39</f>
        <v>0</v>
      </c>
      <c r="F39" s="205">
        <f t="shared" si="35"/>
        <v>0</v>
      </c>
      <c r="G39" s="205">
        <f>ABRIL!I39</f>
        <v>0</v>
      </c>
      <c r="H39" s="208"/>
      <c r="I39" s="205">
        <f t="shared" si="36"/>
        <v>0</v>
      </c>
      <c r="J39" s="205">
        <f>ABRIL!L39</f>
        <v>0</v>
      </c>
      <c r="K39" s="208">
        <v>0</v>
      </c>
      <c r="L39" s="205">
        <f t="shared" si="37"/>
        <v>0</v>
      </c>
      <c r="M39" s="205">
        <f t="shared" si="38"/>
        <v>0</v>
      </c>
      <c r="N39" s="206">
        <f t="shared" si="39"/>
        <v>0</v>
      </c>
      <c r="O39" s="369"/>
      <c r="P39" s="204">
        <v>0</v>
      </c>
      <c r="Q39" s="210">
        <v>0</v>
      </c>
      <c r="R39" s="101"/>
      <c r="S39" s="266" t="str">
        <f>+IF(ABRIL!S39=0,"",ABRIL!S39)</f>
        <v>2.1.2.02.02.009.906</v>
      </c>
      <c r="T39" s="267" t="str">
        <f>+IF(ABRIL!T39=0,"",ABRIL!T39)</f>
        <v>Servicios de Agremiación (administrativo)</v>
      </c>
      <c r="U39" s="373">
        <f>+ENERO!U39</f>
        <v>9849382921</v>
      </c>
      <c r="V39" s="220">
        <f>ABRIL!V39+MAYO!AL39</f>
        <v>0</v>
      </c>
      <c r="W39" s="220">
        <f>ABRIL!W39+MAYO!AM39</f>
        <v>0</v>
      </c>
      <c r="X39" s="271">
        <f t="shared" si="40"/>
        <v>9849382921</v>
      </c>
      <c r="Y39" s="270">
        <f>ABRIL!AA39</f>
        <v>7524030401</v>
      </c>
      <c r="Z39" s="208">
        <v>360617894</v>
      </c>
      <c r="AA39" s="271">
        <f>SUM(Y39:Z39)</f>
        <v>7884648295</v>
      </c>
      <c r="AB39" s="270">
        <f>ABRIL!AD39</f>
        <v>4479690820</v>
      </c>
      <c r="AC39" s="208">
        <v>1193496329</v>
      </c>
      <c r="AD39" s="271">
        <f t="shared" si="42"/>
        <v>5673187149</v>
      </c>
      <c r="AE39" s="270">
        <f>ABRIL!AG39</f>
        <v>1072114152</v>
      </c>
      <c r="AF39" s="208">
        <v>1009179486</v>
      </c>
      <c r="AG39" s="271">
        <f t="shared" si="43"/>
        <v>2081293638</v>
      </c>
      <c r="AH39" s="270">
        <f t="shared" si="44"/>
        <v>1964734626</v>
      </c>
      <c r="AI39" s="220">
        <f t="shared" si="45"/>
        <v>4176195772</v>
      </c>
      <c r="AJ39" s="269">
        <f t="shared" si="46"/>
        <v>7768089283</v>
      </c>
      <c r="AK39" s="101"/>
      <c r="AL39" s="204">
        <v>0</v>
      </c>
      <c r="AM39" s="210">
        <v>0</v>
      </c>
      <c r="AN39" s="101"/>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row>
    <row r="40" spans="1:69" ht="24.75" customHeight="1">
      <c r="A40" s="367" t="str">
        <f>+IF(ABRIL!A40=0,"",ABRIL!A40)</f>
        <v>1130103-6</v>
      </c>
      <c r="B40" s="368" t="str">
        <f>+IF(ABRIL!B40=0,"",ABRIL!B40)</f>
        <v xml:space="preserve"> Aportes Patronales  3er. Nivel</v>
      </c>
      <c r="C40" s="204">
        <f>+ENERO!C40</f>
        <v>0</v>
      </c>
      <c r="D40" s="205">
        <f>ABRIL!D40+MAYO!P40</f>
        <v>0</v>
      </c>
      <c r="E40" s="205">
        <f>ABRIL!E40+MAYO!Q40</f>
        <v>0</v>
      </c>
      <c r="F40" s="205">
        <f t="shared" si="35"/>
        <v>0</v>
      </c>
      <c r="G40" s="205">
        <f>ABRIL!I40</f>
        <v>0</v>
      </c>
      <c r="H40" s="208">
        <v>0</v>
      </c>
      <c r="I40" s="205">
        <f t="shared" si="36"/>
        <v>0</v>
      </c>
      <c r="J40" s="205">
        <f>ABRIL!L40</f>
        <v>0</v>
      </c>
      <c r="K40" s="208">
        <v>0</v>
      </c>
      <c r="L40" s="205">
        <f t="shared" si="37"/>
        <v>0</v>
      </c>
      <c r="M40" s="205">
        <f t="shared" si="38"/>
        <v>0</v>
      </c>
      <c r="N40" s="206">
        <f t="shared" si="39"/>
        <v>0</v>
      </c>
      <c r="O40" s="369"/>
      <c r="P40" s="204">
        <v>0</v>
      </c>
      <c r="Q40" s="210">
        <v>0</v>
      </c>
      <c r="R40" s="101"/>
      <c r="S40" s="266" t="str">
        <f>+IF(ABRIL!S40=0,"",ABRIL!S40)</f>
        <v/>
      </c>
      <c r="T40" s="267" t="str">
        <f>+IF(ABRIL!T40=0,"",ABRIL!T40)</f>
        <v>Certificación, Habilitación y Acreditación</v>
      </c>
      <c r="U40" s="373">
        <f>+ENERO!U40</f>
        <v>0</v>
      </c>
      <c r="V40" s="220">
        <f>ABRIL!V40+MAYO!AL40</f>
        <v>0</v>
      </c>
      <c r="W40" s="220">
        <f>ABRIL!W40+MAYO!AM40</f>
        <v>0</v>
      </c>
      <c r="X40" s="271">
        <f t="shared" si="40"/>
        <v>0</v>
      </c>
      <c r="Y40" s="270">
        <f>ABRIL!AA40</f>
        <v>0</v>
      </c>
      <c r="Z40" s="208">
        <v>0</v>
      </c>
      <c r="AA40" s="271">
        <f t="shared" si="41"/>
        <v>0</v>
      </c>
      <c r="AB40" s="270">
        <f>ABRIL!AD40</f>
        <v>0</v>
      </c>
      <c r="AC40" s="208">
        <v>0</v>
      </c>
      <c r="AD40" s="271">
        <f t="shared" si="42"/>
        <v>0</v>
      </c>
      <c r="AE40" s="270">
        <f>ABRIL!AG40</f>
        <v>0</v>
      </c>
      <c r="AF40" s="208">
        <v>0</v>
      </c>
      <c r="AG40" s="271">
        <f t="shared" si="43"/>
        <v>0</v>
      </c>
      <c r="AH40" s="270">
        <f t="shared" si="44"/>
        <v>0</v>
      </c>
      <c r="AI40" s="220">
        <f t="shared" si="45"/>
        <v>0</v>
      </c>
      <c r="AJ40" s="269">
        <f t="shared" si="46"/>
        <v>0</v>
      </c>
      <c r="AK40" s="101"/>
      <c r="AL40" s="204">
        <v>0</v>
      </c>
      <c r="AM40" s="210">
        <v>0</v>
      </c>
      <c r="AN40" s="101"/>
      <c r="AO40" s="67"/>
      <c r="AP40" s="67"/>
      <c r="AQ40" s="67"/>
      <c r="AR40" s="67"/>
      <c r="AS40" s="67"/>
      <c r="AT40" s="67"/>
      <c r="AU40" s="67"/>
      <c r="AV40" s="67"/>
      <c r="AW40" s="67"/>
      <c r="AX40" s="67"/>
      <c r="AY40" s="67"/>
      <c r="AZ40" s="67"/>
      <c r="BA40" s="67"/>
      <c r="BB40" s="336"/>
      <c r="BC40" s="336"/>
      <c r="BD40" s="336"/>
      <c r="BE40" s="336"/>
      <c r="BF40" s="67"/>
      <c r="BG40" s="67"/>
      <c r="BH40" s="67"/>
      <c r="BI40" s="67"/>
      <c r="BJ40" s="67"/>
      <c r="BK40" s="67"/>
      <c r="BL40" s="67"/>
      <c r="BM40" s="67"/>
      <c r="BN40" s="67"/>
      <c r="BO40" s="67"/>
      <c r="BP40" s="67"/>
      <c r="BQ40" s="67"/>
    </row>
    <row r="41" spans="1:69" ht="24.75" customHeight="1">
      <c r="A41" s="286">
        <f>+IF(ABRIL!A41=0,"",ABRIL!A41)</f>
        <v>1130104</v>
      </c>
      <c r="B41" s="319" t="str">
        <f>+IF(MARZO!B41=0,"",MARZO!B41)</f>
        <v>SUBSIDIO A LA OFERTA- ACTIVIDADES NO POS-S</v>
      </c>
      <c r="C41" s="204">
        <f>+ENERO!C41</f>
        <v>0</v>
      </c>
      <c r="D41" s="231">
        <f>ABRIL!D41+MAYO!P41</f>
        <v>0</v>
      </c>
      <c r="E41" s="231">
        <f>ABRIL!E41+MAYO!Q41</f>
        <v>0</v>
      </c>
      <c r="F41" s="231">
        <f t="shared" si="35"/>
        <v>0</v>
      </c>
      <c r="G41" s="231">
        <f>ABRIL!I41</f>
        <v>0</v>
      </c>
      <c r="H41" s="208">
        <v>0</v>
      </c>
      <c r="I41" s="231">
        <f t="shared" si="36"/>
        <v>0</v>
      </c>
      <c r="J41" s="231">
        <f>ABRIL!L41</f>
        <v>0</v>
      </c>
      <c r="K41" s="208">
        <v>0</v>
      </c>
      <c r="L41" s="231">
        <f t="shared" si="37"/>
        <v>0</v>
      </c>
      <c r="M41" s="231">
        <f t="shared" si="38"/>
        <v>0</v>
      </c>
      <c r="N41" s="232">
        <f t="shared" si="39"/>
        <v>0</v>
      </c>
      <c r="O41" s="67"/>
      <c r="P41" s="208">
        <v>0</v>
      </c>
      <c r="Q41" s="210">
        <v>0</v>
      </c>
      <c r="R41" s="101"/>
      <c r="S41" s="266" t="str">
        <f>+IF(ABRIL!S41=0,"",ABRIL!S41)</f>
        <v>2.1.2.02.02.009.99.02</v>
      </c>
      <c r="T41" s="267" t="str">
        <f>+IF(ABRIL!T41=0,"",ABRIL!T41)</f>
        <v>Vigencias Anteriores servicios de agremiacion</v>
      </c>
      <c r="U41" s="373">
        <f>+ENERO!U41</f>
        <v>1854990987</v>
      </c>
      <c r="V41" s="220">
        <f>ABRIL!V41+MAYO!AL41</f>
        <v>783000000</v>
      </c>
      <c r="W41" s="220">
        <f>ABRIL!W41+MAYO!AM41</f>
        <v>0</v>
      </c>
      <c r="X41" s="271">
        <f t="shared" si="40"/>
        <v>2637990987</v>
      </c>
      <c r="Y41" s="270">
        <f>ABRIL!AA41</f>
        <v>2637110434</v>
      </c>
      <c r="Z41" s="208">
        <v>0</v>
      </c>
      <c r="AA41" s="271">
        <f t="shared" si="41"/>
        <v>2637110434</v>
      </c>
      <c r="AB41" s="270">
        <f>ABRIL!AD41</f>
        <v>2637110434</v>
      </c>
      <c r="AC41" s="208">
        <v>0</v>
      </c>
      <c r="AD41" s="271">
        <f t="shared" si="42"/>
        <v>2637110434</v>
      </c>
      <c r="AE41" s="270">
        <f>ABRIL!AG41</f>
        <v>2637110434</v>
      </c>
      <c r="AF41" s="208">
        <v>0</v>
      </c>
      <c r="AG41" s="271">
        <f t="shared" si="43"/>
        <v>2637110434</v>
      </c>
      <c r="AH41" s="270">
        <f t="shared" si="44"/>
        <v>880553</v>
      </c>
      <c r="AI41" s="220">
        <f t="shared" si="45"/>
        <v>880553</v>
      </c>
      <c r="AJ41" s="269">
        <f t="shared" si="46"/>
        <v>880553</v>
      </c>
      <c r="AK41" s="101"/>
      <c r="AL41" s="204">
        <v>0</v>
      </c>
      <c r="AM41" s="210">
        <v>0</v>
      </c>
      <c r="AN41" s="101"/>
      <c r="AO41" s="67"/>
      <c r="AP41" s="67"/>
      <c r="AQ41" s="67"/>
      <c r="AR41" s="67"/>
      <c r="AS41" s="67"/>
      <c r="AT41" s="67"/>
      <c r="AU41" s="67"/>
      <c r="AV41" s="67"/>
      <c r="AW41" s="67"/>
      <c r="AX41" s="67"/>
      <c r="AY41" s="67"/>
      <c r="AZ41" s="67"/>
      <c r="BA41" s="67"/>
      <c r="BB41" s="336"/>
      <c r="BC41" s="336"/>
      <c r="BD41" s="336"/>
      <c r="BE41" s="336"/>
      <c r="BF41" s="67"/>
      <c r="BG41" s="67"/>
      <c r="BH41" s="67"/>
      <c r="BI41" s="67"/>
      <c r="BJ41" s="67"/>
      <c r="BK41" s="67"/>
      <c r="BL41" s="67"/>
      <c r="BM41" s="336"/>
      <c r="BN41" s="336"/>
      <c r="BO41" s="336"/>
      <c r="BP41" s="336"/>
      <c r="BQ41" s="336"/>
    </row>
    <row r="42" spans="1:69" ht="24.75" customHeight="1">
      <c r="A42" s="286" t="str">
        <f>+IF(ABRIL!A42=0,"",ABRIL!A42)</f>
        <v>1.1.02.05.001.09.02.03</v>
      </c>
      <c r="B42" s="319" t="str">
        <f>+IF(ABRIL!B42=0,"",ABRIL!B42)</f>
        <v>SALUD PUBLICA - PLAN DE INTERVENCIONES COLECTIVAS</v>
      </c>
      <c r="C42" s="288">
        <f t="shared" ref="C42:N42" si="47">SUM(C43:C44)</f>
        <v>287170800</v>
      </c>
      <c r="D42" s="320">
        <f t="shared" si="47"/>
        <v>0</v>
      </c>
      <c r="E42" s="320">
        <f t="shared" si="47"/>
        <v>0</v>
      </c>
      <c r="F42" s="320">
        <f t="shared" si="47"/>
        <v>287170800</v>
      </c>
      <c r="G42" s="320">
        <f t="shared" si="47"/>
        <v>156952087</v>
      </c>
      <c r="H42" s="320">
        <f t="shared" si="47"/>
        <v>3220146</v>
      </c>
      <c r="I42" s="320">
        <f t="shared" si="47"/>
        <v>160172233</v>
      </c>
      <c r="J42" s="320">
        <f t="shared" si="47"/>
        <v>143741949</v>
      </c>
      <c r="K42" s="320">
        <f t="shared" si="47"/>
        <v>0</v>
      </c>
      <c r="L42" s="320">
        <f t="shared" si="47"/>
        <v>143741949</v>
      </c>
      <c r="M42" s="320">
        <f t="shared" si="47"/>
        <v>126998567</v>
      </c>
      <c r="N42" s="289">
        <f t="shared" si="47"/>
        <v>143428851</v>
      </c>
      <c r="O42" s="67"/>
      <c r="P42" s="288">
        <f>SUM(P43:P44)</f>
        <v>0</v>
      </c>
      <c r="Q42" s="289">
        <f>SUM(Q43:Q44)</f>
        <v>0</v>
      </c>
      <c r="R42" s="101"/>
      <c r="S42" s="189">
        <f>+IF(ABRIL!S42=0,"",ABRIL!S42)</f>
        <v>1130106</v>
      </c>
      <c r="T42" s="488" t="str">
        <f>+IF(ABRIL!T42=0,"",ABRIL!T42)</f>
        <v/>
      </c>
      <c r="U42" s="191"/>
      <c r="V42" s="191"/>
      <c r="W42" s="191"/>
      <c r="X42" s="191"/>
      <c r="Y42" s="191"/>
      <c r="Z42" s="191"/>
      <c r="AA42" s="191"/>
      <c r="AB42" s="191"/>
      <c r="AC42" s="191"/>
      <c r="AD42" s="191"/>
      <c r="AE42" s="191"/>
      <c r="AF42" s="191"/>
      <c r="AG42" s="191"/>
      <c r="AH42" s="191"/>
      <c r="AI42" s="191"/>
      <c r="AJ42" s="192"/>
      <c r="AK42" s="216"/>
      <c r="AL42" s="370"/>
      <c r="AM42" s="371"/>
      <c r="AN42" s="101"/>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row>
    <row r="43" spans="1:69" ht="24.75" customHeight="1">
      <c r="A43" s="202" t="str">
        <f>+IF(ABRIL!A43=0,"",ABRIL!A43)</f>
        <v>1.1.02.05.001.09.02.03</v>
      </c>
      <c r="B43" s="331" t="str">
        <f>+CONCATENATE("Vigencia ",INSTRUCCIONES!$F$3)</f>
        <v>Vigencia 2025</v>
      </c>
      <c r="C43" s="204">
        <f>+ENERO!C43</f>
        <v>0</v>
      </c>
      <c r="D43" s="205">
        <f>ABRIL!D43+MAYO!P43</f>
        <v>0</v>
      </c>
      <c r="E43" s="205">
        <f>ABRIL!E43+MAYO!Q43</f>
        <v>0</v>
      </c>
      <c r="F43" s="205">
        <f>SUM(C43:E43)</f>
        <v>0</v>
      </c>
      <c r="G43" s="205">
        <f>ABRIL!I43</f>
        <v>16769771</v>
      </c>
      <c r="H43" s="208">
        <v>3220146</v>
      </c>
      <c r="I43" s="205">
        <f>SUM(G43:H43)</f>
        <v>19989917</v>
      </c>
      <c r="J43" s="205">
        <f>ABRIL!L43</f>
        <v>3559633</v>
      </c>
      <c r="K43" s="208">
        <v>0</v>
      </c>
      <c r="L43" s="205">
        <f>SUM(J43:K43)</f>
        <v>3559633</v>
      </c>
      <c r="M43" s="205">
        <f>F43-I43</f>
        <v>-19989917</v>
      </c>
      <c r="N43" s="206">
        <f>F43-L43</f>
        <v>-3559633</v>
      </c>
      <c r="O43" s="67"/>
      <c r="P43" s="204">
        <v>0</v>
      </c>
      <c r="Q43" s="210">
        <v>0</v>
      </c>
      <c r="R43" s="101"/>
      <c r="S43" s="257">
        <f>+IF(ABRIL!S43=0,"",ABRIL!S43)</f>
        <v>1010300</v>
      </c>
      <c r="T43" s="546" t="str">
        <f>+IF(ABRIL!T43=0,"",ABRIL!T43)</f>
        <v>Contribuciones Inherentes nómina al Sector Privado</v>
      </c>
      <c r="U43" s="230">
        <f t="shared" ref="U43:AJ43" si="48">U44+U49+U55</f>
        <v>2871199937.9625015</v>
      </c>
      <c r="V43" s="231">
        <f t="shared" si="48"/>
        <v>0</v>
      </c>
      <c r="W43" s="231">
        <f t="shared" si="48"/>
        <v>0</v>
      </c>
      <c r="X43" s="234">
        <f t="shared" si="48"/>
        <v>2871199937.9625015</v>
      </c>
      <c r="Y43" s="233">
        <f t="shared" si="48"/>
        <v>1076082462</v>
      </c>
      <c r="Z43" s="231">
        <f>Z44+Z49+Z55</f>
        <v>116469656</v>
      </c>
      <c r="AA43" s="234">
        <f t="shared" si="48"/>
        <v>1192552118</v>
      </c>
      <c r="AB43" s="233">
        <f t="shared" si="48"/>
        <v>1076082462</v>
      </c>
      <c r="AC43" s="231">
        <f t="shared" si="48"/>
        <v>116469656</v>
      </c>
      <c r="AD43" s="234">
        <f t="shared" si="48"/>
        <v>1192552118</v>
      </c>
      <c r="AE43" s="233">
        <f t="shared" si="48"/>
        <v>1014009178</v>
      </c>
      <c r="AF43" s="231">
        <f t="shared" si="48"/>
        <v>178542940</v>
      </c>
      <c r="AG43" s="234">
        <f t="shared" si="48"/>
        <v>1192552118</v>
      </c>
      <c r="AH43" s="233">
        <f t="shared" si="48"/>
        <v>1678647819.9625013</v>
      </c>
      <c r="AI43" s="231">
        <f t="shared" si="48"/>
        <v>1678647819.9625013</v>
      </c>
      <c r="AJ43" s="232">
        <f t="shared" si="48"/>
        <v>1678647819.9625013</v>
      </c>
      <c r="AK43" s="101"/>
      <c r="AL43" s="233">
        <f>AL44+AL49+AL55</f>
        <v>0</v>
      </c>
      <c r="AM43" s="232">
        <f>AM44+AM49+AM55</f>
        <v>0</v>
      </c>
      <c r="AN43" s="101"/>
      <c r="AO43" s="67"/>
      <c r="AP43" s="372"/>
      <c r="AQ43" s="67"/>
      <c r="AR43" s="67"/>
      <c r="AS43" s="67"/>
      <c r="AT43" s="67"/>
      <c r="AU43" s="67"/>
      <c r="AV43" s="67"/>
      <c r="AW43" s="67"/>
      <c r="AX43" s="67"/>
      <c r="AY43" s="67"/>
      <c r="AZ43" s="67"/>
      <c r="BA43" s="67"/>
      <c r="BB43" s="336"/>
      <c r="BC43" s="336"/>
      <c r="BD43" s="336"/>
      <c r="BE43" s="336"/>
      <c r="BF43" s="67"/>
      <c r="BG43" s="67"/>
      <c r="BH43" s="67"/>
      <c r="BI43" s="67"/>
      <c r="BJ43" s="67"/>
      <c r="BK43" s="67"/>
      <c r="BL43" s="67"/>
      <c r="BM43" s="67"/>
      <c r="BN43" s="67"/>
      <c r="BO43" s="67"/>
      <c r="BP43" s="67"/>
      <c r="BQ43" s="67"/>
    </row>
    <row r="44" spans="1:69" ht="24.75" customHeight="1">
      <c r="A44" s="202" t="str">
        <f>+IF(ABRIL!A44=0,"",ABRIL!A44)</f>
        <v>1.1.02.05.001.09.02.03.99</v>
      </c>
      <c r="B44" s="331" t="str">
        <f>+IF(ABRIL!B44=0,"",ABRIL!B44)</f>
        <v>Vigencia Anterior</v>
      </c>
      <c r="C44" s="204">
        <f>+ENERO!C44</f>
        <v>287170800</v>
      </c>
      <c r="D44" s="205">
        <f>ABRIL!D44+MAYO!P44</f>
        <v>0</v>
      </c>
      <c r="E44" s="205">
        <f>ABRIL!E44+MAYO!Q44</f>
        <v>0</v>
      </c>
      <c r="F44" s="205">
        <f>SUM(C44:E44)</f>
        <v>287170800</v>
      </c>
      <c r="G44" s="205">
        <f>ABRIL!I44</f>
        <v>140182316</v>
      </c>
      <c r="H44" s="208">
        <v>0</v>
      </c>
      <c r="I44" s="205">
        <f>SUM(G44:H44)</f>
        <v>140182316</v>
      </c>
      <c r="J44" s="205">
        <f>ABRIL!L44</f>
        <v>140182316</v>
      </c>
      <c r="K44" s="208">
        <v>0</v>
      </c>
      <c r="L44" s="205">
        <f>SUM(J44:K44)</f>
        <v>140182316</v>
      </c>
      <c r="M44" s="205">
        <f>F44-I44</f>
        <v>146988484</v>
      </c>
      <c r="N44" s="206">
        <f>F44-L44</f>
        <v>146988484</v>
      </c>
      <c r="O44" s="67"/>
      <c r="P44" s="204">
        <v>0</v>
      </c>
      <c r="Q44" s="210">
        <v>0</v>
      </c>
      <c r="R44" s="101"/>
      <c r="S44" s="266">
        <f>+IF(ABRIL!S44=0,"",ABRIL!S44)</f>
        <v>1010301</v>
      </c>
      <c r="T44" s="267" t="str">
        <f>+IF(ABRIL!T44=0,"",ABRIL!T44)</f>
        <v>Contribuciones - SGP - Aportes Patronales - Cuenta Maestra</v>
      </c>
      <c r="U44" s="373">
        <f t="shared" ref="U44:AJ44" si="49">SUM(U45:U48)</f>
        <v>0</v>
      </c>
      <c r="V44" s="220">
        <f t="shared" si="49"/>
        <v>0</v>
      </c>
      <c r="W44" s="220">
        <f t="shared" si="49"/>
        <v>0</v>
      </c>
      <c r="X44" s="271">
        <f t="shared" si="49"/>
        <v>0</v>
      </c>
      <c r="Y44" s="270">
        <f t="shared" si="49"/>
        <v>0</v>
      </c>
      <c r="Z44" s="300">
        <f t="shared" si="49"/>
        <v>0</v>
      </c>
      <c r="AA44" s="271">
        <f t="shared" si="49"/>
        <v>0</v>
      </c>
      <c r="AB44" s="270">
        <f t="shared" si="49"/>
        <v>0</v>
      </c>
      <c r="AC44" s="300">
        <f t="shared" si="49"/>
        <v>0</v>
      </c>
      <c r="AD44" s="271">
        <f t="shared" si="49"/>
        <v>0</v>
      </c>
      <c r="AE44" s="270">
        <f t="shared" si="49"/>
        <v>0</v>
      </c>
      <c r="AF44" s="300">
        <f t="shared" si="49"/>
        <v>0</v>
      </c>
      <c r="AG44" s="271">
        <f t="shared" si="49"/>
        <v>0</v>
      </c>
      <c r="AH44" s="270">
        <f t="shared" si="49"/>
        <v>0</v>
      </c>
      <c r="AI44" s="220">
        <f t="shared" si="49"/>
        <v>0</v>
      </c>
      <c r="AJ44" s="269">
        <f t="shared" si="49"/>
        <v>0</v>
      </c>
      <c r="AK44" s="101"/>
      <c r="AL44" s="301">
        <f>SUM(AL45:AL48)</f>
        <v>0</v>
      </c>
      <c r="AM44" s="302">
        <f>SUM(AM45:AM48)</f>
        <v>0</v>
      </c>
      <c r="AN44" s="101"/>
      <c r="AO44" s="67"/>
      <c r="AP44" s="67"/>
      <c r="AQ44" s="67"/>
      <c r="AR44" s="67"/>
      <c r="AS44" s="67"/>
      <c r="AT44" s="67"/>
      <c r="AU44" s="67"/>
      <c r="AV44" s="67"/>
      <c r="AW44" s="67"/>
      <c r="AX44" s="67"/>
      <c r="AY44" s="67"/>
      <c r="AZ44" s="67"/>
      <c r="BA44" s="67"/>
      <c r="BB44" s="336"/>
      <c r="BC44" s="336"/>
      <c r="BD44" s="336"/>
      <c r="BE44" s="336"/>
      <c r="BF44" s="67"/>
      <c r="BG44" s="67"/>
      <c r="BH44" s="67"/>
      <c r="BI44" s="67"/>
      <c r="BJ44" s="67"/>
      <c r="BK44" s="67"/>
      <c r="BL44" s="67"/>
      <c r="BM44" s="67"/>
      <c r="BN44" s="67"/>
      <c r="BO44" s="67"/>
      <c r="BP44" s="67"/>
      <c r="BQ44" s="67"/>
    </row>
    <row r="45" spans="1:69" ht="24.75" customHeight="1">
      <c r="A45" s="286" t="str">
        <f>+IF(ABRIL!A45=0,"",ABRIL!A45)</f>
        <v>1.1.02.05.001.09.02.04</v>
      </c>
      <c r="B45" s="319" t="str">
        <f>+IF(ABRIL!B45=0,"",ABRIL!B45)</f>
        <v>EVENTOS CATASTROFICOS Y ACCIDENTES DE TRANSITO</v>
      </c>
      <c r="C45" s="288">
        <f t="shared" ref="C45:N45" si="50">SUM(C46:C47)</f>
        <v>1301505717</v>
      </c>
      <c r="D45" s="320">
        <f t="shared" si="50"/>
        <v>0</v>
      </c>
      <c r="E45" s="320">
        <f t="shared" si="50"/>
        <v>0</v>
      </c>
      <c r="F45" s="320">
        <f t="shared" si="50"/>
        <v>1301505717</v>
      </c>
      <c r="G45" s="320">
        <f t="shared" si="50"/>
        <v>233965038</v>
      </c>
      <c r="H45" s="320">
        <f t="shared" si="50"/>
        <v>18363046</v>
      </c>
      <c r="I45" s="320">
        <f t="shared" si="50"/>
        <v>252328084</v>
      </c>
      <c r="J45" s="320">
        <f t="shared" si="50"/>
        <v>89169860</v>
      </c>
      <c r="K45" s="320">
        <f t="shared" si="50"/>
        <v>3154159</v>
      </c>
      <c r="L45" s="320">
        <f t="shared" si="50"/>
        <v>92324019</v>
      </c>
      <c r="M45" s="320">
        <f t="shared" si="50"/>
        <v>1049177633</v>
      </c>
      <c r="N45" s="289">
        <f t="shared" si="50"/>
        <v>1209181698</v>
      </c>
      <c r="O45" s="67"/>
      <c r="P45" s="288">
        <f>SUM(P46:P47)</f>
        <v>0</v>
      </c>
      <c r="Q45" s="289">
        <f>SUM(Q46:Q47)</f>
        <v>0</v>
      </c>
      <c r="R45" s="101"/>
      <c r="S45" s="311" t="str">
        <f>+IF(ABRIL!S45=0,"",ABRIL!S45)</f>
        <v>1010301-1</v>
      </c>
      <c r="T45" s="312" t="str">
        <f>+IF(ABRIL!T45=0,"",ABRIL!T45)</f>
        <v>E.P.S. - Aportes cuenta maestra</v>
      </c>
      <c r="U45" s="373">
        <f>+ENERO!U45</f>
        <v>0</v>
      </c>
      <c r="V45" s="220">
        <f>ABRIL!V45+MAYO!AL45</f>
        <v>0</v>
      </c>
      <c r="W45" s="220">
        <f>ABRIL!W45+MAYO!AM45</f>
        <v>0</v>
      </c>
      <c r="X45" s="271">
        <f>SUM(U45:W45)</f>
        <v>0</v>
      </c>
      <c r="Y45" s="270">
        <f>ABRIL!AA45</f>
        <v>0</v>
      </c>
      <c r="Z45" s="208">
        <v>0</v>
      </c>
      <c r="AA45" s="271">
        <f>SUM(Y45:Z45)</f>
        <v>0</v>
      </c>
      <c r="AB45" s="270">
        <f>ABRIL!AD45</f>
        <v>0</v>
      </c>
      <c r="AC45" s="208">
        <v>0</v>
      </c>
      <c r="AD45" s="271">
        <f>SUM(AB45:AC45)</f>
        <v>0</v>
      </c>
      <c r="AE45" s="270">
        <f>ABRIL!AG45</f>
        <v>0</v>
      </c>
      <c r="AF45" s="208">
        <v>0</v>
      </c>
      <c r="AG45" s="271">
        <f>SUM(AE45:AF45)</f>
        <v>0</v>
      </c>
      <c r="AH45" s="270">
        <f>X45-AA45</f>
        <v>0</v>
      </c>
      <c r="AI45" s="220">
        <f>X45-AD45</f>
        <v>0</v>
      </c>
      <c r="AJ45" s="269">
        <f>X45-AG45</f>
        <v>0</v>
      </c>
      <c r="AK45" s="101"/>
      <c r="AL45" s="204">
        <v>0</v>
      </c>
      <c r="AM45" s="210">
        <v>0</v>
      </c>
      <c r="AN45" s="101"/>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row>
    <row r="46" spans="1:69" ht="24.75" customHeight="1">
      <c r="A46" s="202" t="str">
        <f>+IF(ABRIL!A46=0,"",ABRIL!A46)</f>
        <v>1.1.02.05.001.09.02.04</v>
      </c>
      <c r="B46" s="331" t="str">
        <f>+CONCATENATE("Vigencia ",INSTRUCCIONES!$F$3)</f>
        <v>Vigencia 2025</v>
      </c>
      <c r="C46" s="204">
        <f>+ENERO!C46</f>
        <v>795758987</v>
      </c>
      <c r="D46" s="205">
        <f>ABRIL!D46+MAYO!P46</f>
        <v>0</v>
      </c>
      <c r="E46" s="205">
        <f>ABRIL!E46+MAYO!Q46</f>
        <v>0</v>
      </c>
      <c r="F46" s="205">
        <f>SUM(C46:E46)</f>
        <v>795758987</v>
      </c>
      <c r="G46" s="205">
        <f>ABRIL!I46</f>
        <v>149010565</v>
      </c>
      <c r="H46" s="208">
        <v>15208887</v>
      </c>
      <c r="I46" s="205">
        <f>SUM(G46:H46)</f>
        <v>164219452</v>
      </c>
      <c r="J46" s="205">
        <f>ABRIL!L46</f>
        <v>4215387</v>
      </c>
      <c r="K46" s="208">
        <v>0</v>
      </c>
      <c r="L46" s="205">
        <f>SUM(J46:K46)</f>
        <v>4215387</v>
      </c>
      <c r="M46" s="205">
        <f>F46-I46</f>
        <v>631539535</v>
      </c>
      <c r="N46" s="206">
        <f>F46-L46</f>
        <v>791543600</v>
      </c>
      <c r="O46" s="67"/>
      <c r="P46" s="204">
        <v>0</v>
      </c>
      <c r="Q46" s="210">
        <v>0</v>
      </c>
      <c r="R46" s="101"/>
      <c r="S46" s="311" t="str">
        <f>+IF(ABRIL!S46=0,"",ABRIL!S46)</f>
        <v>1010301-2</v>
      </c>
      <c r="T46" s="312" t="str">
        <f>+IF(ABRIL!T46=0,"",ABRIL!T46)</f>
        <v>Fondos pensionales - Aportes cuenta maestra</v>
      </c>
      <c r="U46" s="373">
        <f>+ENERO!U46</f>
        <v>0</v>
      </c>
      <c r="V46" s="220">
        <f>ABRIL!V46+MAYO!AL46</f>
        <v>0</v>
      </c>
      <c r="W46" s="220">
        <f>ABRIL!W46+MAYO!AM46</f>
        <v>0</v>
      </c>
      <c r="X46" s="271">
        <f>SUM(U46:W46)</f>
        <v>0</v>
      </c>
      <c r="Y46" s="270">
        <f>ABRIL!AA46</f>
        <v>0</v>
      </c>
      <c r="Z46" s="208">
        <v>0</v>
      </c>
      <c r="AA46" s="271">
        <f>SUM(Y46:Z46)</f>
        <v>0</v>
      </c>
      <c r="AB46" s="270">
        <f>ABRIL!AD46</f>
        <v>0</v>
      </c>
      <c r="AC46" s="208">
        <v>0</v>
      </c>
      <c r="AD46" s="271">
        <f>SUM(AB46:AC46)</f>
        <v>0</v>
      </c>
      <c r="AE46" s="270">
        <f>ABRIL!AG46</f>
        <v>0</v>
      </c>
      <c r="AF46" s="208">
        <v>0</v>
      </c>
      <c r="AG46" s="271">
        <f>SUM(AE46:AF46)</f>
        <v>0</v>
      </c>
      <c r="AH46" s="270">
        <f>X46-AA46</f>
        <v>0</v>
      </c>
      <c r="AI46" s="220">
        <f>X46-AD46</f>
        <v>0</v>
      </c>
      <c r="AJ46" s="269">
        <f>X46-AG46</f>
        <v>0</v>
      </c>
      <c r="AK46" s="101"/>
      <c r="AL46" s="204">
        <v>0</v>
      </c>
      <c r="AM46" s="210">
        <v>0</v>
      </c>
      <c r="AN46" s="101"/>
      <c r="AO46" s="376"/>
      <c r="AP46" s="372"/>
      <c r="AQ46" s="67"/>
      <c r="AR46" s="67"/>
      <c r="AS46" s="67"/>
      <c r="AT46" s="67"/>
      <c r="AU46" s="67"/>
      <c r="AV46" s="67"/>
      <c r="AW46" s="67"/>
      <c r="AX46" s="67"/>
      <c r="AY46" s="67"/>
      <c r="AZ46" s="67"/>
      <c r="BA46" s="67"/>
      <c r="BB46" s="336"/>
      <c r="BC46" s="336"/>
      <c r="BD46" s="336"/>
      <c r="BE46" s="336"/>
      <c r="BF46" s="67"/>
      <c r="BG46" s="67"/>
      <c r="BH46" s="67"/>
      <c r="BI46" s="67"/>
      <c r="BJ46" s="67"/>
      <c r="BK46" s="67"/>
      <c r="BL46" s="67"/>
      <c r="BM46" s="336"/>
      <c r="BN46" s="336"/>
      <c r="BO46" s="336"/>
      <c r="BP46" s="336"/>
      <c r="BQ46" s="336"/>
    </row>
    <row r="47" spans="1:69" ht="24.75" customHeight="1">
      <c r="A47" s="202" t="str">
        <f>+IF(ABRIL!A47=0,"",ABRIL!A47)</f>
        <v>1.1.02.05.001.09.02.04.99</v>
      </c>
      <c r="B47" s="331" t="str">
        <f>+IF(ABRIL!B47=0,"",ABRIL!B47)</f>
        <v>Vigencia Anterior</v>
      </c>
      <c r="C47" s="204">
        <f>+ENERO!C47</f>
        <v>505746730</v>
      </c>
      <c r="D47" s="205">
        <f>ABRIL!D47+MAYO!P47</f>
        <v>0</v>
      </c>
      <c r="E47" s="205">
        <f>ABRIL!E47+MAYO!Q47</f>
        <v>0</v>
      </c>
      <c r="F47" s="205">
        <f>SUM(C47:E47)</f>
        <v>505746730</v>
      </c>
      <c r="G47" s="205">
        <f>ABRIL!I47</f>
        <v>84954473</v>
      </c>
      <c r="H47" s="208">
        <f>2257939+896220</f>
        <v>3154159</v>
      </c>
      <c r="I47" s="205">
        <f>SUM(G47:H47)</f>
        <v>88108632</v>
      </c>
      <c r="J47" s="205">
        <f>ABRIL!L47</f>
        <v>84954473</v>
      </c>
      <c r="K47" s="208">
        <f>2257939+896220</f>
        <v>3154159</v>
      </c>
      <c r="L47" s="205">
        <f>SUM(J47:K47)</f>
        <v>88108632</v>
      </c>
      <c r="M47" s="205">
        <f>F47-I47</f>
        <v>417638098</v>
      </c>
      <c r="N47" s="206">
        <f>F47-L47</f>
        <v>417638098</v>
      </c>
      <c r="O47" s="67"/>
      <c r="P47" s="204">
        <v>0</v>
      </c>
      <c r="Q47" s="210">
        <v>0</v>
      </c>
      <c r="R47" s="101"/>
      <c r="S47" s="311" t="str">
        <f>+IF(ABRIL!S47=0,"",ABRIL!S47)</f>
        <v>1010301-3</v>
      </c>
      <c r="T47" s="312" t="str">
        <f>+IF(ABRIL!T47=0,"",ABRIL!T47)</f>
        <v>Fondos de cesantías - Aportes cuenta maestra</v>
      </c>
      <c r="U47" s="373">
        <f>+ENERO!U47</f>
        <v>0</v>
      </c>
      <c r="V47" s="220">
        <f>ABRIL!V47+MAYO!AL47</f>
        <v>0</v>
      </c>
      <c r="W47" s="220">
        <f>ABRIL!W47+MAYO!AM47</f>
        <v>0</v>
      </c>
      <c r="X47" s="271">
        <f>SUM(U47:W47)</f>
        <v>0</v>
      </c>
      <c r="Y47" s="270">
        <f>ABRIL!AA47</f>
        <v>0</v>
      </c>
      <c r="Z47" s="208">
        <v>0</v>
      </c>
      <c r="AA47" s="271">
        <f>SUM(Y47:Z47)</f>
        <v>0</v>
      </c>
      <c r="AB47" s="270">
        <f>ABRIL!AD47</f>
        <v>0</v>
      </c>
      <c r="AC47" s="208">
        <v>0</v>
      </c>
      <c r="AD47" s="271">
        <f>SUM(AB47:AC47)</f>
        <v>0</v>
      </c>
      <c r="AE47" s="270">
        <f>ABRIL!AG47</f>
        <v>0</v>
      </c>
      <c r="AF47" s="208">
        <v>0</v>
      </c>
      <c r="AG47" s="271">
        <f>SUM(AE47:AF47)</f>
        <v>0</v>
      </c>
      <c r="AH47" s="270">
        <f>X47-AA47</f>
        <v>0</v>
      </c>
      <c r="AI47" s="220">
        <f>X47-AD47</f>
        <v>0</v>
      </c>
      <c r="AJ47" s="269">
        <f>X47-AG47</f>
        <v>0</v>
      </c>
      <c r="AK47" s="101"/>
      <c r="AL47" s="204">
        <v>0</v>
      </c>
      <c r="AM47" s="210">
        <v>0</v>
      </c>
      <c r="AN47" s="101"/>
      <c r="AO47" s="67"/>
      <c r="AP47" s="67"/>
      <c r="AQ47" s="67"/>
      <c r="AR47" s="67"/>
      <c r="AS47" s="67"/>
      <c r="AT47" s="67"/>
      <c r="AU47" s="67"/>
      <c r="AV47" s="67"/>
      <c r="AW47" s="67"/>
      <c r="AX47" s="67"/>
      <c r="AY47" s="67"/>
      <c r="AZ47" s="67"/>
      <c r="BA47" s="67"/>
      <c r="BB47" s="336"/>
      <c r="BC47" s="336"/>
      <c r="BD47" s="336"/>
      <c r="BE47" s="336"/>
      <c r="BF47" s="67"/>
      <c r="BG47" s="67"/>
      <c r="BH47" s="67"/>
      <c r="BI47" s="67"/>
      <c r="BJ47" s="67"/>
      <c r="BK47" s="67"/>
      <c r="BL47" s="67"/>
      <c r="BM47" s="67"/>
      <c r="BN47" s="67"/>
      <c r="BO47" s="67"/>
      <c r="BP47" s="67"/>
      <c r="BQ47" s="67"/>
    </row>
    <row r="48" spans="1:69" ht="24.75" customHeight="1">
      <c r="A48" s="286" t="str">
        <f>+IF(ABRIL!A48=0,"",ABRIL!A48)</f>
        <v>1.1.02.05.001.09.02.11</v>
      </c>
      <c r="B48" s="319" t="str">
        <f>+IF(ABRIL!B48=0,"",ABRIL!B48)</f>
        <v>Poblacion Especial</v>
      </c>
      <c r="C48" s="288">
        <f t="shared" ref="C48:N48" si="51">SUM(C49:C50)</f>
        <v>225672391</v>
      </c>
      <c r="D48" s="320">
        <f t="shared" si="51"/>
        <v>0</v>
      </c>
      <c r="E48" s="320">
        <f t="shared" si="51"/>
        <v>0</v>
      </c>
      <c r="F48" s="320">
        <f t="shared" si="51"/>
        <v>225672391</v>
      </c>
      <c r="G48" s="320">
        <f t="shared" si="51"/>
        <v>84452987</v>
      </c>
      <c r="H48" s="320">
        <f t="shared" si="51"/>
        <v>7799012</v>
      </c>
      <c r="I48" s="320">
        <f t="shared" si="51"/>
        <v>92251999</v>
      </c>
      <c r="J48" s="320">
        <f t="shared" si="51"/>
        <v>39202344</v>
      </c>
      <c r="K48" s="320">
        <f t="shared" si="51"/>
        <v>5279350</v>
      </c>
      <c r="L48" s="320">
        <f t="shared" si="51"/>
        <v>44481694</v>
      </c>
      <c r="M48" s="320">
        <f t="shared" si="51"/>
        <v>133420392</v>
      </c>
      <c r="N48" s="289">
        <f t="shared" si="51"/>
        <v>181190697</v>
      </c>
      <c r="O48" s="67"/>
      <c r="P48" s="288">
        <f>SUM(P49:P50)</f>
        <v>0</v>
      </c>
      <c r="Q48" s="289">
        <f>SUM(Q49:Q50)</f>
        <v>0</v>
      </c>
      <c r="R48" s="101"/>
      <c r="S48" s="311" t="str">
        <f>+IF(ABRIL!S48=0,"",ABRIL!S48)</f>
        <v>1010301-4</v>
      </c>
      <c r="T48" s="312" t="str">
        <f>+IF(ABRIL!T48=0,"",ABRIL!T48)</f>
        <v>Riesgos laborales - Aportes cuenta maestra</v>
      </c>
      <c r="U48" s="373">
        <f>+ENERO!U48</f>
        <v>0</v>
      </c>
      <c r="V48" s="220">
        <f>ABRIL!V48+MAYO!AL48</f>
        <v>0</v>
      </c>
      <c r="W48" s="220">
        <f>ABRIL!W48+MAYO!AM48</f>
        <v>0</v>
      </c>
      <c r="X48" s="271">
        <f>SUM(U48:W48)</f>
        <v>0</v>
      </c>
      <c r="Y48" s="270">
        <f>ABRIL!AA48</f>
        <v>0</v>
      </c>
      <c r="Z48" s="208">
        <v>0</v>
      </c>
      <c r="AA48" s="271">
        <f>SUM(Y48:Z48)</f>
        <v>0</v>
      </c>
      <c r="AB48" s="270">
        <f>ABRIL!AD48</f>
        <v>0</v>
      </c>
      <c r="AC48" s="208">
        <v>0</v>
      </c>
      <c r="AD48" s="271">
        <f>SUM(AB48:AC48)</f>
        <v>0</v>
      </c>
      <c r="AE48" s="270">
        <f>ABRIL!AG48</f>
        <v>0</v>
      </c>
      <c r="AF48" s="208">
        <v>0</v>
      </c>
      <c r="AG48" s="271">
        <f>SUM(AE48:AF48)</f>
        <v>0</v>
      </c>
      <c r="AH48" s="270">
        <f>X48-AA48</f>
        <v>0</v>
      </c>
      <c r="AI48" s="220">
        <f>X48-AD48</f>
        <v>0</v>
      </c>
      <c r="AJ48" s="269">
        <f>X48-AG48</f>
        <v>0</v>
      </c>
      <c r="AK48" s="101"/>
      <c r="AL48" s="204">
        <v>0</v>
      </c>
      <c r="AM48" s="210">
        <v>0</v>
      </c>
      <c r="AN48" s="101"/>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row>
    <row r="49" spans="1:39" ht="24.75" customHeight="1">
      <c r="A49" s="202" t="str">
        <f>+IF(ABRIL!A49=0,"",ABRIL!A49)</f>
        <v>1.1.02.05.001.09.02.11</v>
      </c>
      <c r="B49" s="331" t="str">
        <f>+CONCATENATE("Vigencia ",INSTRUCCIONES!$F$3)</f>
        <v>Vigencia 2025</v>
      </c>
      <c r="C49" s="204">
        <f>+ENERO!C49</f>
        <v>180672391</v>
      </c>
      <c r="D49" s="205">
        <f>ABRIL!D49+MAYO!P49</f>
        <v>0</v>
      </c>
      <c r="E49" s="205">
        <f>ABRIL!E49+MAYO!Q49</f>
        <v>0</v>
      </c>
      <c r="F49" s="205">
        <f>SUM(C49:E49)</f>
        <v>180672391</v>
      </c>
      <c r="G49" s="205">
        <f>ABRIL!I49</f>
        <v>45250643</v>
      </c>
      <c r="H49" s="208">
        <v>7799012</v>
      </c>
      <c r="I49" s="205">
        <f>SUM(G49:H49)</f>
        <v>53049655</v>
      </c>
      <c r="J49" s="205">
        <f>ABRIL!L49</f>
        <v>0</v>
      </c>
      <c r="K49" s="208">
        <v>5279350</v>
      </c>
      <c r="L49" s="205">
        <f>SUM(J49:K49)</f>
        <v>5279350</v>
      </c>
      <c r="M49" s="205">
        <f>F49-I49</f>
        <v>127622736</v>
      </c>
      <c r="N49" s="206">
        <f>F49-L49</f>
        <v>175393041</v>
      </c>
      <c r="O49" s="67"/>
      <c r="P49" s="204">
        <v>0</v>
      </c>
      <c r="Q49" s="210">
        <v>0</v>
      </c>
      <c r="R49" s="101"/>
      <c r="S49" s="266">
        <f>+IF(ABRIL!S49=0,"",ABRIL!S49)</f>
        <v>1010302</v>
      </c>
      <c r="T49" s="267" t="str">
        <f>+IF(ABRIL!T49=0,"",ABRIL!T49)</f>
        <v>Contribuciones - Otros</v>
      </c>
      <c r="U49" s="373">
        <f t="shared" ref="U49:AJ49" si="52">SUM(U50:U54)</f>
        <v>2369058848.2960005</v>
      </c>
      <c r="V49" s="220">
        <f t="shared" si="52"/>
        <v>-30000000</v>
      </c>
      <c r="W49" s="220">
        <f t="shared" si="52"/>
        <v>0</v>
      </c>
      <c r="X49" s="271">
        <f t="shared" si="52"/>
        <v>2339058848.2960005</v>
      </c>
      <c r="Y49" s="270">
        <f t="shared" si="52"/>
        <v>554014484</v>
      </c>
      <c r="Z49" s="300">
        <f t="shared" si="52"/>
        <v>114230000</v>
      </c>
      <c r="AA49" s="271">
        <f t="shared" si="52"/>
        <v>668244484</v>
      </c>
      <c r="AB49" s="270">
        <f t="shared" si="52"/>
        <v>554014484</v>
      </c>
      <c r="AC49" s="300">
        <f t="shared" si="52"/>
        <v>114230000</v>
      </c>
      <c r="AD49" s="271">
        <f t="shared" si="52"/>
        <v>668244484</v>
      </c>
      <c r="AE49" s="270">
        <f t="shared" si="52"/>
        <v>491941200</v>
      </c>
      <c r="AF49" s="300">
        <f t="shared" si="52"/>
        <v>176303284</v>
      </c>
      <c r="AG49" s="271">
        <f t="shared" si="52"/>
        <v>668244484</v>
      </c>
      <c r="AH49" s="270">
        <f t="shared" si="52"/>
        <v>1670814364.2960002</v>
      </c>
      <c r="AI49" s="220">
        <f t="shared" si="52"/>
        <v>1670814364.2960002</v>
      </c>
      <c r="AJ49" s="269">
        <f t="shared" si="52"/>
        <v>1670814364.2960002</v>
      </c>
      <c r="AK49" s="101"/>
      <c r="AL49" s="301">
        <f>SUM(AL50:AL54)</f>
        <v>0</v>
      </c>
      <c r="AM49" s="302">
        <f>SUM(AM50:AM54)</f>
        <v>0</v>
      </c>
    </row>
    <row r="50" spans="1:39" ht="24.75" customHeight="1">
      <c r="A50" s="202" t="str">
        <f>+IF(ABRIL!A50=0,"",ABRIL!A50)</f>
        <v>1.1.02.05.001.09.02.11.99</v>
      </c>
      <c r="B50" s="331" t="str">
        <f>+IF(ABRIL!B50=0,"",ABRIL!B50)</f>
        <v>Vigencia Anterior</v>
      </c>
      <c r="C50" s="204">
        <f>+ENERO!C50</f>
        <v>45000000</v>
      </c>
      <c r="D50" s="205">
        <f>ABRIL!D50+MAYO!P50</f>
        <v>0</v>
      </c>
      <c r="E50" s="205">
        <f>ABRIL!E50+MAYO!Q50</f>
        <v>0</v>
      </c>
      <c r="F50" s="205">
        <f>SUM(C50:E50)</f>
        <v>45000000</v>
      </c>
      <c r="G50" s="205">
        <f>ABRIL!I50</f>
        <v>39202344</v>
      </c>
      <c r="H50" s="208">
        <v>0</v>
      </c>
      <c r="I50" s="205">
        <f>SUM(G50:H50)</f>
        <v>39202344</v>
      </c>
      <c r="J50" s="205">
        <f>ABRIL!L50</f>
        <v>39202344</v>
      </c>
      <c r="K50" s="208">
        <v>0</v>
      </c>
      <c r="L50" s="205">
        <f>SUM(J50:K50)</f>
        <v>39202344</v>
      </c>
      <c r="M50" s="205">
        <f>F50-I50</f>
        <v>5797656</v>
      </c>
      <c r="N50" s="206">
        <f>F50-L50</f>
        <v>5797656</v>
      </c>
      <c r="O50" s="67"/>
      <c r="P50" s="204">
        <v>0</v>
      </c>
      <c r="Q50" s="210">
        <v>0</v>
      </c>
      <c r="R50" s="101"/>
      <c r="S50" s="311" t="str">
        <f>+IF(ABRIL!S50=0,"",ABRIL!S50)</f>
        <v>2.1.1.01.02.002</v>
      </c>
      <c r="T50" s="312" t="str">
        <f>+IF(ABRIL!T50=0,"",ABRIL!T50)</f>
        <v>Aportes a E.P.S. - recursos propios</v>
      </c>
      <c r="U50" s="373">
        <f>+ENERO!U50</f>
        <v>555207343.50000024</v>
      </c>
      <c r="V50" s="220">
        <f>ABRIL!V50+MAYO!AL50</f>
        <v>0</v>
      </c>
      <c r="W50" s="220">
        <f>ABRIL!W50+MAYO!AM50</f>
        <v>0</v>
      </c>
      <c r="X50" s="271">
        <f t="shared" ref="X50:X55" si="53">SUM(U50:W50)</f>
        <v>555207343.50000024</v>
      </c>
      <c r="Y50" s="270">
        <f>ABRIL!AA50</f>
        <v>156071100</v>
      </c>
      <c r="Z50" s="208">
        <v>37012000</v>
      </c>
      <c r="AA50" s="271">
        <f t="shared" ref="AA50:AA55" si="54">SUM(Y50:Z50)</f>
        <v>193083100</v>
      </c>
      <c r="AB50" s="270">
        <f>ABRIL!AD50</f>
        <v>156071100</v>
      </c>
      <c r="AC50" s="208">
        <v>37012000</v>
      </c>
      <c r="AD50" s="271">
        <f t="shared" ref="AD50:AD55" si="55">SUM(AB50:AC50)</f>
        <v>193083100</v>
      </c>
      <c r="AE50" s="270">
        <f>ABRIL!AG50</f>
        <v>156071100</v>
      </c>
      <c r="AF50" s="208">
        <v>37012000</v>
      </c>
      <c r="AG50" s="271">
        <f t="shared" ref="AG50:AG55" si="56">SUM(AE50:AF50)</f>
        <v>193083100</v>
      </c>
      <c r="AH50" s="270">
        <f t="shared" ref="AH50:AH55" si="57">X50-AA50</f>
        <v>362124243.50000024</v>
      </c>
      <c r="AI50" s="220">
        <f t="shared" ref="AI50:AI55" si="58">X50-AD50</f>
        <v>362124243.50000024</v>
      </c>
      <c r="AJ50" s="269">
        <f t="shared" ref="AJ50:AJ55" si="59">X50-AG50</f>
        <v>362124243.50000024</v>
      </c>
      <c r="AK50" s="101"/>
      <c r="AL50" s="204">
        <v>0</v>
      </c>
      <c r="AM50" s="210">
        <v>0</v>
      </c>
    </row>
    <row r="51" spans="1:39" ht="24.75" customHeight="1">
      <c r="A51" s="286" t="str">
        <f>+IF(ABRIL!A51=0,"",ABRIL!A51)</f>
        <v>1.1.02.05.001.09.02.16</v>
      </c>
      <c r="B51" s="319" t="str">
        <f>+IF(ABRIL!B51=0,"",ABRIL!B51)</f>
        <v>Fondo Nacional de la Salud personas privadas de la Libertad</v>
      </c>
      <c r="C51" s="288">
        <f t="shared" ref="C51:N51" si="60">SUM(C52:C53)</f>
        <v>168856</v>
      </c>
      <c r="D51" s="320">
        <f t="shared" si="60"/>
        <v>0</v>
      </c>
      <c r="E51" s="320">
        <f t="shared" si="60"/>
        <v>0</v>
      </c>
      <c r="F51" s="320">
        <f t="shared" si="60"/>
        <v>168856</v>
      </c>
      <c r="G51" s="320">
        <f t="shared" si="60"/>
        <v>14817965</v>
      </c>
      <c r="H51" s="320">
        <f t="shared" si="60"/>
        <v>0</v>
      </c>
      <c r="I51" s="320">
        <f t="shared" si="60"/>
        <v>14817965</v>
      </c>
      <c r="J51" s="320">
        <f t="shared" si="60"/>
        <v>0</v>
      </c>
      <c r="K51" s="320">
        <f t="shared" si="60"/>
        <v>0</v>
      </c>
      <c r="L51" s="320">
        <f t="shared" si="60"/>
        <v>0</v>
      </c>
      <c r="M51" s="320">
        <f t="shared" si="60"/>
        <v>-14649109</v>
      </c>
      <c r="N51" s="289">
        <f t="shared" si="60"/>
        <v>168856</v>
      </c>
      <c r="O51" s="67"/>
      <c r="P51" s="288">
        <f>SUM(P52:P53)</f>
        <v>0</v>
      </c>
      <c r="Q51" s="289">
        <f>SUM(Q52:Q53)</f>
        <v>0</v>
      </c>
      <c r="R51" s="101"/>
      <c r="S51" s="311" t="str">
        <f>+IF(ABRIL!S51=0,"",ABRIL!S51)</f>
        <v>2.1.1.01.02.001</v>
      </c>
      <c r="T51" s="312" t="str">
        <f>+IF(ABRIL!T51=0,"",ABRIL!T51)</f>
        <v>Aportes Fondos Pensionales - recursos propios</v>
      </c>
      <c r="U51" s="373">
        <f>+ENERO!U51</f>
        <v>783822132</v>
      </c>
      <c r="V51" s="220">
        <f>ABRIL!V51+MAYO!AL51</f>
        <v>0</v>
      </c>
      <c r="W51" s="220">
        <f>ABRIL!W51+MAYO!AM51</f>
        <v>0</v>
      </c>
      <c r="X51" s="271">
        <f t="shared" si="53"/>
        <v>783822132</v>
      </c>
      <c r="Y51" s="270">
        <f>ABRIL!AA51</f>
        <v>222285700</v>
      </c>
      <c r="Z51" s="208">
        <v>52668400</v>
      </c>
      <c r="AA51" s="271">
        <f t="shared" si="54"/>
        <v>274954100</v>
      </c>
      <c r="AB51" s="270">
        <f>ABRIL!AD51</f>
        <v>222285700</v>
      </c>
      <c r="AC51" s="208">
        <v>52668400</v>
      </c>
      <c r="AD51" s="271">
        <f t="shared" si="55"/>
        <v>274954100</v>
      </c>
      <c r="AE51" s="270">
        <f>ABRIL!AG51</f>
        <v>222285700</v>
      </c>
      <c r="AF51" s="208">
        <v>52668400</v>
      </c>
      <c r="AG51" s="271">
        <f t="shared" si="56"/>
        <v>274954100</v>
      </c>
      <c r="AH51" s="270">
        <f t="shared" si="57"/>
        <v>508868032</v>
      </c>
      <c r="AI51" s="220">
        <f t="shared" si="58"/>
        <v>508868032</v>
      </c>
      <c r="AJ51" s="269">
        <f t="shared" si="59"/>
        <v>508868032</v>
      </c>
      <c r="AK51" s="101"/>
      <c r="AL51" s="204">
        <v>0</v>
      </c>
      <c r="AM51" s="210">
        <v>0</v>
      </c>
    </row>
    <row r="52" spans="1:39" ht="24.75" customHeight="1">
      <c r="A52" s="202" t="str">
        <f>+IF(ABRIL!A52=0,"",ABRIL!A52)</f>
        <v>1.1.02.05.001.09.02.16</v>
      </c>
      <c r="B52" s="331" t="str">
        <f>+CONCATENATE("Vigencia ",INSTRUCCIONES!$F$3)</f>
        <v>Vigencia 2025</v>
      </c>
      <c r="C52" s="204">
        <f>+ENERO!C52</f>
        <v>168856</v>
      </c>
      <c r="D52" s="205">
        <f>ABRIL!D52+MAYO!P52</f>
        <v>0</v>
      </c>
      <c r="E52" s="205">
        <f>ABRIL!E52+MAYO!Q52</f>
        <v>0</v>
      </c>
      <c r="F52" s="205">
        <f>SUM(C52:E52)</f>
        <v>168856</v>
      </c>
      <c r="G52" s="205">
        <f>ABRIL!I52</f>
        <v>14817965</v>
      </c>
      <c r="H52" s="208">
        <v>0</v>
      </c>
      <c r="I52" s="205">
        <f>SUM(G52:H52)</f>
        <v>14817965</v>
      </c>
      <c r="J52" s="205">
        <f>ABRIL!L52</f>
        <v>0</v>
      </c>
      <c r="K52" s="208">
        <v>0</v>
      </c>
      <c r="L52" s="205">
        <f>SUM(J52:K52)</f>
        <v>0</v>
      </c>
      <c r="M52" s="205">
        <f>F52-I52</f>
        <v>-14649109</v>
      </c>
      <c r="N52" s="206">
        <f>F52-L52</f>
        <v>168856</v>
      </c>
      <c r="O52" s="67"/>
      <c r="P52" s="204">
        <v>0</v>
      </c>
      <c r="Q52" s="210">
        <v>0</v>
      </c>
      <c r="R52" s="101"/>
      <c r="S52" s="311" t="str">
        <f>+IF(ABRIL!S52=0,"",ABRIL!S52)</f>
        <v>2.1.1.01.02.003</v>
      </c>
      <c r="T52" s="312" t="str">
        <f>+IF(ABRIL!T52=0,"",ABRIL!T52)</f>
        <v>Aportes a Fondos de Cesantia - recursos propios</v>
      </c>
      <c r="U52" s="373">
        <f>+ENERO!U52</f>
        <v>609639436</v>
      </c>
      <c r="V52" s="220">
        <f>ABRIL!V52+MAYO!AL52</f>
        <v>-30000000</v>
      </c>
      <c r="W52" s="220">
        <f>ABRIL!W52+MAYO!AM52</f>
        <v>0</v>
      </c>
      <c r="X52" s="271">
        <f t="shared" si="53"/>
        <v>579639436</v>
      </c>
      <c r="Y52" s="270">
        <f>ABRIL!AA52</f>
        <v>70191984</v>
      </c>
      <c r="Z52" s="208">
        <v>0</v>
      </c>
      <c r="AA52" s="271">
        <f t="shared" si="54"/>
        <v>70191984</v>
      </c>
      <c r="AB52" s="270">
        <f>ABRIL!AD52</f>
        <v>70191984</v>
      </c>
      <c r="AC52" s="208">
        <v>0</v>
      </c>
      <c r="AD52" s="271">
        <f t="shared" si="55"/>
        <v>70191984</v>
      </c>
      <c r="AE52" s="270">
        <f>ABRIL!AG52</f>
        <v>8118700</v>
      </c>
      <c r="AF52" s="208">
        <v>62073284</v>
      </c>
      <c r="AG52" s="271">
        <f t="shared" si="56"/>
        <v>70191984</v>
      </c>
      <c r="AH52" s="270">
        <f t="shared" si="57"/>
        <v>509447452</v>
      </c>
      <c r="AI52" s="220">
        <f t="shared" si="58"/>
        <v>509447452</v>
      </c>
      <c r="AJ52" s="269">
        <f t="shared" si="59"/>
        <v>509447452</v>
      </c>
      <c r="AK52" s="101"/>
      <c r="AL52" s="204">
        <v>0</v>
      </c>
      <c r="AM52" s="210">
        <v>0</v>
      </c>
    </row>
    <row r="53" spans="1:39" ht="24.75" customHeight="1">
      <c r="A53" s="202" t="str">
        <f>+IF(ABRIL!A53=0,"",ABRIL!A53)</f>
        <v>1.1.02.05.001.09.02.16.99</v>
      </c>
      <c r="B53" s="331" t="str">
        <f>+IF(ABRIL!B53=0,"",ABRIL!B53)</f>
        <v>Vigencia Anterior</v>
      </c>
      <c r="C53" s="204">
        <f>+ENERO!C53</f>
        <v>0</v>
      </c>
      <c r="D53" s="205">
        <f>ABRIL!D53+MAYO!P53</f>
        <v>0</v>
      </c>
      <c r="E53" s="205">
        <f>ABRIL!E53+MAYO!Q53</f>
        <v>0</v>
      </c>
      <c r="F53" s="205">
        <f>SUM(C53:E53)</f>
        <v>0</v>
      </c>
      <c r="G53" s="205">
        <f>ABRIL!I53</f>
        <v>0</v>
      </c>
      <c r="H53" s="208">
        <v>0</v>
      </c>
      <c r="I53" s="205">
        <f>SUM(G53:H53)</f>
        <v>0</v>
      </c>
      <c r="J53" s="205">
        <f>ABRIL!L53</f>
        <v>0</v>
      </c>
      <c r="K53" s="208">
        <v>0</v>
      </c>
      <c r="L53" s="205">
        <f>SUM(J53:K53)</f>
        <v>0</v>
      </c>
      <c r="M53" s="205">
        <f>F53-I53</f>
        <v>0</v>
      </c>
      <c r="N53" s="206">
        <f>F53-L53</f>
        <v>0</v>
      </c>
      <c r="O53" s="67"/>
      <c r="P53" s="204">
        <v>0</v>
      </c>
      <c r="Q53" s="210">
        <v>0</v>
      </c>
      <c r="R53" s="101"/>
      <c r="S53" s="311" t="str">
        <f>+IF(ABRIL!S53=0,"",ABRIL!S53)</f>
        <v>2.1.1.01.02.005</v>
      </c>
      <c r="T53" s="312" t="str">
        <f>+IF(ABRIL!T53=0,"",ABRIL!T53)</f>
        <v>Aporte a ARL. - recursos propios</v>
      </c>
      <c r="U53" s="373">
        <f>+ENERO!U53</f>
        <v>159115892.79599997</v>
      </c>
      <c r="V53" s="220">
        <f>ABRIL!V53+MAYO!AL53</f>
        <v>0</v>
      </c>
      <c r="W53" s="220">
        <f>ABRIL!W53+MAYO!AM53</f>
        <v>0</v>
      </c>
      <c r="X53" s="271">
        <f t="shared" si="53"/>
        <v>159115892.79599997</v>
      </c>
      <c r="Y53" s="270">
        <f>ABRIL!AA53</f>
        <v>31487100</v>
      </c>
      <c r="Z53" s="208">
        <v>7235200</v>
      </c>
      <c r="AA53" s="271">
        <f t="shared" si="54"/>
        <v>38722300</v>
      </c>
      <c r="AB53" s="270">
        <f>ABRIL!AD53</f>
        <v>31487100</v>
      </c>
      <c r="AC53" s="208">
        <v>7235200</v>
      </c>
      <c r="AD53" s="271">
        <f t="shared" si="55"/>
        <v>38722300</v>
      </c>
      <c r="AE53" s="270">
        <f>ABRIL!AG53</f>
        <v>31487100</v>
      </c>
      <c r="AF53" s="208">
        <v>7235200</v>
      </c>
      <c r="AG53" s="271">
        <f t="shared" si="56"/>
        <v>38722300</v>
      </c>
      <c r="AH53" s="270">
        <f t="shared" si="57"/>
        <v>120393592.79599997</v>
      </c>
      <c r="AI53" s="220">
        <f t="shared" si="58"/>
        <v>120393592.79599997</v>
      </c>
      <c r="AJ53" s="269">
        <f t="shared" si="59"/>
        <v>120393592.79599997</v>
      </c>
      <c r="AK53" s="101"/>
      <c r="AL53" s="204">
        <v>0</v>
      </c>
      <c r="AM53" s="210">
        <v>0</v>
      </c>
    </row>
    <row r="54" spans="1:39" ht="24.75" customHeight="1">
      <c r="A54" s="286" t="str">
        <f>+IF(ABRIL!A54=0,"",ABRIL!A54)</f>
        <v>1.1.02.05.001.09.02.17</v>
      </c>
      <c r="B54" s="319" t="str">
        <f>+IF(ABRIL!B54=0,"",ABRIL!B54)</f>
        <v>EMPRESAS MEDICINA PREPAGADA</v>
      </c>
      <c r="C54" s="288">
        <f t="shared" ref="C54:N54" si="61">SUM(C55:C56)</f>
        <v>968592.84788797423</v>
      </c>
      <c r="D54" s="320">
        <f t="shared" si="61"/>
        <v>0</v>
      </c>
      <c r="E54" s="320">
        <f t="shared" si="61"/>
        <v>0</v>
      </c>
      <c r="F54" s="320">
        <f t="shared" si="61"/>
        <v>968592.84788797423</v>
      </c>
      <c r="G54" s="320">
        <f t="shared" si="61"/>
        <v>13073443</v>
      </c>
      <c r="H54" s="320">
        <f t="shared" si="61"/>
        <v>0</v>
      </c>
      <c r="I54" s="320">
        <f t="shared" si="61"/>
        <v>13073443</v>
      </c>
      <c r="J54" s="320">
        <f t="shared" si="61"/>
        <v>11142773</v>
      </c>
      <c r="K54" s="320">
        <f t="shared" si="61"/>
        <v>0</v>
      </c>
      <c r="L54" s="320">
        <f t="shared" si="61"/>
        <v>11142773</v>
      </c>
      <c r="M54" s="320">
        <f t="shared" si="61"/>
        <v>-12104850.152112026</v>
      </c>
      <c r="N54" s="289">
        <f t="shared" si="61"/>
        <v>-10174180.152112026</v>
      </c>
      <c r="O54" s="67"/>
      <c r="P54" s="288">
        <f>SUM(P55:P56)</f>
        <v>0</v>
      </c>
      <c r="Q54" s="289">
        <f>SUM(Q55:Q56)</f>
        <v>0</v>
      </c>
      <c r="R54" s="101"/>
      <c r="S54" s="311" t="str">
        <f>+IF(ABRIL!S54=0,"",ABRIL!S54)</f>
        <v>2.1.1.01.02.004</v>
      </c>
      <c r="T54" s="312" t="str">
        <f>+IF(ABRIL!T54=0,"",ABRIL!T54)</f>
        <v>Aporte a Caja Compensación Familiar</v>
      </c>
      <c r="U54" s="373">
        <f>+ENERO!U54</f>
        <v>261274044</v>
      </c>
      <c r="V54" s="220">
        <f>ABRIL!V54+MAYO!AL54</f>
        <v>0</v>
      </c>
      <c r="W54" s="220">
        <f>ABRIL!W54+MAYO!AM54</f>
        <v>0</v>
      </c>
      <c r="X54" s="271">
        <f t="shared" si="53"/>
        <v>261274044</v>
      </c>
      <c r="Y54" s="270">
        <f>ABRIL!AA54</f>
        <v>73978600</v>
      </c>
      <c r="Z54" s="208">
        <v>17314400</v>
      </c>
      <c r="AA54" s="271">
        <f t="shared" si="54"/>
        <v>91293000</v>
      </c>
      <c r="AB54" s="270">
        <f>ABRIL!AD54</f>
        <v>73978600</v>
      </c>
      <c r="AC54" s="208">
        <v>17314400</v>
      </c>
      <c r="AD54" s="271">
        <f t="shared" si="55"/>
        <v>91293000</v>
      </c>
      <c r="AE54" s="270">
        <f>ABRIL!AG54</f>
        <v>73978600</v>
      </c>
      <c r="AF54" s="208">
        <v>17314400</v>
      </c>
      <c r="AG54" s="271">
        <f t="shared" si="56"/>
        <v>91293000</v>
      </c>
      <c r="AH54" s="270">
        <f t="shared" si="57"/>
        <v>169981044</v>
      </c>
      <c r="AI54" s="220">
        <f t="shared" si="58"/>
        <v>169981044</v>
      </c>
      <c r="AJ54" s="269">
        <f t="shared" si="59"/>
        <v>169981044</v>
      </c>
      <c r="AK54" s="101"/>
      <c r="AL54" s="204">
        <v>0</v>
      </c>
      <c r="AM54" s="210">
        <v>0</v>
      </c>
    </row>
    <row r="55" spans="1:39" ht="24.75" customHeight="1">
      <c r="A55" s="202" t="str">
        <f>+IF(ABRIL!A55=0,"",ABRIL!A55)</f>
        <v>1.1.02.05.001.09.02.17</v>
      </c>
      <c r="B55" s="331" t="str">
        <f>+CONCATENATE("Vigencia ",INSTRUCCIONES!$F$3)</f>
        <v>Vigencia 2025</v>
      </c>
      <c r="C55" s="204">
        <f>+ENERO!C55</f>
        <v>968592.84788797423</v>
      </c>
      <c r="D55" s="205">
        <f>ABRIL!D55+MAYO!P55</f>
        <v>0</v>
      </c>
      <c r="E55" s="205">
        <f>ABRIL!E55+MAYO!Q55</f>
        <v>0</v>
      </c>
      <c r="F55" s="205">
        <f>SUM(C55:E55)</f>
        <v>968592.84788797423</v>
      </c>
      <c r="G55" s="205">
        <f>ABRIL!I55</f>
        <v>2732534</v>
      </c>
      <c r="H55" s="208">
        <v>0</v>
      </c>
      <c r="I55" s="205">
        <f>SUM(G55:H55)</f>
        <v>2732534</v>
      </c>
      <c r="J55" s="205">
        <f>ABRIL!L55</f>
        <v>801864</v>
      </c>
      <c r="K55" s="208">
        <v>0</v>
      </c>
      <c r="L55" s="205">
        <f>SUM(J55:K55)</f>
        <v>801864</v>
      </c>
      <c r="M55" s="205">
        <f>F55-I55</f>
        <v>-1763941.1521120258</v>
      </c>
      <c r="N55" s="206">
        <f>F55-L55</f>
        <v>166728.84788797423</v>
      </c>
      <c r="O55" s="67"/>
      <c r="P55" s="204">
        <v>0</v>
      </c>
      <c r="Q55" s="210">
        <v>0</v>
      </c>
      <c r="R55" s="101"/>
      <c r="S55" s="266" t="str">
        <f>+IF(ABRIL!S55=0,"",ABRIL!S55)</f>
        <v>2.1.1.01.02.003.99</v>
      </c>
      <c r="T55" s="267" t="str">
        <f>+IF(ABRIL!T55=0,"",ABRIL!T55)</f>
        <v>Vigencias Anteriores Aportes a cesantías</v>
      </c>
      <c r="U55" s="373">
        <f>+ENERO!U55</f>
        <v>502141089.6665011</v>
      </c>
      <c r="V55" s="220">
        <f>ABRIL!V55+MAYO!AL55</f>
        <v>30000000</v>
      </c>
      <c r="W55" s="220">
        <f>ABRIL!W55+MAYO!AM55</f>
        <v>0</v>
      </c>
      <c r="X55" s="271">
        <f t="shared" si="53"/>
        <v>532141089.6665011</v>
      </c>
      <c r="Y55" s="270">
        <f>ABRIL!AA55</f>
        <v>522067978</v>
      </c>
      <c r="Z55" s="208">
        <v>2239656</v>
      </c>
      <c r="AA55" s="271">
        <f t="shared" si="54"/>
        <v>524307634</v>
      </c>
      <c r="AB55" s="270">
        <f>ABRIL!AD55</f>
        <v>522067978</v>
      </c>
      <c r="AC55" s="208">
        <v>2239656</v>
      </c>
      <c r="AD55" s="271">
        <f t="shared" si="55"/>
        <v>524307634</v>
      </c>
      <c r="AE55" s="270">
        <f>ABRIL!AG55</f>
        <v>522067978</v>
      </c>
      <c r="AF55" s="208">
        <v>2239656</v>
      </c>
      <c r="AG55" s="271">
        <f t="shared" si="56"/>
        <v>524307634</v>
      </c>
      <c r="AH55" s="270">
        <f t="shared" si="57"/>
        <v>7833455.6665011048</v>
      </c>
      <c r="AI55" s="220">
        <f t="shared" si="58"/>
        <v>7833455.6665011048</v>
      </c>
      <c r="AJ55" s="269">
        <f t="shared" si="59"/>
        <v>7833455.6665011048</v>
      </c>
      <c r="AK55" s="101"/>
      <c r="AL55" s="204">
        <v>0</v>
      </c>
      <c r="AM55" s="210">
        <v>0</v>
      </c>
    </row>
    <row r="56" spans="1:39" ht="24.75" customHeight="1">
      <c r="A56" s="202" t="str">
        <f>+IF(ABRIL!A56=0,"",ABRIL!A56)</f>
        <v>1.1.02.05.001.09.02.17.99</v>
      </c>
      <c r="B56" s="331" t="str">
        <f>+IF(ABRIL!B56=0,"",ABRIL!B56)</f>
        <v>Vigencia Anterior</v>
      </c>
      <c r="C56" s="204">
        <f>+ENERO!C56</f>
        <v>0</v>
      </c>
      <c r="D56" s="205">
        <f>ABRIL!D56+MAYO!P56</f>
        <v>0</v>
      </c>
      <c r="E56" s="205">
        <f>ABRIL!E56+MAYO!Q56</f>
        <v>0</v>
      </c>
      <c r="F56" s="205">
        <f>SUM(C56:E56)</f>
        <v>0</v>
      </c>
      <c r="G56" s="205">
        <f>ABRIL!I56</f>
        <v>10340909</v>
      </c>
      <c r="H56" s="208">
        <v>0</v>
      </c>
      <c r="I56" s="205">
        <f>SUM(G56:H56)</f>
        <v>10340909</v>
      </c>
      <c r="J56" s="205">
        <f>ABRIL!L56</f>
        <v>10340909</v>
      </c>
      <c r="K56" s="208">
        <v>0</v>
      </c>
      <c r="L56" s="205">
        <f>SUM(J56:K56)</f>
        <v>10340909</v>
      </c>
      <c r="M56" s="205">
        <f>F56-I56</f>
        <v>-10340909</v>
      </c>
      <c r="N56" s="206">
        <f>F56-L56</f>
        <v>-10340909</v>
      </c>
      <c r="O56" s="67"/>
      <c r="P56" s="204">
        <v>0</v>
      </c>
      <c r="Q56" s="210">
        <v>0</v>
      </c>
      <c r="R56" s="101"/>
      <c r="S56" s="189">
        <f>+IF(ABRIL!S56=0,"",ABRIL!S56)</f>
        <v>10340904</v>
      </c>
      <c r="T56" s="488" t="str">
        <f>+IF(ABRIL!T56=0,"",ABRIL!T56)</f>
        <v/>
      </c>
      <c r="U56" s="191"/>
      <c r="V56" s="191"/>
      <c r="W56" s="191"/>
      <c r="X56" s="191"/>
      <c r="Y56" s="191"/>
      <c r="Z56" s="191"/>
      <c r="AA56" s="191"/>
      <c r="AB56" s="191"/>
      <c r="AC56" s="191"/>
      <c r="AD56" s="191"/>
      <c r="AE56" s="191"/>
      <c r="AF56" s="191"/>
      <c r="AG56" s="191"/>
      <c r="AH56" s="191"/>
      <c r="AI56" s="191"/>
      <c r="AJ56" s="192"/>
      <c r="AK56" s="216"/>
      <c r="AL56" s="370"/>
      <c r="AM56" s="371"/>
    </row>
    <row r="57" spans="1:39" ht="24.75" customHeight="1">
      <c r="A57" s="286" t="str">
        <f>+IF(ABRIL!A57=0,"",ABRIL!A57)</f>
        <v>1.1.02.05.001.09.02.09</v>
      </c>
      <c r="B57" s="319" t="str">
        <f>+IF(ABRIL!B57=0,"",ABRIL!B57)</f>
        <v>IPS PRIVADAS</v>
      </c>
      <c r="C57" s="288">
        <f t="shared" ref="C57:N57" si="62">SUM(C58:C59)</f>
        <v>8042608</v>
      </c>
      <c r="D57" s="320">
        <f t="shared" si="62"/>
        <v>0</v>
      </c>
      <c r="E57" s="320">
        <f t="shared" si="62"/>
        <v>0</v>
      </c>
      <c r="F57" s="320">
        <f t="shared" si="62"/>
        <v>8042608</v>
      </c>
      <c r="G57" s="320">
        <f t="shared" si="62"/>
        <v>0</v>
      </c>
      <c r="H57" s="320">
        <f t="shared" si="62"/>
        <v>0</v>
      </c>
      <c r="I57" s="320">
        <f t="shared" si="62"/>
        <v>0</v>
      </c>
      <c r="J57" s="320">
        <f t="shared" si="62"/>
        <v>0</v>
      </c>
      <c r="K57" s="320">
        <f t="shared" si="62"/>
        <v>0</v>
      </c>
      <c r="L57" s="320">
        <f t="shared" si="62"/>
        <v>0</v>
      </c>
      <c r="M57" s="320">
        <f t="shared" si="62"/>
        <v>8042608</v>
      </c>
      <c r="N57" s="289">
        <f t="shared" si="62"/>
        <v>8042608</v>
      </c>
      <c r="O57" s="67"/>
      <c r="P57" s="288">
        <f>SUM(P58:P59)</f>
        <v>0</v>
      </c>
      <c r="Q57" s="289">
        <f>SUM(Q58:Q59)</f>
        <v>0</v>
      </c>
      <c r="R57" s="101"/>
      <c r="S57" s="257">
        <f>+IF(ABRIL!S57=0,"",ABRIL!S57)</f>
        <v>1010400</v>
      </c>
      <c r="T57" s="546" t="str">
        <f>+IF(ABRIL!T57=0,"",ABRIL!T57)</f>
        <v>Contribuciones Inherentes nómina del Sector Publico</v>
      </c>
      <c r="U57" s="230">
        <f t="shared" ref="U57:AJ57" si="63">U58+U61</f>
        <v>326592555</v>
      </c>
      <c r="V57" s="231">
        <f t="shared" si="63"/>
        <v>0</v>
      </c>
      <c r="W57" s="231">
        <f t="shared" si="63"/>
        <v>0</v>
      </c>
      <c r="X57" s="234">
        <f t="shared" si="63"/>
        <v>326592555</v>
      </c>
      <c r="Y57" s="233">
        <f t="shared" si="63"/>
        <v>92488400</v>
      </c>
      <c r="Z57" s="231">
        <f t="shared" si="63"/>
        <v>21647900</v>
      </c>
      <c r="AA57" s="234">
        <f t="shared" si="63"/>
        <v>114136300</v>
      </c>
      <c r="AB57" s="233">
        <f t="shared" si="63"/>
        <v>92488400</v>
      </c>
      <c r="AC57" s="231">
        <f t="shared" si="63"/>
        <v>21647900</v>
      </c>
      <c r="AD57" s="234">
        <f t="shared" si="63"/>
        <v>114136300</v>
      </c>
      <c r="AE57" s="233">
        <f t="shared" si="63"/>
        <v>92488400</v>
      </c>
      <c r="AF57" s="231">
        <f t="shared" si="63"/>
        <v>21647900</v>
      </c>
      <c r="AG57" s="234">
        <f t="shared" si="63"/>
        <v>114136300</v>
      </c>
      <c r="AH57" s="233">
        <f t="shared" si="63"/>
        <v>212456255</v>
      </c>
      <c r="AI57" s="231">
        <f t="shared" si="63"/>
        <v>212456255</v>
      </c>
      <c r="AJ57" s="232">
        <f t="shared" si="63"/>
        <v>212456255</v>
      </c>
      <c r="AK57" s="101"/>
      <c r="AL57" s="233">
        <f>AL58+AL61</f>
        <v>0</v>
      </c>
      <c r="AM57" s="232">
        <f>AM58+AM61</f>
        <v>0</v>
      </c>
    </row>
    <row r="58" spans="1:39" ht="24.75" customHeight="1">
      <c r="A58" s="202" t="str">
        <f>+IF(ABRIL!A58=0,"",ABRIL!A58)</f>
        <v>1.1.02.05.001.09.02.09</v>
      </c>
      <c r="B58" s="331" t="str">
        <f>+CONCATENATE("Vigencia ",INSTRUCCIONES!$F$3)</f>
        <v>Vigencia 2025</v>
      </c>
      <c r="C58" s="204">
        <f>+ENERO!C58</f>
        <v>8042608</v>
      </c>
      <c r="D58" s="205">
        <f>ABRIL!D58+MAYO!P58</f>
        <v>0</v>
      </c>
      <c r="E58" s="205">
        <f>ABRIL!E58+MAYO!Q58</f>
        <v>0</v>
      </c>
      <c r="F58" s="205">
        <f>SUM(C58:E58)</f>
        <v>8042608</v>
      </c>
      <c r="G58" s="205">
        <f>ABRIL!I58</f>
        <v>0</v>
      </c>
      <c r="H58" s="208">
        <v>0</v>
      </c>
      <c r="I58" s="205">
        <f>SUM(G58:H58)</f>
        <v>0</v>
      </c>
      <c r="J58" s="205">
        <f>ABRIL!L58</f>
        <v>0</v>
      </c>
      <c r="K58" s="208">
        <v>0</v>
      </c>
      <c r="L58" s="205">
        <f>SUM(J58:K58)</f>
        <v>0</v>
      </c>
      <c r="M58" s="205">
        <f>F58-I58</f>
        <v>8042608</v>
      </c>
      <c r="N58" s="206">
        <f>F58-L58</f>
        <v>8042608</v>
      </c>
      <c r="O58" s="67"/>
      <c r="P58" s="204">
        <v>0</v>
      </c>
      <c r="Q58" s="210">
        <v>0</v>
      </c>
      <c r="R58" s="101"/>
      <c r="S58" s="266">
        <f>+IF(ABRIL!S58=0,"",ABRIL!S58)</f>
        <v>1010402</v>
      </c>
      <c r="T58" s="267" t="str">
        <f>+IF(ABRIL!T58=0,"",ABRIL!T58)</f>
        <v>Contribuciones - Otros</v>
      </c>
      <c r="U58" s="373">
        <f t="shared" ref="U58:AJ58" si="64">SUM(U59:U60)</f>
        <v>326592555</v>
      </c>
      <c r="V58" s="220">
        <f t="shared" si="64"/>
        <v>0</v>
      </c>
      <c r="W58" s="220">
        <f t="shared" si="64"/>
        <v>0</v>
      </c>
      <c r="X58" s="271">
        <f t="shared" si="64"/>
        <v>326592555</v>
      </c>
      <c r="Y58" s="270">
        <f t="shared" si="64"/>
        <v>92488400</v>
      </c>
      <c r="Z58" s="300">
        <f t="shared" si="64"/>
        <v>21647900</v>
      </c>
      <c r="AA58" s="271">
        <f t="shared" si="64"/>
        <v>114136300</v>
      </c>
      <c r="AB58" s="270">
        <f t="shared" si="64"/>
        <v>92488400</v>
      </c>
      <c r="AC58" s="300">
        <f t="shared" si="64"/>
        <v>21647900</v>
      </c>
      <c r="AD58" s="271">
        <f t="shared" si="64"/>
        <v>114136300</v>
      </c>
      <c r="AE58" s="270">
        <f t="shared" si="64"/>
        <v>92488400</v>
      </c>
      <c r="AF58" s="300">
        <f t="shared" si="64"/>
        <v>21647900</v>
      </c>
      <c r="AG58" s="271">
        <f t="shared" si="64"/>
        <v>114136300</v>
      </c>
      <c r="AH58" s="270">
        <f t="shared" si="64"/>
        <v>212456255</v>
      </c>
      <c r="AI58" s="220">
        <f t="shared" si="64"/>
        <v>212456255</v>
      </c>
      <c r="AJ58" s="269">
        <f t="shared" si="64"/>
        <v>212456255</v>
      </c>
      <c r="AK58" s="101"/>
      <c r="AL58" s="301">
        <f>SUM(AL59:AL60)</f>
        <v>0</v>
      </c>
      <c r="AM58" s="302">
        <f>SUM(AM59:AM60)</f>
        <v>0</v>
      </c>
    </row>
    <row r="59" spans="1:39" ht="24.75" customHeight="1">
      <c r="A59" s="202" t="str">
        <f>+IF(ABRIL!A59=0,"",ABRIL!A59)</f>
        <v>1.1.02.05.001.09.02.09.99</v>
      </c>
      <c r="B59" s="331" t="str">
        <f>+IF(ABRIL!B59=0,"",ABRIL!B59)</f>
        <v>Vigencia Anterior</v>
      </c>
      <c r="C59" s="204">
        <f>+ENERO!C59</f>
        <v>0</v>
      </c>
      <c r="D59" s="205">
        <f>ABRIL!D59+MAYO!P59</f>
        <v>0</v>
      </c>
      <c r="E59" s="205">
        <f>ABRIL!E59+MAYO!Q59</f>
        <v>0</v>
      </c>
      <c r="F59" s="205">
        <f>SUM(C59:E59)</f>
        <v>0</v>
      </c>
      <c r="G59" s="205">
        <f>ABRIL!I59</f>
        <v>0</v>
      </c>
      <c r="H59" s="208">
        <v>0</v>
      </c>
      <c r="I59" s="205">
        <f>SUM(G59:H59)</f>
        <v>0</v>
      </c>
      <c r="J59" s="205">
        <f>ABRIL!L59</f>
        <v>0</v>
      </c>
      <c r="K59" s="208">
        <v>0</v>
      </c>
      <c r="L59" s="205">
        <f>SUM(J59:K59)</f>
        <v>0</v>
      </c>
      <c r="M59" s="205">
        <f>F59-I59</f>
        <v>0</v>
      </c>
      <c r="N59" s="206">
        <f>F59-L59</f>
        <v>0</v>
      </c>
      <c r="O59" s="67"/>
      <c r="P59" s="204">
        <v>0</v>
      </c>
      <c r="Q59" s="210">
        <v>0</v>
      </c>
      <c r="R59" s="101"/>
      <c r="S59" s="311" t="str">
        <f>+IF(ABRIL!S59=0,"",ABRIL!S59)</f>
        <v>2.1.1.01.02.006</v>
      </c>
      <c r="T59" s="267" t="str">
        <f>+IF(ABRIL!T59=0,"",ABRIL!T59)</f>
        <v>I.C.B.F.</v>
      </c>
      <c r="U59" s="373">
        <f>+ENERO!U59</f>
        <v>195955533</v>
      </c>
      <c r="V59" s="220">
        <f>ABRIL!V59+MAYO!AL59</f>
        <v>0</v>
      </c>
      <c r="W59" s="220">
        <f>ABRIL!W59+MAYO!AM59</f>
        <v>0</v>
      </c>
      <c r="X59" s="271">
        <f>SUM(U59:W59)</f>
        <v>195955533</v>
      </c>
      <c r="Y59" s="270">
        <f>ABRIL!AA59</f>
        <v>55486900</v>
      </c>
      <c r="Z59" s="208">
        <v>12985100</v>
      </c>
      <c r="AA59" s="271">
        <f>SUM(Y59:Z59)</f>
        <v>68472000</v>
      </c>
      <c r="AB59" s="270">
        <f>ABRIL!AD59</f>
        <v>55486900</v>
      </c>
      <c r="AC59" s="208">
        <v>12985100</v>
      </c>
      <c r="AD59" s="271">
        <f>SUM(AB59:AC59)</f>
        <v>68472000</v>
      </c>
      <c r="AE59" s="270">
        <f>ABRIL!AG59</f>
        <v>55486900</v>
      </c>
      <c r="AF59" s="208">
        <v>12985100</v>
      </c>
      <c r="AG59" s="271">
        <f>SUM(AE59:AF59)</f>
        <v>68472000</v>
      </c>
      <c r="AH59" s="270">
        <f>X59-AA59</f>
        <v>127483533</v>
      </c>
      <c r="AI59" s="220">
        <f>X59-AD59</f>
        <v>127483533</v>
      </c>
      <c r="AJ59" s="269">
        <f>X59-AG59</f>
        <v>127483533</v>
      </c>
      <c r="AK59" s="101"/>
      <c r="AL59" s="204">
        <v>0</v>
      </c>
      <c r="AM59" s="210">
        <v>0</v>
      </c>
    </row>
    <row r="60" spans="1:39" ht="24.75" customHeight="1">
      <c r="A60" s="286" t="str">
        <f>+IF(ABRIL!A60=0,"",ABRIL!A60)</f>
        <v>1.1.02.05.001.09.02.10</v>
      </c>
      <c r="B60" s="319" t="str">
        <f>+IF(ABRIL!B60=0,"",ABRIL!B60)</f>
        <v>IPS PUBLICAS</v>
      </c>
      <c r="C60" s="288">
        <f t="shared" ref="C60:N60" si="65">SUM(C61:C62)</f>
        <v>46623238</v>
      </c>
      <c r="D60" s="320">
        <f t="shared" si="65"/>
        <v>0</v>
      </c>
      <c r="E60" s="320">
        <f t="shared" si="65"/>
        <v>0</v>
      </c>
      <c r="F60" s="320">
        <f t="shared" si="65"/>
        <v>46623238</v>
      </c>
      <c r="G60" s="320">
        <f t="shared" si="65"/>
        <v>13307610</v>
      </c>
      <c r="H60" s="320">
        <f t="shared" si="65"/>
        <v>85800</v>
      </c>
      <c r="I60" s="320">
        <f t="shared" si="65"/>
        <v>13393410</v>
      </c>
      <c r="J60" s="320">
        <f t="shared" si="65"/>
        <v>9914194</v>
      </c>
      <c r="K60" s="320">
        <f t="shared" si="65"/>
        <v>852048</v>
      </c>
      <c r="L60" s="320">
        <f t="shared" si="65"/>
        <v>10766242</v>
      </c>
      <c r="M60" s="320">
        <f t="shared" si="65"/>
        <v>33229828</v>
      </c>
      <c r="N60" s="289">
        <f t="shared" si="65"/>
        <v>35856996</v>
      </c>
      <c r="O60" s="67"/>
      <c r="P60" s="288">
        <f>SUM(P61:P62)</f>
        <v>0</v>
      </c>
      <c r="Q60" s="289">
        <f>SUM(Q61:Q62)</f>
        <v>0</v>
      </c>
      <c r="R60" s="101"/>
      <c r="S60" s="311" t="str">
        <f>+IF(ABRIL!S60=0,"",ABRIL!S60)</f>
        <v>2.1.1.01.02.007</v>
      </c>
      <c r="T60" s="267" t="str">
        <f>+IF(ABRIL!T60=0,"",ABRIL!T60)</f>
        <v>SENA</v>
      </c>
      <c r="U60" s="373">
        <f>+ENERO!U60</f>
        <v>130637022</v>
      </c>
      <c r="V60" s="220">
        <f>ABRIL!V60+MAYO!AL60</f>
        <v>0</v>
      </c>
      <c r="W60" s="220">
        <f>ABRIL!W60+MAYO!AM60</f>
        <v>0</v>
      </c>
      <c r="X60" s="271">
        <f>SUM(U60:W60)</f>
        <v>130637022</v>
      </c>
      <c r="Y60" s="270">
        <f>ABRIL!AA60</f>
        <v>37001500</v>
      </c>
      <c r="Z60" s="208">
        <v>8662800</v>
      </c>
      <c r="AA60" s="271">
        <f>SUM(Y60:Z60)</f>
        <v>45664300</v>
      </c>
      <c r="AB60" s="270">
        <f>ABRIL!AD60</f>
        <v>37001500</v>
      </c>
      <c r="AC60" s="208">
        <v>8662800</v>
      </c>
      <c r="AD60" s="271">
        <f>SUM(AB60:AC60)</f>
        <v>45664300</v>
      </c>
      <c r="AE60" s="270">
        <f>ABRIL!AG60</f>
        <v>37001500</v>
      </c>
      <c r="AF60" s="208">
        <v>8662800</v>
      </c>
      <c r="AG60" s="271">
        <f>SUM(AE60:AF60)</f>
        <v>45664300</v>
      </c>
      <c r="AH60" s="270">
        <f>X60-AA60</f>
        <v>84972722</v>
      </c>
      <c r="AI60" s="220">
        <f>X60-AD60</f>
        <v>84972722</v>
      </c>
      <c r="AJ60" s="269">
        <f>X60-AG60</f>
        <v>84972722</v>
      </c>
      <c r="AK60" s="101"/>
      <c r="AL60" s="204">
        <v>0</v>
      </c>
      <c r="AM60" s="210">
        <v>0</v>
      </c>
    </row>
    <row r="61" spans="1:39" ht="24.75" customHeight="1">
      <c r="A61" s="202" t="str">
        <f>+IF(ABRIL!A61=0,"",ABRIL!A61)</f>
        <v>1.1.02.05.001.09.02.10</v>
      </c>
      <c r="B61" s="331" t="str">
        <f>+CONCATENATE("Vigencia ",INSTRUCCIONES!$F$3)</f>
        <v>Vigencia 2025</v>
      </c>
      <c r="C61" s="204">
        <f>+ENERO!C61</f>
        <v>46623238</v>
      </c>
      <c r="D61" s="205">
        <f>ABRIL!D61+MAYO!P61</f>
        <v>0</v>
      </c>
      <c r="E61" s="205">
        <f>ABRIL!E61+MAYO!Q61</f>
        <v>0</v>
      </c>
      <c r="F61" s="205">
        <f>SUM(C61:E61)</f>
        <v>46623238</v>
      </c>
      <c r="G61" s="205">
        <f>ABRIL!I61</f>
        <v>3504749</v>
      </c>
      <c r="H61" s="208">
        <v>85800</v>
      </c>
      <c r="I61" s="205">
        <f>SUM(G61:H61)</f>
        <v>3590549</v>
      </c>
      <c r="J61" s="205">
        <f>ABRIL!L61</f>
        <v>111333</v>
      </c>
      <c r="K61" s="208">
        <v>852048</v>
      </c>
      <c r="L61" s="205">
        <f>SUM(J61:K61)</f>
        <v>963381</v>
      </c>
      <c r="M61" s="205">
        <f>F61-I61</f>
        <v>43032689</v>
      </c>
      <c r="N61" s="206">
        <f>F61-L61</f>
        <v>45659857</v>
      </c>
      <c r="O61" s="67"/>
      <c r="P61" s="204">
        <v>0</v>
      </c>
      <c r="Q61" s="210">
        <v>0</v>
      </c>
      <c r="R61" s="101"/>
      <c r="S61" s="266">
        <f>+IF(ABRIL!S61=0,"",ABRIL!S61)</f>
        <v>1010499</v>
      </c>
      <c r="T61" s="267" t="str">
        <f>+IF(ABRIL!T61=0,"",ABRIL!T61)</f>
        <v>Vigencias Anteriores</v>
      </c>
      <c r="U61" s="373">
        <f>+ENERO!U61</f>
        <v>0</v>
      </c>
      <c r="V61" s="220">
        <f>ABRIL!V61+MAYO!AL61</f>
        <v>0</v>
      </c>
      <c r="W61" s="220">
        <f>ABRIL!W61+MAYO!AM61</f>
        <v>0</v>
      </c>
      <c r="X61" s="271">
        <f>SUM(U61:W61)</f>
        <v>0</v>
      </c>
      <c r="Y61" s="270">
        <f>ABRIL!AA61</f>
        <v>0</v>
      </c>
      <c r="Z61" s="208">
        <v>0</v>
      </c>
      <c r="AA61" s="271">
        <f>SUM(Y61:Z61)</f>
        <v>0</v>
      </c>
      <c r="AB61" s="270">
        <f>ABRIL!AD61</f>
        <v>0</v>
      </c>
      <c r="AC61" s="208">
        <v>0</v>
      </c>
      <c r="AD61" s="271">
        <f>SUM(AB61:AC61)</f>
        <v>0</v>
      </c>
      <c r="AE61" s="270">
        <f>ABRIL!AG61</f>
        <v>0</v>
      </c>
      <c r="AF61" s="208">
        <v>0</v>
      </c>
      <c r="AG61" s="271">
        <f>SUM(AE61:AF61)</f>
        <v>0</v>
      </c>
      <c r="AH61" s="270">
        <f>X61-AA61</f>
        <v>0</v>
      </c>
      <c r="AI61" s="220">
        <f>X61-AD61</f>
        <v>0</v>
      </c>
      <c r="AJ61" s="269">
        <f>X61-AG61</f>
        <v>0</v>
      </c>
      <c r="AK61" s="101"/>
      <c r="AL61" s="204">
        <v>0</v>
      </c>
      <c r="AM61" s="210">
        <v>0</v>
      </c>
    </row>
    <row r="62" spans="1:39" ht="24.75" customHeight="1">
      <c r="A62" s="202" t="str">
        <f>+IF(ABRIL!A62=0,"",ABRIL!A62)</f>
        <v>1.1.02.05.001.09.02.10.99</v>
      </c>
      <c r="B62" s="331" t="str">
        <f>+IF(ABRIL!B62=0,"",ABRIL!B62)</f>
        <v>Vigencia Anterior</v>
      </c>
      <c r="C62" s="204">
        <f>+ENERO!C62</f>
        <v>0</v>
      </c>
      <c r="D62" s="205">
        <f>ABRIL!D62+MAYO!P62</f>
        <v>0</v>
      </c>
      <c r="E62" s="205">
        <f>ABRIL!E62+MAYO!Q62</f>
        <v>0</v>
      </c>
      <c r="F62" s="205">
        <f>SUM(C62:E62)</f>
        <v>0</v>
      </c>
      <c r="G62" s="205">
        <f>ABRIL!I62</f>
        <v>9802861</v>
      </c>
      <c r="H62" s="208">
        <v>0</v>
      </c>
      <c r="I62" s="205">
        <f>SUM(G62:H62)</f>
        <v>9802861</v>
      </c>
      <c r="J62" s="205">
        <f>ABRIL!L62</f>
        <v>9802861</v>
      </c>
      <c r="K62" s="208">
        <v>0</v>
      </c>
      <c r="L62" s="205">
        <f>SUM(J62:K62)</f>
        <v>9802861</v>
      </c>
      <c r="M62" s="205">
        <f>F62-I62</f>
        <v>-9802861</v>
      </c>
      <c r="N62" s="206">
        <f>F62-L62</f>
        <v>-9802861</v>
      </c>
      <c r="O62" s="67"/>
      <c r="P62" s="204">
        <v>0</v>
      </c>
      <c r="Q62" s="210">
        <v>0</v>
      </c>
      <c r="R62" s="101"/>
      <c r="S62" s="189">
        <f>+IF(ABRIL!S62=0,"",ABRIL!S62)</f>
        <v>1174808</v>
      </c>
      <c r="T62" s="488" t="str">
        <f>+IF(ABRIL!T62=0,"",ABRIL!T62)</f>
        <v/>
      </c>
      <c r="U62" s="191"/>
      <c r="V62" s="191"/>
      <c r="W62" s="191"/>
      <c r="X62" s="191"/>
      <c r="Y62" s="191"/>
      <c r="Z62" s="191"/>
      <c r="AA62" s="191"/>
      <c r="AB62" s="191"/>
      <c r="AC62" s="191"/>
      <c r="AD62" s="191"/>
      <c r="AE62" s="191"/>
      <c r="AF62" s="191"/>
      <c r="AG62" s="191"/>
      <c r="AH62" s="191"/>
      <c r="AI62" s="191"/>
      <c r="AJ62" s="192"/>
      <c r="AK62" s="216"/>
      <c r="AL62" s="370"/>
      <c r="AM62" s="371"/>
    </row>
    <row r="63" spans="1:39" ht="24.75" customHeight="1">
      <c r="A63" s="286" t="str">
        <f>+IF(ABRIL!A63=0,"",ABRIL!A63)</f>
        <v>1.1.02.05.001.09.02.90.01</v>
      </c>
      <c r="B63" s="319" t="str">
        <f>+IF(ABRIL!B63=0,"",ABRIL!B63)</f>
        <v>COMPAÑIAS DE SEGUROS  - ACCIDENTES DE TRANSITO (SOAT)</v>
      </c>
      <c r="C63" s="288">
        <f t="shared" ref="C63:N63" si="66">SUM(C64:C65)</f>
        <v>2461795617.04175</v>
      </c>
      <c r="D63" s="320">
        <f t="shared" si="66"/>
        <v>0</v>
      </c>
      <c r="E63" s="320">
        <f t="shared" si="66"/>
        <v>0</v>
      </c>
      <c r="F63" s="320">
        <f t="shared" si="66"/>
        <v>2461795617.04175</v>
      </c>
      <c r="G63" s="320">
        <f t="shared" si="66"/>
        <v>1029199241</v>
      </c>
      <c r="H63" s="320">
        <f t="shared" si="66"/>
        <v>99373972</v>
      </c>
      <c r="I63" s="320">
        <f t="shared" si="66"/>
        <v>1128573213</v>
      </c>
      <c r="J63" s="320">
        <f t="shared" si="66"/>
        <v>544075337</v>
      </c>
      <c r="K63" s="320">
        <f t="shared" si="66"/>
        <v>102718547</v>
      </c>
      <c r="L63" s="320">
        <f t="shared" si="66"/>
        <v>646793884</v>
      </c>
      <c r="M63" s="320">
        <f t="shared" si="66"/>
        <v>1333222404.04175</v>
      </c>
      <c r="N63" s="289">
        <f t="shared" si="66"/>
        <v>1815001733.04175</v>
      </c>
      <c r="O63" s="67"/>
      <c r="P63" s="288">
        <f>SUM(P64:P65)</f>
        <v>0</v>
      </c>
      <c r="Q63" s="289">
        <f>SUM(Q64:Q65)</f>
        <v>0</v>
      </c>
      <c r="R63" s="101"/>
      <c r="S63" s="228">
        <f>+IF(ABRIL!S63=0,"",ABRIL!S63)</f>
        <v>1020010</v>
      </c>
      <c r="T63" s="229" t="str">
        <f>+IF(ABRIL!T63=0,"",ABRIL!T63)</f>
        <v>Gastos de Operación</v>
      </c>
      <c r="U63" s="230">
        <f t="shared" ref="U63:AJ63" si="67">U65+U83+U90+U104</f>
        <v>64518803470</v>
      </c>
      <c r="V63" s="231">
        <f t="shared" si="67"/>
        <v>-73000000</v>
      </c>
      <c r="W63" s="231">
        <f t="shared" si="67"/>
        <v>2928182761</v>
      </c>
      <c r="X63" s="234">
        <f t="shared" si="67"/>
        <v>67373986231</v>
      </c>
      <c r="Y63" s="233">
        <f t="shared" si="67"/>
        <v>46839528352</v>
      </c>
      <c r="Z63" s="231">
        <f t="shared" si="67"/>
        <v>360056369</v>
      </c>
      <c r="AA63" s="234">
        <f t="shared" si="67"/>
        <v>47199584721</v>
      </c>
      <c r="AB63" s="233">
        <f t="shared" si="67"/>
        <v>31730363816</v>
      </c>
      <c r="AC63" s="231">
        <f t="shared" si="67"/>
        <v>4996875471</v>
      </c>
      <c r="AD63" s="234">
        <f t="shared" si="67"/>
        <v>36727239287</v>
      </c>
      <c r="AE63" s="233">
        <f t="shared" si="67"/>
        <v>18302743190</v>
      </c>
      <c r="AF63" s="231">
        <f t="shared" si="67"/>
        <v>4091414178</v>
      </c>
      <c r="AG63" s="234">
        <f t="shared" si="67"/>
        <v>22394157368</v>
      </c>
      <c r="AH63" s="233">
        <f t="shared" si="67"/>
        <v>20174401510</v>
      </c>
      <c r="AI63" s="231">
        <f t="shared" si="67"/>
        <v>30646746944</v>
      </c>
      <c r="AJ63" s="232">
        <f t="shared" si="67"/>
        <v>44979828863</v>
      </c>
      <c r="AK63" s="101"/>
      <c r="AL63" s="233">
        <f>AL65+AL83+AL90+AL104</f>
        <v>0</v>
      </c>
      <c r="AM63" s="232">
        <f>AM65+AM83+AM90+AM104</f>
        <v>0</v>
      </c>
    </row>
    <row r="64" spans="1:39" ht="24.75" customHeight="1">
      <c r="A64" s="202" t="str">
        <f>+IF(ABRIL!A64=0,"",ABRIL!A64)</f>
        <v>1.1.02.05.001.09.02.90.01</v>
      </c>
      <c r="B64" s="331" t="str">
        <f>+CONCATENATE("Vigencia ",INSTRUCCIONES!$F$3)</f>
        <v>Vigencia 2025</v>
      </c>
      <c r="C64" s="204">
        <f>+ENERO!C64</f>
        <v>2137731076.9417498</v>
      </c>
      <c r="D64" s="205">
        <f>ABRIL!D64+MAYO!P64</f>
        <v>0</v>
      </c>
      <c r="E64" s="205">
        <f>ABRIL!E64+MAYO!Q64</f>
        <v>0</v>
      </c>
      <c r="F64" s="205">
        <f>SUM(C64:E64)</f>
        <v>2137731076.9417498</v>
      </c>
      <c r="G64" s="205">
        <f>ABRIL!I64</f>
        <v>702101395</v>
      </c>
      <c r="H64" s="208">
        <v>99115647</v>
      </c>
      <c r="I64" s="205">
        <f>SUM(G64:H64)</f>
        <v>801217042</v>
      </c>
      <c r="J64" s="205">
        <f>ABRIL!L64</f>
        <v>216977491</v>
      </c>
      <c r="K64" s="208">
        <v>102460222</v>
      </c>
      <c r="L64" s="205">
        <f>SUM(J64:K64)</f>
        <v>319437713</v>
      </c>
      <c r="M64" s="205">
        <f>F64-I64</f>
        <v>1336514034.9417498</v>
      </c>
      <c r="N64" s="206">
        <f>F64-L64</f>
        <v>1818293363.9417498</v>
      </c>
      <c r="O64" s="67"/>
      <c r="P64" s="204">
        <v>0</v>
      </c>
      <c r="Q64" s="210">
        <v>0</v>
      </c>
      <c r="R64" s="101"/>
      <c r="S64" s="189">
        <f>+IF(ABRIL!S64=0,"",ABRIL!S64)</f>
        <v>2290826</v>
      </c>
      <c r="T64" s="488" t="str">
        <f>+IF(ABRIL!T64=0,"",ABRIL!T64)</f>
        <v/>
      </c>
      <c r="U64" s="191"/>
      <c r="V64" s="191"/>
      <c r="W64" s="191"/>
      <c r="X64" s="191"/>
      <c r="Y64" s="191"/>
      <c r="Z64" s="191"/>
      <c r="AA64" s="191"/>
      <c r="AB64" s="191"/>
      <c r="AC64" s="191"/>
      <c r="AD64" s="191"/>
      <c r="AE64" s="191"/>
      <c r="AF64" s="191"/>
      <c r="AG64" s="191"/>
      <c r="AH64" s="191"/>
      <c r="AI64" s="191"/>
      <c r="AJ64" s="192"/>
      <c r="AK64" s="101"/>
      <c r="AL64" s="249"/>
      <c r="AM64" s="250"/>
    </row>
    <row r="65" spans="1:39" ht="24.75" customHeight="1">
      <c r="A65" s="202" t="str">
        <f>+IF(ABRIL!A65=0,"",ABRIL!A65)</f>
        <v>1.1.02.05.001.09.02.90.01.99</v>
      </c>
      <c r="B65" s="331" t="str">
        <f>+IF(ABRIL!B65=0,"",ABRIL!B65)</f>
        <v>Vigencia Anterior</v>
      </c>
      <c r="C65" s="204">
        <f>+ENERO!C65</f>
        <v>324064540.10000002</v>
      </c>
      <c r="D65" s="205">
        <f>ABRIL!D65+MAYO!P65</f>
        <v>0</v>
      </c>
      <c r="E65" s="205">
        <f>ABRIL!E65+MAYO!Q65</f>
        <v>0</v>
      </c>
      <c r="F65" s="205">
        <f>SUM(C65:E65)</f>
        <v>324064540.10000002</v>
      </c>
      <c r="G65" s="205">
        <f>ABRIL!I65</f>
        <v>327097846</v>
      </c>
      <c r="H65" s="208">
        <v>258325</v>
      </c>
      <c r="I65" s="205">
        <f>SUM(G65:H65)</f>
        <v>327356171</v>
      </c>
      <c r="J65" s="205">
        <f>ABRIL!L65</f>
        <v>327097846</v>
      </c>
      <c r="K65" s="208">
        <v>258325</v>
      </c>
      <c r="L65" s="205">
        <f>SUM(J65:K65)</f>
        <v>327356171</v>
      </c>
      <c r="M65" s="205">
        <f>F65-I65</f>
        <v>-3291630.8999999762</v>
      </c>
      <c r="N65" s="206">
        <f>F65-L65</f>
        <v>-3291630.8999999762</v>
      </c>
      <c r="O65" s="67"/>
      <c r="P65" s="204">
        <v>0</v>
      </c>
      <c r="Q65" s="210">
        <v>0</v>
      </c>
      <c r="R65" s="101"/>
      <c r="S65" s="257" t="str">
        <f>+IF(ABRIL!S65=0,"",ABRIL!S65)</f>
        <v>2.1.1.01.01-1</v>
      </c>
      <c r="T65" s="546" t="str">
        <f>+IF(ABRIL!T65=0,"",ABRIL!T65)</f>
        <v>Servicios Personales Asociados a Nómina</v>
      </c>
      <c r="U65" s="230">
        <f t="shared" ref="U65:AJ65" si="68">SUM(U66:U69)+U81</f>
        <v>0</v>
      </c>
      <c r="V65" s="231">
        <f t="shared" si="68"/>
        <v>0</v>
      </c>
      <c r="W65" s="231">
        <f t="shared" si="68"/>
        <v>0</v>
      </c>
      <c r="X65" s="234">
        <f t="shared" si="68"/>
        <v>0</v>
      </c>
      <c r="Y65" s="233">
        <f t="shared" si="68"/>
        <v>0</v>
      </c>
      <c r="Z65" s="231">
        <f t="shared" si="68"/>
        <v>0</v>
      </c>
      <c r="AA65" s="234">
        <f t="shared" si="68"/>
        <v>0</v>
      </c>
      <c r="AB65" s="233">
        <f t="shared" si="68"/>
        <v>0</v>
      </c>
      <c r="AC65" s="231">
        <f t="shared" si="68"/>
        <v>0</v>
      </c>
      <c r="AD65" s="234">
        <f t="shared" si="68"/>
        <v>0</v>
      </c>
      <c r="AE65" s="233">
        <f t="shared" si="68"/>
        <v>0</v>
      </c>
      <c r="AF65" s="231">
        <f t="shared" si="68"/>
        <v>0</v>
      </c>
      <c r="AG65" s="234">
        <f t="shared" si="68"/>
        <v>0</v>
      </c>
      <c r="AH65" s="233">
        <f t="shared" si="68"/>
        <v>0</v>
      </c>
      <c r="AI65" s="231">
        <f t="shared" si="68"/>
        <v>0</v>
      </c>
      <c r="AJ65" s="232">
        <f t="shared" si="68"/>
        <v>0</v>
      </c>
      <c r="AK65" s="101"/>
      <c r="AL65" s="233">
        <f>SUM(AL66:AL69)+AL81</f>
        <v>0</v>
      </c>
      <c r="AM65" s="232">
        <f>SUM(AM66:AM69)+AM81</f>
        <v>0</v>
      </c>
    </row>
    <row r="66" spans="1:39" ht="24.75" customHeight="1">
      <c r="A66" s="286" t="str">
        <f>+IF(ABRIL!A66=0,"",ABRIL!A66)</f>
        <v>1.1.02.05.001.09.02.18.01</v>
      </c>
      <c r="B66" s="319" t="str">
        <f>+IF(ABRIL!B66=0,"",ABRIL!B66)</f>
        <v xml:space="preserve">COMPAÑIAS DE SEGUROS  - PLANES DE SALUD </v>
      </c>
      <c r="C66" s="288">
        <f t="shared" ref="C66:N66" si="69">SUM(C67:C68)</f>
        <v>185631948</v>
      </c>
      <c r="D66" s="320">
        <f t="shared" si="69"/>
        <v>0</v>
      </c>
      <c r="E66" s="320">
        <f t="shared" si="69"/>
        <v>0</v>
      </c>
      <c r="F66" s="320">
        <f t="shared" si="69"/>
        <v>185631948</v>
      </c>
      <c r="G66" s="320">
        <f t="shared" si="69"/>
        <v>43396657</v>
      </c>
      <c r="H66" s="320">
        <f t="shared" si="69"/>
        <v>20601614</v>
      </c>
      <c r="I66" s="320">
        <f t="shared" si="69"/>
        <v>63998271</v>
      </c>
      <c r="J66" s="320">
        <f t="shared" si="69"/>
        <v>8180473</v>
      </c>
      <c r="K66" s="320">
        <f t="shared" si="69"/>
        <v>7118765</v>
      </c>
      <c r="L66" s="320">
        <f t="shared" si="69"/>
        <v>15299238</v>
      </c>
      <c r="M66" s="320">
        <f t="shared" si="69"/>
        <v>121633677</v>
      </c>
      <c r="N66" s="289">
        <f t="shared" si="69"/>
        <v>170332710</v>
      </c>
      <c r="O66" s="67"/>
      <c r="P66" s="288">
        <f>SUM(P67:P68)</f>
        <v>0</v>
      </c>
      <c r="Q66" s="289">
        <f>SUM(Q67:Q68)</f>
        <v>0</v>
      </c>
      <c r="R66" s="101"/>
      <c r="S66" s="266" t="str">
        <f>+IF(ABRIL!S66=0,"",ABRIL!S66)</f>
        <v>2.1.1.01.01.001.01-1</v>
      </c>
      <c r="T66" s="267" t="str">
        <f>+IF(ABRIL!T66=0,"",ABRIL!T66)</f>
        <v>Sueldos del Personal de nómina</v>
      </c>
      <c r="U66" s="373">
        <f>+ENERO!U66</f>
        <v>0</v>
      </c>
      <c r="V66" s="220">
        <f>ABRIL!V66+MAYO!AL66</f>
        <v>0</v>
      </c>
      <c r="W66" s="220">
        <f>ABRIL!W66+MAYO!AM66</f>
        <v>0</v>
      </c>
      <c r="X66" s="271">
        <f>SUM(U66:W66)</f>
        <v>0</v>
      </c>
      <c r="Y66" s="270">
        <f>ABRIL!AA66</f>
        <v>0</v>
      </c>
      <c r="Z66" s="208">
        <v>0</v>
      </c>
      <c r="AA66" s="271">
        <f>SUM(Y66:Z66)</f>
        <v>0</v>
      </c>
      <c r="AB66" s="270">
        <f>ABRIL!AD66</f>
        <v>0</v>
      </c>
      <c r="AC66" s="208">
        <v>0</v>
      </c>
      <c r="AD66" s="271">
        <f>SUM(AB66:AC66)</f>
        <v>0</v>
      </c>
      <c r="AE66" s="270">
        <f>ABRIL!AG66</f>
        <v>0</v>
      </c>
      <c r="AF66" s="208">
        <v>0</v>
      </c>
      <c r="AG66" s="271">
        <f>SUM(AE66:AF66)</f>
        <v>0</v>
      </c>
      <c r="AH66" s="270">
        <f>X66-AA66</f>
        <v>0</v>
      </c>
      <c r="AI66" s="220">
        <f>X66-AD66</f>
        <v>0</v>
      </c>
      <c r="AJ66" s="269">
        <f>X66-AG66</f>
        <v>0</v>
      </c>
      <c r="AK66" s="101"/>
      <c r="AL66" s="204">
        <v>0</v>
      </c>
      <c r="AM66" s="210">
        <v>0</v>
      </c>
    </row>
    <row r="67" spans="1:39" ht="24.75" customHeight="1">
      <c r="A67" s="202" t="str">
        <f>+IF(ABRIL!A67=0,"",ABRIL!A67)</f>
        <v>1.1.02.05.001.09.02.18.01</v>
      </c>
      <c r="B67" s="331" t="str">
        <f>+CONCATENATE("Vigencia ",INSTRUCCIONES!$F$3)</f>
        <v>Vigencia 2025</v>
      </c>
      <c r="C67" s="204">
        <f>+ENERO!C67</f>
        <v>111911928</v>
      </c>
      <c r="D67" s="205">
        <f>ABRIL!D67+MAYO!P67</f>
        <v>0</v>
      </c>
      <c r="E67" s="205">
        <f>ABRIL!E67+MAYO!Q67</f>
        <v>0</v>
      </c>
      <c r="F67" s="205">
        <f>SUM(C67:E67)</f>
        <v>111911928</v>
      </c>
      <c r="G67" s="205">
        <f>ABRIL!I67</f>
        <v>36093009</v>
      </c>
      <c r="H67" s="208">
        <v>15992417</v>
      </c>
      <c r="I67" s="205">
        <f>SUM(G67:H67)</f>
        <v>52085426</v>
      </c>
      <c r="J67" s="205">
        <f>ABRIL!L67</f>
        <v>876825</v>
      </c>
      <c r="K67" s="208">
        <v>2509568</v>
      </c>
      <c r="L67" s="205">
        <f>SUM(J67:K67)</f>
        <v>3386393</v>
      </c>
      <c r="M67" s="205">
        <f>F67-I67</f>
        <v>59826502</v>
      </c>
      <c r="N67" s="206">
        <f>F67-L67</f>
        <v>108525535</v>
      </c>
      <c r="O67" s="67"/>
      <c r="P67" s="204">
        <v>0</v>
      </c>
      <c r="Q67" s="210">
        <v>0</v>
      </c>
      <c r="R67" s="101"/>
      <c r="S67" s="266" t="str">
        <f>+IF(ABRIL!S67=0,"",ABRIL!S67)</f>
        <v>2.1.1.01.01.001.02-1</v>
      </c>
      <c r="T67" s="267" t="str">
        <f>+IF(ABRIL!T67=0,"",ABRIL!T67)</f>
        <v>Horas Extras,Dominic.,Festivos y Rec. Nocturnos</v>
      </c>
      <c r="U67" s="373">
        <f>+ENERO!U67</f>
        <v>0</v>
      </c>
      <c r="V67" s="220">
        <f>ABRIL!V67+MAYO!AL67</f>
        <v>0</v>
      </c>
      <c r="W67" s="220">
        <f>ABRIL!W67+MAYO!AM67</f>
        <v>0</v>
      </c>
      <c r="X67" s="271">
        <f>SUM(U67:W67)</f>
        <v>0</v>
      </c>
      <c r="Y67" s="270">
        <f>ABRIL!AA67</f>
        <v>0</v>
      </c>
      <c r="Z67" s="208">
        <v>0</v>
      </c>
      <c r="AA67" s="271">
        <f>SUM(Y67:Z67)</f>
        <v>0</v>
      </c>
      <c r="AB67" s="270">
        <f>ABRIL!AD67</f>
        <v>0</v>
      </c>
      <c r="AC67" s="208">
        <v>0</v>
      </c>
      <c r="AD67" s="271">
        <f>SUM(AB67:AC67)</f>
        <v>0</v>
      </c>
      <c r="AE67" s="270">
        <f>ABRIL!AG67</f>
        <v>0</v>
      </c>
      <c r="AF67" s="208">
        <v>0</v>
      </c>
      <c r="AG67" s="271">
        <f>SUM(AE67:AF67)</f>
        <v>0</v>
      </c>
      <c r="AH67" s="270">
        <f>X67-AA67</f>
        <v>0</v>
      </c>
      <c r="AI67" s="220">
        <f>X67-AD67</f>
        <v>0</v>
      </c>
      <c r="AJ67" s="269">
        <f>X67-AG67</f>
        <v>0</v>
      </c>
      <c r="AK67" s="101"/>
      <c r="AL67" s="204">
        <v>0</v>
      </c>
      <c r="AM67" s="210">
        <v>0</v>
      </c>
    </row>
    <row r="68" spans="1:39" ht="24.75" customHeight="1">
      <c r="A68" s="202" t="str">
        <f>+IF(ABRIL!A68=0,"",ABRIL!A68)</f>
        <v>1.1.02.05.001.09.02.18.01.99</v>
      </c>
      <c r="B68" s="331" t="str">
        <f>+IF(ABRIL!B68=0,"",ABRIL!B68)</f>
        <v>Vigencia Anterior</v>
      </c>
      <c r="C68" s="204">
        <f>+ENERO!C68</f>
        <v>73720020</v>
      </c>
      <c r="D68" s="205">
        <f>ABRIL!D68+MAYO!P68</f>
        <v>0</v>
      </c>
      <c r="E68" s="205">
        <f>ABRIL!E68+MAYO!Q68</f>
        <v>0</v>
      </c>
      <c r="F68" s="205">
        <f>SUM(C68:E68)</f>
        <v>73720020</v>
      </c>
      <c r="G68" s="205">
        <f>ABRIL!I68</f>
        <v>7303648</v>
      </c>
      <c r="H68" s="208">
        <v>4609197</v>
      </c>
      <c r="I68" s="205">
        <f>SUM(G68:H68)</f>
        <v>11912845</v>
      </c>
      <c r="J68" s="205">
        <f>ABRIL!L68</f>
        <v>7303648</v>
      </c>
      <c r="K68" s="208">
        <v>4609197</v>
      </c>
      <c r="L68" s="205">
        <f>SUM(J68:K68)</f>
        <v>11912845</v>
      </c>
      <c r="M68" s="205">
        <f>F68-I68</f>
        <v>61807175</v>
      </c>
      <c r="N68" s="206">
        <f>F68-L68</f>
        <v>61807175</v>
      </c>
      <c r="O68" s="67"/>
      <c r="P68" s="204">
        <v>0</v>
      </c>
      <c r="Q68" s="210">
        <v>0</v>
      </c>
      <c r="R68" s="101"/>
      <c r="S68" s="266">
        <f>+IF(ABRIL!S68=0,"",ABRIL!S68)</f>
        <v>1010103</v>
      </c>
      <c r="T68" s="267" t="str">
        <f>+IF(ABRIL!T68=0,"",ABRIL!T68)</f>
        <v>Prima Técnica</v>
      </c>
      <c r="U68" s="373">
        <f>+ENERO!U68</f>
        <v>0</v>
      </c>
      <c r="V68" s="220">
        <f>ABRIL!V68+MAYO!AL68</f>
        <v>0</v>
      </c>
      <c r="W68" s="220">
        <f>ABRIL!W68+MAYO!AM68</f>
        <v>0</v>
      </c>
      <c r="X68" s="271">
        <f>SUM(U68:W68)</f>
        <v>0</v>
      </c>
      <c r="Y68" s="270">
        <f>ABRIL!AA68</f>
        <v>0</v>
      </c>
      <c r="Z68" s="208">
        <v>0</v>
      </c>
      <c r="AA68" s="271">
        <f>SUM(Y68:Z68)</f>
        <v>0</v>
      </c>
      <c r="AB68" s="270">
        <f>ABRIL!AD68</f>
        <v>0</v>
      </c>
      <c r="AC68" s="208">
        <v>0</v>
      </c>
      <c r="AD68" s="271">
        <f>SUM(AB68:AC68)</f>
        <v>0</v>
      </c>
      <c r="AE68" s="270">
        <f>ABRIL!AG68</f>
        <v>0</v>
      </c>
      <c r="AF68" s="208">
        <v>0</v>
      </c>
      <c r="AG68" s="271">
        <f>SUM(AE68:AF68)</f>
        <v>0</v>
      </c>
      <c r="AH68" s="270">
        <f>X68-AA68</f>
        <v>0</v>
      </c>
      <c r="AI68" s="220">
        <f>X68-AD68</f>
        <v>0</v>
      </c>
      <c r="AJ68" s="269">
        <f>X68-AG68</f>
        <v>0</v>
      </c>
      <c r="AK68" s="101"/>
      <c r="AL68" s="204">
        <v>0</v>
      </c>
      <c r="AM68" s="210">
        <v>0</v>
      </c>
    </row>
    <row r="69" spans="1:39" ht="24.75" customHeight="1">
      <c r="A69" s="286" t="str">
        <f>+IF(ABRIL!A69=0,"",ABRIL!A69)</f>
        <v>1.1.02.05.001.09.02.90.02</v>
      </c>
      <c r="B69" s="319" t="str">
        <f>+IF(ABRIL!B69=0,"",ABRIL!B69)</f>
        <v>ENTIDADES DE REGIMEN ESPECIAL (Magisterio, Fuerza Pca.)</v>
      </c>
      <c r="C69" s="288">
        <f t="shared" ref="C69:N69" si="70">SUM(C70:C71)</f>
        <v>1378696551</v>
      </c>
      <c r="D69" s="320">
        <f t="shared" si="70"/>
        <v>0</v>
      </c>
      <c r="E69" s="320">
        <f t="shared" si="70"/>
        <v>0</v>
      </c>
      <c r="F69" s="320">
        <f t="shared" si="70"/>
        <v>1378696551</v>
      </c>
      <c r="G69" s="320">
        <f t="shared" si="70"/>
        <v>1175678699</v>
      </c>
      <c r="H69" s="320">
        <f t="shared" si="70"/>
        <v>421187739</v>
      </c>
      <c r="I69" s="320">
        <f t="shared" si="70"/>
        <v>1596866438</v>
      </c>
      <c r="J69" s="320">
        <f t="shared" si="70"/>
        <v>478930973</v>
      </c>
      <c r="K69" s="320">
        <f t="shared" si="70"/>
        <v>306530585</v>
      </c>
      <c r="L69" s="320">
        <f t="shared" si="70"/>
        <v>785461558</v>
      </c>
      <c r="M69" s="320">
        <f t="shared" si="70"/>
        <v>-218169887</v>
      </c>
      <c r="N69" s="289">
        <f t="shared" si="70"/>
        <v>593234993</v>
      </c>
      <c r="O69" s="67"/>
      <c r="P69" s="288">
        <f>SUM(P70:P71)</f>
        <v>0</v>
      </c>
      <c r="Q69" s="289">
        <f>SUM(Q70:Q71)</f>
        <v>0</v>
      </c>
      <c r="R69" s="101"/>
      <c r="S69" s="266">
        <f>+IF(ABRIL!S69=0,"",ABRIL!S69)</f>
        <v>1010104</v>
      </c>
      <c r="T69" s="267" t="str">
        <f>+IF(ABRIL!T69=0,"",ABRIL!T69)</f>
        <v>Otros</v>
      </c>
      <c r="U69" s="373">
        <f t="shared" ref="U69:AJ69" si="71">SUM(U70:U80)</f>
        <v>0</v>
      </c>
      <c r="V69" s="220">
        <f t="shared" si="71"/>
        <v>0</v>
      </c>
      <c r="W69" s="220">
        <f t="shared" si="71"/>
        <v>0</v>
      </c>
      <c r="X69" s="271">
        <f t="shared" si="71"/>
        <v>0</v>
      </c>
      <c r="Y69" s="270">
        <f t="shared" si="71"/>
        <v>0</v>
      </c>
      <c r="Z69" s="300">
        <f t="shared" si="71"/>
        <v>0</v>
      </c>
      <c r="AA69" s="271">
        <f t="shared" si="71"/>
        <v>0</v>
      </c>
      <c r="AB69" s="270">
        <f t="shared" si="71"/>
        <v>0</v>
      </c>
      <c r="AC69" s="300">
        <f t="shared" si="71"/>
        <v>0</v>
      </c>
      <c r="AD69" s="271">
        <f t="shared" si="71"/>
        <v>0</v>
      </c>
      <c r="AE69" s="270">
        <f t="shared" si="71"/>
        <v>0</v>
      </c>
      <c r="AF69" s="300">
        <f t="shared" si="71"/>
        <v>0</v>
      </c>
      <c r="AG69" s="271">
        <f t="shared" si="71"/>
        <v>0</v>
      </c>
      <c r="AH69" s="270">
        <f t="shared" si="71"/>
        <v>0</v>
      </c>
      <c r="AI69" s="220">
        <f t="shared" si="71"/>
        <v>0</v>
      </c>
      <c r="AJ69" s="269">
        <f t="shared" si="71"/>
        <v>0</v>
      </c>
      <c r="AK69" s="101"/>
      <c r="AL69" s="301">
        <f>SUM(AL70:AL80)</f>
        <v>0</v>
      </c>
      <c r="AM69" s="302">
        <f>SUM(AM70:AM80)</f>
        <v>0</v>
      </c>
    </row>
    <row r="70" spans="1:39" ht="24.75" customHeight="1">
      <c r="A70" s="202" t="str">
        <f>+IF(ABRIL!A70=0,"",ABRIL!A70)</f>
        <v>1.1.02.05.001.09.02.90.02</v>
      </c>
      <c r="B70" s="331" t="str">
        <f>+CONCATENATE("Vigencia ",INSTRUCCIONES!$F$3)</f>
        <v>Vigencia 2025</v>
      </c>
      <c r="C70" s="204">
        <f>+ENERO!C70</f>
        <v>898696551</v>
      </c>
      <c r="D70" s="205">
        <f>ABRIL!D70+MAYO!P70</f>
        <v>0</v>
      </c>
      <c r="E70" s="205">
        <f>ABRIL!E70+MAYO!Q70</f>
        <v>0</v>
      </c>
      <c r="F70" s="205">
        <f>SUM(C70:E70)</f>
        <v>898696551</v>
      </c>
      <c r="G70" s="205">
        <f>ABRIL!I70</f>
        <v>702933671</v>
      </c>
      <c r="H70" s="208">
        <v>120974331</v>
      </c>
      <c r="I70" s="205">
        <f>SUM(G70:H70)</f>
        <v>823908002</v>
      </c>
      <c r="J70" s="205">
        <f>ABRIL!L70</f>
        <v>6185945</v>
      </c>
      <c r="K70" s="208">
        <v>6317177</v>
      </c>
      <c r="L70" s="205">
        <f>SUM(J70:K70)</f>
        <v>12503122</v>
      </c>
      <c r="M70" s="205">
        <f>F70-I70</f>
        <v>74788549</v>
      </c>
      <c r="N70" s="206">
        <f>F70-L70</f>
        <v>886193429</v>
      </c>
      <c r="O70" s="67"/>
      <c r="P70" s="204">
        <v>0</v>
      </c>
      <c r="Q70" s="210">
        <v>0</v>
      </c>
      <c r="R70" s="101"/>
      <c r="S70" s="311" t="str">
        <f>+IF(ABRIL!S70=0,"",ABRIL!S70)</f>
        <v>2.1.1.01.01.001.08.01-1</v>
      </c>
      <c r="T70" s="312" t="str">
        <f>+IF(ABRIL!T70=0,"",ABRIL!T70)</f>
        <v xml:space="preserve">Prima de Navidad </v>
      </c>
      <c r="U70" s="373">
        <f>+ENERO!U70</f>
        <v>0</v>
      </c>
      <c r="V70" s="220">
        <f>ABRIL!V70+MAYO!AL70</f>
        <v>0</v>
      </c>
      <c r="W70" s="220">
        <f>ABRIL!W70+MAYO!AM70</f>
        <v>0</v>
      </c>
      <c r="X70" s="271">
        <f t="shared" ref="X70:X81" si="72">SUM(U70:W70)</f>
        <v>0</v>
      </c>
      <c r="Y70" s="270">
        <f>ABRIL!AA70</f>
        <v>0</v>
      </c>
      <c r="Z70" s="208">
        <v>0</v>
      </c>
      <c r="AA70" s="271">
        <f t="shared" ref="AA70:AA81" si="73">SUM(Y70:Z70)</f>
        <v>0</v>
      </c>
      <c r="AB70" s="270">
        <f>ABRIL!AD70</f>
        <v>0</v>
      </c>
      <c r="AC70" s="208">
        <v>0</v>
      </c>
      <c r="AD70" s="271">
        <f t="shared" ref="AD70:AD81" si="74">SUM(AB70:AC70)</f>
        <v>0</v>
      </c>
      <c r="AE70" s="270">
        <f>ABRIL!AG70</f>
        <v>0</v>
      </c>
      <c r="AF70" s="208">
        <v>0</v>
      </c>
      <c r="AG70" s="271">
        <f t="shared" ref="AG70:AG81" si="75">SUM(AE70:AF70)</f>
        <v>0</v>
      </c>
      <c r="AH70" s="270">
        <f t="shared" ref="AH70:AH81" si="76">X70-AA70</f>
        <v>0</v>
      </c>
      <c r="AI70" s="220">
        <f t="shared" ref="AI70:AI81" si="77">X70-AD70</f>
        <v>0</v>
      </c>
      <c r="AJ70" s="269">
        <f t="shared" ref="AJ70:AJ81" si="78">X70-AG70</f>
        <v>0</v>
      </c>
      <c r="AK70" s="101"/>
      <c r="AL70" s="204">
        <v>0</v>
      </c>
      <c r="AM70" s="210">
        <v>0</v>
      </c>
    </row>
    <row r="71" spans="1:39" ht="24.75" customHeight="1">
      <c r="A71" s="202" t="str">
        <f>+IF(ABRIL!A71=0,"",ABRIL!A71)</f>
        <v>1.1.02.05.001.09.02.90.02.99</v>
      </c>
      <c r="B71" s="331" t="str">
        <f>+IF(ABRIL!B71=0,"",ABRIL!B71)</f>
        <v>Vigencia Anterior</v>
      </c>
      <c r="C71" s="204">
        <f>+ENERO!C71</f>
        <v>480000000</v>
      </c>
      <c r="D71" s="205">
        <f>ABRIL!D71+MAYO!P71</f>
        <v>0</v>
      </c>
      <c r="E71" s="205">
        <f>ABRIL!E71+MAYO!Q71</f>
        <v>0</v>
      </c>
      <c r="F71" s="205">
        <f>SUM(C71:E71)</f>
        <v>480000000</v>
      </c>
      <c r="G71" s="205">
        <f>ABRIL!I71</f>
        <v>472745028</v>
      </c>
      <c r="H71" s="208">
        <f>298554671+1658737</f>
        <v>300213408</v>
      </c>
      <c r="I71" s="205">
        <f>SUM(G71:H71)</f>
        <v>772958436</v>
      </c>
      <c r="J71" s="205">
        <f>ABRIL!L71</f>
        <v>472745028</v>
      </c>
      <c r="K71" s="208">
        <f>298554671+1658737</f>
        <v>300213408</v>
      </c>
      <c r="L71" s="205">
        <f>SUM(J71:K71)</f>
        <v>772958436</v>
      </c>
      <c r="M71" s="205">
        <f>F71-I71</f>
        <v>-292958436</v>
      </c>
      <c r="N71" s="206">
        <f>F71-L71</f>
        <v>-292958436</v>
      </c>
      <c r="O71" s="67"/>
      <c r="P71" s="204">
        <v>0</v>
      </c>
      <c r="Q71" s="210">
        <v>0</v>
      </c>
      <c r="R71" s="101"/>
      <c r="S71" s="311" t="str">
        <f>+IF(ABRIL!S71=0,"",ABRIL!S71)</f>
        <v>2.1.1.01.01.001.08.02-1</v>
      </c>
      <c r="T71" s="312" t="str">
        <f>+IF(ABRIL!T71=0,"",ABRIL!T71)</f>
        <v>Prima de Vacaciones</v>
      </c>
      <c r="U71" s="373">
        <f>+ENERO!U71</f>
        <v>0</v>
      </c>
      <c r="V71" s="220">
        <f>ABRIL!V71+MAYO!AL71</f>
        <v>0</v>
      </c>
      <c r="W71" s="220">
        <f>ABRIL!W71+MAYO!AM71</f>
        <v>0</v>
      </c>
      <c r="X71" s="271">
        <f t="shared" si="72"/>
        <v>0</v>
      </c>
      <c r="Y71" s="270">
        <f>ABRIL!AA71</f>
        <v>0</v>
      </c>
      <c r="Z71" s="208">
        <v>0</v>
      </c>
      <c r="AA71" s="271">
        <f t="shared" si="73"/>
        <v>0</v>
      </c>
      <c r="AB71" s="270">
        <f>ABRIL!AD71</f>
        <v>0</v>
      </c>
      <c r="AC71" s="208">
        <v>0</v>
      </c>
      <c r="AD71" s="271">
        <f t="shared" si="74"/>
        <v>0</v>
      </c>
      <c r="AE71" s="270">
        <f>ABRIL!AG71</f>
        <v>0</v>
      </c>
      <c r="AF71" s="208">
        <v>0</v>
      </c>
      <c r="AG71" s="271">
        <f t="shared" si="75"/>
        <v>0</v>
      </c>
      <c r="AH71" s="270">
        <f t="shared" si="76"/>
        <v>0</v>
      </c>
      <c r="AI71" s="220">
        <f t="shared" si="77"/>
        <v>0</v>
      </c>
      <c r="AJ71" s="269">
        <f t="shared" si="78"/>
        <v>0</v>
      </c>
      <c r="AK71" s="101"/>
      <c r="AL71" s="204">
        <v>0</v>
      </c>
      <c r="AM71" s="210">
        <v>0</v>
      </c>
    </row>
    <row r="72" spans="1:39" ht="24.75" customHeight="1">
      <c r="A72" s="286" t="str">
        <f>+IF(ABRIL!A72=0,"",ABRIL!A72)</f>
        <v>1.1.02.05.001.09.02.06</v>
      </c>
      <c r="B72" s="319" t="str">
        <f>+IF(ABRIL!B72=0,"",ABRIL!B72)</f>
        <v>ADMINISTRADORAS DE RIESGOS LABORALES</v>
      </c>
      <c r="C72" s="288">
        <f t="shared" ref="C72:N72" si="79">SUM(C73:C74)</f>
        <v>374950682</v>
      </c>
      <c r="D72" s="320">
        <f t="shared" si="79"/>
        <v>0</v>
      </c>
      <c r="E72" s="320">
        <f t="shared" si="79"/>
        <v>0</v>
      </c>
      <c r="F72" s="320">
        <f t="shared" si="79"/>
        <v>374950682</v>
      </c>
      <c r="G72" s="320">
        <f t="shared" si="79"/>
        <v>151434511</v>
      </c>
      <c r="H72" s="320">
        <f t="shared" si="79"/>
        <v>33953065</v>
      </c>
      <c r="I72" s="320">
        <f t="shared" si="79"/>
        <v>185387576</v>
      </c>
      <c r="J72" s="320">
        <f t="shared" si="79"/>
        <v>115199827</v>
      </c>
      <c r="K72" s="320">
        <f t="shared" si="79"/>
        <v>20002772</v>
      </c>
      <c r="L72" s="320">
        <f t="shared" si="79"/>
        <v>135202599</v>
      </c>
      <c r="M72" s="320">
        <f t="shared" si="79"/>
        <v>189563106</v>
      </c>
      <c r="N72" s="289">
        <f t="shared" si="79"/>
        <v>239748083</v>
      </c>
      <c r="O72" s="67"/>
      <c r="P72" s="288">
        <f>SUM(P73:P74)</f>
        <v>0</v>
      </c>
      <c r="Q72" s="289">
        <f>SUM(Q73:Q74)</f>
        <v>0</v>
      </c>
      <c r="R72" s="101"/>
      <c r="S72" s="311" t="str">
        <f>+IF(ABRIL!S72=0,"",ABRIL!S72)</f>
        <v>2.1.1.01.01.001.07-1</v>
      </c>
      <c r="T72" s="312" t="str">
        <f>+IF(ABRIL!T72=0,"",ABRIL!T72)</f>
        <v>Bonificación  por servicios prestados</v>
      </c>
      <c r="U72" s="373">
        <f>+ENERO!U72</f>
        <v>0</v>
      </c>
      <c r="V72" s="220">
        <f>ABRIL!V72+MAYO!AL72</f>
        <v>0</v>
      </c>
      <c r="W72" s="220">
        <f>ABRIL!W72+MAYO!AM72</f>
        <v>0</v>
      </c>
      <c r="X72" s="271">
        <f t="shared" si="72"/>
        <v>0</v>
      </c>
      <c r="Y72" s="270">
        <f>ABRIL!AA72</f>
        <v>0</v>
      </c>
      <c r="Z72" s="208">
        <v>0</v>
      </c>
      <c r="AA72" s="271">
        <f t="shared" si="73"/>
        <v>0</v>
      </c>
      <c r="AB72" s="270">
        <f>ABRIL!AD72</f>
        <v>0</v>
      </c>
      <c r="AC72" s="208">
        <v>0</v>
      </c>
      <c r="AD72" s="271">
        <f t="shared" si="74"/>
        <v>0</v>
      </c>
      <c r="AE72" s="270">
        <f>ABRIL!AG72</f>
        <v>0</v>
      </c>
      <c r="AF72" s="208">
        <v>0</v>
      </c>
      <c r="AG72" s="271">
        <f t="shared" si="75"/>
        <v>0</v>
      </c>
      <c r="AH72" s="270">
        <f t="shared" si="76"/>
        <v>0</v>
      </c>
      <c r="AI72" s="220">
        <f t="shared" si="77"/>
        <v>0</v>
      </c>
      <c r="AJ72" s="269">
        <f t="shared" si="78"/>
        <v>0</v>
      </c>
      <c r="AK72" s="101"/>
      <c r="AL72" s="204">
        <v>0</v>
      </c>
      <c r="AM72" s="210">
        <v>0</v>
      </c>
    </row>
    <row r="73" spans="1:39" ht="24.75" customHeight="1">
      <c r="A73" s="202" t="str">
        <f>+IF(ABRIL!A73=0,"",ABRIL!A73)</f>
        <v>1.1.02.05.001.09.02.06</v>
      </c>
      <c r="B73" s="331" t="str">
        <f>+CONCATENATE("Vigencia ",INSTRUCCIONES!$F$3)</f>
        <v>Vigencia 2025</v>
      </c>
      <c r="C73" s="204">
        <f>+ENERO!C73</f>
        <v>337999834</v>
      </c>
      <c r="D73" s="205">
        <f>ABRIL!D73+MAYO!P73</f>
        <v>0</v>
      </c>
      <c r="E73" s="205">
        <f>ABRIL!E73+MAYO!Q73</f>
        <v>0</v>
      </c>
      <c r="F73" s="205">
        <f>SUM(C73:E73)</f>
        <v>337999834</v>
      </c>
      <c r="G73" s="205">
        <f>ABRIL!I73</f>
        <v>94782119</v>
      </c>
      <c r="H73" s="208">
        <v>33953065</v>
      </c>
      <c r="I73" s="205">
        <f>SUM(G73:H73)</f>
        <v>128735184</v>
      </c>
      <c r="J73" s="205">
        <f>ABRIL!L73</f>
        <v>58547435</v>
      </c>
      <c r="K73" s="208">
        <v>20002772</v>
      </c>
      <c r="L73" s="205">
        <f>SUM(J73:K73)</f>
        <v>78550207</v>
      </c>
      <c r="M73" s="205">
        <f>F73-I73</f>
        <v>209264650</v>
      </c>
      <c r="N73" s="206">
        <f>F73-L73</f>
        <v>259449627</v>
      </c>
      <c r="O73" s="67"/>
      <c r="P73" s="204">
        <v>0</v>
      </c>
      <c r="Q73" s="210">
        <v>0</v>
      </c>
      <c r="R73" s="101"/>
      <c r="S73" s="311" t="str">
        <f>+IF(ABRIL!S73=0,"",ABRIL!S73)</f>
        <v>2.1.1.01.01.001.06-1</v>
      </c>
      <c r="T73" s="312" t="str">
        <f>+IF(ABRIL!T73=0,"",ABRIL!T73)</f>
        <v>Prima de Servicios</v>
      </c>
      <c r="U73" s="373">
        <f>+ENERO!U73</f>
        <v>0</v>
      </c>
      <c r="V73" s="220">
        <f>ABRIL!V73+MAYO!AL73</f>
        <v>0</v>
      </c>
      <c r="W73" s="220">
        <f>ABRIL!W73+MAYO!AM73</f>
        <v>0</v>
      </c>
      <c r="X73" s="271">
        <f t="shared" si="72"/>
        <v>0</v>
      </c>
      <c r="Y73" s="270">
        <f>ABRIL!AA73</f>
        <v>0</v>
      </c>
      <c r="Z73" s="208">
        <v>0</v>
      </c>
      <c r="AA73" s="271">
        <f t="shared" si="73"/>
        <v>0</v>
      </c>
      <c r="AB73" s="270">
        <f>ABRIL!AD73</f>
        <v>0</v>
      </c>
      <c r="AC73" s="208">
        <v>0</v>
      </c>
      <c r="AD73" s="271">
        <f t="shared" si="74"/>
        <v>0</v>
      </c>
      <c r="AE73" s="270">
        <f>ABRIL!AG73</f>
        <v>0</v>
      </c>
      <c r="AF73" s="208">
        <v>0</v>
      </c>
      <c r="AG73" s="271">
        <f t="shared" si="75"/>
        <v>0</v>
      </c>
      <c r="AH73" s="270">
        <f t="shared" si="76"/>
        <v>0</v>
      </c>
      <c r="AI73" s="220">
        <f t="shared" si="77"/>
        <v>0</v>
      </c>
      <c r="AJ73" s="269">
        <f t="shared" si="78"/>
        <v>0</v>
      </c>
      <c r="AK73" s="101"/>
      <c r="AL73" s="204">
        <v>0</v>
      </c>
      <c r="AM73" s="210">
        <v>0</v>
      </c>
    </row>
    <row r="74" spans="1:39" ht="24.75" customHeight="1">
      <c r="A74" s="202" t="str">
        <f>+IF(ABRIL!A74=0,"",ABRIL!A74)</f>
        <v>1.1.02.05.001.09.02.06.99</v>
      </c>
      <c r="B74" s="331" t="str">
        <f>+IF(ABRIL!B74=0,"",ABRIL!B74)</f>
        <v>Vigencia Anterior</v>
      </c>
      <c r="C74" s="204">
        <f>+ENERO!C74</f>
        <v>36950848</v>
      </c>
      <c r="D74" s="205">
        <f>ABRIL!D74+MAYO!P74</f>
        <v>0</v>
      </c>
      <c r="E74" s="205">
        <f>ABRIL!E74+MAYO!Q74</f>
        <v>0</v>
      </c>
      <c r="F74" s="205">
        <f>SUM(C74:E74)</f>
        <v>36950848</v>
      </c>
      <c r="G74" s="205">
        <f>ABRIL!I74</f>
        <v>56652392</v>
      </c>
      <c r="H74" s="208">
        <v>0</v>
      </c>
      <c r="I74" s="205">
        <f>SUM(G74:H74)</f>
        <v>56652392</v>
      </c>
      <c r="J74" s="205">
        <f>ABRIL!L74</f>
        <v>56652392</v>
      </c>
      <c r="K74" s="208">
        <v>0</v>
      </c>
      <c r="L74" s="205">
        <f>SUM(J74:K74)</f>
        <v>56652392</v>
      </c>
      <c r="M74" s="205">
        <f>F74-I74</f>
        <v>-19701544</v>
      </c>
      <c r="N74" s="206">
        <f>F74-L74</f>
        <v>-19701544</v>
      </c>
      <c r="O74" s="67"/>
      <c r="P74" s="204">
        <v>0</v>
      </c>
      <c r="Q74" s="210">
        <v>0</v>
      </c>
      <c r="R74" s="101"/>
      <c r="S74" s="311" t="str">
        <f>+IF(ABRIL!S74=0,"",ABRIL!S74)</f>
        <v>1010104-5</v>
      </c>
      <c r="T74" s="312" t="str">
        <f>+IF(ABRIL!T74=0,"",ABRIL!T74)</f>
        <v>Bonificación Convencional</v>
      </c>
      <c r="U74" s="373">
        <f>+ENERO!U74</f>
        <v>0</v>
      </c>
      <c r="V74" s="220">
        <f>ABRIL!V74+MAYO!AL74</f>
        <v>0</v>
      </c>
      <c r="W74" s="220">
        <f>ABRIL!W74+MAYO!AM74</f>
        <v>0</v>
      </c>
      <c r="X74" s="271">
        <f t="shared" si="72"/>
        <v>0</v>
      </c>
      <c r="Y74" s="270">
        <f>ABRIL!AA74</f>
        <v>0</v>
      </c>
      <c r="Z74" s="208">
        <v>0</v>
      </c>
      <c r="AA74" s="271">
        <f t="shared" si="73"/>
        <v>0</v>
      </c>
      <c r="AB74" s="270">
        <f>ABRIL!AD74</f>
        <v>0</v>
      </c>
      <c r="AC74" s="208">
        <v>0</v>
      </c>
      <c r="AD74" s="271">
        <f t="shared" si="74"/>
        <v>0</v>
      </c>
      <c r="AE74" s="270">
        <f>ABRIL!AG74</f>
        <v>0</v>
      </c>
      <c r="AF74" s="208">
        <v>0</v>
      </c>
      <c r="AG74" s="271">
        <f t="shared" si="75"/>
        <v>0</v>
      </c>
      <c r="AH74" s="270">
        <f t="shared" si="76"/>
        <v>0</v>
      </c>
      <c r="AI74" s="220">
        <f t="shared" si="77"/>
        <v>0</v>
      </c>
      <c r="AJ74" s="269">
        <f t="shared" si="78"/>
        <v>0</v>
      </c>
      <c r="AK74" s="101"/>
      <c r="AL74" s="204">
        <v>0</v>
      </c>
      <c r="AM74" s="210">
        <v>0</v>
      </c>
    </row>
    <row r="75" spans="1:39" ht="24.75" customHeight="1">
      <c r="A75" s="286" t="str">
        <f>+IF(ABRIL!A75=0,"",ABRIL!A75)</f>
        <v>1.1.02.05.001.09.02.07</v>
      </c>
      <c r="B75" s="319" t="str">
        <f>+IF(ABRIL!B75=0,"",ABRIL!B75)</f>
        <v>FUERZAS MILITARES</v>
      </c>
      <c r="C75" s="288">
        <f t="shared" ref="C75:N75" si="80">SUM(C76:C77)</f>
        <v>448721976</v>
      </c>
      <c r="D75" s="320">
        <f t="shared" si="80"/>
        <v>0</v>
      </c>
      <c r="E75" s="320">
        <f t="shared" si="80"/>
        <v>0</v>
      </c>
      <c r="F75" s="320">
        <f t="shared" si="80"/>
        <v>448721976</v>
      </c>
      <c r="G75" s="320">
        <f t="shared" si="80"/>
        <v>60484795</v>
      </c>
      <c r="H75" s="320">
        <f t="shared" si="80"/>
        <v>37669848</v>
      </c>
      <c r="I75" s="320">
        <f t="shared" si="80"/>
        <v>98154643</v>
      </c>
      <c r="J75" s="320">
        <f t="shared" si="80"/>
        <v>0</v>
      </c>
      <c r="K75" s="320">
        <f t="shared" si="80"/>
        <v>21577579</v>
      </c>
      <c r="L75" s="320">
        <f t="shared" si="80"/>
        <v>21577579</v>
      </c>
      <c r="M75" s="320">
        <f t="shared" si="80"/>
        <v>350567333</v>
      </c>
      <c r="N75" s="289">
        <f t="shared" si="80"/>
        <v>427144397</v>
      </c>
      <c r="O75" s="67"/>
      <c r="P75" s="288">
        <f>SUM(P76:P77)</f>
        <v>0</v>
      </c>
      <c r="Q75" s="289">
        <f>SUM(Q76:Q77)</f>
        <v>0</v>
      </c>
      <c r="R75" s="101"/>
      <c r="S75" s="311" t="str">
        <f>+IF(ABRIL!S75=0,"",ABRIL!S75)</f>
        <v>2.1.1.01.01.001.05-1</v>
      </c>
      <c r="T75" s="312" t="str">
        <f>+IF(ABRIL!T75=0,"",ABRIL!T75)</f>
        <v>Auxilio de Transporte</v>
      </c>
      <c r="U75" s="373">
        <f>+ENERO!U75</f>
        <v>0</v>
      </c>
      <c r="V75" s="220">
        <f>ABRIL!V75+MAYO!AL75</f>
        <v>0</v>
      </c>
      <c r="W75" s="220">
        <f>ABRIL!W75+MAYO!AM75</f>
        <v>0</v>
      </c>
      <c r="X75" s="271">
        <f t="shared" si="72"/>
        <v>0</v>
      </c>
      <c r="Y75" s="270">
        <f>ABRIL!AA75</f>
        <v>0</v>
      </c>
      <c r="Z75" s="208">
        <v>0</v>
      </c>
      <c r="AA75" s="271">
        <f t="shared" si="73"/>
        <v>0</v>
      </c>
      <c r="AB75" s="270">
        <f>ABRIL!AD75</f>
        <v>0</v>
      </c>
      <c r="AC75" s="208">
        <v>0</v>
      </c>
      <c r="AD75" s="271">
        <f t="shared" si="74"/>
        <v>0</v>
      </c>
      <c r="AE75" s="270">
        <f>ABRIL!AG75</f>
        <v>0</v>
      </c>
      <c r="AF75" s="208">
        <v>0</v>
      </c>
      <c r="AG75" s="271">
        <f t="shared" si="75"/>
        <v>0</v>
      </c>
      <c r="AH75" s="270">
        <f t="shared" si="76"/>
        <v>0</v>
      </c>
      <c r="AI75" s="220">
        <f t="shared" si="77"/>
        <v>0</v>
      </c>
      <c r="AJ75" s="269">
        <f t="shared" si="78"/>
        <v>0</v>
      </c>
      <c r="AK75" s="101"/>
      <c r="AL75" s="204">
        <v>0</v>
      </c>
      <c r="AM75" s="210">
        <v>0</v>
      </c>
    </row>
    <row r="76" spans="1:39" ht="24.75" customHeight="1">
      <c r="A76" s="202" t="str">
        <f>+IF(ABRIL!A76=0,"",ABRIL!A76)</f>
        <v>1.1.02.05.001.09.02.07</v>
      </c>
      <c r="B76" s="331" t="str">
        <f>+CONCATENATE("Vigencia ",INSTRUCCIONES!$F$3)</f>
        <v>Vigencia 2025</v>
      </c>
      <c r="C76" s="204">
        <f>+ENERO!C76</f>
        <v>341067989</v>
      </c>
      <c r="D76" s="205">
        <f>ABRIL!D76+MAYO!P76</f>
        <v>0</v>
      </c>
      <c r="E76" s="205">
        <f>ABRIL!E76+MAYO!Q76</f>
        <v>0</v>
      </c>
      <c r="F76" s="205">
        <f>SUM(C76:E76)</f>
        <v>341067989</v>
      </c>
      <c r="G76" s="205">
        <f>ABRIL!I76</f>
        <v>60484795</v>
      </c>
      <c r="H76" s="208">
        <v>16264569</v>
      </c>
      <c r="I76" s="205">
        <f>SUM(G76:H76)</f>
        <v>76749364</v>
      </c>
      <c r="J76" s="205">
        <f>ABRIL!L76</f>
        <v>0</v>
      </c>
      <c r="K76" s="208">
        <v>172300</v>
      </c>
      <c r="L76" s="205">
        <f>SUM(J76:K76)</f>
        <v>172300</v>
      </c>
      <c r="M76" s="205">
        <f>F76-I76</f>
        <v>264318625</v>
      </c>
      <c r="N76" s="206">
        <f>F76-L76</f>
        <v>340895689</v>
      </c>
      <c r="O76" s="67"/>
      <c r="P76" s="204">
        <v>0</v>
      </c>
      <c r="Q76" s="210">
        <v>0</v>
      </c>
      <c r="R76" s="101"/>
      <c r="S76" s="311" t="str">
        <f>+IF(ABRIL!S76=0,"",ABRIL!S76)</f>
        <v>2.1.1.01.01.001.04-1</v>
      </c>
      <c r="T76" s="312" t="str">
        <f>+IF(ABRIL!T76=0,"",ABRIL!T76)</f>
        <v>Auxilio de Alimentación</v>
      </c>
      <c r="U76" s="373">
        <f>+ENERO!U76</f>
        <v>0</v>
      </c>
      <c r="V76" s="220">
        <f>ABRIL!V76+MAYO!AL76</f>
        <v>0</v>
      </c>
      <c r="W76" s="220">
        <f>ABRIL!W76+MAYO!AM76</f>
        <v>0</v>
      </c>
      <c r="X76" s="271">
        <f t="shared" si="72"/>
        <v>0</v>
      </c>
      <c r="Y76" s="270">
        <f>ABRIL!AA76</f>
        <v>0</v>
      </c>
      <c r="Z76" s="208">
        <v>0</v>
      </c>
      <c r="AA76" s="271">
        <f t="shared" si="73"/>
        <v>0</v>
      </c>
      <c r="AB76" s="270">
        <f>ABRIL!AD76</f>
        <v>0</v>
      </c>
      <c r="AC76" s="208">
        <v>0</v>
      </c>
      <c r="AD76" s="271">
        <f t="shared" si="74"/>
        <v>0</v>
      </c>
      <c r="AE76" s="270">
        <f>ABRIL!AG76</f>
        <v>0</v>
      </c>
      <c r="AF76" s="208">
        <v>0</v>
      </c>
      <c r="AG76" s="271">
        <f t="shared" si="75"/>
        <v>0</v>
      </c>
      <c r="AH76" s="270">
        <f t="shared" si="76"/>
        <v>0</v>
      </c>
      <c r="AI76" s="220">
        <f t="shared" si="77"/>
        <v>0</v>
      </c>
      <c r="AJ76" s="269">
        <f t="shared" si="78"/>
        <v>0</v>
      </c>
      <c r="AK76" s="101"/>
      <c r="AL76" s="204">
        <v>0</v>
      </c>
      <c r="AM76" s="210">
        <v>0</v>
      </c>
    </row>
    <row r="77" spans="1:39" ht="24.75" customHeight="1">
      <c r="A77" s="202" t="str">
        <f>+IF(ABRIL!A77=0,"",ABRIL!A77)</f>
        <v>1.1.02.05.001.09.02.07.99</v>
      </c>
      <c r="B77" s="331" t="str">
        <f>+IF(ABRIL!B77=0,"",ABRIL!B77)</f>
        <v>Vigencia Anterior</v>
      </c>
      <c r="C77" s="204">
        <f>+ENERO!C77</f>
        <v>107653987</v>
      </c>
      <c r="D77" s="205">
        <f>ABRIL!D77+MAYO!P77</f>
        <v>0</v>
      </c>
      <c r="E77" s="205">
        <f>ABRIL!E77+MAYO!Q77</f>
        <v>0</v>
      </c>
      <c r="F77" s="205">
        <f>SUM(C77:E77)</f>
        <v>107653987</v>
      </c>
      <c r="G77" s="205">
        <f>ABRIL!I77</f>
        <v>0</v>
      </c>
      <c r="H77" s="208">
        <v>21405279</v>
      </c>
      <c r="I77" s="205">
        <f>SUM(G77:H77)</f>
        <v>21405279</v>
      </c>
      <c r="J77" s="205">
        <f>ABRIL!L77</f>
        <v>0</v>
      </c>
      <c r="K77" s="208">
        <v>21405279</v>
      </c>
      <c r="L77" s="205">
        <f>SUM(J77:K77)</f>
        <v>21405279</v>
      </c>
      <c r="M77" s="205">
        <f>F77-I77</f>
        <v>86248708</v>
      </c>
      <c r="N77" s="206">
        <f>F77-L77</f>
        <v>86248708</v>
      </c>
      <c r="O77" s="67"/>
      <c r="P77" s="204">
        <v>0</v>
      </c>
      <c r="Q77" s="210">
        <v>0</v>
      </c>
      <c r="R77" s="101"/>
      <c r="S77" s="311" t="str">
        <f>+IF(ABRIL!S77=0,"",ABRIL!S77)</f>
        <v>1010104-8</v>
      </c>
      <c r="T77" s="312" t="str">
        <f>+IF(ABRIL!T77=0,"",ABRIL!T77)</f>
        <v>Indemnizaciones por Vacaciones o Supresión de Cargos por Reestructuración</v>
      </c>
      <c r="U77" s="373">
        <f>+ENERO!U77</f>
        <v>0</v>
      </c>
      <c r="V77" s="220">
        <f>ABRIL!V77+MAYO!AL77</f>
        <v>0</v>
      </c>
      <c r="W77" s="220">
        <f>ABRIL!W77+MAYO!AM77</f>
        <v>0</v>
      </c>
      <c r="X77" s="271">
        <f t="shared" si="72"/>
        <v>0</v>
      </c>
      <c r="Y77" s="270">
        <f>ABRIL!AA77</f>
        <v>0</v>
      </c>
      <c r="Z77" s="208">
        <v>0</v>
      </c>
      <c r="AA77" s="271">
        <f t="shared" si="73"/>
        <v>0</v>
      </c>
      <c r="AB77" s="270">
        <f>ABRIL!AD77</f>
        <v>0</v>
      </c>
      <c r="AC77" s="208">
        <v>0</v>
      </c>
      <c r="AD77" s="271">
        <f t="shared" si="74"/>
        <v>0</v>
      </c>
      <c r="AE77" s="270">
        <f>ABRIL!AG77</f>
        <v>0</v>
      </c>
      <c r="AF77" s="208">
        <v>0</v>
      </c>
      <c r="AG77" s="271">
        <f t="shared" si="75"/>
        <v>0</v>
      </c>
      <c r="AH77" s="270">
        <f t="shared" si="76"/>
        <v>0</v>
      </c>
      <c r="AI77" s="220">
        <f t="shared" si="77"/>
        <v>0</v>
      </c>
      <c r="AJ77" s="269">
        <f t="shared" si="78"/>
        <v>0</v>
      </c>
      <c r="AK77" s="101"/>
      <c r="AL77" s="204">
        <v>0</v>
      </c>
      <c r="AM77" s="210">
        <v>0</v>
      </c>
    </row>
    <row r="78" spans="1:39" ht="24.75" customHeight="1">
      <c r="A78" s="286" t="str">
        <f>+IF(ABRIL!A78=0,"",ABRIL!A78)</f>
        <v>1.1.02.05.001.09.02.13-1</v>
      </c>
      <c r="B78" s="319" t="str">
        <f>+IF(ABRIL!B78=0,"",ABRIL!B78)</f>
        <v>PARTICULARES   (Venta de Contado)</v>
      </c>
      <c r="C78" s="288">
        <f>SUM(C79:C80)</f>
        <v>681131551</v>
      </c>
      <c r="D78" s="320">
        <f>SUM(D79:D80)</f>
        <v>0</v>
      </c>
      <c r="E78" s="320">
        <f>SUM(E79:E80)</f>
        <v>0</v>
      </c>
      <c r="F78" s="320">
        <f>SUM(C78:E78)</f>
        <v>681131551</v>
      </c>
      <c r="G78" s="320">
        <f>SUM(G79:G80)</f>
        <v>151287800</v>
      </c>
      <c r="H78" s="320">
        <f>SUM(H79:H80)</f>
        <v>38683000</v>
      </c>
      <c r="I78" s="320">
        <f>SUM(G78:H78)</f>
        <v>189970800</v>
      </c>
      <c r="J78" s="320">
        <f>SUM(J79:J80)</f>
        <v>27196230</v>
      </c>
      <c r="K78" s="320">
        <f>SUM(K79:K80)</f>
        <v>15908154</v>
      </c>
      <c r="L78" s="320">
        <f>SUM(J78:K78)</f>
        <v>43104384</v>
      </c>
      <c r="M78" s="320">
        <f>F78-I78</f>
        <v>491160751</v>
      </c>
      <c r="N78" s="289">
        <f>F78-L78</f>
        <v>638027167</v>
      </c>
      <c r="O78" s="67"/>
      <c r="P78" s="288">
        <f>SUM(P79:P80)</f>
        <v>0</v>
      </c>
      <c r="Q78" s="289">
        <f>SUM(Q79:Q80)</f>
        <v>0</v>
      </c>
      <c r="R78" s="101"/>
      <c r="S78" s="311" t="str">
        <f>+IF(ABRIL!S78=0,"",ABRIL!S78)</f>
        <v>1010104-9</v>
      </c>
      <c r="T78" s="312" t="str">
        <f>+IF(ABRIL!T78=0,"",ABRIL!T78)</f>
        <v/>
      </c>
      <c r="U78" s="373">
        <f>+ENERO!U78</f>
        <v>0</v>
      </c>
      <c r="V78" s="220">
        <f>ABRIL!V78+MAYO!AL78</f>
        <v>0</v>
      </c>
      <c r="W78" s="220">
        <f>ABRIL!W78+MAYO!AM78</f>
        <v>0</v>
      </c>
      <c r="X78" s="271">
        <f t="shared" si="72"/>
        <v>0</v>
      </c>
      <c r="Y78" s="270">
        <f>ABRIL!AA78</f>
        <v>0</v>
      </c>
      <c r="Z78" s="208">
        <v>0</v>
      </c>
      <c r="AA78" s="271">
        <f t="shared" si="73"/>
        <v>0</v>
      </c>
      <c r="AB78" s="270">
        <f>ABRIL!AD78</f>
        <v>0</v>
      </c>
      <c r="AC78" s="208">
        <v>0</v>
      </c>
      <c r="AD78" s="271">
        <f t="shared" si="74"/>
        <v>0</v>
      </c>
      <c r="AE78" s="270">
        <f>ABRIL!AG78</f>
        <v>0</v>
      </c>
      <c r="AF78" s="208">
        <v>0</v>
      </c>
      <c r="AG78" s="271">
        <f t="shared" si="75"/>
        <v>0</v>
      </c>
      <c r="AH78" s="270">
        <f t="shared" si="76"/>
        <v>0</v>
      </c>
      <c r="AI78" s="220">
        <f t="shared" si="77"/>
        <v>0</v>
      </c>
      <c r="AJ78" s="269">
        <f t="shared" si="78"/>
        <v>0</v>
      </c>
      <c r="AK78" s="101"/>
      <c r="AL78" s="204">
        <v>0</v>
      </c>
      <c r="AM78" s="210">
        <v>0</v>
      </c>
    </row>
    <row r="79" spans="1:39" ht="24.75" customHeight="1">
      <c r="A79" s="202" t="str">
        <f>+IF(ABRIL!A79=0,"",ABRIL!A79)</f>
        <v>1.1.02.05.001.09.02.13-1</v>
      </c>
      <c r="B79" s="331" t="str">
        <f>+CONCATENATE("Vigencia ",INSTRUCCIONES!$F$3)</f>
        <v>Vigencia 2025</v>
      </c>
      <c r="C79" s="204">
        <f>+ENERO!C79</f>
        <v>531131551</v>
      </c>
      <c r="D79" s="205">
        <f>ABRIL!D79+MAYO!P79</f>
        <v>0</v>
      </c>
      <c r="E79" s="205">
        <f>ABRIL!E79+MAYO!Q79</f>
        <v>0</v>
      </c>
      <c r="F79" s="205">
        <f>SUM(C79:E79)</f>
        <v>531131551</v>
      </c>
      <c r="G79" s="205">
        <f>ABRIL!I79</f>
        <v>142618600</v>
      </c>
      <c r="H79" s="208">
        <v>34196900</v>
      </c>
      <c r="I79" s="205">
        <f>SUM(G79:H79)</f>
        <v>176815500</v>
      </c>
      <c r="J79" s="205">
        <f>ABRIL!L79</f>
        <v>18527030</v>
      </c>
      <c r="K79" s="208">
        <v>11422054</v>
      </c>
      <c r="L79" s="205">
        <f>SUM(J79:K79)</f>
        <v>29949084</v>
      </c>
      <c r="M79" s="205">
        <f>F79-I79</f>
        <v>354316051</v>
      </c>
      <c r="N79" s="206">
        <f>F79-L79</f>
        <v>501182467</v>
      </c>
      <c r="O79" s="67"/>
      <c r="P79" s="204">
        <v>0</v>
      </c>
      <c r="Q79" s="210">
        <v>0</v>
      </c>
      <c r="R79" s="101"/>
      <c r="S79" s="311" t="str">
        <f>+IF(ABRIL!S79=0,"",ABRIL!S79)</f>
        <v>2.1.1.01.03.001.03-1</v>
      </c>
      <c r="T79" s="312" t="str">
        <f>+IF(ABRIL!T79=0,"",ABRIL!T79)</f>
        <v>Bonificación Especial por Recreación</v>
      </c>
      <c r="U79" s="373">
        <f>+ENERO!U79</f>
        <v>0</v>
      </c>
      <c r="V79" s="220">
        <f>ABRIL!V79+MAYO!AL79</f>
        <v>0</v>
      </c>
      <c r="W79" s="220">
        <f>ABRIL!W79+MAYO!AM79</f>
        <v>0</v>
      </c>
      <c r="X79" s="271">
        <f t="shared" si="72"/>
        <v>0</v>
      </c>
      <c r="Y79" s="270">
        <f>ABRIL!AA79</f>
        <v>0</v>
      </c>
      <c r="Z79" s="208">
        <v>0</v>
      </c>
      <c r="AA79" s="271">
        <f t="shared" si="73"/>
        <v>0</v>
      </c>
      <c r="AB79" s="270">
        <f>ABRIL!AD79</f>
        <v>0</v>
      </c>
      <c r="AC79" s="208">
        <v>0</v>
      </c>
      <c r="AD79" s="271">
        <f t="shared" si="74"/>
        <v>0</v>
      </c>
      <c r="AE79" s="270">
        <f>ABRIL!AG79</f>
        <v>0</v>
      </c>
      <c r="AF79" s="208">
        <v>0</v>
      </c>
      <c r="AG79" s="271">
        <f t="shared" si="75"/>
        <v>0</v>
      </c>
      <c r="AH79" s="270">
        <f t="shared" si="76"/>
        <v>0</v>
      </c>
      <c r="AI79" s="220">
        <f t="shared" si="77"/>
        <v>0</v>
      </c>
      <c r="AJ79" s="269">
        <f t="shared" si="78"/>
        <v>0</v>
      </c>
      <c r="AK79" s="101"/>
      <c r="AL79" s="204">
        <v>0</v>
      </c>
      <c r="AM79" s="210">
        <v>0</v>
      </c>
    </row>
    <row r="80" spans="1:39" ht="24.75" customHeight="1">
      <c r="A80" s="202" t="str">
        <f>+IF(ABRIL!A80=0,"",ABRIL!A80)</f>
        <v>1.1.02.05.001.09.02.13.99-1</v>
      </c>
      <c r="B80" s="331" t="str">
        <f>+IF(ABRIL!B80=0,"",ABRIL!B80)</f>
        <v>Vigencia Anterior</v>
      </c>
      <c r="C80" s="204">
        <f>+ENERO!C80</f>
        <v>150000000</v>
      </c>
      <c r="D80" s="205">
        <f>ABRIL!D80+MAYO!P80</f>
        <v>0</v>
      </c>
      <c r="E80" s="205">
        <f>ABRIL!E80+MAYO!Q80</f>
        <v>0</v>
      </c>
      <c r="F80" s="205">
        <f>SUM(C80:E80)</f>
        <v>150000000</v>
      </c>
      <c r="G80" s="205">
        <f>ABRIL!I80</f>
        <v>8669200</v>
      </c>
      <c r="H80" s="208">
        <v>4486100</v>
      </c>
      <c r="I80" s="205">
        <f>SUM(G80:H80)</f>
        <v>13155300</v>
      </c>
      <c r="J80" s="205">
        <f>ABRIL!L80</f>
        <v>8669200</v>
      </c>
      <c r="K80" s="208">
        <v>4486100</v>
      </c>
      <c r="L80" s="205">
        <f>SUM(J80:K80)</f>
        <v>13155300</v>
      </c>
      <c r="M80" s="205">
        <f>F80-I80</f>
        <v>136844700</v>
      </c>
      <c r="N80" s="206">
        <f>F80-L80</f>
        <v>136844700</v>
      </c>
      <c r="O80" s="67"/>
      <c r="P80" s="204">
        <v>0</v>
      </c>
      <c r="Q80" s="210">
        <v>0</v>
      </c>
      <c r="R80" s="101"/>
      <c r="S80" s="311" t="str">
        <f>+IF(ABRIL!S80=0,"",ABRIL!S80)</f>
        <v>2.1.1.01.03.001.01-1</v>
      </c>
      <c r="T80" s="312" t="str">
        <f>+IF(ABRIL!T80=0,"",ABRIL!T80)</f>
        <v>Vacaciones</v>
      </c>
      <c r="U80" s="373">
        <f>+ENERO!U80</f>
        <v>0</v>
      </c>
      <c r="V80" s="220">
        <f>ABRIL!V80+MAYO!AL80</f>
        <v>0</v>
      </c>
      <c r="W80" s="220">
        <f>ABRIL!W80+MAYO!AM80</f>
        <v>0</v>
      </c>
      <c r="X80" s="271">
        <f t="shared" si="72"/>
        <v>0</v>
      </c>
      <c r="Y80" s="270">
        <f>ABRIL!AA80</f>
        <v>0</v>
      </c>
      <c r="Z80" s="208">
        <v>0</v>
      </c>
      <c r="AA80" s="271">
        <f t="shared" si="73"/>
        <v>0</v>
      </c>
      <c r="AB80" s="270">
        <f>ABRIL!AD80</f>
        <v>0</v>
      </c>
      <c r="AC80" s="208">
        <v>0</v>
      </c>
      <c r="AD80" s="271">
        <f t="shared" si="74"/>
        <v>0</v>
      </c>
      <c r="AE80" s="270">
        <f>ABRIL!AG80</f>
        <v>0</v>
      </c>
      <c r="AF80" s="208">
        <v>0</v>
      </c>
      <c r="AG80" s="271">
        <f t="shared" si="75"/>
        <v>0</v>
      </c>
      <c r="AH80" s="270">
        <f t="shared" si="76"/>
        <v>0</v>
      </c>
      <c r="AI80" s="220">
        <f t="shared" si="77"/>
        <v>0</v>
      </c>
      <c r="AJ80" s="269">
        <f t="shared" si="78"/>
        <v>0</v>
      </c>
      <c r="AK80" s="101"/>
      <c r="AL80" s="204">
        <v>0</v>
      </c>
      <c r="AM80" s="210">
        <v>0</v>
      </c>
    </row>
    <row r="81" spans="1:39" ht="24.75" customHeight="1">
      <c r="A81" s="286" t="str">
        <f>+IF(ABRIL!A81=0,"",ABRIL!A81)</f>
        <v>1.1.02.05.001.09.02.08</v>
      </c>
      <c r="B81" s="319" t="str">
        <f>+IF(ABRIL!B81=0,"",ABRIL!B81)</f>
        <v>POLICIA NACIONAL</v>
      </c>
      <c r="C81" s="288">
        <f>ENERO!C81</f>
        <v>386698320</v>
      </c>
      <c r="D81" s="320">
        <f t="shared" ref="D81:N81" si="81">SUM(D82:D83)</f>
        <v>0</v>
      </c>
      <c r="E81" s="320">
        <f t="shared" si="81"/>
        <v>0</v>
      </c>
      <c r="F81" s="320">
        <f t="shared" si="81"/>
        <v>386698320</v>
      </c>
      <c r="G81" s="320">
        <f t="shared" si="81"/>
        <v>139970664</v>
      </c>
      <c r="H81" s="320">
        <f t="shared" si="81"/>
        <v>23266574</v>
      </c>
      <c r="I81" s="320">
        <f t="shared" si="81"/>
        <v>163237238</v>
      </c>
      <c r="J81" s="320">
        <f t="shared" si="81"/>
        <v>121949676</v>
      </c>
      <c r="K81" s="320">
        <f t="shared" si="81"/>
        <v>4992578</v>
      </c>
      <c r="L81" s="320">
        <f t="shared" si="81"/>
        <v>126942254</v>
      </c>
      <c r="M81" s="320">
        <f t="shared" si="81"/>
        <v>223461082</v>
      </c>
      <c r="N81" s="289">
        <f t="shared" si="81"/>
        <v>259756066</v>
      </c>
      <c r="O81" s="67"/>
      <c r="P81" s="288">
        <f>SUM(P82:P83)</f>
        <v>0</v>
      </c>
      <c r="Q81" s="289">
        <f>SUM(Q82:Q83)</f>
        <v>0</v>
      </c>
      <c r="R81" s="101"/>
      <c r="S81" s="266" t="str">
        <f>+IF(ABRIL!S81=0,"",ABRIL!S81)</f>
        <v>2.1.2.02.02.009.902.99</v>
      </c>
      <c r="T81" s="267" t="str">
        <f>+IF(ABRIL!T81=0,"",ABRIL!T81)</f>
        <v xml:space="preserve">Vigencia Anterior </v>
      </c>
      <c r="U81" s="373">
        <f>+ENERO!U81</f>
        <v>0</v>
      </c>
      <c r="V81" s="220">
        <f>ABRIL!V81+MAYO!AL81</f>
        <v>0</v>
      </c>
      <c r="W81" s="220">
        <f>ABRIL!W81+MAYO!AM81</f>
        <v>0</v>
      </c>
      <c r="X81" s="271">
        <f t="shared" si="72"/>
        <v>0</v>
      </c>
      <c r="Y81" s="270">
        <f>ABRIL!AA81</f>
        <v>0</v>
      </c>
      <c r="Z81" s="208">
        <v>0</v>
      </c>
      <c r="AA81" s="271">
        <f t="shared" si="73"/>
        <v>0</v>
      </c>
      <c r="AB81" s="270">
        <f>ABRIL!AD81</f>
        <v>0</v>
      </c>
      <c r="AC81" s="208">
        <v>0</v>
      </c>
      <c r="AD81" s="271">
        <f t="shared" si="74"/>
        <v>0</v>
      </c>
      <c r="AE81" s="270">
        <f>ABRIL!AG81</f>
        <v>0</v>
      </c>
      <c r="AF81" s="208">
        <v>0</v>
      </c>
      <c r="AG81" s="271">
        <f t="shared" si="75"/>
        <v>0</v>
      </c>
      <c r="AH81" s="270">
        <f t="shared" si="76"/>
        <v>0</v>
      </c>
      <c r="AI81" s="220">
        <f t="shared" si="77"/>
        <v>0</v>
      </c>
      <c r="AJ81" s="269">
        <f t="shared" si="78"/>
        <v>0</v>
      </c>
      <c r="AK81" s="101"/>
      <c r="AL81" s="204">
        <v>0</v>
      </c>
      <c r="AM81" s="210">
        <v>0</v>
      </c>
    </row>
    <row r="82" spans="1:39" ht="24.75" customHeight="1">
      <c r="A82" s="202" t="str">
        <f>+IF(ABRIL!A82=0,"",ABRIL!A82)</f>
        <v>1.1.02.05.001.09.02.08</v>
      </c>
      <c r="B82" s="331" t="str">
        <f>+CONCATENATE("Vigencia ",INSTRUCCIONES!$F$3)</f>
        <v>Vigencia 2025</v>
      </c>
      <c r="C82" s="204">
        <f>+ENERO!C82</f>
        <v>376911385</v>
      </c>
      <c r="D82" s="205">
        <f>ABRIL!D82+MAYO!P82</f>
        <v>0</v>
      </c>
      <c r="E82" s="205">
        <f>ABRIL!E82+MAYO!Q82</f>
        <v>0</v>
      </c>
      <c r="F82" s="205">
        <f>SUM(C82:E82)</f>
        <v>376911385</v>
      </c>
      <c r="G82" s="205">
        <f>ABRIL!I82</f>
        <v>88281109</v>
      </c>
      <c r="H82" s="208">
        <v>18273996</v>
      </c>
      <c r="I82" s="205">
        <f>SUM(G82:H82)</f>
        <v>106555105</v>
      </c>
      <c r="J82" s="205">
        <f>ABRIL!L82</f>
        <v>70260121</v>
      </c>
      <c r="K82" s="208">
        <v>0</v>
      </c>
      <c r="L82" s="205">
        <f>SUM(J82:K82)</f>
        <v>70260121</v>
      </c>
      <c r="M82" s="205">
        <f>F82-I82</f>
        <v>270356280</v>
      </c>
      <c r="N82" s="206">
        <f>F82-L82</f>
        <v>306651264</v>
      </c>
      <c r="O82" s="67"/>
      <c r="P82" s="204">
        <v>0</v>
      </c>
      <c r="Q82" s="210">
        <v>0</v>
      </c>
      <c r="R82" s="101"/>
      <c r="S82" s="189" t="str">
        <f>+IF(ABRIL!S82=0,"",ABRIL!S82)</f>
        <v/>
      </c>
      <c r="T82" s="488" t="str">
        <f>+IF(ABRIL!T82=0,"",ABRIL!T82)</f>
        <v/>
      </c>
      <c r="U82" s="191"/>
      <c r="V82" s="191"/>
      <c r="W82" s="191"/>
      <c r="X82" s="191"/>
      <c r="Y82" s="191"/>
      <c r="Z82" s="191"/>
      <c r="AA82" s="191"/>
      <c r="AB82" s="191"/>
      <c r="AC82" s="191"/>
      <c r="AD82" s="191"/>
      <c r="AE82" s="191"/>
      <c r="AF82" s="191"/>
      <c r="AG82" s="191"/>
      <c r="AH82" s="191"/>
      <c r="AI82" s="191"/>
      <c r="AJ82" s="192"/>
      <c r="AK82" s="101"/>
      <c r="AL82" s="370"/>
      <c r="AM82" s="371"/>
    </row>
    <row r="83" spans="1:39" ht="24.75" customHeight="1" thickBot="1">
      <c r="A83" s="202" t="str">
        <f>+IF(ABRIL!A83=0,"",ABRIL!A83)</f>
        <v>1.1.02.05.001.09.02.08,99</v>
      </c>
      <c r="B83" s="377" t="str">
        <f>+IF(ABRIL!B83=0,"",ABRIL!B83)</f>
        <v>Vigencia Anterior</v>
      </c>
      <c r="C83" s="242">
        <f>+ENERO!C83</f>
        <v>9786935</v>
      </c>
      <c r="D83" s="243">
        <f>ABRIL!D83+MAYO!P83</f>
        <v>0</v>
      </c>
      <c r="E83" s="243">
        <f>ABRIL!E83+MAYO!Q83</f>
        <v>0</v>
      </c>
      <c r="F83" s="243">
        <f>SUM(C83:E83)</f>
        <v>9786935</v>
      </c>
      <c r="G83" s="243">
        <f>ABRIL!I83</f>
        <v>51689555</v>
      </c>
      <c r="H83" s="246">
        <v>4992578</v>
      </c>
      <c r="I83" s="243">
        <f>SUM(G83:H83)</f>
        <v>56682133</v>
      </c>
      <c r="J83" s="243">
        <f>ABRIL!L83</f>
        <v>51689555</v>
      </c>
      <c r="K83" s="246">
        <v>4992578</v>
      </c>
      <c r="L83" s="243">
        <f>SUM(J83:K83)</f>
        <v>56682133</v>
      </c>
      <c r="M83" s="243">
        <f>F83-I83</f>
        <v>-46895198</v>
      </c>
      <c r="N83" s="244">
        <f>F83-L83</f>
        <v>-46895198</v>
      </c>
      <c r="O83" s="67"/>
      <c r="P83" s="204">
        <v>0</v>
      </c>
      <c r="Q83" s="210">
        <v>0</v>
      </c>
      <c r="R83" s="101"/>
      <c r="S83" s="257">
        <f>+IF(ABRIL!S83=0,"",ABRIL!S83)</f>
        <v>1020200</v>
      </c>
      <c r="T83" s="546" t="str">
        <f>+IF(ABRIL!T83=0,"",ABRIL!T83)</f>
        <v>Servicios Personales Indirectos</v>
      </c>
      <c r="U83" s="230">
        <f t="shared" ref="U83:AJ83" si="82">SUM(U84:U88)</f>
        <v>64518803470</v>
      </c>
      <c r="V83" s="231">
        <f t="shared" si="82"/>
        <v>-73000000</v>
      </c>
      <c r="W83" s="231">
        <f t="shared" si="82"/>
        <v>2908182761</v>
      </c>
      <c r="X83" s="234">
        <f t="shared" si="82"/>
        <v>67353986231</v>
      </c>
      <c r="Y83" s="233">
        <f t="shared" si="82"/>
        <v>46821266781</v>
      </c>
      <c r="Z83" s="231">
        <f t="shared" si="82"/>
        <v>360056369</v>
      </c>
      <c r="AA83" s="234">
        <f t="shared" si="82"/>
        <v>47181323150</v>
      </c>
      <c r="AB83" s="233">
        <f t="shared" si="82"/>
        <v>31712102245</v>
      </c>
      <c r="AC83" s="231">
        <f t="shared" si="82"/>
        <v>4996875471</v>
      </c>
      <c r="AD83" s="234">
        <f t="shared" si="82"/>
        <v>36708977716</v>
      </c>
      <c r="AE83" s="233">
        <f t="shared" si="82"/>
        <v>18284481619</v>
      </c>
      <c r="AF83" s="231">
        <f t="shared" si="82"/>
        <v>4091414178</v>
      </c>
      <c r="AG83" s="234">
        <f t="shared" si="82"/>
        <v>22375895797</v>
      </c>
      <c r="AH83" s="233">
        <f t="shared" si="82"/>
        <v>20172663081</v>
      </c>
      <c r="AI83" s="231">
        <f t="shared" si="82"/>
        <v>30645008515</v>
      </c>
      <c r="AJ83" s="232">
        <f t="shared" si="82"/>
        <v>44978090434</v>
      </c>
      <c r="AK83" s="101"/>
      <c r="AL83" s="233">
        <f>SUM(AL84:AL88)</f>
        <v>0</v>
      </c>
      <c r="AM83" s="232">
        <f>SUM(AM84:AM88)</f>
        <v>0</v>
      </c>
    </row>
    <row r="84" spans="1:39" ht="24.75" customHeight="1" thickBot="1">
      <c r="A84" s="378" t="str">
        <f>+IF(ABRIL!A84=0,"",ABRIL!A84)</f>
        <v/>
      </c>
      <c r="B84" s="379" t="str">
        <f>+IF(ABRIL!B84=0,"",ABRIL!B84)</f>
        <v/>
      </c>
      <c r="C84" s="67"/>
      <c r="D84" s="67"/>
      <c r="E84" s="67"/>
      <c r="F84" s="67"/>
      <c r="G84" s="67"/>
      <c r="H84" s="67"/>
      <c r="I84" s="67"/>
      <c r="J84" s="67"/>
      <c r="K84" s="67"/>
      <c r="L84" s="67"/>
      <c r="M84" s="67"/>
      <c r="N84" s="283"/>
      <c r="O84" s="369"/>
      <c r="P84" s="380"/>
      <c r="Q84" s="254"/>
      <c r="R84" s="101"/>
      <c r="S84" s="266" t="str">
        <f>+IF(ABRIL!S84=0,"",ABRIL!S84)</f>
        <v>2.1.2.02.02.009.902</v>
      </c>
      <c r="T84" s="267" t="str">
        <f>+IF(ABRIL!T84=0,"",ABRIL!T84)</f>
        <v>Servicios Personales (Personal Asistencial)</v>
      </c>
      <c r="U84" s="373">
        <f>+ENERO!U84</f>
        <v>55683487770</v>
      </c>
      <c r="V84" s="220">
        <f>ABRIL!V84+MAYO!AL84</f>
        <v>-4585698533</v>
      </c>
      <c r="W84" s="220">
        <f>ABRIL!W84+MAYO!AM84</f>
        <v>0</v>
      </c>
      <c r="X84" s="271">
        <f>SUM(U84:W84)</f>
        <v>51097789237</v>
      </c>
      <c r="Y84" s="270">
        <f>ABRIL!AA84</f>
        <v>33212207700</v>
      </c>
      <c r="Z84" s="208">
        <v>165600000</v>
      </c>
      <c r="AA84" s="271">
        <f>SUM(Y84:Z84)</f>
        <v>33377807700</v>
      </c>
      <c r="AB84" s="270">
        <f>ABRIL!AD84</f>
        <v>18103043164</v>
      </c>
      <c r="AC84" s="208">
        <v>4802419102</v>
      </c>
      <c r="AD84" s="271">
        <f>SUM(AB84:AC84)</f>
        <v>22905462266</v>
      </c>
      <c r="AE84" s="270">
        <f>ABRIL!AG84</f>
        <v>4675422538</v>
      </c>
      <c r="AF84" s="208">
        <v>3896957809</v>
      </c>
      <c r="AG84" s="271">
        <f>SUM(AE84:AF84)</f>
        <v>8572380347</v>
      </c>
      <c r="AH84" s="270">
        <f>X84-AA84</f>
        <v>17719981537</v>
      </c>
      <c r="AI84" s="220">
        <f>X84-AD84</f>
        <v>28192326971</v>
      </c>
      <c r="AJ84" s="269">
        <f>X84-AG84</f>
        <v>42525408890</v>
      </c>
      <c r="AK84" s="101"/>
      <c r="AL84" s="204">
        <v>0</v>
      </c>
      <c r="AM84" s="210">
        <v>0</v>
      </c>
    </row>
    <row r="85" spans="1:39" ht="24.75" customHeight="1">
      <c r="A85" s="381" t="str">
        <f>+IF(ABRIL!A85=0,"",ABRIL!A85)</f>
        <v>1.1.02.05.001.09.02.90</v>
      </c>
      <c r="B85" s="382" t="str">
        <f>+IF(ABRIL!B85=0,"",ABRIL!B85)</f>
        <v>Otras Ventas de Servicios de Salud</v>
      </c>
      <c r="C85" s="383">
        <f t="shared" ref="C85:N85" si="83">SUM(C86:C92)</f>
        <v>0</v>
      </c>
      <c r="D85" s="384">
        <f t="shared" si="83"/>
        <v>0</v>
      </c>
      <c r="E85" s="384">
        <f t="shared" si="83"/>
        <v>21574720366</v>
      </c>
      <c r="F85" s="384">
        <f t="shared" si="83"/>
        <v>21574720366</v>
      </c>
      <c r="G85" s="384">
        <f t="shared" si="83"/>
        <v>7759234661</v>
      </c>
      <c r="H85" s="384">
        <f t="shared" si="83"/>
        <v>0</v>
      </c>
      <c r="I85" s="384">
        <f t="shared" si="83"/>
        <v>7759234661</v>
      </c>
      <c r="J85" s="384">
        <f t="shared" si="83"/>
        <v>4111180610</v>
      </c>
      <c r="K85" s="384">
        <f t="shared" si="83"/>
        <v>1115265071</v>
      </c>
      <c r="L85" s="384">
        <f t="shared" si="83"/>
        <v>5226445681</v>
      </c>
      <c r="M85" s="384">
        <f t="shared" si="83"/>
        <v>13815485705</v>
      </c>
      <c r="N85" s="385">
        <f t="shared" si="83"/>
        <v>16348274685</v>
      </c>
      <c r="O85" s="67"/>
      <c r="P85" s="288">
        <f>SUM(P86:P92)</f>
        <v>0</v>
      </c>
      <c r="Q85" s="289">
        <f>SUM(Q86:Q92)</f>
        <v>7054239958</v>
      </c>
      <c r="R85" s="101"/>
      <c r="S85" s="266" t="str">
        <f>+IF(ABRIL!S85=0,"",ABRIL!S85)</f>
        <v>1020200-2</v>
      </c>
      <c r="T85" s="267" t="str">
        <f>+IF(ABRIL!T85=0,"",ABRIL!T85)</f>
        <v>Personal Supernumerario</v>
      </c>
      <c r="U85" s="373">
        <f>+ENERO!U85</f>
        <v>0</v>
      </c>
      <c r="V85" s="220">
        <f>ABRIL!V85+MAYO!AL85</f>
        <v>0</v>
      </c>
      <c r="W85" s="220">
        <f>ABRIL!W85+MAYO!AM85</f>
        <v>0</v>
      </c>
      <c r="X85" s="271">
        <f>SUM(U85:W85)</f>
        <v>0</v>
      </c>
      <c r="Y85" s="270">
        <f>ABRIL!AA85</f>
        <v>0</v>
      </c>
      <c r="Z85" s="208">
        <v>0</v>
      </c>
      <c r="AA85" s="271">
        <f>SUM(Y85:Z85)</f>
        <v>0</v>
      </c>
      <c r="AB85" s="270">
        <f>ABRIL!AD85</f>
        <v>0</v>
      </c>
      <c r="AC85" s="208">
        <v>0</v>
      </c>
      <c r="AD85" s="271">
        <f>SUM(AB85:AC85)</f>
        <v>0</v>
      </c>
      <c r="AE85" s="270">
        <f>ABRIL!AG85</f>
        <v>0</v>
      </c>
      <c r="AF85" s="208">
        <v>0</v>
      </c>
      <c r="AG85" s="271">
        <f>SUM(AE85:AF85)</f>
        <v>0</v>
      </c>
      <c r="AH85" s="270">
        <f>X85-AA85</f>
        <v>0</v>
      </c>
      <c r="AI85" s="220">
        <f>X85-AD85</f>
        <v>0</v>
      </c>
      <c r="AJ85" s="269">
        <f>X85-AG85</f>
        <v>0</v>
      </c>
      <c r="AK85" s="101"/>
      <c r="AL85" s="204">
        <v>0</v>
      </c>
      <c r="AM85" s="210">
        <v>0</v>
      </c>
    </row>
    <row r="86" spans="1:39" ht="24.75" customHeight="1">
      <c r="A86" s="386" t="str">
        <f>+IF(ABRIL!A86=0,"",ABRIL!A86)</f>
        <v>1.1.02.05.001.09.02.90.05.99</v>
      </c>
      <c r="B86" s="564" t="str">
        <f>+IF(ABRIL!B86=0,"",ABRIL!B86)</f>
        <v>Agendamiento y aplicación de la vacuna COVID 19(Res.166/2021) INSTITUCIONAL</v>
      </c>
      <c r="C86" s="268">
        <f>+ENERO!C86</f>
        <v>0</v>
      </c>
      <c r="D86" s="205">
        <f>ABRIL!D86+MAYO!P86</f>
        <v>0</v>
      </c>
      <c r="E86" s="205">
        <f>ABRIL!E86+MAYO!Q86</f>
        <v>0</v>
      </c>
      <c r="F86" s="205">
        <f t="shared" ref="F86:F92" si="84">SUM(C86:E86)</f>
        <v>0</v>
      </c>
      <c r="G86" s="205">
        <f>ABRIL!I86</f>
        <v>0</v>
      </c>
      <c r="H86" s="208">
        <v>0</v>
      </c>
      <c r="I86" s="205">
        <f t="shared" ref="I86:I92" si="85">SUM(G86:H86)</f>
        <v>0</v>
      </c>
      <c r="J86" s="205">
        <f>ABRIL!L86</f>
        <v>0</v>
      </c>
      <c r="K86" s="208">
        <v>0</v>
      </c>
      <c r="L86" s="205">
        <f t="shared" ref="L86:L92" si="86">SUM(J86:K86)</f>
        <v>0</v>
      </c>
      <c r="M86" s="205">
        <f t="shared" ref="M86:M92" si="87">F86-I86</f>
        <v>0</v>
      </c>
      <c r="N86" s="206">
        <f t="shared" ref="N86:N92" si="88">F86-L86</f>
        <v>0</v>
      </c>
      <c r="O86" s="67"/>
      <c r="P86" s="204">
        <v>0</v>
      </c>
      <c r="Q86" s="210">
        <v>0</v>
      </c>
      <c r="R86" s="101"/>
      <c r="S86" s="266" t="str">
        <f>+IF(ABRIL!S86=0,"",ABRIL!S86)</f>
        <v>1020200-3</v>
      </c>
      <c r="T86" s="267" t="str">
        <f>+IF(ABRIL!T86=0,"",ABRIL!T86)</f>
        <v>Otros Honorarios</v>
      </c>
      <c r="U86" s="373">
        <f>+ENERO!U86</f>
        <v>0</v>
      </c>
      <c r="V86" s="220">
        <f>ABRIL!V86+MAYO!AL86</f>
        <v>0</v>
      </c>
      <c r="W86" s="220">
        <f>ABRIL!W86+MAYO!AM86</f>
        <v>0</v>
      </c>
      <c r="X86" s="271">
        <f>SUM(U86:W86)</f>
        <v>0</v>
      </c>
      <c r="Y86" s="270">
        <f>ABRIL!AA86</f>
        <v>0</v>
      </c>
      <c r="Z86" s="208">
        <v>0</v>
      </c>
      <c r="AA86" s="271">
        <f>SUM(Y86:Z86)</f>
        <v>0</v>
      </c>
      <c r="AB86" s="270">
        <f>ABRIL!AD86</f>
        <v>0</v>
      </c>
      <c r="AC86" s="208">
        <v>0</v>
      </c>
      <c r="AD86" s="271">
        <f>SUM(AB86:AC86)</f>
        <v>0</v>
      </c>
      <c r="AE86" s="270">
        <f>ABRIL!AG86</f>
        <v>0</v>
      </c>
      <c r="AF86" s="208">
        <v>0</v>
      </c>
      <c r="AG86" s="271">
        <f>SUM(AE86:AF86)</f>
        <v>0</v>
      </c>
      <c r="AH86" s="270">
        <f>X86-AA86</f>
        <v>0</v>
      </c>
      <c r="AI86" s="220">
        <f>X86-AD86</f>
        <v>0</v>
      </c>
      <c r="AJ86" s="269">
        <f>X86-AG86</f>
        <v>0</v>
      </c>
      <c r="AK86" s="101"/>
      <c r="AL86" s="204">
        <v>0</v>
      </c>
      <c r="AM86" s="210">
        <v>0</v>
      </c>
    </row>
    <row r="87" spans="1:39" ht="24.75" customHeight="1">
      <c r="A87" s="386">
        <f>+IF(ABRIL!A87=0,"",ABRIL!A87)</f>
        <v>1130202</v>
      </c>
      <c r="B87" s="564">
        <f>+IF(ABRIL!B87=0,"",ABRIL!B87)</f>
        <v>1130202</v>
      </c>
      <c r="C87" s="268">
        <f>+ENERO!C87</f>
        <v>0</v>
      </c>
      <c r="D87" s="205">
        <f>ABRIL!D87+MAYO!P87</f>
        <v>0</v>
      </c>
      <c r="E87" s="205">
        <f>ABRIL!E87+MAYO!Q87</f>
        <v>0</v>
      </c>
      <c r="F87" s="205">
        <f t="shared" si="84"/>
        <v>0</v>
      </c>
      <c r="G87" s="205">
        <f>ABRIL!I87</f>
        <v>0</v>
      </c>
      <c r="H87" s="208">
        <v>0</v>
      </c>
      <c r="I87" s="205">
        <f t="shared" si="85"/>
        <v>0</v>
      </c>
      <c r="J87" s="205">
        <f>ABRIL!L87</f>
        <v>0</v>
      </c>
      <c r="K87" s="208">
        <v>0</v>
      </c>
      <c r="L87" s="205">
        <f t="shared" si="86"/>
        <v>0</v>
      </c>
      <c r="M87" s="205">
        <f t="shared" si="87"/>
        <v>0</v>
      </c>
      <c r="N87" s="206">
        <f t="shared" si="88"/>
        <v>0</v>
      </c>
      <c r="O87" s="67"/>
      <c r="P87" s="204">
        <v>0</v>
      </c>
      <c r="Q87" s="210">
        <v>0</v>
      </c>
      <c r="R87" s="101"/>
      <c r="S87" s="266" t="str">
        <f>+IF(ABRIL!S87=0,"",ABRIL!S87)</f>
        <v>1020200-4</v>
      </c>
      <c r="T87" s="267" t="str">
        <f>+IF(ABRIL!T87=0,"",ABRIL!T87)</f>
        <v>Otros Honorarios</v>
      </c>
      <c r="U87" s="373">
        <f>+ENERO!U87</f>
        <v>0</v>
      </c>
      <c r="V87" s="220">
        <f>ABRIL!V87+MAYO!AL87</f>
        <v>0</v>
      </c>
      <c r="W87" s="220">
        <f>ABRIL!W87+MAYO!AM87</f>
        <v>0</v>
      </c>
      <c r="X87" s="271">
        <f>SUM(U87:W87)</f>
        <v>0</v>
      </c>
      <c r="Y87" s="270">
        <f>ABRIL!AA87</f>
        <v>0</v>
      </c>
      <c r="Z87" s="208">
        <v>0</v>
      </c>
      <c r="AA87" s="271">
        <f>SUM(Y87:Z87)</f>
        <v>0</v>
      </c>
      <c r="AB87" s="270">
        <f>ABRIL!AD87</f>
        <v>0</v>
      </c>
      <c r="AC87" s="208">
        <v>0</v>
      </c>
      <c r="AD87" s="271">
        <f>SUM(AB87:AC87)</f>
        <v>0</v>
      </c>
      <c r="AE87" s="270">
        <f>ABRIL!AG87</f>
        <v>0</v>
      </c>
      <c r="AF87" s="208">
        <v>0</v>
      </c>
      <c r="AG87" s="271">
        <f>SUM(AE87:AF87)</f>
        <v>0</v>
      </c>
      <c r="AH87" s="270">
        <f>X87-AA87</f>
        <v>0</v>
      </c>
      <c r="AI87" s="220">
        <f>X87-AD87</f>
        <v>0</v>
      </c>
      <c r="AJ87" s="269">
        <f>X87-AG87</f>
        <v>0</v>
      </c>
      <c r="AK87" s="101"/>
      <c r="AL87" s="204">
        <v>0</v>
      </c>
      <c r="AM87" s="210">
        <v>0</v>
      </c>
    </row>
    <row r="88" spans="1:39" ht="29.25" customHeight="1">
      <c r="A88" s="386" t="str">
        <f>+IF(ABRIL!A88=0,"",ABRIL!A88)</f>
        <v>1.1.02.05.001.08</v>
      </c>
      <c r="B88" s="565" t="str">
        <f>+IF(ABRIL!B88=0,"",ABRIL!B88)</f>
        <v>Servicios Prestados a las empresas y servicios de produccion</v>
      </c>
      <c r="C88" s="268">
        <f>+ENERO!C88</f>
        <v>0</v>
      </c>
      <c r="D88" s="205">
        <f>ABRIL!D88+MAYO!P88</f>
        <v>0</v>
      </c>
      <c r="E88" s="205">
        <f>ABRIL!E88+MAYO!Q88</f>
        <v>2337265046</v>
      </c>
      <c r="F88" s="1169">
        <f t="shared" si="84"/>
        <v>2337265046</v>
      </c>
      <c r="G88" s="205">
        <f>ABRIL!I88</f>
        <v>1383079809</v>
      </c>
      <c r="H88" s="208">
        <v>0</v>
      </c>
      <c r="I88" s="1169">
        <f t="shared" si="85"/>
        <v>1383079809</v>
      </c>
      <c r="J88" s="205">
        <f>ABRIL!L88</f>
        <v>1166045330</v>
      </c>
      <c r="K88" s="208">
        <v>475865071</v>
      </c>
      <c r="L88" s="1169">
        <f t="shared" si="86"/>
        <v>1641910401</v>
      </c>
      <c r="M88" s="205">
        <f t="shared" si="87"/>
        <v>954185237</v>
      </c>
      <c r="N88" s="206">
        <f t="shared" si="88"/>
        <v>695354645</v>
      </c>
      <c r="O88" s="67"/>
      <c r="P88" s="204">
        <v>0</v>
      </c>
      <c r="Q88" s="210"/>
      <c r="R88" s="101"/>
      <c r="S88" s="266" t="str">
        <f>+IF(ABRIL!S88=0,"",ABRIL!S88)</f>
        <v>2.1.2.02.02.009.99.01</v>
      </c>
      <c r="T88" s="267" t="str">
        <f>+IF(ABRIL!T88=0,"",ABRIL!T88)</f>
        <v>Vigencia Anterior Servicios Personales</v>
      </c>
      <c r="U88" s="373">
        <f>+ENERO!U88</f>
        <v>8835315700</v>
      </c>
      <c r="V88" s="220">
        <f>ABRIL!V88+MAYO!AL88</f>
        <v>4512698533</v>
      </c>
      <c r="W88" s="220">
        <f>ABRIL!W88+MAYO!AM88</f>
        <v>2908182761</v>
      </c>
      <c r="X88" s="271">
        <f>SUM(U88:W88)</f>
        <v>16256196994</v>
      </c>
      <c r="Y88" s="270">
        <f>ABRIL!AA88</f>
        <v>13609059081</v>
      </c>
      <c r="Z88" s="208">
        <v>194456369</v>
      </c>
      <c r="AA88" s="271">
        <f>SUM(Y88:Z88)</f>
        <v>13803515450</v>
      </c>
      <c r="AB88" s="270">
        <f>ABRIL!AD88</f>
        <v>13609059081</v>
      </c>
      <c r="AC88" s="208">
        <v>194456369</v>
      </c>
      <c r="AD88" s="271">
        <f>SUM(AB88:AC88)</f>
        <v>13803515450</v>
      </c>
      <c r="AE88" s="270">
        <f>ABRIL!AG88</f>
        <v>13609059081</v>
      </c>
      <c r="AF88" s="208">
        <v>194456369</v>
      </c>
      <c r="AG88" s="271">
        <f>SUM(AE88:AF88)</f>
        <v>13803515450</v>
      </c>
      <c r="AH88" s="270">
        <f>X88-AA88</f>
        <v>2452681544</v>
      </c>
      <c r="AI88" s="220">
        <f>X88-AD88</f>
        <v>2452681544</v>
      </c>
      <c r="AJ88" s="269">
        <f>X88-AG88</f>
        <v>2452681544</v>
      </c>
      <c r="AK88" s="101"/>
      <c r="AL88" s="204">
        <v>0</v>
      </c>
      <c r="AM88" s="210">
        <v>0</v>
      </c>
    </row>
    <row r="89" spans="1:39" ht="31.5" customHeight="1">
      <c r="A89" s="386" t="str">
        <f>+IF(ABRIL!A89=0,"",ABRIL!A89)</f>
        <v>1.1.02.05.001.09.02.90.04</v>
      </c>
      <c r="B89" s="565" t="str">
        <f>+IF(ABRIL!B89=0,"",ABRIL!B89)</f>
        <v>CONVENIOS CON EL DEPARTAMENTO LIGADOS A LA VENTA SERVICIOS</v>
      </c>
      <c r="C89" s="268">
        <f>+ENERO!C89</f>
        <v>0</v>
      </c>
      <c r="D89" s="205">
        <f>ABRIL!D89+MAYO!P89</f>
        <v>0</v>
      </c>
      <c r="E89" s="205">
        <f>ABRIL!E89+MAYO!Q89</f>
        <v>9574697797</v>
      </c>
      <c r="F89" s="1169">
        <f t="shared" si="84"/>
        <v>9574697797</v>
      </c>
      <c r="G89" s="205">
        <f>ABRIL!I89</f>
        <v>2100381532</v>
      </c>
      <c r="H89" s="208">
        <v>0</v>
      </c>
      <c r="I89" s="1169">
        <f t="shared" si="85"/>
        <v>2100381532</v>
      </c>
      <c r="J89" s="205">
        <f>ABRIL!L89</f>
        <v>2079377717</v>
      </c>
      <c r="K89" s="208">
        <v>0</v>
      </c>
      <c r="L89" s="1169">
        <f t="shared" si="86"/>
        <v>2079377717</v>
      </c>
      <c r="M89" s="205">
        <f t="shared" si="87"/>
        <v>7474316265</v>
      </c>
      <c r="N89" s="206">
        <f t="shared" si="88"/>
        <v>7495320080</v>
      </c>
      <c r="O89" s="67"/>
      <c r="P89" s="204">
        <v>0</v>
      </c>
      <c r="Q89" s="210">
        <v>7054239958</v>
      </c>
      <c r="R89" s="101"/>
      <c r="S89" s="189" t="str">
        <f>+IF(ABRIL!S89=0,"",ABRIL!S89)</f>
        <v/>
      </c>
      <c r="T89" s="488" t="str">
        <f>+IF(ABRIL!T89=0,"",ABRIL!T89)</f>
        <v/>
      </c>
      <c r="U89" s="191"/>
      <c r="V89" s="191"/>
      <c r="W89" s="191"/>
      <c r="X89" s="191"/>
      <c r="Y89" s="191"/>
      <c r="Z89" s="191"/>
      <c r="AA89" s="191"/>
      <c r="AB89" s="191"/>
      <c r="AC89" s="191"/>
      <c r="AD89" s="191"/>
      <c r="AE89" s="191"/>
      <c r="AF89" s="191"/>
      <c r="AG89" s="191"/>
      <c r="AH89" s="191"/>
      <c r="AI89" s="191"/>
      <c r="AJ89" s="192"/>
      <c r="AK89" s="101"/>
      <c r="AL89" s="370"/>
      <c r="AM89" s="371"/>
    </row>
    <row r="90" spans="1:39" ht="32.25" customHeight="1">
      <c r="A90" s="386" t="str">
        <f>+IF(ABRIL!A90=0,"",ABRIL!A90)</f>
        <v>1.1.02.05.001.09.02.18.03</v>
      </c>
      <c r="B90" s="565" t="str">
        <f>+IF(ABRIL!B90=0,"",ABRIL!B90)</f>
        <v xml:space="preserve">CONVENIOS CON EL MUNICIPIO LIGADOS A LA VENTA DE SERVICIOS </v>
      </c>
      <c r="C90" s="268">
        <f>+ENERO!C90</f>
        <v>0</v>
      </c>
      <c r="D90" s="205">
        <f>ABRIL!D90+MAYO!P90</f>
        <v>0</v>
      </c>
      <c r="E90" s="205">
        <f>ABRIL!E90+MAYO!Q90</f>
        <v>9662757523</v>
      </c>
      <c r="F90" s="1169">
        <f t="shared" si="84"/>
        <v>9662757523</v>
      </c>
      <c r="G90" s="205">
        <f>ABRIL!I90</f>
        <v>4275773320</v>
      </c>
      <c r="H90" s="208">
        <v>0</v>
      </c>
      <c r="I90" s="1169">
        <f t="shared" si="85"/>
        <v>4275773320</v>
      </c>
      <c r="J90" s="205">
        <f>ABRIL!L90</f>
        <v>865757563</v>
      </c>
      <c r="K90" s="208">
        <f>439400000+200000000</f>
        <v>639400000</v>
      </c>
      <c r="L90" s="1169">
        <f t="shared" si="86"/>
        <v>1505157563</v>
      </c>
      <c r="M90" s="205">
        <f t="shared" si="87"/>
        <v>5386984203</v>
      </c>
      <c r="N90" s="206">
        <f t="shared" si="88"/>
        <v>8157599960</v>
      </c>
      <c r="O90" s="67"/>
      <c r="P90" s="204">
        <v>0</v>
      </c>
      <c r="Q90" s="210">
        <v>0</v>
      </c>
      <c r="R90" s="389"/>
      <c r="S90" s="257">
        <f>+IF(ABRIL!S90=0,"",ABRIL!S90)</f>
        <v>1020300</v>
      </c>
      <c r="T90" s="546" t="str">
        <f>+IF(ABRIL!T90=0,"",ABRIL!T90)</f>
        <v>Contribuciones Inherentes nómina al Sector Privado</v>
      </c>
      <c r="U90" s="230">
        <f t="shared" ref="U90:AJ90" si="89">U91+U96+U102</f>
        <v>0</v>
      </c>
      <c r="V90" s="231">
        <f t="shared" si="89"/>
        <v>0</v>
      </c>
      <c r="W90" s="231">
        <f t="shared" si="89"/>
        <v>0</v>
      </c>
      <c r="X90" s="234">
        <f t="shared" si="89"/>
        <v>0</v>
      </c>
      <c r="Y90" s="233">
        <f t="shared" si="89"/>
        <v>0</v>
      </c>
      <c r="Z90" s="231">
        <f t="shared" si="89"/>
        <v>0</v>
      </c>
      <c r="AA90" s="234">
        <f t="shared" si="89"/>
        <v>0</v>
      </c>
      <c r="AB90" s="233">
        <f t="shared" si="89"/>
        <v>0</v>
      </c>
      <c r="AC90" s="231">
        <f t="shared" si="89"/>
        <v>0</v>
      </c>
      <c r="AD90" s="234">
        <f t="shared" si="89"/>
        <v>0</v>
      </c>
      <c r="AE90" s="233">
        <f t="shared" si="89"/>
        <v>0</v>
      </c>
      <c r="AF90" s="231">
        <f t="shared" si="89"/>
        <v>0</v>
      </c>
      <c r="AG90" s="234">
        <f t="shared" si="89"/>
        <v>0</v>
      </c>
      <c r="AH90" s="233">
        <f t="shared" si="89"/>
        <v>0</v>
      </c>
      <c r="AI90" s="231">
        <f t="shared" si="89"/>
        <v>0</v>
      </c>
      <c r="AJ90" s="232">
        <f t="shared" si="89"/>
        <v>0</v>
      </c>
      <c r="AK90" s="101"/>
      <c r="AL90" s="233">
        <f>AL91+AL96+AL102</f>
        <v>0</v>
      </c>
      <c r="AM90" s="232">
        <f>AM91+AM96+AM102</f>
        <v>0</v>
      </c>
    </row>
    <row r="91" spans="1:39" ht="29.25" customHeight="1">
      <c r="A91" s="386">
        <f>+IF(ABRIL!A91=0,"",ABRIL!A91)</f>
        <v>1130206</v>
      </c>
      <c r="B91" s="565" t="str">
        <f>+IF(ABRIL!B91=0,"",ABRIL!B91)</f>
        <v>OTROS CONVENIOS LIGADOS A LA VENTA DE SERVICIOS</v>
      </c>
      <c r="C91" s="268">
        <f>+ENERO!C91</f>
        <v>0</v>
      </c>
      <c r="D91" s="205">
        <f>ABRIL!D91+MAYO!P91</f>
        <v>0</v>
      </c>
      <c r="E91" s="205">
        <f>ABRIL!E91+MAYO!Q91</f>
        <v>0</v>
      </c>
      <c r="F91" s="205">
        <f t="shared" si="84"/>
        <v>0</v>
      </c>
      <c r="G91" s="205">
        <f>ABRIL!I91</f>
        <v>0</v>
      </c>
      <c r="H91" s="208">
        <v>0</v>
      </c>
      <c r="I91" s="205">
        <f t="shared" si="85"/>
        <v>0</v>
      </c>
      <c r="J91" s="205">
        <f>ABRIL!L91</f>
        <v>0</v>
      </c>
      <c r="K91" s="208">
        <v>0</v>
      </c>
      <c r="L91" s="205">
        <f t="shared" si="86"/>
        <v>0</v>
      </c>
      <c r="M91" s="205">
        <f t="shared" si="87"/>
        <v>0</v>
      </c>
      <c r="N91" s="206">
        <f t="shared" si="88"/>
        <v>0</v>
      </c>
      <c r="O91" s="67"/>
      <c r="P91" s="204">
        <v>0</v>
      </c>
      <c r="Q91" s="210">
        <v>0</v>
      </c>
      <c r="R91" s="389"/>
      <c r="S91" s="266">
        <f>+IF(ABRIL!S91=0,"",ABRIL!S91)</f>
        <v>1020301</v>
      </c>
      <c r="T91" s="267" t="str">
        <f>+IF(ABRIL!T91=0,"",ABRIL!T91)</f>
        <v>Contribuciones - SGP - Aportes Patronales - Cuenta Maestra</v>
      </c>
      <c r="U91" s="373">
        <f t="shared" ref="U91:AJ91" si="90">SUM(U92:U95)</f>
        <v>0</v>
      </c>
      <c r="V91" s="220">
        <f t="shared" si="90"/>
        <v>0</v>
      </c>
      <c r="W91" s="220">
        <f t="shared" si="90"/>
        <v>0</v>
      </c>
      <c r="X91" s="271">
        <f t="shared" si="90"/>
        <v>0</v>
      </c>
      <c r="Y91" s="270">
        <f t="shared" si="90"/>
        <v>0</v>
      </c>
      <c r="Z91" s="300">
        <f t="shared" si="90"/>
        <v>0</v>
      </c>
      <c r="AA91" s="271">
        <f t="shared" si="90"/>
        <v>0</v>
      </c>
      <c r="AB91" s="270">
        <f t="shared" si="90"/>
        <v>0</v>
      </c>
      <c r="AC91" s="300">
        <f t="shared" si="90"/>
        <v>0</v>
      </c>
      <c r="AD91" s="271">
        <f t="shared" si="90"/>
        <v>0</v>
      </c>
      <c r="AE91" s="270">
        <f t="shared" si="90"/>
        <v>0</v>
      </c>
      <c r="AF91" s="300">
        <f t="shared" si="90"/>
        <v>0</v>
      </c>
      <c r="AG91" s="271">
        <f t="shared" si="90"/>
        <v>0</v>
      </c>
      <c r="AH91" s="270">
        <f t="shared" si="90"/>
        <v>0</v>
      </c>
      <c r="AI91" s="220">
        <f t="shared" si="90"/>
        <v>0</v>
      </c>
      <c r="AJ91" s="269">
        <f t="shared" si="90"/>
        <v>0</v>
      </c>
      <c r="AK91" s="101"/>
      <c r="AL91" s="301">
        <f>SUM(AL92:AL95)</f>
        <v>0</v>
      </c>
      <c r="AM91" s="302">
        <f>SUM(AM92:AM95)</f>
        <v>0</v>
      </c>
    </row>
    <row r="92" spans="1:39" ht="24.75" customHeight="1" thickBot="1">
      <c r="A92" s="386" t="str">
        <f>+IF(ABRIL!A92=0,"",ABRIL!A92)</f>
        <v>1.1.02.05.001.09.02.90.05.99</v>
      </c>
      <c r="B92" s="408" t="str">
        <f>+IF(ABRIL!B92=0,"",ABRIL!B92)</f>
        <v>Vigencia Anterior de Otros Convenios de Salud Nacionales (vacunacion covid-19 agendamiento y aplicación)</v>
      </c>
      <c r="C92" s="391">
        <f>+ENERO!C92</f>
        <v>0</v>
      </c>
      <c r="D92" s="243">
        <f>ABRIL!D92+MAYO!P92</f>
        <v>0</v>
      </c>
      <c r="E92" s="243">
        <f>ABRIL!E92+MAYO!Q92</f>
        <v>0</v>
      </c>
      <c r="F92" s="243">
        <f t="shared" si="84"/>
        <v>0</v>
      </c>
      <c r="G92" s="243">
        <f>ABRIL!I92</f>
        <v>0</v>
      </c>
      <c r="H92" s="246">
        <v>0</v>
      </c>
      <c r="I92" s="243">
        <f t="shared" si="85"/>
        <v>0</v>
      </c>
      <c r="J92" s="243">
        <f>ABRIL!L92</f>
        <v>0</v>
      </c>
      <c r="K92" s="246">
        <v>0</v>
      </c>
      <c r="L92" s="243">
        <f t="shared" si="86"/>
        <v>0</v>
      </c>
      <c r="M92" s="243">
        <f t="shared" si="87"/>
        <v>0</v>
      </c>
      <c r="N92" s="244">
        <f t="shared" si="88"/>
        <v>0</v>
      </c>
      <c r="O92" s="67"/>
      <c r="P92" s="204">
        <v>0</v>
      </c>
      <c r="Q92" s="210">
        <v>0</v>
      </c>
      <c r="R92" s="389"/>
      <c r="S92" s="311" t="str">
        <f>+IF(ABRIL!S92=0,"",ABRIL!S92)</f>
        <v>1020301-1</v>
      </c>
      <c r="T92" s="312" t="str">
        <f>+IF(ABRIL!T92=0,"",ABRIL!T92)</f>
        <v>E.P.S. - Aportes cuenta maestra</v>
      </c>
      <c r="U92" s="373">
        <f>+ENERO!U92</f>
        <v>0</v>
      </c>
      <c r="V92" s="220">
        <f>ABRIL!V92+MAYO!AL92</f>
        <v>0</v>
      </c>
      <c r="W92" s="220">
        <f>ABRIL!W92+MAYO!AM92</f>
        <v>0</v>
      </c>
      <c r="X92" s="271">
        <f>SUM(U92:W92)</f>
        <v>0</v>
      </c>
      <c r="Y92" s="270">
        <f>ABRIL!AA92</f>
        <v>0</v>
      </c>
      <c r="Z92" s="208">
        <v>0</v>
      </c>
      <c r="AA92" s="271">
        <f>SUM(Y92:Z92)</f>
        <v>0</v>
      </c>
      <c r="AB92" s="270">
        <f>ABRIL!AD92</f>
        <v>0</v>
      </c>
      <c r="AC92" s="208">
        <v>0</v>
      </c>
      <c r="AD92" s="271">
        <f>SUM(AB92:AC92)</f>
        <v>0</v>
      </c>
      <c r="AE92" s="270">
        <f>ABRIL!AG92</f>
        <v>0</v>
      </c>
      <c r="AF92" s="208">
        <v>0</v>
      </c>
      <c r="AG92" s="271">
        <f>SUM(AE92:AF92)</f>
        <v>0</v>
      </c>
      <c r="AH92" s="270">
        <f>X92-AA92</f>
        <v>0</v>
      </c>
      <c r="AI92" s="220">
        <f>X92-AD92</f>
        <v>0</v>
      </c>
      <c r="AJ92" s="269">
        <f>X92-AG92</f>
        <v>0</v>
      </c>
      <c r="AK92" s="101"/>
      <c r="AL92" s="204">
        <v>0</v>
      </c>
      <c r="AM92" s="210">
        <v>0</v>
      </c>
    </row>
    <row r="93" spans="1:39" ht="24.75" customHeight="1" thickBot="1">
      <c r="A93" s="378" t="str">
        <f>+IF(ABRIL!A93=0,"",ABRIL!A93)</f>
        <v/>
      </c>
      <c r="B93" s="379" t="str">
        <f>+IF(ABRIL!B93=0,"",ABRIL!B93)</f>
        <v/>
      </c>
      <c r="C93" s="67"/>
      <c r="D93" s="67"/>
      <c r="E93" s="67"/>
      <c r="F93" s="67"/>
      <c r="G93" s="67"/>
      <c r="H93" s="67"/>
      <c r="I93" s="67"/>
      <c r="J93" s="67"/>
      <c r="K93" s="67"/>
      <c r="L93" s="67"/>
      <c r="M93" s="67"/>
      <c r="N93" s="283"/>
      <c r="O93" s="369"/>
      <c r="P93" s="380"/>
      <c r="Q93" s="254"/>
      <c r="R93" s="389"/>
      <c r="S93" s="311" t="str">
        <f>+IF(ABRIL!S93=0,"",ABRIL!S93)</f>
        <v>1020301-2</v>
      </c>
      <c r="T93" s="312" t="str">
        <f>+IF(ABRIL!T93=0,"",ABRIL!T93)</f>
        <v>Fondos pensionales - Aportes cuenta maestra</v>
      </c>
      <c r="U93" s="373">
        <f>+ENERO!U93</f>
        <v>0</v>
      </c>
      <c r="V93" s="220">
        <f>ABRIL!V93+MAYO!AL93</f>
        <v>0</v>
      </c>
      <c r="W93" s="220">
        <f>ABRIL!W93+MAYO!AM93</f>
        <v>0</v>
      </c>
      <c r="X93" s="271">
        <f>SUM(U93:W93)</f>
        <v>0</v>
      </c>
      <c r="Y93" s="270">
        <f>ABRIL!AA93</f>
        <v>0</v>
      </c>
      <c r="Z93" s="208">
        <v>0</v>
      </c>
      <c r="AA93" s="271">
        <f>SUM(Y93:Z93)</f>
        <v>0</v>
      </c>
      <c r="AB93" s="270">
        <f>ABRIL!AD93</f>
        <v>0</v>
      </c>
      <c r="AC93" s="208">
        <v>0</v>
      </c>
      <c r="AD93" s="271">
        <f>SUM(AB93:AC93)</f>
        <v>0</v>
      </c>
      <c r="AE93" s="270">
        <f>ABRIL!AG93</f>
        <v>0</v>
      </c>
      <c r="AF93" s="208">
        <v>0</v>
      </c>
      <c r="AG93" s="271">
        <f>SUM(AE93:AF93)</f>
        <v>0</v>
      </c>
      <c r="AH93" s="270">
        <f>X93-AA93</f>
        <v>0</v>
      </c>
      <c r="AI93" s="220">
        <f>X93-AD93</f>
        <v>0</v>
      </c>
      <c r="AJ93" s="269">
        <f>X93-AG93</f>
        <v>0</v>
      </c>
      <c r="AK93" s="101"/>
      <c r="AL93" s="204">
        <v>0</v>
      </c>
      <c r="AM93" s="210">
        <v>0</v>
      </c>
    </row>
    <row r="94" spans="1:39" ht="29.25" customHeight="1">
      <c r="A94" s="392" t="str">
        <f>+IF(ABRIL!A94=0,"",ABRIL!A94)</f>
        <v>1.1.02.06.006.06</v>
      </c>
      <c r="B94" s="393" t="str">
        <f>+IF(ABRIL!B94=0,"",ABRIL!B94)</f>
        <v>Aportes (No ligados a la venta de servicios de salud)</v>
      </c>
      <c r="C94" s="383">
        <f t="shared" ref="C94:N94" si="91">SUM(C95:C102)</f>
        <v>650000000</v>
      </c>
      <c r="D94" s="384">
        <f t="shared" si="91"/>
        <v>0</v>
      </c>
      <c r="E94" s="384">
        <f t="shared" si="91"/>
        <v>0</v>
      </c>
      <c r="F94" s="384">
        <f t="shared" si="91"/>
        <v>650000000</v>
      </c>
      <c r="G94" s="384">
        <f t="shared" si="91"/>
        <v>0</v>
      </c>
      <c r="H94" s="384">
        <f t="shared" si="91"/>
        <v>0</v>
      </c>
      <c r="I94" s="384">
        <f t="shared" si="91"/>
        <v>0</v>
      </c>
      <c r="J94" s="384">
        <f t="shared" si="91"/>
        <v>0</v>
      </c>
      <c r="K94" s="384">
        <f t="shared" si="91"/>
        <v>0</v>
      </c>
      <c r="L94" s="384">
        <f t="shared" si="91"/>
        <v>0</v>
      </c>
      <c r="M94" s="384">
        <f t="shared" si="91"/>
        <v>650000000</v>
      </c>
      <c r="N94" s="385">
        <f t="shared" si="91"/>
        <v>650000000</v>
      </c>
      <c r="O94" s="67"/>
      <c r="P94" s="288">
        <f>SUM(P95:P102)</f>
        <v>0</v>
      </c>
      <c r="Q94" s="289">
        <f>SUM(Q95:Q102)</f>
        <v>0</v>
      </c>
      <c r="R94" s="389"/>
      <c r="S94" s="311" t="str">
        <f>+IF(ABRIL!S94=0,"",ABRIL!S94)</f>
        <v>1020301-3</v>
      </c>
      <c r="T94" s="312" t="str">
        <f>+IF(ABRIL!T94=0,"",ABRIL!T94)</f>
        <v>Fondos de cesantías - Aportes cuenta maestra</v>
      </c>
      <c r="U94" s="373">
        <f>+ENERO!U94</f>
        <v>0</v>
      </c>
      <c r="V94" s="220">
        <f>ABRIL!V94+MAYO!AL94</f>
        <v>0</v>
      </c>
      <c r="W94" s="220">
        <f>ABRIL!W94+MAYO!AM94</f>
        <v>0</v>
      </c>
      <c r="X94" s="271">
        <f>SUM(U94:W94)</f>
        <v>0</v>
      </c>
      <c r="Y94" s="270">
        <f>ABRIL!AA94</f>
        <v>0</v>
      </c>
      <c r="Z94" s="208">
        <v>0</v>
      </c>
      <c r="AA94" s="271">
        <f>SUM(Y94:Z94)</f>
        <v>0</v>
      </c>
      <c r="AB94" s="270">
        <f>ABRIL!AD94</f>
        <v>0</v>
      </c>
      <c r="AC94" s="208">
        <v>0</v>
      </c>
      <c r="AD94" s="271">
        <f>SUM(AB94:AC94)</f>
        <v>0</v>
      </c>
      <c r="AE94" s="270">
        <f>ABRIL!AG94</f>
        <v>0</v>
      </c>
      <c r="AF94" s="208">
        <v>0</v>
      </c>
      <c r="AG94" s="271">
        <f>SUM(AE94:AF94)</f>
        <v>0</v>
      </c>
      <c r="AH94" s="270">
        <f>X94-AA94</f>
        <v>0</v>
      </c>
      <c r="AI94" s="220">
        <f>X94-AD94</f>
        <v>0</v>
      </c>
      <c r="AJ94" s="269">
        <f>X94-AG94</f>
        <v>0</v>
      </c>
      <c r="AK94" s="101"/>
      <c r="AL94" s="204">
        <v>0</v>
      </c>
      <c r="AM94" s="210">
        <v>0</v>
      </c>
    </row>
    <row r="95" spans="1:39" ht="24.75" customHeight="1">
      <c r="A95" s="394" t="str">
        <f>+IF(ABRIL!A95=0,"",ABRIL!A95)</f>
        <v>1.2.08.06.002</v>
      </c>
      <c r="B95" s="397" t="str">
        <f>+IF(ABRIL!B95=0,"",ABRIL!B95)</f>
        <v>Condicionadas a la adquisicion de un activo</v>
      </c>
      <c r="C95" s="268">
        <f>+ENERO!C95</f>
        <v>0</v>
      </c>
      <c r="D95" s="205">
        <f>ABRIL!D95+MAYO!P95</f>
        <v>0</v>
      </c>
      <c r="E95" s="205">
        <f>ABRIL!E95+MAYO!Q95</f>
        <v>0</v>
      </c>
      <c r="F95" s="205">
        <f t="shared" ref="F95:F102" si="92">SUM(C95:E95)</f>
        <v>0</v>
      </c>
      <c r="G95" s="205">
        <f>ABRIL!I95</f>
        <v>0</v>
      </c>
      <c r="H95" s="208">
        <v>0</v>
      </c>
      <c r="I95" s="205">
        <f t="shared" ref="I95:I102" si="93">SUM(G95:H95)</f>
        <v>0</v>
      </c>
      <c r="J95" s="205">
        <f>ABRIL!L95</f>
        <v>0</v>
      </c>
      <c r="K95" s="208">
        <v>0</v>
      </c>
      <c r="L95" s="205">
        <f t="shared" ref="L95:L102" si="94">SUM(J95:K95)</f>
        <v>0</v>
      </c>
      <c r="M95" s="205">
        <f t="shared" ref="M95:M102" si="95">F95-I95</f>
        <v>0</v>
      </c>
      <c r="N95" s="206">
        <f t="shared" ref="N95:N102" si="96">F95-L95</f>
        <v>0</v>
      </c>
      <c r="O95" s="67"/>
      <c r="P95" s="204">
        <v>0</v>
      </c>
      <c r="Q95" s="210">
        <v>0</v>
      </c>
      <c r="R95" s="389"/>
      <c r="S95" s="311" t="str">
        <f>+IF(ABRIL!S95=0,"",ABRIL!S95)</f>
        <v>1020301-4</v>
      </c>
      <c r="T95" s="312" t="str">
        <f>+IF(ABRIL!T95=0,"",ABRIL!T95)</f>
        <v>Riesgos laborales - Aportes cuenta maestra</v>
      </c>
      <c r="U95" s="373">
        <f>+ENERO!U95</f>
        <v>0</v>
      </c>
      <c r="V95" s="220">
        <f>ABRIL!V95+MAYO!AL95</f>
        <v>0</v>
      </c>
      <c r="W95" s="220">
        <f>ABRIL!W95+MAYO!AM95</f>
        <v>0</v>
      </c>
      <c r="X95" s="271">
        <f>SUM(U95:W95)</f>
        <v>0</v>
      </c>
      <c r="Y95" s="270">
        <f>ABRIL!AA95</f>
        <v>0</v>
      </c>
      <c r="Z95" s="208">
        <v>0</v>
      </c>
      <c r="AA95" s="271">
        <f>SUM(Y95:Z95)</f>
        <v>0</v>
      </c>
      <c r="AB95" s="270">
        <f>ABRIL!AD95</f>
        <v>0</v>
      </c>
      <c r="AC95" s="208">
        <v>0</v>
      </c>
      <c r="AD95" s="271">
        <f>SUM(AB95:AC95)</f>
        <v>0</v>
      </c>
      <c r="AE95" s="270">
        <f>ABRIL!AG95</f>
        <v>0</v>
      </c>
      <c r="AF95" s="208">
        <v>0</v>
      </c>
      <c r="AG95" s="271">
        <f>SUM(AE95:AF95)</f>
        <v>0</v>
      </c>
      <c r="AH95" s="270">
        <f>X95-AA95</f>
        <v>0</v>
      </c>
      <c r="AI95" s="220">
        <f>X95-AD95</f>
        <v>0</v>
      </c>
      <c r="AJ95" s="269">
        <f>X95-AG95</f>
        <v>0</v>
      </c>
      <c r="AK95" s="101"/>
      <c r="AL95" s="204">
        <v>0</v>
      </c>
      <c r="AM95" s="210">
        <v>0</v>
      </c>
    </row>
    <row r="96" spans="1:39" ht="24.75" customHeight="1">
      <c r="A96" s="394" t="str">
        <f>+IF(ABRIL!A96=0,"",ABRIL!A96)</f>
        <v>1.1.02.06.007.02.08</v>
      </c>
      <c r="B96" s="397" t="str">
        <f>+IF(ABRIL!B96=0,"",ABRIL!B96)</f>
        <v>Aportes del Departamento - Subsidio a la Oferta</v>
      </c>
      <c r="C96" s="268">
        <f>+ENERO!C96</f>
        <v>0</v>
      </c>
      <c r="D96" s="205">
        <f>ABRIL!D96+MAYO!P96</f>
        <v>0</v>
      </c>
      <c r="E96" s="205">
        <f>ABRIL!E96+MAYO!Q96</f>
        <v>0</v>
      </c>
      <c r="F96" s="205">
        <f t="shared" si="92"/>
        <v>0</v>
      </c>
      <c r="G96" s="205">
        <f>ABRIL!I96</f>
        <v>0</v>
      </c>
      <c r="H96" s="208">
        <v>0</v>
      </c>
      <c r="I96" s="205">
        <f t="shared" si="93"/>
        <v>0</v>
      </c>
      <c r="J96" s="205">
        <f>ABRIL!L96</f>
        <v>0</v>
      </c>
      <c r="K96" s="208">
        <v>0</v>
      </c>
      <c r="L96" s="205">
        <f t="shared" si="94"/>
        <v>0</v>
      </c>
      <c r="M96" s="205">
        <f t="shared" si="95"/>
        <v>0</v>
      </c>
      <c r="N96" s="206">
        <f t="shared" si="96"/>
        <v>0</v>
      </c>
      <c r="O96" s="67"/>
      <c r="P96" s="204">
        <v>0</v>
      </c>
      <c r="Q96" s="210">
        <v>0</v>
      </c>
      <c r="R96" s="389"/>
      <c r="S96" s="266">
        <f>+IF(ABRIL!S96=0,"",ABRIL!S96)</f>
        <v>1020302</v>
      </c>
      <c r="T96" s="267" t="str">
        <f>+IF(ABRIL!T96=0,"",ABRIL!T96)</f>
        <v>Contribuciones - Otros</v>
      </c>
      <c r="U96" s="373">
        <f t="shared" ref="U96:AJ96" si="97">SUM(U97:U101)</f>
        <v>0</v>
      </c>
      <c r="V96" s="220">
        <f t="shared" si="97"/>
        <v>0</v>
      </c>
      <c r="W96" s="220">
        <f t="shared" si="97"/>
        <v>0</v>
      </c>
      <c r="X96" s="271">
        <f t="shared" si="97"/>
        <v>0</v>
      </c>
      <c r="Y96" s="270">
        <f t="shared" si="97"/>
        <v>0</v>
      </c>
      <c r="Z96" s="300">
        <f t="shared" si="97"/>
        <v>0</v>
      </c>
      <c r="AA96" s="271">
        <f t="shared" si="97"/>
        <v>0</v>
      </c>
      <c r="AB96" s="270">
        <f t="shared" si="97"/>
        <v>0</v>
      </c>
      <c r="AC96" s="300">
        <f t="shared" si="97"/>
        <v>0</v>
      </c>
      <c r="AD96" s="271">
        <f t="shared" si="97"/>
        <v>0</v>
      </c>
      <c r="AE96" s="270">
        <f t="shared" si="97"/>
        <v>0</v>
      </c>
      <c r="AF96" s="300">
        <f t="shared" si="97"/>
        <v>0</v>
      </c>
      <c r="AG96" s="271">
        <f t="shared" si="97"/>
        <v>0</v>
      </c>
      <c r="AH96" s="270">
        <f t="shared" si="97"/>
        <v>0</v>
      </c>
      <c r="AI96" s="220">
        <f t="shared" si="97"/>
        <v>0</v>
      </c>
      <c r="AJ96" s="269">
        <f t="shared" si="97"/>
        <v>0</v>
      </c>
      <c r="AK96" s="389"/>
      <c r="AL96" s="395">
        <f>SUM(AL97:AL101)</f>
        <v>0</v>
      </c>
      <c r="AM96" s="396">
        <f>SUM(AM97:AM101)</f>
        <v>0</v>
      </c>
    </row>
    <row r="97" spans="1:39" ht="24.75" customHeight="1">
      <c r="A97" s="394" t="str">
        <f>+IF(ABRIL!A97=0,"",ABRIL!A97)</f>
        <v>1.1.02.06.007.02.08</v>
      </c>
      <c r="B97" s="397" t="str">
        <f>+IF(ABRIL!B97=0,"",ABRIL!B97)</f>
        <v>Aportes del Municipio para fortalecimiento</v>
      </c>
      <c r="C97" s="268">
        <f>+ENERO!C97</f>
        <v>0</v>
      </c>
      <c r="D97" s="205">
        <f>ABRIL!D97+MAYO!P97</f>
        <v>0</v>
      </c>
      <c r="E97" s="205">
        <f>ABRIL!E97+MAYO!Q97</f>
        <v>0</v>
      </c>
      <c r="F97" s="205">
        <f t="shared" si="92"/>
        <v>0</v>
      </c>
      <c r="G97" s="205">
        <f>ABRIL!I97</f>
        <v>0</v>
      </c>
      <c r="H97" s="208">
        <v>0</v>
      </c>
      <c r="I97" s="205">
        <f t="shared" si="93"/>
        <v>0</v>
      </c>
      <c r="J97" s="205">
        <f>ABRIL!L97</f>
        <v>0</v>
      </c>
      <c r="K97" s="208">
        <v>0</v>
      </c>
      <c r="L97" s="205">
        <f t="shared" si="94"/>
        <v>0</v>
      </c>
      <c r="M97" s="205">
        <f t="shared" si="95"/>
        <v>0</v>
      </c>
      <c r="N97" s="206">
        <f t="shared" si="96"/>
        <v>0</v>
      </c>
      <c r="O97" s="67"/>
      <c r="P97" s="204">
        <v>0</v>
      </c>
      <c r="Q97" s="210">
        <v>0</v>
      </c>
      <c r="R97" s="389"/>
      <c r="S97" s="311" t="str">
        <f>+IF(ABRIL!S97=0,"",ABRIL!S97)</f>
        <v>2.1.1.01.02.002-1</v>
      </c>
      <c r="T97" s="312" t="str">
        <f>+IF(ABRIL!T97=0,"",ABRIL!T97)</f>
        <v>Aportes a E.P.S. - recursos propios</v>
      </c>
      <c r="U97" s="373">
        <f>+ENERO!U97</f>
        <v>0</v>
      </c>
      <c r="V97" s="220">
        <f>ABRIL!V97+MAYO!AL97</f>
        <v>0</v>
      </c>
      <c r="W97" s="220">
        <f>ABRIL!W97+MAYO!AM97</f>
        <v>0</v>
      </c>
      <c r="X97" s="271">
        <f t="shared" ref="X97:X102" si="98">SUM(U97:W97)</f>
        <v>0</v>
      </c>
      <c r="Y97" s="270">
        <f>ABRIL!AA97</f>
        <v>0</v>
      </c>
      <c r="Z97" s="208">
        <v>0</v>
      </c>
      <c r="AA97" s="271">
        <f t="shared" ref="AA97:AA102" si="99">SUM(Y97:Z97)</f>
        <v>0</v>
      </c>
      <c r="AB97" s="270">
        <f>ABRIL!AD97</f>
        <v>0</v>
      </c>
      <c r="AC97" s="208">
        <v>0</v>
      </c>
      <c r="AD97" s="271">
        <f t="shared" ref="AD97:AD102" si="100">SUM(AB97:AC97)</f>
        <v>0</v>
      </c>
      <c r="AE97" s="270">
        <f>ABRIL!AG97</f>
        <v>0</v>
      </c>
      <c r="AF97" s="208">
        <v>0</v>
      </c>
      <c r="AG97" s="271">
        <f t="shared" ref="AG97:AG102" si="101">SUM(AE97:AF97)</f>
        <v>0</v>
      </c>
      <c r="AH97" s="270">
        <f t="shared" ref="AH97:AH102" si="102">X97-AA97</f>
        <v>0</v>
      </c>
      <c r="AI97" s="220">
        <f t="shared" ref="AI97:AI102" si="103">X97-AD97</f>
        <v>0</v>
      </c>
      <c r="AJ97" s="269">
        <f t="shared" ref="AJ97:AJ102" si="104">X97-AG97</f>
        <v>0</v>
      </c>
      <c r="AK97" s="389"/>
      <c r="AL97" s="204">
        <v>0</v>
      </c>
      <c r="AM97" s="210">
        <v>0</v>
      </c>
    </row>
    <row r="98" spans="1:39" ht="24.75" customHeight="1">
      <c r="A98" s="394" t="str">
        <f>+IF(ABRIL!A98=0,"",ABRIL!A98)</f>
        <v>1.1.02.06.007.02.08</v>
      </c>
      <c r="B98" s="397" t="str">
        <f>+IF(ABRIL!B98=0,"",ABRIL!B98)</f>
        <v>Transferencias para las Empresas Sociales del Estado</v>
      </c>
      <c r="C98" s="268">
        <f>+ENERO!C98</f>
        <v>0</v>
      </c>
      <c r="D98" s="205">
        <f>ABRIL!D98+MAYO!P98</f>
        <v>0</v>
      </c>
      <c r="E98" s="205">
        <f>ABRIL!E98+MAYO!Q98</f>
        <v>0</v>
      </c>
      <c r="F98" s="205">
        <f t="shared" si="92"/>
        <v>0</v>
      </c>
      <c r="G98" s="205">
        <f>ABRIL!I98</f>
        <v>0</v>
      </c>
      <c r="H98" s="208">
        <v>0</v>
      </c>
      <c r="I98" s="205">
        <f t="shared" si="93"/>
        <v>0</v>
      </c>
      <c r="J98" s="205">
        <f>ABRIL!L98</f>
        <v>0</v>
      </c>
      <c r="K98" s="208">
        <v>0</v>
      </c>
      <c r="L98" s="205">
        <f t="shared" si="94"/>
        <v>0</v>
      </c>
      <c r="M98" s="205">
        <f t="shared" si="95"/>
        <v>0</v>
      </c>
      <c r="N98" s="206">
        <f t="shared" si="96"/>
        <v>0</v>
      </c>
      <c r="O98" s="67"/>
      <c r="P98" s="204">
        <v>0</v>
      </c>
      <c r="Q98" s="210">
        <v>0</v>
      </c>
      <c r="R98" s="389"/>
      <c r="S98" s="311" t="str">
        <f>+IF(ABRIL!S98=0,"",ABRIL!S98)</f>
        <v>2.1.1.01.02.001-1</v>
      </c>
      <c r="T98" s="312" t="str">
        <f>+IF(ABRIL!T98=0,"",ABRIL!T98)</f>
        <v>Aportes Fondos Pensionales - recursos propios</v>
      </c>
      <c r="U98" s="373">
        <f>+ENERO!U98</f>
        <v>0</v>
      </c>
      <c r="V98" s="220">
        <f>ABRIL!V98+MAYO!AL98</f>
        <v>0</v>
      </c>
      <c r="W98" s="220">
        <f>ABRIL!W98+MAYO!AM98</f>
        <v>0</v>
      </c>
      <c r="X98" s="271">
        <f t="shared" si="98"/>
        <v>0</v>
      </c>
      <c r="Y98" s="270">
        <f>ABRIL!AA98</f>
        <v>0</v>
      </c>
      <c r="Z98" s="208">
        <v>0</v>
      </c>
      <c r="AA98" s="271">
        <f t="shared" si="99"/>
        <v>0</v>
      </c>
      <c r="AB98" s="270">
        <f>ABRIL!AD98</f>
        <v>0</v>
      </c>
      <c r="AC98" s="208">
        <v>0</v>
      </c>
      <c r="AD98" s="271">
        <f t="shared" si="100"/>
        <v>0</v>
      </c>
      <c r="AE98" s="270">
        <f>ABRIL!AG98</f>
        <v>0</v>
      </c>
      <c r="AF98" s="208">
        <v>0</v>
      </c>
      <c r="AG98" s="271">
        <f t="shared" si="101"/>
        <v>0</v>
      </c>
      <c r="AH98" s="270">
        <f t="shared" si="102"/>
        <v>0</v>
      </c>
      <c r="AI98" s="220">
        <f t="shared" si="103"/>
        <v>0</v>
      </c>
      <c r="AJ98" s="269">
        <f t="shared" si="104"/>
        <v>0</v>
      </c>
      <c r="AK98" s="389"/>
      <c r="AL98" s="204">
        <v>0</v>
      </c>
      <c r="AM98" s="210">
        <v>0</v>
      </c>
    </row>
    <row r="99" spans="1:39" ht="24.75" customHeight="1">
      <c r="A99" s="394" t="str">
        <f>+IF(ABRIL!A99=0,"",ABRIL!A99)</f>
        <v>11303-5</v>
      </c>
      <c r="B99" s="397" t="str">
        <f>+IF(ABRIL!B99=0,"",ABRIL!B99)</f>
        <v>RECURSOS PARA PROGRAMA DE SANEAMIENTO FINANCIERO</v>
      </c>
      <c r="C99" s="268">
        <f>+ENERO!C99</f>
        <v>0</v>
      </c>
      <c r="D99" s="205">
        <f>ABRIL!D99+MAYO!P99</f>
        <v>0</v>
      </c>
      <c r="E99" s="205">
        <f>ABRIL!E99+MAYO!Q99</f>
        <v>0</v>
      </c>
      <c r="F99" s="205">
        <f t="shared" si="92"/>
        <v>0</v>
      </c>
      <c r="G99" s="205">
        <f>ABRIL!I99</f>
        <v>0</v>
      </c>
      <c r="H99" s="208">
        <v>0</v>
      </c>
      <c r="I99" s="205">
        <f t="shared" si="93"/>
        <v>0</v>
      </c>
      <c r="J99" s="205">
        <f>ABRIL!L99</f>
        <v>0</v>
      </c>
      <c r="K99" s="208">
        <v>0</v>
      </c>
      <c r="L99" s="205">
        <f t="shared" si="94"/>
        <v>0</v>
      </c>
      <c r="M99" s="205">
        <f t="shared" si="95"/>
        <v>0</v>
      </c>
      <c r="N99" s="206">
        <f t="shared" si="96"/>
        <v>0</v>
      </c>
      <c r="O99" s="67"/>
      <c r="P99" s="204">
        <v>0</v>
      </c>
      <c r="Q99" s="210">
        <v>0</v>
      </c>
      <c r="R99" s="389"/>
      <c r="S99" s="311" t="str">
        <f>+IF(ABRIL!S99=0,"",ABRIL!S99)</f>
        <v>2.1.1.01.02.003-1</v>
      </c>
      <c r="T99" s="312" t="str">
        <f>+IF(ABRIL!T99=0,"",ABRIL!T99)</f>
        <v>Aportes a Fondos de Cesantia - recursos propios</v>
      </c>
      <c r="U99" s="373">
        <f>+ENERO!U99</f>
        <v>0</v>
      </c>
      <c r="V99" s="220">
        <f>ABRIL!V99+MAYO!AL99</f>
        <v>0</v>
      </c>
      <c r="W99" s="220">
        <f>ABRIL!W99+MAYO!AM99</f>
        <v>0</v>
      </c>
      <c r="X99" s="271">
        <f t="shared" si="98"/>
        <v>0</v>
      </c>
      <c r="Y99" s="270">
        <f>ABRIL!AA99</f>
        <v>0</v>
      </c>
      <c r="Z99" s="208">
        <v>0</v>
      </c>
      <c r="AA99" s="271">
        <f t="shared" si="99"/>
        <v>0</v>
      </c>
      <c r="AB99" s="270">
        <f>ABRIL!AD99</f>
        <v>0</v>
      </c>
      <c r="AC99" s="208">
        <v>0</v>
      </c>
      <c r="AD99" s="271">
        <f t="shared" si="100"/>
        <v>0</v>
      </c>
      <c r="AE99" s="270">
        <f>ABRIL!AG99</f>
        <v>0</v>
      </c>
      <c r="AF99" s="208">
        <v>0</v>
      </c>
      <c r="AG99" s="271">
        <f t="shared" si="101"/>
        <v>0</v>
      </c>
      <c r="AH99" s="270">
        <f t="shared" si="102"/>
        <v>0</v>
      </c>
      <c r="AI99" s="220">
        <f t="shared" si="103"/>
        <v>0</v>
      </c>
      <c r="AJ99" s="269">
        <f t="shared" si="104"/>
        <v>0</v>
      </c>
      <c r="AK99" s="389"/>
      <c r="AL99" s="204">
        <v>0</v>
      </c>
      <c r="AM99" s="210">
        <v>0</v>
      </c>
    </row>
    <row r="100" spans="1:39" ht="24.75" customHeight="1">
      <c r="A100" s="394" t="str">
        <f>+IF(ABRIL!A100=0,"",ABRIL!A100)</f>
        <v>1.1.02.06.006.07</v>
      </c>
      <c r="B100" s="397" t="str">
        <f>+IF(ABRIL!B100=0,"",ABRIL!B100)</f>
        <v>ESTAMPILLA PROHOSPITALES</v>
      </c>
      <c r="C100" s="268">
        <f>+ENERO!C100</f>
        <v>650000000</v>
      </c>
      <c r="D100" s="205">
        <f>ABRIL!D100+MAYO!P100</f>
        <v>0</v>
      </c>
      <c r="E100" s="205">
        <f>ABRIL!E100+MAYO!Q100</f>
        <v>0</v>
      </c>
      <c r="F100" s="205">
        <f t="shared" si="92"/>
        <v>650000000</v>
      </c>
      <c r="G100" s="205">
        <f>ABRIL!I100</f>
        <v>0</v>
      </c>
      <c r="H100" s="208">
        <v>0</v>
      </c>
      <c r="I100" s="205">
        <f t="shared" si="93"/>
        <v>0</v>
      </c>
      <c r="J100" s="205">
        <f>ABRIL!L100</f>
        <v>0</v>
      </c>
      <c r="K100" s="208">
        <v>0</v>
      </c>
      <c r="L100" s="205">
        <f t="shared" si="94"/>
        <v>0</v>
      </c>
      <c r="M100" s="205">
        <f t="shared" si="95"/>
        <v>650000000</v>
      </c>
      <c r="N100" s="206">
        <f t="shared" si="96"/>
        <v>650000000</v>
      </c>
      <c r="O100" s="67"/>
      <c r="P100" s="204">
        <v>0</v>
      </c>
      <c r="Q100" s="210">
        <v>0</v>
      </c>
      <c r="R100" s="101"/>
      <c r="S100" s="311" t="str">
        <f>+IF(ABRIL!S100=0,"",ABRIL!S100)</f>
        <v>2.1.1.01.02.005-1</v>
      </c>
      <c r="T100" s="312" t="str">
        <f>+IF(ABRIL!T100=0,"",ABRIL!T100)</f>
        <v>Aporte a ARL. - recursos propios</v>
      </c>
      <c r="U100" s="373">
        <f>+ENERO!U100</f>
        <v>0</v>
      </c>
      <c r="V100" s="220">
        <f>ABRIL!V100+MAYO!AL100</f>
        <v>0</v>
      </c>
      <c r="W100" s="220">
        <f>ABRIL!W100+MAYO!AM100</f>
        <v>0</v>
      </c>
      <c r="X100" s="271">
        <f t="shared" si="98"/>
        <v>0</v>
      </c>
      <c r="Y100" s="270">
        <f>ABRIL!AA100</f>
        <v>0</v>
      </c>
      <c r="Z100" s="208">
        <v>0</v>
      </c>
      <c r="AA100" s="271">
        <f t="shared" si="99"/>
        <v>0</v>
      </c>
      <c r="AB100" s="270">
        <f>ABRIL!AD100</f>
        <v>0</v>
      </c>
      <c r="AC100" s="208">
        <v>0</v>
      </c>
      <c r="AD100" s="271">
        <f t="shared" si="100"/>
        <v>0</v>
      </c>
      <c r="AE100" s="270">
        <f>ABRIL!AG100</f>
        <v>0</v>
      </c>
      <c r="AF100" s="208">
        <v>0</v>
      </c>
      <c r="AG100" s="271">
        <f t="shared" si="101"/>
        <v>0</v>
      </c>
      <c r="AH100" s="270">
        <f t="shared" si="102"/>
        <v>0</v>
      </c>
      <c r="AI100" s="220">
        <f t="shared" si="103"/>
        <v>0</v>
      </c>
      <c r="AJ100" s="269">
        <f t="shared" si="104"/>
        <v>0</v>
      </c>
      <c r="AK100" s="389"/>
      <c r="AL100" s="204">
        <v>0</v>
      </c>
      <c r="AM100" s="210">
        <v>0</v>
      </c>
    </row>
    <row r="101" spans="1:39" ht="24.75" customHeight="1">
      <c r="A101" s="394" t="str">
        <f>+IF(ABRIL!A101=0,"",ABRIL!A101)</f>
        <v>11303-7</v>
      </c>
      <c r="B101" s="397" t="str">
        <f>+IF(ABRIL!B101=0,"",ABRIL!B101)</f>
        <v>SUBSIDIO A LA OFERTA (ART. 2.4.2.6 DECRETO 268 DE 2020)</v>
      </c>
      <c r="C101" s="268">
        <f>+ENERO!C101</f>
        <v>0</v>
      </c>
      <c r="D101" s="205">
        <f>ABRIL!D101+MAYO!P101</f>
        <v>0</v>
      </c>
      <c r="E101" s="205">
        <f>ABRIL!E101+MAYO!Q101</f>
        <v>0</v>
      </c>
      <c r="F101" s="205">
        <f t="shared" si="92"/>
        <v>0</v>
      </c>
      <c r="G101" s="205">
        <f>ABRIL!I101</f>
        <v>0</v>
      </c>
      <c r="H101" s="208">
        <v>0</v>
      </c>
      <c r="I101" s="205">
        <f t="shared" si="93"/>
        <v>0</v>
      </c>
      <c r="J101" s="205">
        <f>ABRIL!L101</f>
        <v>0</v>
      </c>
      <c r="K101" s="208">
        <v>0</v>
      </c>
      <c r="L101" s="205">
        <f t="shared" si="94"/>
        <v>0</v>
      </c>
      <c r="M101" s="205">
        <f t="shared" si="95"/>
        <v>0</v>
      </c>
      <c r="N101" s="206">
        <f t="shared" si="96"/>
        <v>0</v>
      </c>
      <c r="O101" s="67"/>
      <c r="P101" s="204">
        <v>0</v>
      </c>
      <c r="Q101" s="210">
        <v>0</v>
      </c>
      <c r="R101" s="101"/>
      <c r="S101" s="311" t="str">
        <f>+IF(ABRIL!S101=0,"",ABRIL!S101)</f>
        <v>2.1.1.01.02.004-1</v>
      </c>
      <c r="T101" s="312" t="str">
        <f>+IF(ABRIL!T101=0,"",ABRIL!T101)</f>
        <v>Aporte a Caja Compensación Familiar</v>
      </c>
      <c r="U101" s="373">
        <f>+ENERO!U101</f>
        <v>0</v>
      </c>
      <c r="V101" s="220">
        <f>ABRIL!V101+MAYO!AL101</f>
        <v>0</v>
      </c>
      <c r="W101" s="220">
        <f>ABRIL!W101+MAYO!AM101</f>
        <v>0</v>
      </c>
      <c r="X101" s="271">
        <f t="shared" si="98"/>
        <v>0</v>
      </c>
      <c r="Y101" s="270">
        <f>ABRIL!AA101</f>
        <v>0</v>
      </c>
      <c r="Z101" s="208">
        <v>0</v>
      </c>
      <c r="AA101" s="271">
        <f t="shared" si="99"/>
        <v>0</v>
      </c>
      <c r="AB101" s="270">
        <f>ABRIL!AD101</f>
        <v>0</v>
      </c>
      <c r="AC101" s="208">
        <v>0</v>
      </c>
      <c r="AD101" s="271">
        <f t="shared" si="100"/>
        <v>0</v>
      </c>
      <c r="AE101" s="270">
        <f>ABRIL!AG101</f>
        <v>0</v>
      </c>
      <c r="AF101" s="208">
        <v>0</v>
      </c>
      <c r="AG101" s="271">
        <f t="shared" si="101"/>
        <v>0</v>
      </c>
      <c r="AH101" s="270">
        <f t="shared" si="102"/>
        <v>0</v>
      </c>
      <c r="AI101" s="220">
        <f t="shared" si="103"/>
        <v>0</v>
      </c>
      <c r="AJ101" s="269">
        <f t="shared" si="104"/>
        <v>0</v>
      </c>
      <c r="AK101" s="389"/>
      <c r="AL101" s="204">
        <v>0</v>
      </c>
      <c r="AM101" s="210">
        <v>0</v>
      </c>
    </row>
    <row r="102" spans="1:39" ht="24.75" customHeight="1" thickBot="1">
      <c r="A102" s="394" t="str">
        <f>+IF(ABRIL!A102=0,"",ABRIL!A102)</f>
        <v>1.1.02.06.006.07.99</v>
      </c>
      <c r="B102" s="390" t="str">
        <f>+IF(ABRIL!B102=0,"",ABRIL!B102)</f>
        <v>Vigencia Anterior estampilla</v>
      </c>
      <c r="C102" s="391">
        <f>+ENERO!C102</f>
        <v>0</v>
      </c>
      <c r="D102" s="243">
        <f>ABRIL!D102+MAYO!P102</f>
        <v>0</v>
      </c>
      <c r="E102" s="243">
        <f>ABRIL!E102+MAYO!Q102</f>
        <v>0</v>
      </c>
      <c r="F102" s="243">
        <f t="shared" si="92"/>
        <v>0</v>
      </c>
      <c r="G102" s="243">
        <f>ABRIL!I102</f>
        <v>0</v>
      </c>
      <c r="H102" s="246">
        <v>0</v>
      </c>
      <c r="I102" s="243">
        <f t="shared" si="93"/>
        <v>0</v>
      </c>
      <c r="J102" s="243">
        <f>ABRIL!L102</f>
        <v>0</v>
      </c>
      <c r="K102" s="246">
        <v>0</v>
      </c>
      <c r="L102" s="243">
        <f t="shared" si="94"/>
        <v>0</v>
      </c>
      <c r="M102" s="243">
        <f t="shared" si="95"/>
        <v>0</v>
      </c>
      <c r="N102" s="244">
        <f t="shared" si="96"/>
        <v>0</v>
      </c>
      <c r="O102" s="67"/>
      <c r="P102" s="204">
        <v>0</v>
      </c>
      <c r="Q102" s="210">
        <v>0</v>
      </c>
      <c r="R102" s="101"/>
      <c r="S102" s="266">
        <f>+IF(ABRIL!S102=0,"",ABRIL!S102)</f>
        <v>1020399</v>
      </c>
      <c r="T102" s="267" t="str">
        <f>+IF(ABRIL!T102=0,"",ABRIL!T102)</f>
        <v>Vigencias Anteriores</v>
      </c>
      <c r="U102" s="373">
        <f>+ENERO!U102</f>
        <v>0</v>
      </c>
      <c r="V102" s="220">
        <f>ABRIL!V102+MAYO!AL102</f>
        <v>0</v>
      </c>
      <c r="W102" s="220">
        <f>ABRIL!W102+MAYO!AM102</f>
        <v>0</v>
      </c>
      <c r="X102" s="271">
        <f t="shared" si="98"/>
        <v>0</v>
      </c>
      <c r="Y102" s="270">
        <f>ABRIL!AA102</f>
        <v>0</v>
      </c>
      <c r="Z102" s="208">
        <v>0</v>
      </c>
      <c r="AA102" s="271">
        <f t="shared" si="99"/>
        <v>0</v>
      </c>
      <c r="AB102" s="270">
        <f>ABRIL!AD102</f>
        <v>0</v>
      </c>
      <c r="AC102" s="208">
        <v>0</v>
      </c>
      <c r="AD102" s="271">
        <f t="shared" si="100"/>
        <v>0</v>
      </c>
      <c r="AE102" s="270">
        <f>ABRIL!AG102</f>
        <v>0</v>
      </c>
      <c r="AF102" s="208">
        <v>0</v>
      </c>
      <c r="AG102" s="271">
        <f t="shared" si="101"/>
        <v>0</v>
      </c>
      <c r="AH102" s="270">
        <f t="shared" si="102"/>
        <v>0</v>
      </c>
      <c r="AI102" s="220">
        <f t="shared" si="103"/>
        <v>0</v>
      </c>
      <c r="AJ102" s="269">
        <f t="shared" si="104"/>
        <v>0</v>
      </c>
      <c r="AK102" s="101"/>
      <c r="AL102" s="204">
        <v>0</v>
      </c>
      <c r="AM102" s="210">
        <v>0</v>
      </c>
    </row>
    <row r="103" spans="1:39" ht="24.75" customHeight="1" thickBot="1">
      <c r="A103" s="398" t="str">
        <f>+IF(ABRIL!A103=0,"",ABRIL!A103)</f>
        <v/>
      </c>
      <c r="B103" s="399" t="str">
        <f>+IF(ABRIL!B103=0,"",ABRIL!B103)</f>
        <v/>
      </c>
      <c r="C103" s="400"/>
      <c r="D103" s="400"/>
      <c r="E103" s="400"/>
      <c r="F103" s="400"/>
      <c r="G103" s="400"/>
      <c r="H103" s="400"/>
      <c r="I103" s="400"/>
      <c r="J103" s="400"/>
      <c r="K103" s="400"/>
      <c r="L103" s="400"/>
      <c r="M103" s="400"/>
      <c r="N103" s="401"/>
      <c r="O103" s="67"/>
      <c r="P103" s="402"/>
      <c r="Q103" s="401"/>
      <c r="R103" s="101"/>
      <c r="S103" s="189" t="str">
        <f>+IF(ABRIL!S103=0,"",ABRIL!S103)</f>
        <v/>
      </c>
      <c r="T103" s="488" t="str">
        <f>+IF(ABRIL!T103=0,"",ABRIL!T103)</f>
        <v/>
      </c>
      <c r="U103" s="191"/>
      <c r="V103" s="191"/>
      <c r="W103" s="191"/>
      <c r="X103" s="191"/>
      <c r="Y103" s="191"/>
      <c r="Z103" s="191"/>
      <c r="AA103" s="191"/>
      <c r="AB103" s="191"/>
      <c r="AC103" s="191"/>
      <c r="AD103" s="191"/>
      <c r="AE103" s="191"/>
      <c r="AF103" s="191"/>
      <c r="AG103" s="191"/>
      <c r="AH103" s="191"/>
      <c r="AI103" s="191"/>
      <c r="AJ103" s="192"/>
      <c r="AK103" s="101"/>
      <c r="AL103" s="370"/>
      <c r="AM103" s="371"/>
    </row>
    <row r="104" spans="1:39" ht="24.75" customHeight="1">
      <c r="A104" s="392">
        <f>+IF(ABRIL!A104=0,"",ABRIL!A104)</f>
        <v>11304</v>
      </c>
      <c r="B104" s="393" t="str">
        <f>+IF(ABRIL!B104=0,"",ABRIL!B104)</f>
        <v>Otros ingresos corrientes</v>
      </c>
      <c r="C104" s="383">
        <f t="shared" ref="C104:N104" si="105">SUM(C105:C111)</f>
        <v>235000000</v>
      </c>
      <c r="D104" s="384">
        <f t="shared" si="105"/>
        <v>0</v>
      </c>
      <c r="E104" s="384">
        <f t="shared" si="105"/>
        <v>46961679</v>
      </c>
      <c r="F104" s="384">
        <f t="shared" si="105"/>
        <v>281961679</v>
      </c>
      <c r="G104" s="384">
        <f t="shared" si="105"/>
        <v>150525220</v>
      </c>
      <c r="H104" s="384">
        <f t="shared" si="105"/>
        <v>28919628</v>
      </c>
      <c r="I104" s="384">
        <f t="shared" si="105"/>
        <v>179444848</v>
      </c>
      <c r="J104" s="384">
        <f t="shared" si="105"/>
        <v>147369367</v>
      </c>
      <c r="K104" s="384">
        <f t="shared" si="105"/>
        <v>26542242</v>
      </c>
      <c r="L104" s="384">
        <f t="shared" si="105"/>
        <v>173911609</v>
      </c>
      <c r="M104" s="384">
        <f t="shared" si="105"/>
        <v>102516831</v>
      </c>
      <c r="N104" s="385">
        <f t="shared" si="105"/>
        <v>108050070</v>
      </c>
      <c r="O104" s="67"/>
      <c r="P104" s="288">
        <f>SUM(P105:P111)</f>
        <v>0</v>
      </c>
      <c r="Q104" s="289">
        <f>SUM(Q105:Q111)</f>
        <v>0</v>
      </c>
      <c r="R104" s="101"/>
      <c r="S104" s="257">
        <f>+IF(ABRIL!S104=0,"",ABRIL!S104)</f>
        <v>1020400</v>
      </c>
      <c r="T104" s="546" t="str">
        <f>+IF(ABRIL!T104=0,"",ABRIL!T104)</f>
        <v>Contribuciones Inherentes nómina del Sector Publico</v>
      </c>
      <c r="U104" s="230">
        <f t="shared" ref="U104:AJ104" si="106">U105+U108</f>
        <v>0</v>
      </c>
      <c r="V104" s="231">
        <f t="shared" si="106"/>
        <v>0</v>
      </c>
      <c r="W104" s="231">
        <f t="shared" si="106"/>
        <v>20000000</v>
      </c>
      <c r="X104" s="234">
        <f t="shared" si="106"/>
        <v>20000000</v>
      </c>
      <c r="Y104" s="233">
        <f t="shared" si="106"/>
        <v>18261571</v>
      </c>
      <c r="Z104" s="231">
        <f t="shared" si="106"/>
        <v>0</v>
      </c>
      <c r="AA104" s="234">
        <f t="shared" si="106"/>
        <v>18261571</v>
      </c>
      <c r="AB104" s="233">
        <f t="shared" si="106"/>
        <v>18261571</v>
      </c>
      <c r="AC104" s="231">
        <f t="shared" si="106"/>
        <v>0</v>
      </c>
      <c r="AD104" s="234">
        <f t="shared" si="106"/>
        <v>18261571</v>
      </c>
      <c r="AE104" s="233">
        <f t="shared" si="106"/>
        <v>18261571</v>
      </c>
      <c r="AF104" s="231">
        <f t="shared" si="106"/>
        <v>0</v>
      </c>
      <c r="AG104" s="234">
        <f t="shared" si="106"/>
        <v>18261571</v>
      </c>
      <c r="AH104" s="233">
        <f t="shared" si="106"/>
        <v>1738429</v>
      </c>
      <c r="AI104" s="231">
        <f t="shared" si="106"/>
        <v>1738429</v>
      </c>
      <c r="AJ104" s="232">
        <f t="shared" si="106"/>
        <v>1738429</v>
      </c>
      <c r="AK104" s="101"/>
      <c r="AL104" s="233">
        <f>AL105+AL108</f>
        <v>0</v>
      </c>
      <c r="AM104" s="232">
        <f>AM105+AM108</f>
        <v>0</v>
      </c>
    </row>
    <row r="105" spans="1:39" ht="24.75" customHeight="1">
      <c r="A105" s="394" t="str">
        <f>+IF(ABRIL!A105=0,"",ABRIL!A105)</f>
        <v>1.1.02.05.002.07</v>
      </c>
      <c r="B105" s="397" t="str">
        <f>+IF(ABRIL!B105=0,"",ABRIL!B105)</f>
        <v>Servicios financieros y servicios conexos, servicios inmobiliarios y servicios de leasing (ARRENDAMIENTOS)</v>
      </c>
      <c r="C105" s="268">
        <f>+ENERO!C105</f>
        <v>235000000</v>
      </c>
      <c r="D105" s="205">
        <f>ABRIL!D105+MAYO!P105</f>
        <v>0</v>
      </c>
      <c r="E105" s="205">
        <f>ABRIL!E105+MAYO!Q105</f>
        <v>0</v>
      </c>
      <c r="F105" s="205">
        <f t="shared" ref="F105:F111" si="107">SUM(C105:E105)</f>
        <v>235000000</v>
      </c>
      <c r="G105" s="205">
        <f>ABRIL!I105</f>
        <v>101510809</v>
      </c>
      <c r="H105" s="208">
        <v>28655196</v>
      </c>
      <c r="I105" s="205">
        <f t="shared" ref="I105:I111" si="108">SUM(G105:H105)</f>
        <v>130166005</v>
      </c>
      <c r="J105" s="205">
        <f>ABRIL!L105</f>
        <v>98354956</v>
      </c>
      <c r="K105" s="208">
        <v>26277810</v>
      </c>
      <c r="L105" s="205">
        <f t="shared" ref="L105:L111" si="109">SUM(J105:K105)</f>
        <v>124632766</v>
      </c>
      <c r="M105" s="205">
        <f t="shared" ref="M105:M111" si="110">F105-I105</f>
        <v>104833995</v>
      </c>
      <c r="N105" s="206">
        <f t="shared" ref="N105:N111" si="111">F105-L105</f>
        <v>110367234</v>
      </c>
      <c r="O105" s="67"/>
      <c r="P105" s="204">
        <v>0</v>
      </c>
      <c r="Q105" s="210">
        <v>0</v>
      </c>
      <c r="R105" s="101"/>
      <c r="S105" s="266">
        <f>+IF(ABRIL!S105=0,"",ABRIL!S105)</f>
        <v>1020402</v>
      </c>
      <c r="T105" s="267" t="str">
        <f>+IF(ABRIL!T105=0,"",ABRIL!T105)</f>
        <v>Contribuciones - Otros</v>
      </c>
      <c r="U105" s="373">
        <f t="shared" ref="U105:AJ105" si="112">SUM(U106:U107)</f>
        <v>0</v>
      </c>
      <c r="V105" s="220">
        <f t="shared" si="112"/>
        <v>0</v>
      </c>
      <c r="W105" s="220">
        <f t="shared" si="112"/>
        <v>0</v>
      </c>
      <c r="X105" s="271">
        <f t="shared" si="112"/>
        <v>0</v>
      </c>
      <c r="Y105" s="270">
        <f t="shared" si="112"/>
        <v>0</v>
      </c>
      <c r="Z105" s="300">
        <f t="shared" si="112"/>
        <v>0</v>
      </c>
      <c r="AA105" s="271">
        <f t="shared" si="112"/>
        <v>0</v>
      </c>
      <c r="AB105" s="270">
        <f t="shared" si="112"/>
        <v>0</v>
      </c>
      <c r="AC105" s="300">
        <f t="shared" si="112"/>
        <v>0</v>
      </c>
      <c r="AD105" s="271">
        <f t="shared" si="112"/>
        <v>0</v>
      </c>
      <c r="AE105" s="270">
        <f t="shared" si="112"/>
        <v>0</v>
      </c>
      <c r="AF105" s="300">
        <f t="shared" si="112"/>
        <v>0</v>
      </c>
      <c r="AG105" s="271">
        <f t="shared" si="112"/>
        <v>0</v>
      </c>
      <c r="AH105" s="270">
        <f t="shared" si="112"/>
        <v>0</v>
      </c>
      <c r="AI105" s="220">
        <f t="shared" si="112"/>
        <v>0</v>
      </c>
      <c r="AJ105" s="269">
        <f t="shared" si="112"/>
        <v>0</v>
      </c>
      <c r="AK105" s="216"/>
      <c r="AL105" s="301">
        <f>SUM(AL106:AL107)</f>
        <v>0</v>
      </c>
      <c r="AM105" s="302">
        <f>SUM(AM106:AM107)</f>
        <v>0</v>
      </c>
    </row>
    <row r="106" spans="1:39" ht="24.75" customHeight="1">
      <c r="A106" s="394">
        <f>+IF(ABRIL!A106=0,"",ABRIL!A106)</f>
        <v>1020402</v>
      </c>
      <c r="B106" s="403" t="str">
        <f>+IF(ABRIL!B106=0,"",ABRIL!B106)</f>
        <v/>
      </c>
      <c r="C106" s="268">
        <f>+ENERO!C106</f>
        <v>0</v>
      </c>
      <c r="D106" s="205">
        <f>ABRIL!D106+MAYO!P106</f>
        <v>0</v>
      </c>
      <c r="E106" s="205">
        <f>ABRIL!E106+MAYO!Q106</f>
        <v>0</v>
      </c>
      <c r="F106" s="205">
        <f t="shared" si="107"/>
        <v>0</v>
      </c>
      <c r="G106" s="205">
        <f>ABRIL!I106</f>
        <v>0</v>
      </c>
      <c r="H106" s="208">
        <v>0</v>
      </c>
      <c r="I106" s="205">
        <f t="shared" si="108"/>
        <v>0</v>
      </c>
      <c r="J106" s="205">
        <f>ABRIL!L106</f>
        <v>0</v>
      </c>
      <c r="K106" s="208">
        <v>0</v>
      </c>
      <c r="L106" s="205">
        <f t="shared" si="109"/>
        <v>0</v>
      </c>
      <c r="M106" s="205">
        <f t="shared" si="110"/>
        <v>0</v>
      </c>
      <c r="N106" s="206">
        <f t="shared" si="111"/>
        <v>0</v>
      </c>
      <c r="O106" s="67"/>
      <c r="P106" s="204">
        <v>0</v>
      </c>
      <c r="Q106" s="210">
        <v>0</v>
      </c>
      <c r="R106" s="101"/>
      <c r="S106" s="311" t="str">
        <f>+IF(ABRIL!S106=0,"",ABRIL!S106)</f>
        <v>2.1.1.01.02.007-1</v>
      </c>
      <c r="T106" s="267" t="str">
        <f>+IF(ABRIL!T106=0,"",ABRIL!T106)</f>
        <v>S.E.N.A.</v>
      </c>
      <c r="U106" s="373">
        <f>+ENERO!U106</f>
        <v>0</v>
      </c>
      <c r="V106" s="220">
        <f>ABRIL!V106+MAYO!AL106</f>
        <v>0</v>
      </c>
      <c r="W106" s="220">
        <f>ABRIL!W106+MAYO!AM106</f>
        <v>0</v>
      </c>
      <c r="X106" s="271">
        <f>SUM(U106:W106)</f>
        <v>0</v>
      </c>
      <c r="Y106" s="270">
        <f>ABRIL!AA106</f>
        <v>0</v>
      </c>
      <c r="Z106" s="208">
        <v>0</v>
      </c>
      <c r="AA106" s="271">
        <f>SUM(Y106:Z106)</f>
        <v>0</v>
      </c>
      <c r="AB106" s="270">
        <f>ABRIL!AD106</f>
        <v>0</v>
      </c>
      <c r="AC106" s="208">
        <v>0</v>
      </c>
      <c r="AD106" s="271">
        <f>SUM(AB106:AC106)</f>
        <v>0</v>
      </c>
      <c r="AE106" s="270">
        <f>ABRIL!AG106</f>
        <v>0</v>
      </c>
      <c r="AF106" s="208">
        <v>0</v>
      </c>
      <c r="AG106" s="271">
        <f>SUM(AE106:AF106)</f>
        <v>0</v>
      </c>
      <c r="AH106" s="270">
        <f>X106-AA106</f>
        <v>0</v>
      </c>
      <c r="AI106" s="220">
        <f>X106-AD106</f>
        <v>0</v>
      </c>
      <c r="AJ106" s="269">
        <f>X106-AG106</f>
        <v>0</v>
      </c>
      <c r="AK106" s="101"/>
      <c r="AL106" s="204">
        <v>0</v>
      </c>
      <c r="AM106" s="210">
        <v>0</v>
      </c>
    </row>
    <row r="107" spans="1:39" ht="24.75" customHeight="1">
      <c r="A107" s="394" t="str">
        <f>+IF(ABRIL!A107=0,"",ABRIL!A107)</f>
        <v/>
      </c>
      <c r="B107" s="397" t="str">
        <f>+IF(ABRIL!B107=0,"",ABRIL!B107)</f>
        <v/>
      </c>
      <c r="C107" s="268">
        <f>+ENERO!C107</f>
        <v>0</v>
      </c>
      <c r="D107" s="205">
        <f>ABRIL!D107+MAYO!P107</f>
        <v>0</v>
      </c>
      <c r="E107" s="205">
        <f>ABRIL!E107+MAYO!Q107</f>
        <v>0</v>
      </c>
      <c r="F107" s="205">
        <f t="shared" si="107"/>
        <v>0</v>
      </c>
      <c r="G107" s="205">
        <f>ABRIL!I107</f>
        <v>0</v>
      </c>
      <c r="H107" s="208">
        <v>0</v>
      </c>
      <c r="I107" s="205">
        <f t="shared" si="108"/>
        <v>0</v>
      </c>
      <c r="J107" s="205">
        <f>ABRIL!L107</f>
        <v>0</v>
      </c>
      <c r="K107" s="208">
        <v>0</v>
      </c>
      <c r="L107" s="205">
        <f t="shared" si="109"/>
        <v>0</v>
      </c>
      <c r="M107" s="205">
        <f t="shared" si="110"/>
        <v>0</v>
      </c>
      <c r="N107" s="206">
        <f t="shared" si="111"/>
        <v>0</v>
      </c>
      <c r="O107" s="67"/>
      <c r="P107" s="204">
        <v>0</v>
      </c>
      <c r="Q107" s="210">
        <v>0</v>
      </c>
      <c r="R107" s="101"/>
      <c r="S107" s="311" t="str">
        <f>+IF(ABRIL!S107=0,"",ABRIL!S107)</f>
        <v>2.1.1.01.02.006-1</v>
      </c>
      <c r="T107" s="267" t="str">
        <f>+IF(ABRIL!T107=0,"",ABRIL!T107)</f>
        <v>I.C.B.F.</v>
      </c>
      <c r="U107" s="373">
        <f>+ENERO!U107</f>
        <v>0</v>
      </c>
      <c r="V107" s="220">
        <f>ABRIL!V107+MAYO!AL107</f>
        <v>0</v>
      </c>
      <c r="W107" s="220">
        <f>ABRIL!W107+MAYO!AM107</f>
        <v>0</v>
      </c>
      <c r="X107" s="271">
        <f>SUM(U107:W107)</f>
        <v>0</v>
      </c>
      <c r="Y107" s="270">
        <f>ABRIL!AA107</f>
        <v>0</v>
      </c>
      <c r="Z107" s="208">
        <v>0</v>
      </c>
      <c r="AA107" s="271">
        <f>SUM(Y107:Z107)</f>
        <v>0</v>
      </c>
      <c r="AB107" s="270">
        <f>ABRIL!AD107</f>
        <v>0</v>
      </c>
      <c r="AC107" s="208">
        <v>0</v>
      </c>
      <c r="AD107" s="271">
        <f>SUM(AB107:AC107)</f>
        <v>0</v>
      </c>
      <c r="AE107" s="270">
        <f>ABRIL!AG107</f>
        <v>0</v>
      </c>
      <c r="AF107" s="208">
        <v>0</v>
      </c>
      <c r="AG107" s="271">
        <f>SUM(AE107:AF107)</f>
        <v>0</v>
      </c>
      <c r="AH107" s="270">
        <f>X107-AA107</f>
        <v>0</v>
      </c>
      <c r="AI107" s="220">
        <f>X107-AD107</f>
        <v>0</v>
      </c>
      <c r="AJ107" s="269">
        <f>X107-AG107</f>
        <v>0</v>
      </c>
      <c r="AK107" s="101"/>
      <c r="AL107" s="204">
        <v>0</v>
      </c>
      <c r="AM107" s="210">
        <v>0</v>
      </c>
    </row>
    <row r="108" spans="1:39" ht="24.75" customHeight="1">
      <c r="A108" s="394" t="str">
        <f>+IF(ABRIL!A108=0,"",ABRIL!A108)</f>
        <v/>
      </c>
      <c r="B108" s="397" t="str">
        <f>+IF(ABRIL!B108=0,"",ABRIL!B108)</f>
        <v/>
      </c>
      <c r="C108" s="268">
        <f>+ENERO!C108</f>
        <v>0</v>
      </c>
      <c r="D108" s="205">
        <f>ABRIL!D108+MAYO!P108</f>
        <v>0</v>
      </c>
      <c r="E108" s="205">
        <f>ABRIL!E108+MAYO!Q108</f>
        <v>0</v>
      </c>
      <c r="F108" s="205">
        <f t="shared" si="107"/>
        <v>0</v>
      </c>
      <c r="G108" s="205">
        <f>ABRIL!I108</f>
        <v>0</v>
      </c>
      <c r="H108" s="208">
        <v>0</v>
      </c>
      <c r="I108" s="205">
        <f t="shared" si="108"/>
        <v>0</v>
      </c>
      <c r="J108" s="205">
        <f>ABRIL!L108</f>
        <v>0</v>
      </c>
      <c r="K108" s="208">
        <v>0</v>
      </c>
      <c r="L108" s="205">
        <f t="shared" si="109"/>
        <v>0</v>
      </c>
      <c r="M108" s="205">
        <f t="shared" si="110"/>
        <v>0</v>
      </c>
      <c r="N108" s="206">
        <f t="shared" si="111"/>
        <v>0</v>
      </c>
      <c r="O108" s="67"/>
      <c r="P108" s="204">
        <v>0</v>
      </c>
      <c r="Q108" s="210">
        <v>0</v>
      </c>
      <c r="R108" s="101"/>
      <c r="S108" s="266" t="str">
        <f>+IF(ABRIL!S108=0,"",ABRIL!S108)</f>
        <v>2.1.2.02.02.008.99.04</v>
      </c>
      <c r="T108" s="267" t="str">
        <f>+IF(ABRIL!T108=0,"",ABRIL!T108)</f>
        <v>Vigencias Anteriores Servicios personales administrativos</v>
      </c>
      <c r="U108" s="373">
        <f>+ENERO!U108</f>
        <v>0</v>
      </c>
      <c r="V108" s="220">
        <f>ABRIL!V108+MAYO!AL108</f>
        <v>0</v>
      </c>
      <c r="W108" s="220">
        <f>ABRIL!W108+MAYO!AM108</f>
        <v>20000000</v>
      </c>
      <c r="X108" s="271">
        <f>SUM(U108:W108)</f>
        <v>20000000</v>
      </c>
      <c r="Y108" s="270">
        <f>ABRIL!AA108</f>
        <v>18261571</v>
      </c>
      <c r="Z108" s="208">
        <v>0</v>
      </c>
      <c r="AA108" s="271">
        <f>SUM(Y108:Z108)</f>
        <v>18261571</v>
      </c>
      <c r="AB108" s="270">
        <f>ABRIL!AD108</f>
        <v>18261571</v>
      </c>
      <c r="AC108" s="208">
        <v>0</v>
      </c>
      <c r="AD108" s="271">
        <f>SUM(AB108:AC108)</f>
        <v>18261571</v>
      </c>
      <c r="AE108" s="270">
        <f>ABRIL!AG108</f>
        <v>18261571</v>
      </c>
      <c r="AF108" s="208">
        <v>0</v>
      </c>
      <c r="AG108" s="271">
        <f>SUM(AE108:AF108)</f>
        <v>18261571</v>
      </c>
      <c r="AH108" s="270">
        <f>X108-AA108</f>
        <v>1738429</v>
      </c>
      <c r="AI108" s="220">
        <f>X108-AD108</f>
        <v>1738429</v>
      </c>
      <c r="AJ108" s="269">
        <f>X108-AG108</f>
        <v>1738429</v>
      </c>
      <c r="AK108" s="101"/>
      <c r="AL108" s="204">
        <v>0</v>
      </c>
      <c r="AM108" s="210">
        <v>0</v>
      </c>
    </row>
    <row r="109" spans="1:39" ht="24.75" customHeight="1">
      <c r="A109" s="394" t="str">
        <f>+IF(ABRIL!A109=0,"",ABRIL!A109)</f>
        <v>1.1.02.05.002.08</v>
      </c>
      <c r="B109" s="397" t="str">
        <f>+IF(ABRIL!B109=0,"",ABRIL!B109)</f>
        <v>Servicios prestados a las empresas y servicios de producción(APROVECHAMIENTOS)</v>
      </c>
      <c r="C109" s="268">
        <f>+ENERO!C109</f>
        <v>0</v>
      </c>
      <c r="D109" s="205">
        <f>ABRIL!D109+MAYO!P109</f>
        <v>0</v>
      </c>
      <c r="E109" s="205">
        <f>ABRIL!E109+MAYO!Q109</f>
        <v>27224890</v>
      </c>
      <c r="F109" s="205">
        <f t="shared" si="107"/>
        <v>27224890</v>
      </c>
      <c r="G109" s="205">
        <f>ABRIL!I109</f>
        <v>29277622</v>
      </c>
      <c r="H109" s="208">
        <v>264432</v>
      </c>
      <c r="I109" s="205">
        <f t="shared" si="108"/>
        <v>29542054</v>
      </c>
      <c r="J109" s="205">
        <f>ABRIL!L109</f>
        <v>29277622</v>
      </c>
      <c r="K109" s="208">
        <v>264432</v>
      </c>
      <c r="L109" s="205">
        <f t="shared" si="109"/>
        <v>29542054</v>
      </c>
      <c r="M109" s="205">
        <f t="shared" si="110"/>
        <v>-2317164</v>
      </c>
      <c r="N109" s="206">
        <f t="shared" si="111"/>
        <v>-2317164</v>
      </c>
      <c r="O109" s="67"/>
      <c r="P109" s="204">
        <v>0</v>
      </c>
      <c r="Q109" s="210">
        <v>0</v>
      </c>
      <c r="R109" s="101"/>
      <c r="S109" s="189">
        <f>+IF(ABRIL!S109=0,"",ABRIL!S109)</f>
        <v>23625024</v>
      </c>
      <c r="T109" s="488" t="str">
        <f>+IF(ABRIL!T109=0,"",ABRIL!T109)</f>
        <v/>
      </c>
      <c r="U109" s="191"/>
      <c r="V109" s="191"/>
      <c r="W109" s="191"/>
      <c r="X109" s="191"/>
      <c r="Y109" s="191"/>
      <c r="Z109" s="191"/>
      <c r="AA109" s="191"/>
      <c r="AB109" s="191"/>
      <c r="AC109" s="191"/>
      <c r="AD109" s="191"/>
      <c r="AE109" s="191"/>
      <c r="AF109" s="191"/>
      <c r="AG109" s="191"/>
      <c r="AH109" s="191"/>
      <c r="AI109" s="191"/>
      <c r="AJ109" s="192"/>
      <c r="AK109" s="216"/>
      <c r="AL109" s="370"/>
      <c r="AM109" s="371"/>
    </row>
    <row r="110" spans="1:39" ht="24.75" customHeight="1">
      <c r="A110" s="394" t="str">
        <f>+IF(ABRIL!A110=0,"",ABRIL!A110)</f>
        <v>1.1.02.05.002.09</v>
      </c>
      <c r="B110" s="397" t="str">
        <f>+IF(ABRIL!B110=0,"",ABRIL!B110)</f>
        <v>Convenio Docencia Servicio</v>
      </c>
      <c r="C110" s="268">
        <f>+ENERO!C110</f>
        <v>0</v>
      </c>
      <c r="D110" s="205">
        <f>ABRIL!D110+MAYO!P110</f>
        <v>0</v>
      </c>
      <c r="E110" s="205">
        <f>ABRIL!E110+MAYO!Q110</f>
        <v>0</v>
      </c>
      <c r="F110" s="205">
        <f t="shared" si="107"/>
        <v>0</v>
      </c>
      <c r="G110" s="205">
        <f>ABRIL!I110</f>
        <v>0</v>
      </c>
      <c r="H110" s="208">
        <v>0</v>
      </c>
      <c r="I110" s="205">
        <f t="shared" si="108"/>
        <v>0</v>
      </c>
      <c r="J110" s="205">
        <f>ABRIL!L110</f>
        <v>0</v>
      </c>
      <c r="K110" s="208">
        <v>0</v>
      </c>
      <c r="L110" s="205">
        <f t="shared" si="109"/>
        <v>0</v>
      </c>
      <c r="M110" s="205">
        <f t="shared" si="110"/>
        <v>0</v>
      </c>
      <c r="N110" s="206">
        <f t="shared" si="111"/>
        <v>0</v>
      </c>
      <c r="O110" s="67"/>
      <c r="P110" s="204">
        <v>0</v>
      </c>
      <c r="Q110" s="210">
        <v>0</v>
      </c>
      <c r="R110" s="101"/>
      <c r="S110" s="228">
        <f>+IF(ABRIL!S110=0,"",ABRIL!S110)</f>
        <v>2000000</v>
      </c>
      <c r="T110" s="404" t="str">
        <f>+IF(ABRIL!T110=0,"",ABRIL!T110)</f>
        <v>GASTOS GENERALES</v>
      </c>
      <c r="U110" s="405">
        <f t="shared" ref="U110:AJ110" si="113">U112+U145</f>
        <v>21968169670.620834</v>
      </c>
      <c r="V110" s="406">
        <f t="shared" si="113"/>
        <v>-680062130</v>
      </c>
      <c r="W110" s="406">
        <f t="shared" si="113"/>
        <v>628694736</v>
      </c>
      <c r="X110" s="407">
        <f t="shared" si="113"/>
        <v>21916802276.620834</v>
      </c>
      <c r="Y110" s="217">
        <f t="shared" si="113"/>
        <v>9870511418</v>
      </c>
      <c r="Z110" s="406">
        <f t="shared" si="113"/>
        <v>959989157</v>
      </c>
      <c r="AA110" s="407">
        <f t="shared" si="113"/>
        <v>10830500575</v>
      </c>
      <c r="AB110" s="217">
        <f t="shared" si="113"/>
        <v>6386606299</v>
      </c>
      <c r="AC110" s="406">
        <f t="shared" si="113"/>
        <v>1026901231</v>
      </c>
      <c r="AD110" s="407">
        <f t="shared" si="113"/>
        <v>7413507530</v>
      </c>
      <c r="AE110" s="217">
        <f t="shared" si="113"/>
        <v>3847658721</v>
      </c>
      <c r="AF110" s="406">
        <f t="shared" si="113"/>
        <v>1440647375</v>
      </c>
      <c r="AG110" s="407">
        <f t="shared" si="113"/>
        <v>5288306096</v>
      </c>
      <c r="AH110" s="217">
        <f t="shared" si="113"/>
        <v>11086301701.620832</v>
      </c>
      <c r="AI110" s="406">
        <f t="shared" si="113"/>
        <v>14503294746.620832</v>
      </c>
      <c r="AJ110" s="218">
        <f t="shared" si="113"/>
        <v>16628496180.620832</v>
      </c>
      <c r="AK110" s="216"/>
      <c r="AL110" s="233">
        <f>AL112+AL145</f>
        <v>937563</v>
      </c>
      <c r="AM110" s="232">
        <f>AM112+AM145</f>
        <v>0</v>
      </c>
    </row>
    <row r="111" spans="1:39" ht="24.75" customHeight="1" thickBot="1">
      <c r="A111" s="394" t="str">
        <f>+IF(ABRIL!A111=0,"",ABRIL!A111)</f>
        <v>1.1.02.05.002.07.99</v>
      </c>
      <c r="B111" s="408" t="str">
        <f>+IF(ABRIL!B111=0,"",ABRIL!B111)</f>
        <v>Vigencia anterior Servicios financieros y servicios conexos, servicios inmobiliarios y servicios de leasing (ARRENDAMIENTOS)</v>
      </c>
      <c r="C111" s="391">
        <f>+ENERO!C111</f>
        <v>0</v>
      </c>
      <c r="D111" s="243">
        <f>ABRIL!D111+MAYO!P111</f>
        <v>0</v>
      </c>
      <c r="E111" s="243">
        <f>ABRIL!E111+MAYO!Q111</f>
        <v>19736789</v>
      </c>
      <c r="F111" s="243">
        <f t="shared" si="107"/>
        <v>19736789</v>
      </c>
      <c r="G111" s="243">
        <f>ABRIL!I111</f>
        <v>19736789</v>
      </c>
      <c r="H111" s="246">
        <v>0</v>
      </c>
      <c r="I111" s="243">
        <f t="shared" si="108"/>
        <v>19736789</v>
      </c>
      <c r="J111" s="243">
        <f>ABRIL!L111</f>
        <v>19736789</v>
      </c>
      <c r="K111" s="246">
        <v>0</v>
      </c>
      <c r="L111" s="243">
        <f t="shared" si="109"/>
        <v>19736789</v>
      </c>
      <c r="M111" s="243">
        <f t="shared" si="110"/>
        <v>0</v>
      </c>
      <c r="N111" s="244">
        <f t="shared" si="111"/>
        <v>0</v>
      </c>
      <c r="O111" s="67"/>
      <c r="P111" s="204">
        <v>0</v>
      </c>
      <c r="Q111" s="210">
        <v>0</v>
      </c>
      <c r="R111" s="101"/>
      <c r="S111" s="189">
        <f>+IF(ABRIL!S111=0,"",ABRIL!S111)</f>
        <v>18355520</v>
      </c>
      <c r="T111" s="488" t="str">
        <f>+IF(ABRIL!T111=0,"",ABRIL!T111)</f>
        <v/>
      </c>
      <c r="U111" s="191"/>
      <c r="V111" s="191"/>
      <c r="W111" s="191"/>
      <c r="X111" s="191"/>
      <c r="Y111" s="191"/>
      <c r="Z111" s="191"/>
      <c r="AA111" s="191"/>
      <c r="AB111" s="191"/>
      <c r="AC111" s="191"/>
      <c r="AD111" s="191"/>
      <c r="AE111" s="191"/>
      <c r="AF111" s="191"/>
      <c r="AG111" s="191"/>
      <c r="AH111" s="191"/>
      <c r="AI111" s="191"/>
      <c r="AJ111" s="192"/>
      <c r="AK111" s="101"/>
      <c r="AL111" s="194"/>
      <c r="AM111" s="195"/>
    </row>
    <row r="112" spans="1:39" ht="24.75" customHeight="1" thickBot="1">
      <c r="A112" s="398">
        <f>+IF(ABRIL!A112=0,"",ABRIL!A112)</f>
        <v>18355520</v>
      </c>
      <c r="B112" s="399">
        <f>+IF(ABRIL!B112=0,"",ABRIL!B112)</f>
        <v>18355520</v>
      </c>
      <c r="C112" s="400"/>
      <c r="D112" s="400"/>
      <c r="E112" s="400"/>
      <c r="F112" s="400"/>
      <c r="G112" s="400"/>
      <c r="H112" s="400"/>
      <c r="I112" s="400"/>
      <c r="J112" s="400"/>
      <c r="K112" s="400"/>
      <c r="L112" s="400"/>
      <c r="M112" s="400"/>
      <c r="N112" s="401"/>
      <c r="O112" s="67"/>
      <c r="P112" s="402"/>
      <c r="Q112" s="401"/>
      <c r="R112" s="101"/>
      <c r="S112" s="228">
        <f>+IF(ABRIL!S112=0,"",ABRIL!S112)</f>
        <v>2010000</v>
      </c>
      <c r="T112" s="229" t="str">
        <f>+IF(ABRIL!T112=0,"",ABRIL!T112)</f>
        <v>Gastos de Administración</v>
      </c>
      <c r="U112" s="230">
        <f t="shared" ref="U112:AJ112" si="114">U114+U123+U141</f>
        <v>10075238362.444445</v>
      </c>
      <c r="V112" s="231">
        <f t="shared" si="114"/>
        <v>-680062130</v>
      </c>
      <c r="W112" s="231">
        <f t="shared" si="114"/>
        <v>169879991</v>
      </c>
      <c r="X112" s="234">
        <f t="shared" si="114"/>
        <v>9565056223.4444447</v>
      </c>
      <c r="Y112" s="233">
        <f t="shared" si="114"/>
        <v>5903750695</v>
      </c>
      <c r="Z112" s="231">
        <f t="shared" si="114"/>
        <v>231673421</v>
      </c>
      <c r="AA112" s="234">
        <f t="shared" si="114"/>
        <v>6135424116</v>
      </c>
      <c r="AB112" s="233">
        <f t="shared" si="114"/>
        <v>3888286116</v>
      </c>
      <c r="AC112" s="231">
        <f t="shared" si="114"/>
        <v>243430837</v>
      </c>
      <c r="AD112" s="234">
        <f t="shared" si="114"/>
        <v>4131716953</v>
      </c>
      <c r="AE112" s="233">
        <f t="shared" si="114"/>
        <v>2762185756</v>
      </c>
      <c r="AF112" s="231">
        <f t="shared" si="114"/>
        <v>643996297</v>
      </c>
      <c r="AG112" s="234">
        <f t="shared" si="114"/>
        <v>3406182053</v>
      </c>
      <c r="AH112" s="233">
        <f t="shared" si="114"/>
        <v>3429632107.4444442</v>
      </c>
      <c r="AI112" s="231">
        <f t="shared" si="114"/>
        <v>5433339270.4444447</v>
      </c>
      <c r="AJ112" s="232">
        <f t="shared" si="114"/>
        <v>6158874170.4444447</v>
      </c>
      <c r="AK112" s="101"/>
      <c r="AL112" s="233">
        <f>AL114+AL123+AL141</f>
        <v>937563</v>
      </c>
      <c r="AM112" s="232">
        <f>AM114+AM123+AM141</f>
        <v>0</v>
      </c>
    </row>
    <row r="113" spans="1:39" ht="24.75" customHeight="1" thickBot="1">
      <c r="A113" s="123">
        <f>+IF(ABRIL!A113=0,"",ABRIL!A113)</f>
        <v>2000</v>
      </c>
      <c r="B113" s="265" t="str">
        <f>+IF(ABRIL!B113=0,"",ABRIL!B113)</f>
        <v>INGRESOS DE CAPITAL</v>
      </c>
      <c r="C113" s="409">
        <f t="shared" ref="C113:N113" si="115">SUM(C115:C124)</f>
        <v>0</v>
      </c>
      <c r="D113" s="410">
        <f t="shared" si="115"/>
        <v>0</v>
      </c>
      <c r="E113" s="410">
        <f t="shared" si="115"/>
        <v>0</v>
      </c>
      <c r="F113" s="410">
        <f t="shared" si="115"/>
        <v>0</v>
      </c>
      <c r="G113" s="410">
        <f t="shared" si="115"/>
        <v>0</v>
      </c>
      <c r="H113" s="410">
        <f t="shared" si="115"/>
        <v>0</v>
      </c>
      <c r="I113" s="410">
        <f t="shared" si="115"/>
        <v>0</v>
      </c>
      <c r="J113" s="410">
        <f t="shared" si="115"/>
        <v>0</v>
      </c>
      <c r="K113" s="410">
        <f t="shared" si="115"/>
        <v>0</v>
      </c>
      <c r="L113" s="410">
        <f t="shared" si="115"/>
        <v>0</v>
      </c>
      <c r="M113" s="410">
        <f t="shared" si="115"/>
        <v>0</v>
      </c>
      <c r="N113" s="411">
        <f t="shared" si="115"/>
        <v>0</v>
      </c>
      <c r="O113" s="369"/>
      <c r="P113" s="171">
        <f>SUM(P115:P124)</f>
        <v>0</v>
      </c>
      <c r="Q113" s="173">
        <f>SUM(Q115:Q124)</f>
        <v>0</v>
      </c>
      <c r="R113" s="101"/>
      <c r="S113" s="189">
        <f>+IF(ABRIL!S113=0,"",ABRIL!S113)</f>
        <v>2000</v>
      </c>
      <c r="T113" s="488" t="str">
        <f>+IF(ABRIL!T113=0,"",ABRIL!T113)</f>
        <v/>
      </c>
      <c r="U113" s="191"/>
      <c r="V113" s="191"/>
      <c r="W113" s="191"/>
      <c r="X113" s="191"/>
      <c r="Y113" s="191"/>
      <c r="Z113" s="191"/>
      <c r="AA113" s="191"/>
      <c r="AB113" s="191"/>
      <c r="AC113" s="191"/>
      <c r="AD113" s="191"/>
      <c r="AE113" s="191"/>
      <c r="AF113" s="191"/>
      <c r="AG113" s="191"/>
      <c r="AH113" s="191"/>
      <c r="AI113" s="191"/>
      <c r="AJ113" s="192"/>
      <c r="AK113" s="101"/>
      <c r="AL113" s="194"/>
      <c r="AM113" s="195"/>
    </row>
    <row r="114" spans="1:39" ht="24.75" customHeight="1" thickBot="1">
      <c r="A114" s="398">
        <f>+IF(ABRIL!A114=0,"",ABRIL!A114)</f>
        <v>2000</v>
      </c>
      <c r="B114" s="399">
        <f>+IF(ABRIL!B114=0,"",ABRIL!B114)</f>
        <v>2000</v>
      </c>
      <c r="C114" s="400"/>
      <c r="D114" s="400"/>
      <c r="E114" s="400"/>
      <c r="F114" s="400"/>
      <c r="G114" s="400"/>
      <c r="H114" s="400"/>
      <c r="I114" s="400"/>
      <c r="J114" s="400"/>
      <c r="K114" s="400"/>
      <c r="L114" s="400"/>
      <c r="M114" s="400"/>
      <c r="N114" s="401"/>
      <c r="O114" s="67"/>
      <c r="P114" s="402"/>
      <c r="Q114" s="401"/>
      <c r="R114" s="101"/>
      <c r="S114" s="257">
        <f>+IF(ABRIL!S114=0,"",ABRIL!S114)</f>
        <v>2010100</v>
      </c>
      <c r="T114" s="546" t="str">
        <f>+IF(ABRIL!T114=0,"",ABRIL!T114)</f>
        <v>Adquisición de bienes</v>
      </c>
      <c r="U114" s="230">
        <f t="shared" ref="U114:AJ114" si="116">SUM(U115:U121)</f>
        <v>1246863273.1666665</v>
      </c>
      <c r="V114" s="231">
        <f t="shared" si="116"/>
        <v>0</v>
      </c>
      <c r="W114" s="231">
        <f t="shared" si="116"/>
        <v>0</v>
      </c>
      <c r="X114" s="234">
        <f t="shared" si="116"/>
        <v>1246863273.1666665</v>
      </c>
      <c r="Y114" s="233">
        <f t="shared" si="116"/>
        <v>330261267</v>
      </c>
      <c r="Z114" s="231">
        <f t="shared" si="116"/>
        <v>18773052</v>
      </c>
      <c r="AA114" s="234">
        <f t="shared" si="116"/>
        <v>349034319</v>
      </c>
      <c r="AB114" s="233">
        <f t="shared" si="116"/>
        <v>263783290</v>
      </c>
      <c r="AC114" s="231">
        <f t="shared" si="116"/>
        <v>18110582</v>
      </c>
      <c r="AD114" s="234">
        <f t="shared" si="116"/>
        <v>281893872</v>
      </c>
      <c r="AE114" s="233">
        <f t="shared" si="116"/>
        <v>180597311</v>
      </c>
      <c r="AF114" s="231">
        <f t="shared" si="116"/>
        <v>15818862</v>
      </c>
      <c r="AG114" s="234">
        <f t="shared" si="116"/>
        <v>196416173</v>
      </c>
      <c r="AH114" s="233">
        <f t="shared" si="116"/>
        <v>897828954.16666663</v>
      </c>
      <c r="AI114" s="231">
        <f t="shared" si="116"/>
        <v>964969401.16666663</v>
      </c>
      <c r="AJ114" s="232">
        <f t="shared" si="116"/>
        <v>1050447100.1666666</v>
      </c>
      <c r="AK114" s="101"/>
      <c r="AL114" s="233">
        <f>SUM(AL115:AL121)</f>
        <v>0</v>
      </c>
      <c r="AM114" s="232">
        <f>SUM(AM115:AM121)</f>
        <v>0</v>
      </c>
    </row>
    <row r="115" spans="1:39" ht="24.75" customHeight="1">
      <c r="A115" s="412">
        <f>+IF(ABRIL!A115=0,"",ABRIL!A115)</f>
        <v>2100</v>
      </c>
      <c r="B115" s="387" t="str">
        <f>+IF(ABRIL!B115=0,"",ABRIL!B115)</f>
        <v>CREDITO INTERNO</v>
      </c>
      <c r="C115" s="204">
        <f>+ENERO!C115</f>
        <v>0</v>
      </c>
      <c r="D115" s="413">
        <f>ABRIL!D115+MAYO!P115</f>
        <v>0</v>
      </c>
      <c r="E115" s="413">
        <f>ABRIL!E115+MAYO!Q115</f>
        <v>0</v>
      </c>
      <c r="F115" s="414">
        <f t="shared" ref="F115:F124" si="117">SUM(C115:E115)</f>
        <v>0</v>
      </c>
      <c r="G115" s="415">
        <f>ABRIL!I115</f>
        <v>0</v>
      </c>
      <c r="H115" s="208">
        <v>0</v>
      </c>
      <c r="I115" s="414">
        <f t="shared" ref="I115:I124" si="118">SUM(G115:H115)</f>
        <v>0</v>
      </c>
      <c r="J115" s="415">
        <f>ABRIL!L115</f>
        <v>0</v>
      </c>
      <c r="K115" s="208">
        <v>0</v>
      </c>
      <c r="L115" s="416">
        <f t="shared" ref="L115:L124" si="119">SUM(J115:K115)</f>
        <v>0</v>
      </c>
      <c r="M115" s="417">
        <f t="shared" ref="M115:M124" si="120">F115-I115</f>
        <v>0</v>
      </c>
      <c r="N115" s="416">
        <f t="shared" ref="N115:N124" si="121">F115-L115</f>
        <v>0</v>
      </c>
      <c r="O115" s="369"/>
      <c r="P115" s="204">
        <v>0</v>
      </c>
      <c r="Q115" s="210">
        <v>0</v>
      </c>
      <c r="R115" s="101"/>
      <c r="S115" s="266" t="str">
        <f>+IF(ABRIL!S115=0,"",ABRIL!S115)</f>
        <v>2.1.2.02.01.003.302</v>
      </c>
      <c r="T115" s="267" t="str">
        <f>+IF(ABRIL!T115=0,"",ABRIL!T115)</f>
        <v>Papeleria</v>
      </c>
      <c r="U115" s="373">
        <f>+ENERO!U115</f>
        <v>252782338.5</v>
      </c>
      <c r="V115" s="220">
        <f>ABRIL!V115+MAYO!AL115</f>
        <v>0</v>
      </c>
      <c r="W115" s="220">
        <f>ABRIL!W115+MAYO!AM115</f>
        <v>0</v>
      </c>
      <c r="X115" s="271">
        <f t="shared" ref="X115:X121" si="122">SUM(U115:W115)</f>
        <v>252782338.5</v>
      </c>
      <c r="Y115" s="270">
        <f>ABRIL!AA115</f>
        <v>96550361</v>
      </c>
      <c r="Z115" s="208">
        <v>18773052</v>
      </c>
      <c r="AA115" s="271">
        <f t="shared" ref="AA115:AA121" si="123">SUM(Y115:Z115)</f>
        <v>115323413</v>
      </c>
      <c r="AB115" s="270">
        <f>ABRIL!AD115</f>
        <v>76699369</v>
      </c>
      <c r="AC115" s="208">
        <v>15020398</v>
      </c>
      <c r="AD115" s="271">
        <f t="shared" ref="AD115:AD121" si="124">SUM(AB115:AC115)</f>
        <v>91719767</v>
      </c>
      <c r="AE115" s="270">
        <f>ABRIL!AG115</f>
        <v>4722107</v>
      </c>
      <c r="AF115" s="208">
        <v>3093377</v>
      </c>
      <c r="AG115" s="271">
        <f t="shared" ref="AG115:AG121" si="125">SUM(AE115:AF115)</f>
        <v>7815484</v>
      </c>
      <c r="AH115" s="270">
        <f t="shared" ref="AH115:AH121" si="126">X115-AA115</f>
        <v>137458925.5</v>
      </c>
      <c r="AI115" s="220">
        <f t="shared" ref="AI115:AI121" si="127">X115-AD115</f>
        <v>161062571.5</v>
      </c>
      <c r="AJ115" s="269">
        <f t="shared" ref="AJ115:AJ121" si="128">X115-AG115</f>
        <v>244966854.5</v>
      </c>
      <c r="AK115" s="101"/>
      <c r="AL115" s="204">
        <v>0</v>
      </c>
      <c r="AM115" s="210">
        <v>0</v>
      </c>
    </row>
    <row r="116" spans="1:39" ht="24.75" customHeight="1">
      <c r="A116" s="412" t="str">
        <f>+IF(ABRIL!A116=0,"",ABRIL!A116)</f>
        <v>2100-1</v>
      </c>
      <c r="B116" s="388" t="str">
        <f>+IF(ABRIL!B116=0,"",ABRIL!B116)</f>
        <v>Vigencia Anterior</v>
      </c>
      <c r="C116" s="204">
        <f>+ENERO!C116</f>
        <v>0</v>
      </c>
      <c r="D116" s="413">
        <f>ABRIL!D116+MAYO!P116</f>
        <v>0</v>
      </c>
      <c r="E116" s="413">
        <f>ABRIL!E116+MAYO!Q116</f>
        <v>0</v>
      </c>
      <c r="F116" s="414">
        <f t="shared" si="117"/>
        <v>0</v>
      </c>
      <c r="G116" s="415">
        <f>ABRIL!I116</f>
        <v>0</v>
      </c>
      <c r="H116" s="208">
        <v>0</v>
      </c>
      <c r="I116" s="414">
        <f t="shared" si="118"/>
        <v>0</v>
      </c>
      <c r="J116" s="415">
        <f>ABRIL!L116</f>
        <v>0</v>
      </c>
      <c r="K116" s="208">
        <v>0</v>
      </c>
      <c r="L116" s="416">
        <f t="shared" si="119"/>
        <v>0</v>
      </c>
      <c r="M116" s="417">
        <f t="shared" si="120"/>
        <v>0</v>
      </c>
      <c r="N116" s="416">
        <f t="shared" si="121"/>
        <v>0</v>
      </c>
      <c r="O116" s="369"/>
      <c r="P116" s="204">
        <v>0</v>
      </c>
      <c r="Q116" s="210">
        <v>0</v>
      </c>
      <c r="R116" s="101"/>
      <c r="S116" s="266" t="str">
        <f>+IF(ABRIL!S116=0,"",ABRIL!S116)</f>
        <v>2.1.2.02.01.003.301</v>
      </c>
      <c r="T116" s="267" t="str">
        <f>+IF(ABRIL!T116=0,"",ABRIL!T116)</f>
        <v>Combustible</v>
      </c>
      <c r="U116" s="373">
        <f>+ENERO!U116</f>
        <v>77916666.666666657</v>
      </c>
      <c r="V116" s="220">
        <f>ABRIL!V116+MAYO!AL116</f>
        <v>0</v>
      </c>
      <c r="W116" s="220">
        <f>ABRIL!W116+MAYO!AM116</f>
        <v>0</v>
      </c>
      <c r="X116" s="271">
        <f t="shared" si="122"/>
        <v>77916666.666666657</v>
      </c>
      <c r="Y116" s="270">
        <f>ABRIL!AA116</f>
        <v>60000000</v>
      </c>
      <c r="Z116" s="208">
        <v>0</v>
      </c>
      <c r="AA116" s="271">
        <f t="shared" si="123"/>
        <v>60000000</v>
      </c>
      <c r="AB116" s="270">
        <f>ABRIL!AD116</f>
        <v>13373015</v>
      </c>
      <c r="AC116" s="208">
        <v>3090184</v>
      </c>
      <c r="AD116" s="271">
        <f t="shared" si="124"/>
        <v>16463199</v>
      </c>
      <c r="AE116" s="270">
        <f>ABRIL!AG116</f>
        <v>2164298</v>
      </c>
      <c r="AF116" s="208">
        <v>12725485</v>
      </c>
      <c r="AG116" s="271">
        <f t="shared" si="125"/>
        <v>14889783</v>
      </c>
      <c r="AH116" s="270">
        <f t="shared" si="126"/>
        <v>17916666.666666657</v>
      </c>
      <c r="AI116" s="220">
        <f t="shared" si="127"/>
        <v>61453467.666666657</v>
      </c>
      <c r="AJ116" s="269">
        <f t="shared" si="128"/>
        <v>63026883.666666657</v>
      </c>
      <c r="AK116" s="101"/>
      <c r="AL116" s="204">
        <v>0</v>
      </c>
      <c r="AM116" s="210">
        <v>0</v>
      </c>
    </row>
    <row r="117" spans="1:39" ht="24.75" customHeight="1">
      <c r="A117" s="412">
        <f>+IF(ABRIL!A117=0,"",ABRIL!A117)</f>
        <v>2200</v>
      </c>
      <c r="B117" s="387" t="str">
        <f>+IF(ABRIL!B117=0,"",ABRIL!B117)</f>
        <v>CREDITO EXTERNO</v>
      </c>
      <c r="C117" s="204">
        <f>+ENERO!C117</f>
        <v>0</v>
      </c>
      <c r="D117" s="413">
        <f>ABRIL!D117+MAYO!P117</f>
        <v>0</v>
      </c>
      <c r="E117" s="413">
        <f>ABRIL!E117+MAYO!Q117</f>
        <v>0</v>
      </c>
      <c r="F117" s="414">
        <f t="shared" si="117"/>
        <v>0</v>
      </c>
      <c r="G117" s="415">
        <f>ABRIL!I117</f>
        <v>0</v>
      </c>
      <c r="H117" s="208">
        <v>0</v>
      </c>
      <c r="I117" s="414">
        <f t="shared" si="118"/>
        <v>0</v>
      </c>
      <c r="J117" s="415">
        <f>ABRIL!L117</f>
        <v>0</v>
      </c>
      <c r="K117" s="208">
        <v>0</v>
      </c>
      <c r="L117" s="416">
        <f t="shared" si="119"/>
        <v>0</v>
      </c>
      <c r="M117" s="417">
        <f t="shared" si="120"/>
        <v>0</v>
      </c>
      <c r="N117" s="416">
        <f t="shared" si="121"/>
        <v>0</v>
      </c>
      <c r="O117" s="369"/>
      <c r="P117" s="204">
        <v>0</v>
      </c>
      <c r="Q117" s="210">
        <v>0</v>
      </c>
      <c r="R117" s="101"/>
      <c r="S117" s="266" t="str">
        <f>+IF(ABRIL!S117=0,"",ABRIL!S117)</f>
        <v>2.1.3.07.02.031</v>
      </c>
      <c r="T117" s="267" t="str">
        <f>+IF(ABRIL!T117=0,"",ABRIL!T117)</f>
        <v>Programa de Salud Ocupacional</v>
      </c>
      <c r="U117" s="373">
        <f>+ENERO!U117</f>
        <v>20000000</v>
      </c>
      <c r="V117" s="220">
        <f>ABRIL!V117+MAYO!AL117</f>
        <v>0</v>
      </c>
      <c r="W117" s="220">
        <f>ABRIL!W117+MAYO!AM117</f>
        <v>0</v>
      </c>
      <c r="X117" s="271">
        <f t="shared" si="122"/>
        <v>20000000</v>
      </c>
      <c r="Y117" s="270">
        <f>ABRIL!AA117</f>
        <v>0</v>
      </c>
      <c r="Z117" s="208">
        <v>0</v>
      </c>
      <c r="AA117" s="271">
        <f t="shared" si="123"/>
        <v>0</v>
      </c>
      <c r="AB117" s="270">
        <f>ABRIL!AD117</f>
        <v>0</v>
      </c>
      <c r="AC117" s="208">
        <v>0</v>
      </c>
      <c r="AD117" s="271">
        <f t="shared" si="124"/>
        <v>0</v>
      </c>
      <c r="AE117" s="270">
        <f>ABRIL!AG117</f>
        <v>0</v>
      </c>
      <c r="AF117" s="208">
        <v>0</v>
      </c>
      <c r="AG117" s="271">
        <f t="shared" si="125"/>
        <v>0</v>
      </c>
      <c r="AH117" s="270">
        <f t="shared" si="126"/>
        <v>20000000</v>
      </c>
      <c r="AI117" s="220">
        <f t="shared" si="127"/>
        <v>20000000</v>
      </c>
      <c r="AJ117" s="269">
        <f t="shared" si="128"/>
        <v>20000000</v>
      </c>
      <c r="AK117" s="101"/>
      <c r="AL117" s="204">
        <v>0</v>
      </c>
      <c r="AM117" s="210">
        <v>0</v>
      </c>
    </row>
    <row r="118" spans="1:39" ht="24.75" customHeight="1">
      <c r="A118" s="412" t="str">
        <f>+IF(ABRIL!A118=0,"",ABRIL!A118)</f>
        <v>2200-1</v>
      </c>
      <c r="B118" s="388" t="str">
        <f>+IF(ABRIL!B118=0,"",ABRIL!B118)</f>
        <v>Vigencia Anterior</v>
      </c>
      <c r="C118" s="204">
        <f>+ENERO!C118</f>
        <v>0</v>
      </c>
      <c r="D118" s="413">
        <f>ABRIL!D118+MAYO!P118</f>
        <v>0</v>
      </c>
      <c r="E118" s="413">
        <f>ABRIL!E118+MAYO!Q118</f>
        <v>0</v>
      </c>
      <c r="F118" s="414">
        <f t="shared" si="117"/>
        <v>0</v>
      </c>
      <c r="G118" s="415">
        <f>ABRIL!I118</f>
        <v>0</v>
      </c>
      <c r="H118" s="208">
        <v>0</v>
      </c>
      <c r="I118" s="414">
        <f t="shared" si="118"/>
        <v>0</v>
      </c>
      <c r="J118" s="415">
        <f>ABRIL!L118</f>
        <v>0</v>
      </c>
      <c r="K118" s="208">
        <v>0</v>
      </c>
      <c r="L118" s="416">
        <f t="shared" si="119"/>
        <v>0</v>
      </c>
      <c r="M118" s="417">
        <f t="shared" si="120"/>
        <v>0</v>
      </c>
      <c r="N118" s="416">
        <f t="shared" si="121"/>
        <v>0</v>
      </c>
      <c r="O118" s="369"/>
      <c r="P118" s="204">
        <v>0</v>
      </c>
      <c r="Q118" s="210">
        <v>0</v>
      </c>
      <c r="R118" s="101"/>
      <c r="S118" s="266" t="str">
        <f>+IF(ABRIL!S118=0,"",ABRIL!S118)</f>
        <v>2.1.2.02.01.003.307</v>
      </c>
      <c r="T118" s="267" t="str">
        <f>+IF(ABRIL!T118=0,"",ABRIL!T118)</f>
        <v>Mantenimiento - Bienes Ambiental y Sanitaria</v>
      </c>
      <c r="U118" s="373">
        <f>+ENERO!U118</f>
        <v>15180000</v>
      </c>
      <c r="V118" s="220">
        <f>ABRIL!V118+MAYO!AL118</f>
        <v>0</v>
      </c>
      <c r="W118" s="220">
        <f>ABRIL!W118+MAYO!AM118</f>
        <v>0</v>
      </c>
      <c r="X118" s="271">
        <f t="shared" si="122"/>
        <v>15180000</v>
      </c>
      <c r="Y118" s="270">
        <f>ABRIL!AA118</f>
        <v>0</v>
      </c>
      <c r="Z118" s="208">
        <v>0</v>
      </c>
      <c r="AA118" s="271">
        <f t="shared" si="123"/>
        <v>0</v>
      </c>
      <c r="AB118" s="270">
        <f>ABRIL!AD118</f>
        <v>0</v>
      </c>
      <c r="AC118" s="208">
        <v>0</v>
      </c>
      <c r="AD118" s="271">
        <f t="shared" si="124"/>
        <v>0</v>
      </c>
      <c r="AE118" s="270">
        <f>ABRIL!AG118</f>
        <v>0</v>
      </c>
      <c r="AF118" s="208">
        <v>0</v>
      </c>
      <c r="AG118" s="271">
        <f t="shared" si="125"/>
        <v>0</v>
      </c>
      <c r="AH118" s="270">
        <f t="shared" si="126"/>
        <v>15180000</v>
      </c>
      <c r="AI118" s="220">
        <f t="shared" si="127"/>
        <v>15180000</v>
      </c>
      <c r="AJ118" s="269">
        <f t="shared" si="128"/>
        <v>15180000</v>
      </c>
      <c r="AK118" s="101"/>
      <c r="AL118" s="204">
        <v>0</v>
      </c>
      <c r="AM118" s="210">
        <v>0</v>
      </c>
    </row>
    <row r="119" spans="1:39" ht="24.75" customHeight="1">
      <c r="A119" s="412" t="str">
        <f>+IF(ABRIL!A119=0,"",ABRIL!A119)</f>
        <v>1.2.05.02</v>
      </c>
      <c r="B119" s="387" t="str">
        <f>+IF(ABRIL!B119=0,"",ABRIL!B119)</f>
        <v>Depositos (RENDIMIENTOS FINANCIEROS)</v>
      </c>
      <c r="C119" s="204">
        <f>+ENERO!C119</f>
        <v>0</v>
      </c>
      <c r="D119" s="413">
        <f>ABRIL!D119+MAYO!P119</f>
        <v>0</v>
      </c>
      <c r="E119" s="413">
        <f>ABRIL!E119+MAYO!Q119</f>
        <v>0</v>
      </c>
      <c r="F119" s="414">
        <f t="shared" si="117"/>
        <v>0</v>
      </c>
      <c r="G119" s="207">
        <f>ABRIL!I119</f>
        <v>0</v>
      </c>
      <c r="H119" s="208">
        <v>0</v>
      </c>
      <c r="I119" s="419">
        <f t="shared" si="118"/>
        <v>0</v>
      </c>
      <c r="J119" s="207">
        <f>ABRIL!L119</f>
        <v>0</v>
      </c>
      <c r="K119" s="208">
        <v>0</v>
      </c>
      <c r="L119" s="206">
        <f t="shared" si="119"/>
        <v>0</v>
      </c>
      <c r="M119" s="420">
        <f t="shared" si="120"/>
        <v>0</v>
      </c>
      <c r="N119" s="206">
        <f t="shared" si="121"/>
        <v>0</v>
      </c>
      <c r="O119" s="369"/>
      <c r="P119" s="204">
        <v>0</v>
      </c>
      <c r="Q119" s="210">
        <v>0</v>
      </c>
      <c r="R119" s="101"/>
      <c r="S119" s="266" t="str">
        <f>+IF(ABRIL!S119=0,"",ABRIL!S119)</f>
        <v>2.1.2.02.01.003.305</v>
      </c>
      <c r="T119" s="267" t="str">
        <f>+IF(ABRIL!T119=0,"",ABRIL!T119)</f>
        <v>Mantenimiento -  Partes, accesorios, herramientas</v>
      </c>
      <c r="U119" s="373">
        <f>+ENERO!U119</f>
        <v>0</v>
      </c>
      <c r="V119" s="220">
        <f>ABRIL!V119+MAYO!AL119</f>
        <v>0</v>
      </c>
      <c r="W119" s="220">
        <f>ABRIL!W119+MAYO!AM119</f>
        <v>0</v>
      </c>
      <c r="X119" s="271">
        <f t="shared" si="122"/>
        <v>0</v>
      </c>
      <c r="Y119" s="270">
        <f>ABRIL!AA119</f>
        <v>0</v>
      </c>
      <c r="Z119" s="208">
        <v>0</v>
      </c>
      <c r="AA119" s="271">
        <f t="shared" si="123"/>
        <v>0</v>
      </c>
      <c r="AB119" s="270">
        <f>ABRIL!AD119</f>
        <v>0</v>
      </c>
      <c r="AC119" s="208">
        <v>0</v>
      </c>
      <c r="AD119" s="271">
        <f t="shared" si="124"/>
        <v>0</v>
      </c>
      <c r="AE119" s="270">
        <f>ABRIL!AG119</f>
        <v>0</v>
      </c>
      <c r="AF119" s="208">
        <v>0</v>
      </c>
      <c r="AG119" s="271">
        <f t="shared" si="125"/>
        <v>0</v>
      </c>
      <c r="AH119" s="270">
        <f t="shared" si="126"/>
        <v>0</v>
      </c>
      <c r="AI119" s="220">
        <f t="shared" si="127"/>
        <v>0</v>
      </c>
      <c r="AJ119" s="269">
        <f t="shared" si="128"/>
        <v>0</v>
      </c>
      <c r="AK119" s="101"/>
      <c r="AL119" s="204">
        <v>0</v>
      </c>
      <c r="AM119" s="210">
        <v>0</v>
      </c>
    </row>
    <row r="120" spans="1:39" ht="24.75" customHeight="1">
      <c r="A120" s="421">
        <f>+IF(ABRIL!A120=0,"",ABRIL!A120)</f>
        <v>2400</v>
      </c>
      <c r="B120" s="388" t="str">
        <f>+IF(ABRIL!B120=0,"",ABRIL!B120)</f>
        <v>VENTA DE ACTIVOS</v>
      </c>
      <c r="C120" s="204">
        <f>+ENERO!C120</f>
        <v>0</v>
      </c>
      <c r="D120" s="413">
        <f>ABRIL!D120+MAYO!P120</f>
        <v>0</v>
      </c>
      <c r="E120" s="413">
        <f>ABRIL!E120+MAYO!Q120</f>
        <v>0</v>
      </c>
      <c r="F120" s="414">
        <f t="shared" si="117"/>
        <v>0</v>
      </c>
      <c r="G120" s="207">
        <f>ABRIL!I120</f>
        <v>0</v>
      </c>
      <c r="H120" s="208">
        <v>0</v>
      </c>
      <c r="I120" s="419">
        <f t="shared" si="118"/>
        <v>0</v>
      </c>
      <c r="J120" s="207">
        <f>ABRIL!L120</f>
        <v>0</v>
      </c>
      <c r="K120" s="208">
        <v>0</v>
      </c>
      <c r="L120" s="206">
        <f t="shared" si="119"/>
        <v>0</v>
      </c>
      <c r="M120" s="420">
        <f t="shared" si="120"/>
        <v>0</v>
      </c>
      <c r="N120" s="206">
        <f t="shared" si="121"/>
        <v>0</v>
      </c>
      <c r="O120" s="67"/>
      <c r="P120" s="204">
        <v>0</v>
      </c>
      <c r="Q120" s="210">
        <v>0</v>
      </c>
      <c r="R120" s="101"/>
      <c r="S120" s="266" t="str">
        <f>+IF(ABRIL!S120=0,"",ABRIL!S120)</f>
        <v>2.1.2.02.01.003.308</v>
      </c>
      <c r="T120" s="267" t="str">
        <f>+IF(ABRIL!T120=0,"",ABRIL!T120)</f>
        <v>Mantenimiento - Bienes Adecuaciones locativas</v>
      </c>
      <c r="U120" s="373">
        <f>+ENERO!U120</f>
        <v>704984268</v>
      </c>
      <c r="V120" s="220">
        <f>ABRIL!V120+MAYO!AL120</f>
        <v>0</v>
      </c>
      <c r="W120" s="220">
        <f>ABRIL!W120+MAYO!AM120</f>
        <v>0</v>
      </c>
      <c r="X120" s="271">
        <f t="shared" si="122"/>
        <v>704984268</v>
      </c>
      <c r="Y120" s="270">
        <f>ABRIL!AA120</f>
        <v>0</v>
      </c>
      <c r="Z120" s="208">
        <v>0</v>
      </c>
      <c r="AA120" s="271">
        <f t="shared" si="123"/>
        <v>0</v>
      </c>
      <c r="AB120" s="270">
        <f>ABRIL!AD120</f>
        <v>0</v>
      </c>
      <c r="AC120" s="208">
        <v>0</v>
      </c>
      <c r="AD120" s="271">
        <f t="shared" si="124"/>
        <v>0</v>
      </c>
      <c r="AE120" s="270">
        <f>ABRIL!AG120</f>
        <v>0</v>
      </c>
      <c r="AF120" s="208">
        <v>0</v>
      </c>
      <c r="AG120" s="271">
        <f t="shared" si="125"/>
        <v>0</v>
      </c>
      <c r="AH120" s="270">
        <f t="shared" si="126"/>
        <v>704984268</v>
      </c>
      <c r="AI120" s="220">
        <f t="shared" si="127"/>
        <v>704984268</v>
      </c>
      <c r="AJ120" s="269">
        <f t="shared" si="128"/>
        <v>704984268</v>
      </c>
      <c r="AK120" s="101"/>
      <c r="AL120" s="204">
        <v>0</v>
      </c>
      <c r="AM120" s="210">
        <v>0</v>
      </c>
    </row>
    <row r="121" spans="1:39" ht="24.75" customHeight="1">
      <c r="A121" s="421">
        <f>+IF(ABRIL!A121=0,"",ABRIL!A121)</f>
        <v>2500</v>
      </c>
      <c r="B121" s="388" t="str">
        <f>+IF(ABRIL!B121=0,"",ABRIL!B121)</f>
        <v>DONACIONES</v>
      </c>
      <c r="C121" s="204">
        <f>+ENERO!C121</f>
        <v>0</v>
      </c>
      <c r="D121" s="413">
        <f>ABRIL!D121+MAYO!P121</f>
        <v>0</v>
      </c>
      <c r="E121" s="413">
        <f>ABRIL!E121+MAYO!Q121</f>
        <v>0</v>
      </c>
      <c r="F121" s="414">
        <f t="shared" si="117"/>
        <v>0</v>
      </c>
      <c r="G121" s="207">
        <f>ABRIL!I121</f>
        <v>0</v>
      </c>
      <c r="H121" s="208">
        <v>0</v>
      </c>
      <c r="I121" s="419">
        <f t="shared" si="118"/>
        <v>0</v>
      </c>
      <c r="J121" s="207">
        <f>ABRIL!L121</f>
        <v>0</v>
      </c>
      <c r="K121" s="208">
        <v>0</v>
      </c>
      <c r="L121" s="206">
        <f t="shared" si="119"/>
        <v>0</v>
      </c>
      <c r="M121" s="420">
        <f t="shared" si="120"/>
        <v>0</v>
      </c>
      <c r="N121" s="206">
        <f t="shared" si="121"/>
        <v>0</v>
      </c>
      <c r="O121" s="67"/>
      <c r="P121" s="204">
        <v>0</v>
      </c>
      <c r="Q121" s="210">
        <v>0</v>
      </c>
      <c r="R121" s="101"/>
      <c r="S121" s="266" t="str">
        <f>+IF(ABRIL!S121=0,"",ABRIL!S121)</f>
        <v>2.1.2.02.02.008.99.02</v>
      </c>
      <c r="T121" s="267" t="str">
        <f>+IF(ABRIL!T121=0,"",ABRIL!T121)</f>
        <v>Vigencias Anteriores Vigilancia</v>
      </c>
      <c r="U121" s="373">
        <f>+ENERO!U121</f>
        <v>176000000</v>
      </c>
      <c r="V121" s="220">
        <f>ABRIL!V121+MAYO!AL121</f>
        <v>0</v>
      </c>
      <c r="W121" s="220">
        <f>ABRIL!W121+MAYO!AM121</f>
        <v>0</v>
      </c>
      <c r="X121" s="271">
        <f t="shared" si="122"/>
        <v>176000000</v>
      </c>
      <c r="Y121" s="270">
        <f>ABRIL!AA121</f>
        <v>173710906</v>
      </c>
      <c r="Z121" s="208">
        <v>0</v>
      </c>
      <c r="AA121" s="271">
        <f t="shared" si="123"/>
        <v>173710906</v>
      </c>
      <c r="AB121" s="270">
        <f>ABRIL!AD121</f>
        <v>173710906</v>
      </c>
      <c r="AC121" s="208">
        <v>0</v>
      </c>
      <c r="AD121" s="271">
        <f t="shared" si="124"/>
        <v>173710906</v>
      </c>
      <c r="AE121" s="270">
        <f>ABRIL!AG121</f>
        <v>173710906</v>
      </c>
      <c r="AF121" s="208">
        <v>0</v>
      </c>
      <c r="AG121" s="271">
        <f t="shared" si="125"/>
        <v>173710906</v>
      </c>
      <c r="AH121" s="270">
        <f t="shared" si="126"/>
        <v>2289094</v>
      </c>
      <c r="AI121" s="220">
        <f t="shared" si="127"/>
        <v>2289094</v>
      </c>
      <c r="AJ121" s="269">
        <f t="shared" si="128"/>
        <v>2289094</v>
      </c>
      <c r="AK121" s="101"/>
      <c r="AL121" s="204">
        <v>0</v>
      </c>
      <c r="AM121" s="210">
        <v>0</v>
      </c>
    </row>
    <row r="122" spans="1:39" ht="24.75" customHeight="1">
      <c r="A122" s="421">
        <f>+IF(ABRIL!A122=0,"",ABRIL!A122)</f>
        <v>2600</v>
      </c>
      <c r="B122" s="388" t="str">
        <f>+IF(ABRIL!B122=0,"",ABRIL!B122)</f>
        <v>RECUPERACIÓN DE CARTERA (AÑO 2023 Y ANTERIORES)</v>
      </c>
      <c r="C122" s="204">
        <f>+ENERO!C122</f>
        <v>0</v>
      </c>
      <c r="D122" s="413">
        <f>ABRIL!D122+MAYO!P122</f>
        <v>0</v>
      </c>
      <c r="E122" s="413">
        <f>ABRIL!E122+MAYO!Q122</f>
        <v>0</v>
      </c>
      <c r="F122" s="414">
        <f t="shared" si="117"/>
        <v>0</v>
      </c>
      <c r="G122" s="207">
        <f>ABRIL!I122</f>
        <v>0</v>
      </c>
      <c r="H122" s="208">
        <v>0</v>
      </c>
      <c r="I122" s="419">
        <f t="shared" si="118"/>
        <v>0</v>
      </c>
      <c r="J122" s="207">
        <f>ABRIL!L122</f>
        <v>0</v>
      </c>
      <c r="K122" s="208">
        <v>0</v>
      </c>
      <c r="L122" s="206">
        <f t="shared" si="119"/>
        <v>0</v>
      </c>
      <c r="M122" s="420">
        <f t="shared" si="120"/>
        <v>0</v>
      </c>
      <c r="N122" s="206">
        <f t="shared" si="121"/>
        <v>0</v>
      </c>
      <c r="O122" s="67"/>
      <c r="P122" s="204">
        <v>0</v>
      </c>
      <c r="Q122" s="210">
        <v>0</v>
      </c>
      <c r="R122" s="101"/>
      <c r="S122" s="189" t="str">
        <f>+IF(ABRIL!S122=0,"",ABRIL!S122)</f>
        <v/>
      </c>
      <c r="T122" s="488" t="str">
        <f>+IF(ABRIL!T122=0,"",ABRIL!T122)</f>
        <v/>
      </c>
      <c r="U122" s="191"/>
      <c r="V122" s="191"/>
      <c r="W122" s="191"/>
      <c r="X122" s="191"/>
      <c r="Y122" s="191"/>
      <c r="Z122" s="191"/>
      <c r="AA122" s="191"/>
      <c r="AB122" s="191"/>
      <c r="AC122" s="191"/>
      <c r="AD122" s="191"/>
      <c r="AE122" s="191"/>
      <c r="AF122" s="191"/>
      <c r="AG122" s="191"/>
      <c r="AH122" s="191"/>
      <c r="AI122" s="191"/>
      <c r="AJ122" s="192"/>
      <c r="AK122" s="101"/>
      <c r="AL122" s="370"/>
      <c r="AM122" s="371"/>
    </row>
    <row r="123" spans="1:39" ht="24.75" customHeight="1">
      <c r="A123" s="421">
        <f>+IF(ABRIL!A123=0,"",ABRIL!A123)</f>
        <v>2700</v>
      </c>
      <c r="B123" s="388" t="str">
        <f>+IF(ABRIL!B123=0,"",ABRIL!B123)</f>
        <v>OTROS INGRESOS DE CAPITAL</v>
      </c>
      <c r="C123" s="204">
        <f>+ENERO!C123</f>
        <v>0</v>
      </c>
      <c r="D123" s="413">
        <f>ABRIL!D123+MAYO!P123</f>
        <v>0</v>
      </c>
      <c r="E123" s="413">
        <f>ABRIL!E123+MAYO!Q123</f>
        <v>0</v>
      </c>
      <c r="F123" s="414">
        <f t="shared" si="117"/>
        <v>0</v>
      </c>
      <c r="G123" s="207">
        <f>ABRIL!I123</f>
        <v>0</v>
      </c>
      <c r="H123" s="208">
        <v>0</v>
      </c>
      <c r="I123" s="419">
        <f t="shared" si="118"/>
        <v>0</v>
      </c>
      <c r="J123" s="207">
        <f>ABRIL!L123</f>
        <v>0</v>
      </c>
      <c r="K123" s="208">
        <v>0</v>
      </c>
      <c r="L123" s="206">
        <f t="shared" si="119"/>
        <v>0</v>
      </c>
      <c r="M123" s="420">
        <f t="shared" si="120"/>
        <v>0</v>
      </c>
      <c r="N123" s="206">
        <f t="shared" si="121"/>
        <v>0</v>
      </c>
      <c r="O123" s="67"/>
      <c r="P123" s="204">
        <v>0</v>
      </c>
      <c r="Q123" s="210">
        <v>0</v>
      </c>
      <c r="R123" s="101"/>
      <c r="S123" s="257">
        <f>+IF(ABRIL!S123=0,"",ABRIL!S123)</f>
        <v>2010200</v>
      </c>
      <c r="T123" s="546" t="str">
        <f>+IF(ABRIL!T123=0,"",ABRIL!T123)</f>
        <v>Adquisición de Servicios</v>
      </c>
      <c r="U123" s="230">
        <f t="shared" ref="U123:AJ123" si="129">SUM(U124:U139)</f>
        <v>8280375089.2777777</v>
      </c>
      <c r="V123" s="231">
        <f t="shared" si="129"/>
        <v>-680062130</v>
      </c>
      <c r="W123" s="231">
        <f t="shared" si="129"/>
        <v>169879991</v>
      </c>
      <c r="X123" s="234">
        <f t="shared" si="129"/>
        <v>7770192950.2777777</v>
      </c>
      <c r="Y123" s="233">
        <f t="shared" si="129"/>
        <v>5485884488</v>
      </c>
      <c r="Z123" s="231">
        <f t="shared" si="129"/>
        <v>131664296</v>
      </c>
      <c r="AA123" s="234">
        <f t="shared" si="129"/>
        <v>5617548784</v>
      </c>
      <c r="AB123" s="233">
        <f t="shared" si="129"/>
        <v>3536897886</v>
      </c>
      <c r="AC123" s="231">
        <f t="shared" si="129"/>
        <v>144084182</v>
      </c>
      <c r="AD123" s="234">
        <f t="shared" si="129"/>
        <v>3680982068</v>
      </c>
      <c r="AE123" s="233">
        <f t="shared" si="129"/>
        <v>2493983505</v>
      </c>
      <c r="AF123" s="231">
        <f t="shared" si="129"/>
        <v>546941362</v>
      </c>
      <c r="AG123" s="234">
        <f t="shared" si="129"/>
        <v>3040924867</v>
      </c>
      <c r="AH123" s="233">
        <f t="shared" si="129"/>
        <v>2152644166.2777777</v>
      </c>
      <c r="AI123" s="231">
        <f t="shared" si="129"/>
        <v>4089210882.2777777</v>
      </c>
      <c r="AJ123" s="232">
        <f t="shared" si="129"/>
        <v>4729268083.2777777</v>
      </c>
      <c r="AK123" s="101"/>
      <c r="AL123" s="233">
        <f>SUM(AL124:AL139)</f>
        <v>937563</v>
      </c>
      <c r="AM123" s="232">
        <f>SUM(AM124:AM139)</f>
        <v>0</v>
      </c>
    </row>
    <row r="124" spans="1:39" ht="24.75" customHeight="1" thickBot="1">
      <c r="A124" s="428">
        <f>+IF(ABRIL!A124=0,"",ABRIL!A124)</f>
        <v>2800</v>
      </c>
      <c r="B124" s="390" t="str">
        <f>+IF(ABRIL!B124=0,"",ABRIL!B124)</f>
        <v/>
      </c>
      <c r="C124" s="242">
        <f>+ENERO!C124</f>
        <v>0</v>
      </c>
      <c r="D124" s="429">
        <f>ABRIL!D124+MAYO!P124</f>
        <v>0</v>
      </c>
      <c r="E124" s="429">
        <f>ABRIL!E124+MAYO!Q124</f>
        <v>0</v>
      </c>
      <c r="F124" s="430">
        <f t="shared" si="117"/>
        <v>0</v>
      </c>
      <c r="G124" s="245">
        <f>ABRIL!I124</f>
        <v>0</v>
      </c>
      <c r="H124" s="246">
        <v>0</v>
      </c>
      <c r="I124" s="431">
        <f t="shared" si="118"/>
        <v>0</v>
      </c>
      <c r="J124" s="245">
        <f>ABRIL!L124</f>
        <v>0</v>
      </c>
      <c r="K124" s="246">
        <v>0</v>
      </c>
      <c r="L124" s="244">
        <f t="shared" si="119"/>
        <v>0</v>
      </c>
      <c r="M124" s="432">
        <f t="shared" si="120"/>
        <v>0</v>
      </c>
      <c r="N124" s="244">
        <f t="shared" si="121"/>
        <v>0</v>
      </c>
      <c r="O124" s="67"/>
      <c r="P124" s="242">
        <v>0</v>
      </c>
      <c r="Q124" s="248">
        <v>0</v>
      </c>
      <c r="R124" s="101"/>
      <c r="S124" s="266" t="str">
        <f>+IF(ABRIL!S124=0,"",ABRIL!S124)</f>
        <v>2.1.2.02.02.007.702</v>
      </c>
      <c r="T124" s="267" t="str">
        <f>+IF(ABRIL!T124=0,"",ABRIL!T124)</f>
        <v>Seguros</v>
      </c>
      <c r="U124" s="373">
        <f>+ENERO!U124</f>
        <v>1040000000</v>
      </c>
      <c r="V124" s="220">
        <f>ABRIL!V124+MAYO!AL124</f>
        <v>0</v>
      </c>
      <c r="W124" s="220">
        <f>ABRIL!W124+MAYO!AM124</f>
        <v>0</v>
      </c>
      <c r="X124" s="271">
        <f t="shared" ref="X124:X139" si="130">SUM(U124:W124)</f>
        <v>1040000000</v>
      </c>
      <c r="Y124" s="270">
        <f>ABRIL!AA124</f>
        <v>877714894</v>
      </c>
      <c r="Z124" s="208">
        <v>1729738</v>
      </c>
      <c r="AA124" s="271">
        <f t="shared" ref="AA124:AA139" si="131">SUM(Y124:Z124)</f>
        <v>879444632</v>
      </c>
      <c r="AB124" s="270">
        <f>ABRIL!AD124</f>
        <v>876943530</v>
      </c>
      <c r="AC124" s="208">
        <v>2500644</v>
      </c>
      <c r="AD124" s="271">
        <f t="shared" ref="AD124:AD139" si="132">SUM(AB124:AC124)</f>
        <v>879444174</v>
      </c>
      <c r="AE124" s="270">
        <f>ABRIL!AG124</f>
        <v>866536565</v>
      </c>
      <c r="AF124" s="208">
        <v>6051824</v>
      </c>
      <c r="AG124" s="271">
        <f t="shared" ref="AG124:AG139" si="133">SUM(AE124:AF124)</f>
        <v>872588389</v>
      </c>
      <c r="AH124" s="270">
        <f t="shared" ref="AH124:AH139" si="134">X124-AA124</f>
        <v>160555368</v>
      </c>
      <c r="AI124" s="220">
        <f t="shared" ref="AI124:AI139" si="135">X124-AD124</f>
        <v>160555826</v>
      </c>
      <c r="AJ124" s="269">
        <f t="shared" ref="AJ124:AJ139" si="136">X124-AG124</f>
        <v>167411611</v>
      </c>
      <c r="AK124" s="101"/>
      <c r="AL124" s="204">
        <v>0</v>
      </c>
      <c r="AM124" s="210">
        <v>0</v>
      </c>
    </row>
    <row r="125" spans="1:39" ht="24.75" customHeight="1" thickBot="1">
      <c r="A125" s="398"/>
      <c r="B125" s="399"/>
      <c r="C125" s="400"/>
      <c r="D125" s="400"/>
      <c r="E125" s="400"/>
      <c r="F125" s="400"/>
      <c r="G125" s="400"/>
      <c r="H125" s="400"/>
      <c r="I125" s="400"/>
      <c r="J125" s="400"/>
      <c r="K125" s="400"/>
      <c r="L125" s="400"/>
      <c r="M125" s="400"/>
      <c r="N125" s="401"/>
      <c r="O125" s="67"/>
      <c r="P125" s="402"/>
      <c r="Q125" s="401"/>
      <c r="R125" s="101"/>
      <c r="S125" s="266" t="str">
        <f>+IF(ABRIL!S125=0,"",ABRIL!S125)</f>
        <v>2.1.2.02.02.007.703</v>
      </c>
      <c r="T125" s="267" t="str">
        <f>+IF(ABRIL!T125=0,"",ABRIL!T125)</f>
        <v>Arrendamientos</v>
      </c>
      <c r="U125" s="373">
        <f>+ENERO!U125</f>
        <v>75000000</v>
      </c>
      <c r="V125" s="220">
        <f>ABRIL!V125+MAYO!AL125</f>
        <v>10000000</v>
      </c>
      <c r="W125" s="220">
        <f>ABRIL!W125+MAYO!AM125</f>
        <v>0</v>
      </c>
      <c r="X125" s="271">
        <f t="shared" si="130"/>
        <v>85000000</v>
      </c>
      <c r="Y125" s="270">
        <f>ABRIL!AA125</f>
        <v>80000000</v>
      </c>
      <c r="Z125" s="208">
        <v>0</v>
      </c>
      <c r="AA125" s="271">
        <f t="shared" si="131"/>
        <v>80000000</v>
      </c>
      <c r="AB125" s="270">
        <f>ABRIL!AD125</f>
        <v>20000000</v>
      </c>
      <c r="AC125" s="208">
        <v>0</v>
      </c>
      <c r="AD125" s="271">
        <f t="shared" si="132"/>
        <v>20000000</v>
      </c>
      <c r="AE125" s="270">
        <f>ABRIL!AG125</f>
        <v>20000000</v>
      </c>
      <c r="AF125" s="208">
        <v>0</v>
      </c>
      <c r="AG125" s="271">
        <f t="shared" si="133"/>
        <v>20000000</v>
      </c>
      <c r="AH125" s="270">
        <f t="shared" si="134"/>
        <v>5000000</v>
      </c>
      <c r="AI125" s="220">
        <f t="shared" si="135"/>
        <v>65000000</v>
      </c>
      <c r="AJ125" s="269">
        <f t="shared" si="136"/>
        <v>65000000</v>
      </c>
      <c r="AK125" s="101"/>
      <c r="AL125" s="204">
        <v>0</v>
      </c>
      <c r="AM125" s="210">
        <v>0</v>
      </c>
    </row>
    <row r="126" spans="1:39" ht="24.75" customHeight="1" thickBot="1">
      <c r="A126" s="433" t="s">
        <v>278</v>
      </c>
      <c r="B126" s="434"/>
      <c r="C126" s="435">
        <f t="shared" ref="C126:N126" si="137">C8-C128</f>
        <v>138960268668.37653</v>
      </c>
      <c r="D126" s="435">
        <f t="shared" si="137"/>
        <v>0</v>
      </c>
      <c r="E126" s="435">
        <f t="shared" si="137"/>
        <v>22781422521</v>
      </c>
      <c r="F126" s="435">
        <f t="shared" si="137"/>
        <v>161741691189.37653</v>
      </c>
      <c r="G126" s="435">
        <f t="shared" si="137"/>
        <v>58500332475</v>
      </c>
      <c r="H126" s="435">
        <f t="shared" si="137"/>
        <v>14217438214</v>
      </c>
      <c r="I126" s="435">
        <f t="shared" si="137"/>
        <v>72698033900</v>
      </c>
      <c r="J126" s="435">
        <f t="shared" si="137"/>
        <v>15682523510</v>
      </c>
      <c r="K126" s="435">
        <f t="shared" si="137"/>
        <v>8368220858</v>
      </c>
      <c r="L126" s="435">
        <f t="shared" si="137"/>
        <v>24031007579</v>
      </c>
      <c r="M126" s="435">
        <f t="shared" si="137"/>
        <v>89043657289.376495</v>
      </c>
      <c r="N126" s="436">
        <f t="shared" si="137"/>
        <v>137710683610.37653</v>
      </c>
      <c r="O126" s="67"/>
      <c r="P126" s="437">
        <f>P8-P128</f>
        <v>0</v>
      </c>
      <c r="Q126" s="438">
        <f>Q8-Q128</f>
        <v>7054239958</v>
      </c>
      <c r="R126" s="101"/>
      <c r="S126" s="266" t="str">
        <f>+IF(ABRIL!S126=0,"",ABRIL!S126)</f>
        <v>2.1.2.02.02.008.801</v>
      </c>
      <c r="T126" s="267" t="str">
        <f>+IF(ABRIL!T126=0,"",ABRIL!T126)</f>
        <v>Servicios Publicos (energia, Gas, Agua, Internet, Telefonia Fija y Movil)</v>
      </c>
      <c r="U126" s="373">
        <f>+ENERO!U126</f>
        <v>2804022659</v>
      </c>
      <c r="V126" s="220">
        <f>ABRIL!V126+MAYO!AL126</f>
        <v>-180000000</v>
      </c>
      <c r="W126" s="220">
        <f>ABRIL!W126+MAYO!AM126</f>
        <v>0</v>
      </c>
      <c r="X126" s="271">
        <f t="shared" si="130"/>
        <v>2624022659</v>
      </c>
      <c r="Y126" s="270">
        <f>ABRIL!AA126</f>
        <v>1097328364</v>
      </c>
      <c r="Z126" s="208">
        <v>93216103</v>
      </c>
      <c r="AA126" s="271">
        <f t="shared" si="131"/>
        <v>1190544467</v>
      </c>
      <c r="AB126" s="270">
        <f>ABRIL!AD126</f>
        <v>1096479864</v>
      </c>
      <c r="AC126" s="208">
        <v>78072257</v>
      </c>
      <c r="AD126" s="271">
        <f t="shared" si="132"/>
        <v>1174552121</v>
      </c>
      <c r="AE126" s="270">
        <f>ABRIL!AG126</f>
        <v>896096472</v>
      </c>
      <c r="AF126" s="208">
        <v>215156139</v>
      </c>
      <c r="AG126" s="271">
        <f t="shared" si="133"/>
        <v>1111252611</v>
      </c>
      <c r="AH126" s="270">
        <f t="shared" si="134"/>
        <v>1433478192</v>
      </c>
      <c r="AI126" s="220">
        <f t="shared" si="135"/>
        <v>1449470538</v>
      </c>
      <c r="AJ126" s="269">
        <f t="shared" si="136"/>
        <v>1512770048</v>
      </c>
      <c r="AK126" s="101"/>
      <c r="AL126" s="204">
        <v>0</v>
      </c>
      <c r="AM126" s="210">
        <v>0</v>
      </c>
    </row>
    <row r="127" spans="1:39" ht="24.75" customHeight="1" thickBot="1">
      <c r="A127" s="556"/>
      <c r="B127" s="399"/>
      <c r="C127" s="400"/>
      <c r="D127" s="400"/>
      <c r="E127" s="400"/>
      <c r="F127" s="400"/>
      <c r="G127" s="400"/>
      <c r="H127" s="400"/>
      <c r="I127" s="400"/>
      <c r="J127" s="400"/>
      <c r="K127" s="400"/>
      <c r="L127" s="400"/>
      <c r="M127" s="400"/>
      <c r="N127" s="401"/>
      <c r="O127" s="67"/>
      <c r="P127" s="402"/>
      <c r="Q127" s="401"/>
      <c r="R127" s="101"/>
      <c r="S127" s="266" t="str">
        <f>+IF(ABRIL!S127=0,"",ABRIL!S127)</f>
        <v>2.1.2.02.02.006.603</v>
      </c>
      <c r="T127" s="267" t="str">
        <f>+IF(ABRIL!T127=0,"",ABRIL!T127)</f>
        <v>Comunicaciones y Transportes</v>
      </c>
      <c r="U127" s="373">
        <f>+ENERO!U127</f>
        <v>341244561.11111116</v>
      </c>
      <c r="V127" s="220">
        <f>ABRIL!V127+MAYO!AL127</f>
        <v>0</v>
      </c>
      <c r="W127" s="220">
        <f>ABRIL!W127+MAYO!AM127</f>
        <v>0</v>
      </c>
      <c r="X127" s="271">
        <f t="shared" si="130"/>
        <v>341244561.11111116</v>
      </c>
      <c r="Y127" s="270">
        <f>ABRIL!AA127</f>
        <v>212458100</v>
      </c>
      <c r="Z127" s="208">
        <v>1108350</v>
      </c>
      <c r="AA127" s="271">
        <f t="shared" si="131"/>
        <v>213566450</v>
      </c>
      <c r="AB127" s="270">
        <f>ABRIL!AD127</f>
        <v>52398928</v>
      </c>
      <c r="AC127" s="208">
        <v>20667106</v>
      </c>
      <c r="AD127" s="271">
        <f t="shared" si="132"/>
        <v>73066034</v>
      </c>
      <c r="AE127" s="270">
        <f>ABRIL!AG127</f>
        <v>31113532</v>
      </c>
      <c r="AF127" s="208">
        <v>16525772</v>
      </c>
      <c r="AG127" s="271">
        <f t="shared" si="133"/>
        <v>47639304</v>
      </c>
      <c r="AH127" s="270">
        <f t="shared" si="134"/>
        <v>127678111.11111116</v>
      </c>
      <c r="AI127" s="220">
        <f t="shared" si="135"/>
        <v>268178527.11111116</v>
      </c>
      <c r="AJ127" s="269">
        <f t="shared" si="136"/>
        <v>293605257.11111116</v>
      </c>
      <c r="AK127" s="101"/>
      <c r="AL127" s="204">
        <v>0</v>
      </c>
      <c r="AM127" s="210">
        <v>0</v>
      </c>
    </row>
    <row r="128" spans="1:39" ht="24.75" customHeight="1" thickBot="1">
      <c r="A128" s="439" t="s">
        <v>280</v>
      </c>
      <c r="B128" s="440"/>
      <c r="C128" s="876">
        <f>SUM(C124+C111+C102+C92+C83+C80+C77+C74+C71+C68+C65+C62+C59+C56+C53+C50+C47+C44+C37+C34+C31+C27+C24)</f>
        <v>19182884469.099998</v>
      </c>
      <c r="D128" s="876">
        <f>SUMIF($B8:$B$122,$B$24,D8:D122)+D122</f>
        <v>0</v>
      </c>
      <c r="E128" s="876">
        <f>SUM(E124+E111+E102+E92+E83+E80+E77+E74+E71+E68+E65+E62+E59+E56+E53+E50+E47+E44+E37+E34+E31+E27+E24)</f>
        <v>6880957871</v>
      </c>
      <c r="F128" s="876">
        <f>SUM(F124+F111+F102+F92+F83+F80+F77+F74+F71+F68+F65+F62+F59+F56+F53+F50+F47+F44+F37+F34+F31+F27+F24)</f>
        <v>26063842340.099998</v>
      </c>
      <c r="G128" s="876">
        <f>SUMIF($B8:$B$122,$B$24,G8:G122)+G122</f>
        <v>32005970342</v>
      </c>
      <c r="H128" s="876">
        <f>SUM(H124+H111+H102+H92+H83+H80+H77+H74+H71+H68+H65+H62+H59+H56+H53+H50+H47+H44+H37+H34+H31+H27+H24)</f>
        <v>6274767235</v>
      </c>
      <c r="I128" s="876">
        <f>SUM(I124+I111+I102+I92+I83+I80+I77+I74+I71+I68+I65+I62+I59+I56+I53+I50+I47+I44+I37+I34+I31+I27+I24)</f>
        <v>38300474366</v>
      </c>
      <c r="J128" s="876">
        <f>SUMIF($B8:$B$122,$B$24,J8:J122)+J1211</f>
        <v>32005970342</v>
      </c>
      <c r="K128" s="876">
        <f>SUM(K124+K111+K102+K92+K83+K80+K77+K74+K71+K68+K65+K62+K59+K56+K53+K50+K47+K44+K37+K34+K31+K27+K24)</f>
        <v>6274767235</v>
      </c>
      <c r="L128" s="876">
        <f>SUM(L124+L111+L102+L92+L83+L80+L77+L74+L71+L68+L65+L62+L59+L56+L53+L50+L47+L44+L37+L34+L31+L27+L24)</f>
        <v>38300474366</v>
      </c>
      <c r="M128" s="876">
        <f>SUMIF($B8:$B$122,$B$24,M8:M122)+M12</f>
        <v>-12236632025.9</v>
      </c>
      <c r="N128" s="442">
        <f>SUMIF($B8:$B$122,$B$24,N8:N122)+N122</f>
        <v>-12236632025.9</v>
      </c>
      <c r="O128" s="369"/>
      <c r="P128" s="441">
        <f>SUMIF($B8:$B$122,$B$24,P8:P122)+P122</f>
        <v>0</v>
      </c>
      <c r="Q128" s="443">
        <f>SUMIF($B8:$B$122,$B$24,Q8:Q122)+Q122</f>
        <v>0</v>
      </c>
      <c r="R128" s="101"/>
      <c r="S128" s="266" t="str">
        <f>+IF(ABRIL!S128=0,"",ABRIL!S128)</f>
        <v>2.1.2.02.02.006.604</v>
      </c>
      <c r="T128" s="267" t="str">
        <f>+IF(ABRIL!T128=0,"",ABRIL!T128)</f>
        <v>Impresos y Publicaciones</v>
      </c>
      <c r="U128" s="373">
        <f>+ENERO!U128</f>
        <v>327220927.08333331</v>
      </c>
      <c r="V128" s="220">
        <f>ABRIL!V128+MAYO!AL128</f>
        <v>0</v>
      </c>
      <c r="W128" s="220">
        <f>ABRIL!W128+MAYO!AM128</f>
        <v>0</v>
      </c>
      <c r="X128" s="271">
        <f t="shared" si="130"/>
        <v>327220927.08333331</v>
      </c>
      <c r="Y128" s="270">
        <f>ABRIL!AA128</f>
        <v>221950100</v>
      </c>
      <c r="Z128" s="208">
        <v>28833105</v>
      </c>
      <c r="AA128" s="271">
        <f>SUM(Y128:Z128)</f>
        <v>250783205</v>
      </c>
      <c r="AB128" s="270">
        <f>ABRIL!AD128</f>
        <v>122285474</v>
      </c>
      <c r="AC128" s="208">
        <v>36067175</v>
      </c>
      <c r="AD128" s="271">
        <f t="shared" si="132"/>
        <v>158352649</v>
      </c>
      <c r="AE128" s="270">
        <f>ABRIL!AG128</f>
        <v>16256100</v>
      </c>
      <c r="AF128" s="208">
        <v>5694000</v>
      </c>
      <c r="AG128" s="271">
        <f>SUM(AE128:AF128)</f>
        <v>21950100</v>
      </c>
      <c r="AH128" s="270">
        <f t="shared" si="134"/>
        <v>76437722.083333313</v>
      </c>
      <c r="AI128" s="220">
        <f t="shared" si="135"/>
        <v>168868278.08333331</v>
      </c>
      <c r="AJ128" s="269">
        <f t="shared" si="136"/>
        <v>305270827.08333331</v>
      </c>
      <c r="AK128" s="101"/>
      <c r="AL128" s="204">
        <v>0</v>
      </c>
      <c r="AM128" s="210">
        <v>0</v>
      </c>
    </row>
    <row r="129" spans="1:39" ht="24.75" customHeight="1" thickBot="1">
      <c r="A129" s="556"/>
      <c r="B129" s="399"/>
      <c r="C129" s="400"/>
      <c r="D129" s="400"/>
      <c r="E129" s="400"/>
      <c r="F129" s="400"/>
      <c r="G129" s="400"/>
      <c r="H129" s="400"/>
      <c r="I129" s="400"/>
      <c r="J129" s="400"/>
      <c r="K129" s="400"/>
      <c r="L129" s="400"/>
      <c r="M129" s="400"/>
      <c r="N129" s="401"/>
      <c r="O129" s="67"/>
      <c r="P129" s="402"/>
      <c r="Q129" s="401"/>
      <c r="R129" s="101"/>
      <c r="S129" s="266" t="str">
        <f>+IF(ABRIL!S129=0,"",ABRIL!S129)</f>
        <v>2.1.2.02.02.009.905</v>
      </c>
      <c r="T129" s="267" t="str">
        <f>+IF(ABRIL!T129=0,"",ABRIL!T129)</f>
        <v>Servicios de Capacitacion</v>
      </c>
      <c r="U129" s="373">
        <f>+ENERO!U129</f>
        <v>41029431.25</v>
      </c>
      <c r="V129" s="220">
        <f>ABRIL!V129+MAYO!AL129</f>
        <v>0</v>
      </c>
      <c r="W129" s="220">
        <f>ABRIL!W129+MAYO!AM129</f>
        <v>0</v>
      </c>
      <c r="X129" s="271">
        <f t="shared" si="130"/>
        <v>41029431.25</v>
      </c>
      <c r="Y129" s="270">
        <f>ABRIL!AA129</f>
        <v>0</v>
      </c>
      <c r="Z129" s="208">
        <v>0</v>
      </c>
      <c r="AA129" s="271">
        <f t="shared" si="131"/>
        <v>0</v>
      </c>
      <c r="AB129" s="270">
        <f>ABRIL!AD129</f>
        <v>0</v>
      </c>
      <c r="AC129" s="208">
        <v>0</v>
      </c>
      <c r="AD129" s="271">
        <f t="shared" si="132"/>
        <v>0</v>
      </c>
      <c r="AE129" s="270">
        <f>ABRIL!AG129</f>
        <v>0</v>
      </c>
      <c r="AF129" s="208">
        <v>0</v>
      </c>
      <c r="AG129" s="271">
        <f t="shared" si="133"/>
        <v>0</v>
      </c>
      <c r="AH129" s="270">
        <f t="shared" si="134"/>
        <v>41029431.25</v>
      </c>
      <c r="AI129" s="220">
        <f t="shared" si="135"/>
        <v>41029431.25</v>
      </c>
      <c r="AJ129" s="269">
        <f t="shared" si="136"/>
        <v>41029431.25</v>
      </c>
      <c r="AK129" s="101"/>
      <c r="AL129" s="204">
        <v>0</v>
      </c>
      <c r="AM129" s="210">
        <v>0</v>
      </c>
    </row>
    <row r="130" spans="1:39" ht="24.75" customHeight="1" thickBot="1">
      <c r="A130" s="444" t="s">
        <v>282</v>
      </c>
      <c r="B130" s="445"/>
      <c r="C130" s="446">
        <f t="shared" ref="C130:N130" si="138">C128+C126</f>
        <v>158143153137.47653</v>
      </c>
      <c r="D130" s="447">
        <f t="shared" si="138"/>
        <v>0</v>
      </c>
      <c r="E130" s="447">
        <f t="shared" si="138"/>
        <v>29662380392</v>
      </c>
      <c r="F130" s="448">
        <f t="shared" si="138"/>
        <v>187805533529.47653</v>
      </c>
      <c r="G130" s="446">
        <f t="shared" si="138"/>
        <v>90506302817</v>
      </c>
      <c r="H130" s="447">
        <f t="shared" si="138"/>
        <v>20492205449</v>
      </c>
      <c r="I130" s="448">
        <f t="shared" si="138"/>
        <v>110998508266</v>
      </c>
      <c r="J130" s="446">
        <f t="shared" si="138"/>
        <v>47688493852</v>
      </c>
      <c r="K130" s="447">
        <f t="shared" si="138"/>
        <v>14642988093</v>
      </c>
      <c r="L130" s="448">
        <f t="shared" si="138"/>
        <v>62331481945</v>
      </c>
      <c r="M130" s="446">
        <f t="shared" si="138"/>
        <v>76807025263.476501</v>
      </c>
      <c r="N130" s="448">
        <f t="shared" si="138"/>
        <v>125474051584.47653</v>
      </c>
      <c r="O130" s="67"/>
      <c r="P130" s="437">
        <f>P128+P126</f>
        <v>0</v>
      </c>
      <c r="Q130" s="438">
        <f>Q128+Q126</f>
        <v>7054239958</v>
      </c>
      <c r="R130" s="101"/>
      <c r="S130" s="266" t="str">
        <f>+IF(ABRIL!S130=0,"",ABRIL!S130)</f>
        <v>2.1.2.02.02.008.804</v>
      </c>
      <c r="T130" s="267" t="str">
        <f>+IF(ABRIL!T130=0,"",ABRIL!T130)</f>
        <v xml:space="preserve">Vigilancia </v>
      </c>
      <c r="U130" s="373">
        <f>+ENERO!U130</f>
        <v>2929064955.833333</v>
      </c>
      <c r="V130" s="220">
        <f>ABRIL!V130+MAYO!AL130</f>
        <v>-556000000</v>
      </c>
      <c r="W130" s="220">
        <f>ABRIL!W130+MAYO!AM130</f>
        <v>0</v>
      </c>
      <c r="X130" s="271">
        <f t="shared" si="130"/>
        <v>2373064955.833333</v>
      </c>
      <c r="Y130" s="270">
        <f>ABRIL!AA130</f>
        <v>2320627096</v>
      </c>
      <c r="Z130" s="208">
        <v>0</v>
      </c>
      <c r="AA130" s="271">
        <f t="shared" si="131"/>
        <v>2320627096</v>
      </c>
      <c r="AB130" s="270">
        <f>ABRIL!AD130</f>
        <v>765171029</v>
      </c>
      <c r="AC130" s="208">
        <v>0</v>
      </c>
      <c r="AD130" s="271">
        <f t="shared" si="132"/>
        <v>765171029</v>
      </c>
      <c r="AE130" s="270">
        <f>ABRIL!AG130</f>
        <v>382601969</v>
      </c>
      <c r="AF130" s="208">
        <v>191284530</v>
      </c>
      <c r="AG130" s="271">
        <f t="shared" si="133"/>
        <v>573886499</v>
      </c>
      <c r="AH130" s="270">
        <f t="shared" si="134"/>
        <v>52437859.833333015</v>
      </c>
      <c r="AI130" s="220">
        <f t="shared" si="135"/>
        <v>1607893926.833333</v>
      </c>
      <c r="AJ130" s="269">
        <f t="shared" si="136"/>
        <v>1799178456.833333</v>
      </c>
      <c r="AK130" s="101"/>
      <c r="AL130" s="204">
        <f>-4000000-12000000</f>
        <v>-16000000</v>
      </c>
      <c r="AM130" s="210">
        <v>0</v>
      </c>
    </row>
    <row r="131" spans="1:39" ht="24.75" customHeight="1">
      <c r="A131" s="542"/>
      <c r="B131" s="453"/>
      <c r="C131" s="67"/>
      <c r="D131" s="67"/>
      <c r="E131" s="67"/>
      <c r="F131" s="67"/>
      <c r="G131" s="67"/>
      <c r="H131" s="67"/>
      <c r="I131" s="67"/>
      <c r="J131" s="67"/>
      <c r="K131" s="67"/>
      <c r="L131" s="67"/>
      <c r="M131" s="67"/>
      <c r="N131" s="101"/>
      <c r="O131" s="67"/>
      <c r="P131" s="67"/>
      <c r="Q131" s="67"/>
      <c r="R131" s="101"/>
      <c r="S131" s="266" t="str">
        <f>+IF(ABRIL!S131=0,"",ABRIL!S131)</f>
        <v>2.1.2.02.02.009.908</v>
      </c>
      <c r="T131" s="267" t="str">
        <f>+IF(ABRIL!T131=0,"",ABRIL!T131)</f>
        <v>Bienestar Social</v>
      </c>
      <c r="U131" s="373">
        <f>+ENERO!U131</f>
        <v>326592555</v>
      </c>
      <c r="V131" s="220">
        <f>ABRIL!V131+MAYO!AL131</f>
        <v>45937870</v>
      </c>
      <c r="W131" s="220">
        <f>ABRIL!W131+MAYO!AM131</f>
        <v>169879991</v>
      </c>
      <c r="X131" s="271">
        <f t="shared" si="130"/>
        <v>542410416</v>
      </c>
      <c r="Y131" s="270">
        <f>ABRIL!AA131</f>
        <v>439904876</v>
      </c>
      <c r="Z131" s="208">
        <v>6777000</v>
      </c>
      <c r="AA131" s="271">
        <f t="shared" si="131"/>
        <v>446681876</v>
      </c>
      <c r="AB131" s="270">
        <f>ABRIL!AD131</f>
        <v>367718003</v>
      </c>
      <c r="AC131" s="208">
        <v>6777000</v>
      </c>
      <c r="AD131" s="271">
        <f t="shared" si="132"/>
        <v>374495003</v>
      </c>
      <c r="AE131" s="270">
        <f>ABRIL!AG131</f>
        <v>46934432</v>
      </c>
      <c r="AF131" s="208">
        <v>110772474</v>
      </c>
      <c r="AG131" s="271">
        <f t="shared" si="133"/>
        <v>157706906</v>
      </c>
      <c r="AH131" s="270">
        <f t="shared" si="134"/>
        <v>95728540</v>
      </c>
      <c r="AI131" s="220">
        <f t="shared" si="135"/>
        <v>167915413</v>
      </c>
      <c r="AJ131" s="269">
        <f t="shared" si="136"/>
        <v>384703510</v>
      </c>
      <c r="AK131" s="101"/>
      <c r="AL131" s="204">
        <v>16937563</v>
      </c>
      <c r="AM131" s="210">
        <v>0</v>
      </c>
    </row>
    <row r="132" spans="1:39" ht="24.75" customHeight="1">
      <c r="A132" s="542"/>
      <c r="B132" s="453"/>
      <c r="C132" s="67"/>
      <c r="D132" s="67"/>
      <c r="E132" s="67"/>
      <c r="F132" s="67"/>
      <c r="G132" s="67"/>
      <c r="H132" s="67"/>
      <c r="I132" s="67"/>
      <c r="J132" s="67"/>
      <c r="K132" s="67"/>
      <c r="L132" s="67"/>
      <c r="M132" s="67"/>
      <c r="N132" s="101"/>
      <c r="O132" s="67"/>
      <c r="P132" s="67"/>
      <c r="Q132" s="67"/>
      <c r="R132" s="101"/>
      <c r="S132" s="266" t="str">
        <f>+IF(ABRIL!S132=0,"",ABRIL!S132)</f>
        <v>2.1.2.02.02.010</v>
      </c>
      <c r="T132" s="267" t="str">
        <f>+IF(ABRIL!T132=0,"",ABRIL!T132)</f>
        <v>Viáticos de los funcionarios en comisión</v>
      </c>
      <c r="U132" s="373">
        <f>+ENERO!U132</f>
        <v>3000000</v>
      </c>
      <c r="V132" s="220">
        <f>ABRIL!V132+MAYO!AL132</f>
        <v>0</v>
      </c>
      <c r="W132" s="220">
        <f>ABRIL!W132+MAYO!AM132</f>
        <v>0</v>
      </c>
      <c r="X132" s="271">
        <f t="shared" si="130"/>
        <v>3000000</v>
      </c>
      <c r="Y132" s="270">
        <f>ABRIL!AA132</f>
        <v>1456623</v>
      </c>
      <c r="Z132" s="208">
        <v>0</v>
      </c>
      <c r="AA132" s="271">
        <f t="shared" si="131"/>
        <v>1456623</v>
      </c>
      <c r="AB132" s="270">
        <f>ABRIL!AD132</f>
        <v>1456623</v>
      </c>
      <c r="AC132" s="208">
        <v>0</v>
      </c>
      <c r="AD132" s="271">
        <f t="shared" si="132"/>
        <v>1456623</v>
      </c>
      <c r="AE132" s="270">
        <f>ABRIL!AG132</f>
        <v>0</v>
      </c>
      <c r="AF132" s="208">
        <v>1456623</v>
      </c>
      <c r="AG132" s="271">
        <f t="shared" si="133"/>
        <v>1456623</v>
      </c>
      <c r="AH132" s="270">
        <f t="shared" si="134"/>
        <v>1543377</v>
      </c>
      <c r="AI132" s="220">
        <f t="shared" si="135"/>
        <v>1543377</v>
      </c>
      <c r="AJ132" s="269">
        <f t="shared" si="136"/>
        <v>1543377</v>
      </c>
      <c r="AK132" s="101"/>
      <c r="AL132" s="204">
        <v>0</v>
      </c>
      <c r="AM132" s="210">
        <v>0</v>
      </c>
    </row>
    <row r="133" spans="1:39" ht="24.75" customHeight="1">
      <c r="A133" s="542"/>
      <c r="B133" s="453"/>
      <c r="C133" s="67"/>
      <c r="D133" s="67"/>
      <c r="E133" s="67"/>
      <c r="F133" s="67"/>
      <c r="G133" s="67"/>
      <c r="H133" s="67"/>
      <c r="I133" s="67"/>
      <c r="J133" s="67"/>
      <c r="K133" s="67"/>
      <c r="L133" s="67"/>
      <c r="M133" s="67"/>
      <c r="N133" s="101"/>
      <c r="O133" s="67"/>
      <c r="P133" s="67"/>
      <c r="Q133" s="67"/>
      <c r="R133" s="101"/>
      <c r="S133" s="266" t="str">
        <f>+IF(ABRIL!S133=0,"",ABRIL!S133)</f>
        <v>2.1.2.02.02.009.903</v>
      </c>
      <c r="T133" s="267" t="str">
        <f>+IF(ABRIL!T133=0,"",ABRIL!T133)</f>
        <v>Servicios prestados por IPS</v>
      </c>
      <c r="U133" s="373">
        <f>+ENERO!U133</f>
        <v>5000000</v>
      </c>
      <c r="V133" s="220">
        <f>ABRIL!V133+MAYO!AL133</f>
        <v>0</v>
      </c>
      <c r="W133" s="220">
        <f>ABRIL!W133+MAYO!AM133</f>
        <v>0</v>
      </c>
      <c r="X133" s="271">
        <f t="shared" si="130"/>
        <v>5000000</v>
      </c>
      <c r="Y133" s="270">
        <f>ABRIL!AA133</f>
        <v>0</v>
      </c>
      <c r="Z133" s="208">
        <v>0</v>
      </c>
      <c r="AA133" s="271">
        <f t="shared" si="131"/>
        <v>0</v>
      </c>
      <c r="AB133" s="270">
        <f>ABRIL!AD133</f>
        <v>0</v>
      </c>
      <c r="AC133" s="208">
        <v>0</v>
      </c>
      <c r="AD133" s="271">
        <f t="shared" si="132"/>
        <v>0</v>
      </c>
      <c r="AE133" s="270">
        <f>ABRIL!AG133</f>
        <v>0</v>
      </c>
      <c r="AF133" s="208">
        <v>0</v>
      </c>
      <c r="AG133" s="271">
        <f t="shared" si="133"/>
        <v>0</v>
      </c>
      <c r="AH133" s="270">
        <f t="shared" si="134"/>
        <v>5000000</v>
      </c>
      <c r="AI133" s="220">
        <f t="shared" si="135"/>
        <v>5000000</v>
      </c>
      <c r="AJ133" s="269">
        <f t="shared" si="136"/>
        <v>5000000</v>
      </c>
      <c r="AK133" s="101"/>
      <c r="AL133" s="204">
        <v>0</v>
      </c>
      <c r="AM133" s="210">
        <v>0</v>
      </c>
    </row>
    <row r="134" spans="1:39" ht="24.75" customHeight="1">
      <c r="A134" s="542"/>
      <c r="B134" s="453"/>
      <c r="C134" s="67"/>
      <c r="D134" s="67"/>
      <c r="E134" s="67"/>
      <c r="F134" s="67"/>
      <c r="G134" s="67"/>
      <c r="H134" s="67"/>
      <c r="I134" s="67"/>
      <c r="J134" s="67"/>
      <c r="K134" s="67"/>
      <c r="L134" s="67"/>
      <c r="M134" s="67"/>
      <c r="N134" s="101"/>
      <c r="O134" s="67"/>
      <c r="P134" s="67"/>
      <c r="Q134" s="67"/>
      <c r="R134" s="101"/>
      <c r="S134" s="266" t="str">
        <f>+IF(ABRIL!S134=0,"",ABRIL!S134)</f>
        <v>2010200-11</v>
      </c>
      <c r="T134" s="267" t="str">
        <f>+IF(ABRIL!T134=0,"",ABRIL!T134)</f>
        <v>Gastos Bancarios</v>
      </c>
      <c r="U134" s="373">
        <f>+ENERO!U134</f>
        <v>0</v>
      </c>
      <c r="V134" s="220">
        <f>ABRIL!V134+MAYO!AL134</f>
        <v>0</v>
      </c>
      <c r="W134" s="220">
        <f>ABRIL!W134+MAYO!AM134</f>
        <v>0</v>
      </c>
      <c r="X134" s="271">
        <f t="shared" si="130"/>
        <v>0</v>
      </c>
      <c r="Y134" s="270">
        <f>ABRIL!AA134</f>
        <v>0</v>
      </c>
      <c r="Z134" s="208">
        <v>0</v>
      </c>
      <c r="AA134" s="271">
        <f t="shared" si="131"/>
        <v>0</v>
      </c>
      <c r="AB134" s="270">
        <f>ABRIL!AD134</f>
        <v>0</v>
      </c>
      <c r="AC134" s="208">
        <v>0</v>
      </c>
      <c r="AD134" s="271">
        <f t="shared" si="132"/>
        <v>0</v>
      </c>
      <c r="AE134" s="270">
        <f>ABRIL!AG134</f>
        <v>0</v>
      </c>
      <c r="AF134" s="208">
        <v>0</v>
      </c>
      <c r="AG134" s="271">
        <f t="shared" si="133"/>
        <v>0</v>
      </c>
      <c r="AH134" s="270">
        <f t="shared" si="134"/>
        <v>0</v>
      </c>
      <c r="AI134" s="220">
        <f t="shared" si="135"/>
        <v>0</v>
      </c>
      <c r="AJ134" s="269">
        <f t="shared" si="136"/>
        <v>0</v>
      </c>
      <c r="AK134" s="101"/>
      <c r="AL134" s="204">
        <v>0</v>
      </c>
      <c r="AM134" s="210">
        <v>0</v>
      </c>
    </row>
    <row r="135" spans="1:39" ht="24.75" customHeight="1">
      <c r="A135" s="542"/>
      <c r="B135" s="453"/>
      <c r="C135" s="67"/>
      <c r="D135" s="67"/>
      <c r="E135" s="67"/>
      <c r="F135" s="67"/>
      <c r="G135" s="67"/>
      <c r="H135" s="67"/>
      <c r="I135" s="67"/>
      <c r="J135" s="67"/>
      <c r="K135" s="67"/>
      <c r="L135" s="67"/>
      <c r="M135" s="67"/>
      <c r="N135" s="101"/>
      <c r="O135" s="67"/>
      <c r="P135" s="67"/>
      <c r="Q135" s="67"/>
      <c r="R135" s="101"/>
      <c r="S135" s="266" t="str">
        <f>+IF(ABRIL!S135=0,"",ABRIL!S135)</f>
        <v>2.1.2.02.02.009.909</v>
      </c>
      <c r="T135" s="267" t="str">
        <f>+IF(ABRIL!T135=0,"",ABRIL!T135)</f>
        <v>Convenio Docencia Servicios</v>
      </c>
      <c r="U135" s="373">
        <f>+ENERO!U135</f>
        <v>20000000</v>
      </c>
      <c r="V135" s="220">
        <f>ABRIL!V135+MAYO!AL135</f>
        <v>0</v>
      </c>
      <c r="W135" s="220">
        <f>ABRIL!W135+MAYO!AM135</f>
        <v>0</v>
      </c>
      <c r="X135" s="271">
        <f t="shared" si="130"/>
        <v>20000000</v>
      </c>
      <c r="Y135" s="270">
        <f>ABRIL!AA135</f>
        <v>0</v>
      </c>
      <c r="Z135" s="208">
        <v>0</v>
      </c>
      <c r="AA135" s="271">
        <f t="shared" si="131"/>
        <v>0</v>
      </c>
      <c r="AB135" s="270">
        <f>ABRIL!AD135</f>
        <v>0</v>
      </c>
      <c r="AC135" s="208">
        <v>0</v>
      </c>
      <c r="AD135" s="271">
        <f t="shared" si="132"/>
        <v>0</v>
      </c>
      <c r="AE135" s="270">
        <f>ABRIL!AG135</f>
        <v>0</v>
      </c>
      <c r="AF135" s="208">
        <v>0</v>
      </c>
      <c r="AG135" s="271">
        <f t="shared" si="133"/>
        <v>0</v>
      </c>
      <c r="AH135" s="270">
        <f t="shared" si="134"/>
        <v>20000000</v>
      </c>
      <c r="AI135" s="220">
        <f t="shared" si="135"/>
        <v>20000000</v>
      </c>
      <c r="AJ135" s="269">
        <f t="shared" si="136"/>
        <v>20000000</v>
      </c>
      <c r="AK135" s="101"/>
      <c r="AL135" s="204">
        <v>0</v>
      </c>
      <c r="AM135" s="210">
        <v>0</v>
      </c>
    </row>
    <row r="136" spans="1:39" ht="24.75" customHeight="1">
      <c r="A136" s="542"/>
      <c r="B136" s="453"/>
      <c r="C136" s="67"/>
      <c r="D136" s="67"/>
      <c r="E136" s="67"/>
      <c r="F136" s="67"/>
      <c r="G136" s="67"/>
      <c r="H136" s="67"/>
      <c r="I136" s="67"/>
      <c r="J136" s="67"/>
      <c r="K136" s="67"/>
      <c r="L136" s="67"/>
      <c r="M136" s="67"/>
      <c r="N136" s="101"/>
      <c r="O136" s="67"/>
      <c r="P136" s="67"/>
      <c r="Q136" s="67"/>
      <c r="R136" s="101"/>
      <c r="S136" s="266" t="str">
        <f>+IF(ABRIL!S136=0,"",ABRIL!S136)</f>
        <v>2.1.2.02.02.008.809</v>
      </c>
      <c r="T136" s="267" t="str">
        <f>+IF(ABRIL!T136=0,"",ABRIL!T136)</f>
        <v>Publicidad</v>
      </c>
      <c r="U136" s="373">
        <f>+ENERO!U136</f>
        <v>0</v>
      </c>
      <c r="V136" s="220">
        <f>ABRIL!V136+MAYO!AL136</f>
        <v>0</v>
      </c>
      <c r="W136" s="220">
        <f>ABRIL!W136+MAYO!AM136</f>
        <v>0</v>
      </c>
      <c r="X136" s="271">
        <f t="shared" si="130"/>
        <v>0</v>
      </c>
      <c r="Y136" s="270">
        <f>ABRIL!AA136</f>
        <v>0</v>
      </c>
      <c r="Z136" s="208">
        <v>0</v>
      </c>
      <c r="AA136" s="271">
        <f t="shared" si="131"/>
        <v>0</v>
      </c>
      <c r="AB136" s="270">
        <f>ABRIL!AD136</f>
        <v>0</v>
      </c>
      <c r="AC136" s="208">
        <v>0</v>
      </c>
      <c r="AD136" s="271">
        <f t="shared" si="132"/>
        <v>0</v>
      </c>
      <c r="AE136" s="270">
        <f>ABRIL!AG136</f>
        <v>0</v>
      </c>
      <c r="AF136" s="208">
        <v>0</v>
      </c>
      <c r="AG136" s="271">
        <f t="shared" si="133"/>
        <v>0</v>
      </c>
      <c r="AH136" s="270">
        <f t="shared" si="134"/>
        <v>0</v>
      </c>
      <c r="AI136" s="220">
        <f t="shared" si="135"/>
        <v>0</v>
      </c>
      <c r="AJ136" s="269">
        <f t="shared" si="136"/>
        <v>0</v>
      </c>
      <c r="AK136" s="101"/>
      <c r="AL136" s="204">
        <v>0</v>
      </c>
      <c r="AM136" s="210">
        <v>0</v>
      </c>
    </row>
    <row r="137" spans="1:39" ht="24.75" customHeight="1">
      <c r="A137" s="542"/>
      <c r="B137" s="453"/>
      <c r="C137" s="67"/>
      <c r="D137" s="67"/>
      <c r="E137" s="67"/>
      <c r="F137" s="67"/>
      <c r="G137" s="67"/>
      <c r="H137" s="67"/>
      <c r="I137" s="67"/>
      <c r="J137" s="67"/>
      <c r="K137" s="67"/>
      <c r="L137" s="67"/>
      <c r="M137" s="67"/>
      <c r="N137" s="101"/>
      <c r="O137" s="67"/>
      <c r="P137" s="67"/>
      <c r="Q137" s="67"/>
      <c r="R137" s="101"/>
      <c r="S137" s="266" t="str">
        <f>+IF(ABRIL!S137=0,"",ABRIL!S137)</f>
        <v/>
      </c>
      <c r="T137" s="267" t="str">
        <f>+IF(ABRIL!T137=0,"",ABRIL!T137)</f>
        <v/>
      </c>
      <c r="U137" s="373">
        <f>+ENERO!U137</f>
        <v>0</v>
      </c>
      <c r="V137" s="220">
        <f>ABRIL!V137+MAYO!AL137</f>
        <v>0</v>
      </c>
      <c r="W137" s="220">
        <f>ABRIL!W137+MAYO!AM137</f>
        <v>0</v>
      </c>
      <c r="X137" s="271">
        <f t="shared" si="130"/>
        <v>0</v>
      </c>
      <c r="Y137" s="270">
        <f>ABRIL!AA137</f>
        <v>0</v>
      </c>
      <c r="Z137" s="208">
        <v>0</v>
      </c>
      <c r="AA137" s="271">
        <f t="shared" si="131"/>
        <v>0</v>
      </c>
      <c r="AB137" s="270">
        <f>ABRIL!AD137</f>
        <v>0</v>
      </c>
      <c r="AC137" s="208">
        <v>0</v>
      </c>
      <c r="AD137" s="271">
        <f t="shared" si="132"/>
        <v>0</v>
      </c>
      <c r="AE137" s="270">
        <f>ABRIL!AG137</f>
        <v>0</v>
      </c>
      <c r="AF137" s="208">
        <v>0</v>
      </c>
      <c r="AG137" s="271">
        <f t="shared" si="133"/>
        <v>0</v>
      </c>
      <c r="AH137" s="270">
        <f t="shared" si="134"/>
        <v>0</v>
      </c>
      <c r="AI137" s="220">
        <f t="shared" si="135"/>
        <v>0</v>
      </c>
      <c r="AJ137" s="269">
        <f t="shared" si="136"/>
        <v>0</v>
      </c>
      <c r="AK137" s="101"/>
      <c r="AL137" s="204">
        <v>0</v>
      </c>
      <c r="AM137" s="210">
        <v>0</v>
      </c>
    </row>
    <row r="138" spans="1:39" ht="24.75" customHeight="1">
      <c r="A138" s="542"/>
      <c r="B138" s="453"/>
      <c r="C138" s="67"/>
      <c r="D138" s="67"/>
      <c r="E138" s="67"/>
      <c r="F138" s="67"/>
      <c r="G138" s="67"/>
      <c r="H138" s="67"/>
      <c r="I138" s="67"/>
      <c r="J138" s="67"/>
      <c r="K138" s="67"/>
      <c r="L138" s="67"/>
      <c r="M138" s="67"/>
      <c r="N138" s="101"/>
      <c r="O138" s="67"/>
      <c r="P138" s="67"/>
      <c r="Q138" s="67"/>
      <c r="R138" s="101"/>
      <c r="S138" s="266" t="str">
        <f>+IF(ABRIL!S138=0,"",ABRIL!S138)</f>
        <v/>
      </c>
      <c r="T138" s="267" t="str">
        <f>+IF(ABRIL!T138=0,"",ABRIL!T138)</f>
        <v/>
      </c>
      <c r="U138" s="373">
        <f>+ENERO!U138</f>
        <v>0</v>
      </c>
      <c r="V138" s="220">
        <f>ABRIL!V138+MAYO!AL138</f>
        <v>0</v>
      </c>
      <c r="W138" s="220">
        <f>ABRIL!W138+MAYO!AM138</f>
        <v>0</v>
      </c>
      <c r="X138" s="271">
        <f t="shared" si="130"/>
        <v>0</v>
      </c>
      <c r="Y138" s="270">
        <f>ABRIL!AA138</f>
        <v>0</v>
      </c>
      <c r="Z138" s="208">
        <v>0</v>
      </c>
      <c r="AA138" s="271">
        <f t="shared" si="131"/>
        <v>0</v>
      </c>
      <c r="AB138" s="270">
        <f>ABRIL!AD138</f>
        <v>0</v>
      </c>
      <c r="AC138" s="208">
        <v>0</v>
      </c>
      <c r="AD138" s="271">
        <f t="shared" si="132"/>
        <v>0</v>
      </c>
      <c r="AE138" s="270">
        <f>ABRIL!AG138</f>
        <v>0</v>
      </c>
      <c r="AF138" s="208">
        <v>0</v>
      </c>
      <c r="AG138" s="271">
        <f t="shared" si="133"/>
        <v>0</v>
      </c>
      <c r="AH138" s="270">
        <f t="shared" si="134"/>
        <v>0</v>
      </c>
      <c r="AI138" s="220">
        <f t="shared" si="135"/>
        <v>0</v>
      </c>
      <c r="AJ138" s="269">
        <f t="shared" si="136"/>
        <v>0</v>
      </c>
      <c r="AK138" s="101"/>
      <c r="AL138" s="204">
        <v>0</v>
      </c>
      <c r="AM138" s="210">
        <v>0</v>
      </c>
    </row>
    <row r="139" spans="1:39" ht="24.75" customHeight="1">
      <c r="A139" s="542"/>
      <c r="B139" s="453"/>
      <c r="C139" s="67"/>
      <c r="D139" s="67"/>
      <c r="E139" s="67"/>
      <c r="F139" s="67"/>
      <c r="G139" s="67"/>
      <c r="H139" s="67"/>
      <c r="I139" s="67"/>
      <c r="J139" s="67"/>
      <c r="K139" s="67"/>
      <c r="L139" s="67"/>
      <c r="M139" s="67"/>
      <c r="N139" s="101"/>
      <c r="O139" s="67"/>
      <c r="P139" s="67"/>
      <c r="Q139" s="67"/>
      <c r="R139" s="101"/>
      <c r="S139" s="266" t="str">
        <f>+IF(ABRIL!S139=0,"",ABRIL!S139)</f>
        <v>2.1.2.02.02.008.99.01</v>
      </c>
      <c r="T139" s="267" t="str">
        <f>+IF(ABRIL!T139=0,"",ABRIL!T139)</f>
        <v xml:space="preserve">Vigencias Anteriores Serv.Publicos </v>
      </c>
      <c r="U139" s="373">
        <f>+ENERO!U139</f>
        <v>368200000</v>
      </c>
      <c r="V139" s="220">
        <f>ABRIL!V139+MAYO!AL139</f>
        <v>0</v>
      </c>
      <c r="W139" s="220">
        <f>ABRIL!W139+MAYO!AM139</f>
        <v>0</v>
      </c>
      <c r="X139" s="271">
        <f t="shared" si="130"/>
        <v>368200000</v>
      </c>
      <c r="Y139" s="270">
        <f>ABRIL!AA139</f>
        <v>234444435</v>
      </c>
      <c r="Z139" s="208">
        <v>0</v>
      </c>
      <c r="AA139" s="271">
        <f t="shared" si="131"/>
        <v>234444435</v>
      </c>
      <c r="AB139" s="270">
        <f>ABRIL!AD139</f>
        <v>234444435</v>
      </c>
      <c r="AC139" s="208">
        <v>0</v>
      </c>
      <c r="AD139" s="271">
        <f t="shared" si="132"/>
        <v>234444435</v>
      </c>
      <c r="AE139" s="270">
        <f>ABRIL!AG139</f>
        <v>234444435</v>
      </c>
      <c r="AF139" s="208">
        <v>0</v>
      </c>
      <c r="AG139" s="271">
        <f t="shared" si="133"/>
        <v>234444435</v>
      </c>
      <c r="AH139" s="270">
        <f t="shared" si="134"/>
        <v>133755565</v>
      </c>
      <c r="AI139" s="220">
        <f t="shared" si="135"/>
        <v>133755565</v>
      </c>
      <c r="AJ139" s="269">
        <f t="shared" si="136"/>
        <v>133755565</v>
      </c>
      <c r="AK139" s="101"/>
      <c r="AL139" s="204">
        <v>0</v>
      </c>
      <c r="AM139" s="210">
        <v>0</v>
      </c>
    </row>
    <row r="140" spans="1:39" ht="24.75" customHeight="1">
      <c r="A140" s="542"/>
      <c r="B140" s="453"/>
      <c r="C140" s="67"/>
      <c r="D140" s="67"/>
      <c r="E140" s="67"/>
      <c r="F140" s="67"/>
      <c r="G140" s="67"/>
      <c r="H140" s="67"/>
      <c r="I140" s="67"/>
      <c r="J140" s="67"/>
      <c r="K140" s="67"/>
      <c r="L140" s="67"/>
      <c r="M140" s="67"/>
      <c r="N140" s="101"/>
      <c r="O140" s="67"/>
      <c r="P140" s="67"/>
      <c r="Q140" s="67"/>
      <c r="R140" s="101"/>
      <c r="S140" s="189">
        <f>+IF(ABRIL!S140=0,"",ABRIL!S140)</f>
        <v>233459072</v>
      </c>
      <c r="T140" s="488" t="str">
        <f>+IF(ABRIL!T140=0,"",ABRIL!T140)</f>
        <v/>
      </c>
      <c r="U140" s="191"/>
      <c r="V140" s="191"/>
      <c r="W140" s="191"/>
      <c r="X140" s="191"/>
      <c r="Y140" s="191"/>
      <c r="Z140" s="191"/>
      <c r="AA140" s="191"/>
      <c r="AB140" s="191"/>
      <c r="AC140" s="191"/>
      <c r="AD140" s="191"/>
      <c r="AE140" s="191"/>
      <c r="AF140" s="191"/>
      <c r="AG140" s="191"/>
      <c r="AH140" s="191"/>
      <c r="AI140" s="191"/>
      <c r="AJ140" s="192"/>
      <c r="AK140" s="216"/>
      <c r="AL140" s="370"/>
      <c r="AM140" s="371"/>
    </row>
    <row r="141" spans="1:39" ht="24.75" customHeight="1">
      <c r="A141" s="542"/>
      <c r="B141" s="453"/>
      <c r="C141" s="67"/>
      <c r="D141" s="67"/>
      <c r="E141" s="67"/>
      <c r="F141" s="67"/>
      <c r="G141" s="67"/>
      <c r="H141" s="67"/>
      <c r="I141" s="67"/>
      <c r="J141" s="67"/>
      <c r="K141" s="67"/>
      <c r="L141" s="67"/>
      <c r="M141" s="67"/>
      <c r="N141" s="101"/>
      <c r="O141" s="67"/>
      <c r="P141" s="67"/>
      <c r="Q141" s="67"/>
      <c r="R141" s="101"/>
      <c r="S141" s="257" t="str">
        <f>+IF(ABRIL!S141=0,"",ABRIL!S141)</f>
        <v>2.1.8.01</v>
      </c>
      <c r="T141" s="546" t="str">
        <f>+IF(ABRIL!T141=0,"",ABRIL!T141)</f>
        <v>Impuestos y Multas</v>
      </c>
      <c r="U141" s="230">
        <f t="shared" ref="U141:AJ141" si="139">U142+U143</f>
        <v>548000000</v>
      </c>
      <c r="V141" s="231">
        <f t="shared" si="139"/>
        <v>0</v>
      </c>
      <c r="W141" s="231">
        <f t="shared" si="139"/>
        <v>0</v>
      </c>
      <c r="X141" s="234">
        <f t="shared" si="139"/>
        <v>548000000</v>
      </c>
      <c r="Y141" s="233">
        <f t="shared" si="139"/>
        <v>87604940</v>
      </c>
      <c r="Z141" s="231">
        <f t="shared" si="139"/>
        <v>81236073</v>
      </c>
      <c r="AA141" s="234">
        <f t="shared" si="139"/>
        <v>168841013</v>
      </c>
      <c r="AB141" s="233">
        <f t="shared" si="139"/>
        <v>87604940</v>
      </c>
      <c r="AC141" s="231">
        <f t="shared" si="139"/>
        <v>81236073</v>
      </c>
      <c r="AD141" s="234">
        <f t="shared" si="139"/>
        <v>168841013</v>
      </c>
      <c r="AE141" s="233">
        <f t="shared" si="139"/>
        <v>87604940</v>
      </c>
      <c r="AF141" s="231">
        <f t="shared" si="139"/>
        <v>81236073</v>
      </c>
      <c r="AG141" s="234">
        <f t="shared" si="139"/>
        <v>168841013</v>
      </c>
      <c r="AH141" s="233">
        <f t="shared" si="139"/>
        <v>379158987</v>
      </c>
      <c r="AI141" s="231">
        <f t="shared" si="139"/>
        <v>379158987</v>
      </c>
      <c r="AJ141" s="232">
        <f t="shared" si="139"/>
        <v>379158987</v>
      </c>
      <c r="AK141" s="216"/>
      <c r="AL141" s="233">
        <f>AL142+AL143</f>
        <v>0</v>
      </c>
      <c r="AM141" s="232">
        <f>AM142+AM143</f>
        <v>0</v>
      </c>
    </row>
    <row r="142" spans="1:39" ht="24.75" customHeight="1">
      <c r="A142" s="542"/>
      <c r="B142" s="453"/>
      <c r="C142" s="67"/>
      <c r="D142" s="67"/>
      <c r="E142" s="67"/>
      <c r="F142" s="67"/>
      <c r="G142" s="67"/>
      <c r="H142" s="67"/>
      <c r="I142" s="67"/>
      <c r="J142" s="67"/>
      <c r="K142" s="67"/>
      <c r="L142" s="67"/>
      <c r="M142" s="67"/>
      <c r="N142" s="101"/>
      <c r="O142" s="67"/>
      <c r="P142" s="67"/>
      <c r="Q142" s="67"/>
      <c r="R142" s="101"/>
      <c r="S142" s="266" t="str">
        <f>+IF(ABRIL!S142=0,"",ABRIL!S142)</f>
        <v>2.1.8.01.52</v>
      </c>
      <c r="T142" s="267" t="str">
        <f>+IF(ABRIL!T142=0,"",ABRIL!T142)</f>
        <v>IMPUESTO PREDIAL UNIFICADO</v>
      </c>
      <c r="U142" s="373">
        <f>+ENERO!U142</f>
        <v>148000000</v>
      </c>
      <c r="V142" s="220">
        <f>ABRIL!V142+MAYO!AL142</f>
        <v>0</v>
      </c>
      <c r="W142" s="220">
        <f>ABRIL!W142+MAYO!AM142</f>
        <v>0</v>
      </c>
      <c r="X142" s="271">
        <f>SUM(U142:W142)</f>
        <v>148000000</v>
      </c>
      <c r="Y142" s="270">
        <f>ABRIL!AA142</f>
        <v>0</v>
      </c>
      <c r="Z142" s="208">
        <v>51758350</v>
      </c>
      <c r="AA142" s="271">
        <f>SUM(Y142:Z142)</f>
        <v>51758350</v>
      </c>
      <c r="AB142" s="270">
        <f>ABRIL!AD142</f>
        <v>0</v>
      </c>
      <c r="AC142" s="208">
        <v>51758350</v>
      </c>
      <c r="AD142" s="271">
        <f>SUM(AB142:AC142)</f>
        <v>51758350</v>
      </c>
      <c r="AE142" s="270">
        <f>ABRIL!AG142</f>
        <v>0</v>
      </c>
      <c r="AF142" s="208">
        <v>51758350</v>
      </c>
      <c r="AG142" s="271">
        <f>SUM(AE142:AF142)</f>
        <v>51758350</v>
      </c>
      <c r="AH142" s="270">
        <f>X142-AA142</f>
        <v>96241650</v>
      </c>
      <c r="AI142" s="220">
        <f>X142-AD142</f>
        <v>96241650</v>
      </c>
      <c r="AJ142" s="269">
        <f>X142-AG142</f>
        <v>96241650</v>
      </c>
      <c r="AK142" s="101"/>
      <c r="AL142" s="204">
        <v>0</v>
      </c>
      <c r="AM142" s="210">
        <v>0</v>
      </c>
    </row>
    <row r="143" spans="1:39" ht="24.75" customHeight="1">
      <c r="A143" s="542"/>
      <c r="B143" s="453"/>
      <c r="C143" s="67"/>
      <c r="D143" s="67"/>
      <c r="E143" s="67"/>
      <c r="F143" s="67"/>
      <c r="G143" s="67"/>
      <c r="H143" s="67"/>
      <c r="I143" s="67"/>
      <c r="J143" s="67"/>
      <c r="K143" s="67"/>
      <c r="L143" s="67"/>
      <c r="M143" s="67"/>
      <c r="N143" s="101"/>
      <c r="O143" s="67"/>
      <c r="P143" s="67"/>
      <c r="Q143" s="67"/>
      <c r="R143" s="101"/>
      <c r="S143" s="266" t="str">
        <f>+IF(ABRIL!S143=0,"",ABRIL!S143)</f>
        <v>2.1.8.01.54</v>
      </c>
      <c r="T143" s="267" t="str">
        <f>+IF(ABRIL!T143=0,"",ABRIL!T143)</f>
        <v>Impuesto de Industria y comercio</v>
      </c>
      <c r="U143" s="373">
        <f>+ENERO!U143</f>
        <v>400000000</v>
      </c>
      <c r="V143" s="220">
        <f>ABRIL!V143+MAYO!AL143</f>
        <v>0</v>
      </c>
      <c r="W143" s="220">
        <f>ABRIL!W143+MAYO!AM143</f>
        <v>0</v>
      </c>
      <c r="X143" s="271">
        <f>SUM(U143:W143)</f>
        <v>400000000</v>
      </c>
      <c r="Y143" s="270">
        <f>ABRIL!AA143</f>
        <v>87604940</v>
      </c>
      <c r="Z143" s="208">
        <v>29477723</v>
      </c>
      <c r="AA143" s="271">
        <f>SUM(Y143:Z143)</f>
        <v>117082663</v>
      </c>
      <c r="AB143" s="270">
        <f>ABRIL!AD143</f>
        <v>87604940</v>
      </c>
      <c r="AC143" s="208">
        <v>29477723</v>
      </c>
      <c r="AD143" s="271">
        <f>SUM(AB143:AC143)</f>
        <v>117082663</v>
      </c>
      <c r="AE143" s="270">
        <f>ABRIL!AG143</f>
        <v>87604940</v>
      </c>
      <c r="AF143" s="208">
        <v>29477723</v>
      </c>
      <c r="AG143" s="271">
        <f>SUM(AE143:AF143)</f>
        <v>117082663</v>
      </c>
      <c r="AH143" s="270">
        <f>X143-AA143</f>
        <v>282917337</v>
      </c>
      <c r="AI143" s="220">
        <f>X143-AD143</f>
        <v>282917337</v>
      </c>
      <c r="AJ143" s="269">
        <f>X143-AG143</f>
        <v>282917337</v>
      </c>
      <c r="AK143" s="101"/>
      <c r="AL143" s="204">
        <v>0</v>
      </c>
      <c r="AM143" s="210">
        <v>0</v>
      </c>
    </row>
    <row r="144" spans="1:39" ht="24.75" customHeight="1">
      <c r="A144" s="542"/>
      <c r="B144" s="453"/>
      <c r="C144" s="67"/>
      <c r="D144" s="67"/>
      <c r="E144" s="67"/>
      <c r="F144" s="67"/>
      <c r="G144" s="67"/>
      <c r="H144" s="67"/>
      <c r="I144" s="67"/>
      <c r="J144" s="67"/>
      <c r="K144" s="67"/>
      <c r="L144" s="67"/>
      <c r="M144" s="67"/>
      <c r="N144" s="101"/>
      <c r="O144" s="67"/>
      <c r="P144" s="67"/>
      <c r="Q144" s="67"/>
      <c r="R144" s="101"/>
      <c r="S144" s="189">
        <f>+IF(ABRIL!S144=0,"",ABRIL!S144)</f>
        <v>8880056</v>
      </c>
      <c r="T144" s="488" t="str">
        <f>+IF(ABRIL!T144=0,"",ABRIL!T144)</f>
        <v/>
      </c>
      <c r="U144" s="191"/>
      <c r="V144" s="191"/>
      <c r="W144" s="191"/>
      <c r="X144" s="191"/>
      <c r="Y144" s="191"/>
      <c r="Z144" s="191"/>
      <c r="AA144" s="191"/>
      <c r="AB144" s="191"/>
      <c r="AC144" s="191"/>
      <c r="AD144" s="191"/>
      <c r="AE144" s="191"/>
      <c r="AF144" s="191"/>
      <c r="AG144" s="191"/>
      <c r="AH144" s="191"/>
      <c r="AI144" s="191"/>
      <c r="AJ144" s="192"/>
      <c r="AK144" s="101"/>
      <c r="AL144" s="370"/>
      <c r="AM144" s="371"/>
    </row>
    <row r="145" spans="19:39" ht="24.75" customHeight="1">
      <c r="S145" s="228">
        <f>+IF(ABRIL!S145=0,"",ABRIL!S145)</f>
        <v>2020010</v>
      </c>
      <c r="T145" s="229" t="str">
        <f>+IF(ABRIL!T145=0,"",ABRIL!T145)</f>
        <v>Gastos de Operación</v>
      </c>
      <c r="U145" s="230">
        <f t="shared" ref="U145:AJ145" si="140">U147+U155</f>
        <v>11892931308.176388</v>
      </c>
      <c r="V145" s="231">
        <f t="shared" si="140"/>
        <v>0</v>
      </c>
      <c r="W145" s="231">
        <f t="shared" si="140"/>
        <v>458814745</v>
      </c>
      <c r="X145" s="234">
        <f t="shared" si="140"/>
        <v>12351746053.176388</v>
      </c>
      <c r="Y145" s="233">
        <f t="shared" si="140"/>
        <v>3966760723</v>
      </c>
      <c r="Z145" s="231">
        <f t="shared" si="140"/>
        <v>728315736</v>
      </c>
      <c r="AA145" s="234">
        <f t="shared" si="140"/>
        <v>4695076459</v>
      </c>
      <c r="AB145" s="233">
        <f t="shared" si="140"/>
        <v>2498320183</v>
      </c>
      <c r="AC145" s="231">
        <f t="shared" si="140"/>
        <v>783470394</v>
      </c>
      <c r="AD145" s="234">
        <f t="shared" si="140"/>
        <v>3281790577</v>
      </c>
      <c r="AE145" s="233">
        <f t="shared" si="140"/>
        <v>1085472965</v>
      </c>
      <c r="AF145" s="231">
        <f t="shared" si="140"/>
        <v>796651078</v>
      </c>
      <c r="AG145" s="234">
        <f t="shared" si="140"/>
        <v>1882124043</v>
      </c>
      <c r="AH145" s="233">
        <f t="shared" si="140"/>
        <v>7656669594.1763887</v>
      </c>
      <c r="AI145" s="231">
        <f t="shared" si="140"/>
        <v>9069955476.1763878</v>
      </c>
      <c r="AJ145" s="232">
        <f t="shared" si="140"/>
        <v>10469622010.176388</v>
      </c>
      <c r="AK145" s="216"/>
      <c r="AL145" s="233">
        <f>AL147+AL155</f>
        <v>0</v>
      </c>
      <c r="AM145" s="232">
        <f>AM147+AM155</f>
        <v>0</v>
      </c>
    </row>
    <row r="146" spans="19:39" ht="24.75" customHeight="1">
      <c r="S146" s="311">
        <f>+IF(ABRIL!S146=0,"",ABRIL!S146)</f>
        <v>2020010</v>
      </c>
      <c r="T146" s="312" t="str">
        <f>+IF(ABRIL!T146=0,"",ABRIL!T146)</f>
        <v/>
      </c>
      <c r="U146" s="299"/>
      <c r="V146" s="220"/>
      <c r="W146" s="220"/>
      <c r="X146" s="271"/>
      <c r="Y146" s="270"/>
      <c r="Z146" s="220"/>
      <c r="AA146" s="271"/>
      <c r="AB146" s="270"/>
      <c r="AC146" s="220"/>
      <c r="AD146" s="271"/>
      <c r="AE146" s="270"/>
      <c r="AF146" s="220"/>
      <c r="AG146" s="271"/>
      <c r="AH146" s="270"/>
      <c r="AI146" s="220"/>
      <c r="AJ146" s="269"/>
      <c r="AK146" s="101"/>
      <c r="AL146" s="370"/>
      <c r="AM146" s="371"/>
    </row>
    <row r="147" spans="19:39" ht="24.75" customHeight="1">
      <c r="S147" s="257" t="str">
        <f>+IF(ABRIL!S147=0,"",ABRIL!S147)</f>
        <v>2.1.2</v>
      </c>
      <c r="T147" s="546" t="str">
        <f>+IF(ABRIL!T147=0,"",ABRIL!T147)</f>
        <v>Adquisición de bienes</v>
      </c>
      <c r="U147" s="230">
        <f t="shared" ref="U147:AJ147" si="141">SUM(U148:U149)+U153</f>
        <v>3776193053.9541664</v>
      </c>
      <c r="V147" s="231">
        <f t="shared" si="141"/>
        <v>0</v>
      </c>
      <c r="W147" s="231">
        <f t="shared" si="141"/>
        <v>300000000</v>
      </c>
      <c r="X147" s="234">
        <f t="shared" si="141"/>
        <v>4076193053.9541664</v>
      </c>
      <c r="Y147" s="233">
        <f t="shared" si="141"/>
        <v>1425277267</v>
      </c>
      <c r="Z147" s="231">
        <f t="shared" si="141"/>
        <v>333932406</v>
      </c>
      <c r="AA147" s="234">
        <f t="shared" si="141"/>
        <v>1759209673</v>
      </c>
      <c r="AB147" s="233">
        <f t="shared" si="141"/>
        <v>1066557594</v>
      </c>
      <c r="AC147" s="231">
        <f t="shared" si="141"/>
        <v>283546483</v>
      </c>
      <c r="AD147" s="234">
        <f t="shared" si="141"/>
        <v>1350104077</v>
      </c>
      <c r="AE147" s="233">
        <f t="shared" si="141"/>
        <v>380554082</v>
      </c>
      <c r="AF147" s="231">
        <f t="shared" si="141"/>
        <v>311681777</v>
      </c>
      <c r="AG147" s="234">
        <f t="shared" si="141"/>
        <v>692235859</v>
      </c>
      <c r="AH147" s="233">
        <f t="shared" si="141"/>
        <v>2316983380.9541664</v>
      </c>
      <c r="AI147" s="231">
        <f t="shared" si="141"/>
        <v>2726088976.9541664</v>
      </c>
      <c r="AJ147" s="232">
        <f t="shared" si="141"/>
        <v>3383957194.9541664</v>
      </c>
      <c r="AK147" s="101"/>
      <c r="AL147" s="233">
        <f>SUM(AL148:AL149)+AL153</f>
        <v>0</v>
      </c>
      <c r="AM147" s="232">
        <f>SUM(AM148:AM149)+AM153</f>
        <v>0</v>
      </c>
    </row>
    <row r="148" spans="19:39" ht="24.75" customHeight="1">
      <c r="S148" s="1163" t="str">
        <f>+IF(ABRIL!S148=0,"",ABRIL!S148)</f>
        <v>2.1.2.02.01.003.305</v>
      </c>
      <c r="T148" s="1164" t="str">
        <f>+IF(ABRIL!T148=0,"",ABRIL!T148)</f>
        <v>Mantenimiento -  Partes, accesorios, herramientas</v>
      </c>
      <c r="U148" s="1168">
        <f>+ENERO!U148</f>
        <v>2090969100</v>
      </c>
      <c r="V148" s="220">
        <f>ABRIL!V148+MAYO!AL148</f>
        <v>0</v>
      </c>
      <c r="W148" s="220">
        <f>ABRIL!W148+MAYO!AM148</f>
        <v>0</v>
      </c>
      <c r="X148" s="1167">
        <f>SUM(U148:W148)</f>
        <v>2090969100</v>
      </c>
      <c r="Y148" s="270">
        <f>ABRIL!AA148</f>
        <v>383484400</v>
      </c>
      <c r="Z148" s="208">
        <v>184204443</v>
      </c>
      <c r="AA148" s="1167">
        <f>SUM(Y148:Z148)</f>
        <v>567688843</v>
      </c>
      <c r="AB148" s="270">
        <f>ABRIL!AD148</f>
        <v>311563851</v>
      </c>
      <c r="AC148" s="208">
        <v>124324341</v>
      </c>
      <c r="AD148" s="1167">
        <f>SUM(AB148:AC148)</f>
        <v>435888192</v>
      </c>
      <c r="AE148" s="270">
        <f>ABRIL!AG148</f>
        <v>5506371</v>
      </c>
      <c r="AF148" s="208">
        <v>127181800</v>
      </c>
      <c r="AG148" s="1167">
        <f>SUM(AE148:AF148)</f>
        <v>132688171</v>
      </c>
      <c r="AH148" s="270">
        <f>X148-AA148</f>
        <v>1523280257</v>
      </c>
      <c r="AI148" s="220">
        <f>X148-AD148</f>
        <v>1655080908</v>
      </c>
      <c r="AJ148" s="269">
        <f>X148-AG148</f>
        <v>1958280929</v>
      </c>
      <c r="AK148" s="101"/>
      <c r="AL148" s="204">
        <v>0</v>
      </c>
      <c r="AM148" s="210">
        <v>0</v>
      </c>
    </row>
    <row r="149" spans="19:39" ht="24.75" customHeight="1">
      <c r="S149" s="266">
        <f>+IF(ABRIL!S149=0,"",ABRIL!S149)</f>
        <v>2020102</v>
      </c>
      <c r="T149" s="267" t="str">
        <f>+IF(ABRIL!T149=0,"",ABRIL!T149)</f>
        <v>Otros</v>
      </c>
      <c r="U149" s="373">
        <f t="shared" ref="U149:AJ149" si="142">SUM(U150:U152)</f>
        <v>1232308696.9541667</v>
      </c>
      <c r="V149" s="220">
        <f t="shared" si="142"/>
        <v>0</v>
      </c>
      <c r="W149" s="220">
        <f t="shared" si="142"/>
        <v>0</v>
      </c>
      <c r="X149" s="271">
        <f t="shared" si="142"/>
        <v>1232308696.9541667</v>
      </c>
      <c r="Y149" s="270">
        <f t="shared" si="142"/>
        <v>673037207</v>
      </c>
      <c r="Z149" s="300">
        <f t="shared" si="142"/>
        <v>80292351</v>
      </c>
      <c r="AA149" s="271">
        <f t="shared" si="142"/>
        <v>753329558</v>
      </c>
      <c r="AB149" s="270">
        <f t="shared" si="142"/>
        <v>386238083</v>
      </c>
      <c r="AC149" s="300">
        <f t="shared" si="142"/>
        <v>89786530</v>
      </c>
      <c r="AD149" s="271">
        <f t="shared" si="142"/>
        <v>476024613</v>
      </c>
      <c r="AE149" s="270">
        <f t="shared" si="142"/>
        <v>6292051</v>
      </c>
      <c r="AF149" s="300">
        <f t="shared" si="142"/>
        <v>115064365</v>
      </c>
      <c r="AG149" s="271">
        <f t="shared" si="142"/>
        <v>121356416</v>
      </c>
      <c r="AH149" s="270">
        <f t="shared" si="142"/>
        <v>478979138.95416665</v>
      </c>
      <c r="AI149" s="220">
        <f t="shared" si="142"/>
        <v>756284083.95416665</v>
      </c>
      <c r="AJ149" s="269">
        <f t="shared" si="142"/>
        <v>1110952280.9541667</v>
      </c>
      <c r="AK149" s="101"/>
      <c r="AL149" s="301">
        <f>SUM(AL150:AL152)</f>
        <v>0</v>
      </c>
      <c r="AM149" s="302">
        <f>SUM(AM150:AM152)</f>
        <v>0</v>
      </c>
    </row>
    <row r="150" spans="19:39" ht="24.75" customHeight="1">
      <c r="S150" s="311" t="str">
        <f>+IF(ABRIL!S150=0,"",ABRIL!S150)</f>
        <v>2.1.2.02.01.002,001</v>
      </c>
      <c r="T150" s="267" t="str">
        <f>+IF(ABRIL!T150=0,"",ABRIL!T150)</f>
        <v>Roperia</v>
      </c>
      <c r="U150" s="373">
        <f>+ENERO!U150</f>
        <v>300724825</v>
      </c>
      <c r="V150" s="220">
        <f>ABRIL!V150+MAYO!AL150</f>
        <v>0</v>
      </c>
      <c r="W150" s="220">
        <f>ABRIL!W150+MAYO!AM150</f>
        <v>0</v>
      </c>
      <c r="X150" s="271">
        <f>SUM(U150:W150)</f>
        <v>300724825</v>
      </c>
      <c r="Y150" s="270">
        <f>ABRIL!AA150</f>
        <v>177455180</v>
      </c>
      <c r="Z150" s="208">
        <v>0</v>
      </c>
      <c r="AA150" s="271">
        <f>SUM(Y150:Z150)</f>
        <v>177455180</v>
      </c>
      <c r="AB150" s="270">
        <f>ABRIL!AD150</f>
        <v>0</v>
      </c>
      <c r="AC150" s="208">
        <v>0</v>
      </c>
      <c r="AD150" s="271">
        <f>SUM(AB150:AC150)</f>
        <v>0</v>
      </c>
      <c r="AE150" s="270">
        <f>ABRIL!AG150</f>
        <v>0</v>
      </c>
      <c r="AF150" s="208">
        <v>0</v>
      </c>
      <c r="AG150" s="271">
        <f>SUM(AE150:AF150)</f>
        <v>0</v>
      </c>
      <c r="AH150" s="270">
        <f>X150-AA150</f>
        <v>123269645</v>
      </c>
      <c r="AI150" s="220">
        <f>X150-AD150</f>
        <v>300724825</v>
      </c>
      <c r="AJ150" s="269">
        <f>X150-AG150</f>
        <v>300724825</v>
      </c>
      <c r="AK150" s="101"/>
      <c r="AL150" s="204">
        <v>0</v>
      </c>
      <c r="AM150" s="210">
        <v>0</v>
      </c>
    </row>
    <row r="151" spans="19:39" ht="24.75" customHeight="1">
      <c r="S151" s="311" t="str">
        <f>+IF(ABRIL!S151=0,"",ABRIL!S151)</f>
        <v>2.1.2.02.01.003.303</v>
      </c>
      <c r="T151" s="267" t="str">
        <f>+IF(ABRIL!T151=0,"",ABRIL!T151)</f>
        <v>Elementos de Aseo</v>
      </c>
      <c r="U151" s="373">
        <f>+ENERO!U151</f>
        <v>684513688.9375</v>
      </c>
      <c r="V151" s="220">
        <f>ABRIL!V151+MAYO!AL151</f>
        <v>0</v>
      </c>
      <c r="W151" s="220">
        <f>ABRIL!W151+MAYO!AM151</f>
        <v>0</v>
      </c>
      <c r="X151" s="271">
        <f>SUM(U151:W151)</f>
        <v>684513688.9375</v>
      </c>
      <c r="Y151" s="270">
        <f>ABRIL!AA151</f>
        <v>281362465</v>
      </c>
      <c r="Z151" s="208">
        <v>66477962</v>
      </c>
      <c r="AA151" s="271">
        <f>SUM(Y151:Z151)</f>
        <v>347840427</v>
      </c>
      <c r="AB151" s="270">
        <f>ABRIL!AD151</f>
        <v>222697166</v>
      </c>
      <c r="AC151" s="208">
        <v>57603518</v>
      </c>
      <c r="AD151" s="271">
        <f>SUM(AB151:AC151)</f>
        <v>280300684</v>
      </c>
      <c r="AE151" s="270">
        <f>ABRIL!AG151</f>
        <v>669350</v>
      </c>
      <c r="AF151" s="208">
        <v>68963602</v>
      </c>
      <c r="AG151" s="271">
        <f>SUM(AE151:AF151)</f>
        <v>69632952</v>
      </c>
      <c r="AH151" s="270">
        <f>X151-AA151</f>
        <v>336673261.9375</v>
      </c>
      <c r="AI151" s="220">
        <f>X151-AD151</f>
        <v>404213004.9375</v>
      </c>
      <c r="AJ151" s="269">
        <f>X151-AG151</f>
        <v>614880736.9375</v>
      </c>
      <c r="AK151" s="101"/>
      <c r="AL151" s="204">
        <v>0</v>
      </c>
      <c r="AM151" s="210">
        <v>0</v>
      </c>
    </row>
    <row r="152" spans="19:39" ht="24.75" customHeight="1">
      <c r="S152" s="311" t="str">
        <f>+IF(ABRIL!S152=0,"",ABRIL!S152)</f>
        <v>2.1.2.02.01.003.304</v>
      </c>
      <c r="T152" s="267" t="str">
        <f>+IF(ABRIL!T152=0,"",ABRIL!T152)</f>
        <v xml:space="preserve">Insumos hospitalarios </v>
      </c>
      <c r="U152" s="373">
        <f>+ENERO!U152</f>
        <v>247070183.01666665</v>
      </c>
      <c r="V152" s="220">
        <f>ABRIL!V152+MAYO!AL152</f>
        <v>0</v>
      </c>
      <c r="W152" s="220">
        <f>ABRIL!W152+MAYO!AM152</f>
        <v>0</v>
      </c>
      <c r="X152" s="271">
        <f>SUM(U152:W152)</f>
        <v>247070183.01666665</v>
      </c>
      <c r="Y152" s="270">
        <f>ABRIL!AA152</f>
        <v>214219562</v>
      </c>
      <c r="Z152" s="208">
        <v>13814389</v>
      </c>
      <c r="AA152" s="271">
        <f>SUM(Y152:Z152)</f>
        <v>228033951</v>
      </c>
      <c r="AB152" s="270">
        <f>ABRIL!AD152</f>
        <v>163540917</v>
      </c>
      <c r="AC152" s="208">
        <v>32183012</v>
      </c>
      <c r="AD152" s="271">
        <f>SUM(AB152:AC152)</f>
        <v>195723929</v>
      </c>
      <c r="AE152" s="270">
        <f>ABRIL!AG152</f>
        <v>5622701</v>
      </c>
      <c r="AF152" s="208">
        <v>46100763</v>
      </c>
      <c r="AG152" s="271">
        <f>SUM(AE152:AF152)</f>
        <v>51723464</v>
      </c>
      <c r="AH152" s="270">
        <f>X152-AA152</f>
        <v>19036232.016666651</v>
      </c>
      <c r="AI152" s="220">
        <f>X152-AD152</f>
        <v>51346254.016666651</v>
      </c>
      <c r="AJ152" s="269">
        <f>X152-AG152</f>
        <v>195346719.01666665</v>
      </c>
      <c r="AK152" s="101"/>
      <c r="AL152" s="204">
        <v>0</v>
      </c>
      <c r="AM152" s="210">
        <v>0</v>
      </c>
    </row>
    <row r="153" spans="19:39" ht="24.75" customHeight="1">
      <c r="S153" s="266" t="str">
        <f>+IF(ABRIL!S153=0,"",ABRIL!S153)</f>
        <v>2.1.2.02.01.003.99</v>
      </c>
      <c r="T153" s="267" t="str">
        <f>+IF(ABRIL!T153=0,"",ABRIL!T153)</f>
        <v>Vigencia anterior Mantenimiento - Partes,Accesorios, Herramientas.</v>
      </c>
      <c r="U153" s="373">
        <f>+ENERO!U153</f>
        <v>452915257</v>
      </c>
      <c r="V153" s="220">
        <f>ABRIL!V153+MAYO!AL153</f>
        <v>0</v>
      </c>
      <c r="W153" s="220">
        <f>ABRIL!W153+MAYO!AM153</f>
        <v>300000000</v>
      </c>
      <c r="X153" s="271">
        <f>SUM(U153:W153)</f>
        <v>752915257</v>
      </c>
      <c r="Y153" s="270">
        <f>ABRIL!AA153</f>
        <v>368755660</v>
      </c>
      <c r="Z153" s="208">
        <v>69435612</v>
      </c>
      <c r="AA153" s="271">
        <f>SUM(Y153:Z153)</f>
        <v>438191272</v>
      </c>
      <c r="AB153" s="270">
        <f>ABRIL!AD153</f>
        <v>368755660</v>
      </c>
      <c r="AC153" s="208">
        <v>69435612</v>
      </c>
      <c r="AD153" s="271">
        <f>SUM(AB153:AC153)</f>
        <v>438191272</v>
      </c>
      <c r="AE153" s="270">
        <f>ABRIL!AG153</f>
        <v>368755660</v>
      </c>
      <c r="AF153" s="208">
        <v>69435612</v>
      </c>
      <c r="AG153" s="271">
        <f>SUM(AE153:AF153)</f>
        <v>438191272</v>
      </c>
      <c r="AH153" s="270">
        <f>X153-AA153</f>
        <v>314723985</v>
      </c>
      <c r="AI153" s="220">
        <f>X153-AD153</f>
        <v>314723985</v>
      </c>
      <c r="AJ153" s="269">
        <f>X153-AG153</f>
        <v>314723985</v>
      </c>
      <c r="AK153" s="101"/>
      <c r="AL153" s="204">
        <v>0</v>
      </c>
      <c r="AM153" s="210">
        <v>0</v>
      </c>
    </row>
    <row r="154" spans="19:39" ht="24.75" customHeight="1">
      <c r="S154" s="189">
        <f>+IF(ABRIL!S154=0,"",ABRIL!S154)</f>
        <v>203715328</v>
      </c>
      <c r="T154" s="488" t="str">
        <f>+IF(ABRIL!T154=0,"",ABRIL!T154)</f>
        <v/>
      </c>
      <c r="U154" s="191"/>
      <c r="V154" s="191"/>
      <c r="W154" s="191"/>
      <c r="X154" s="191"/>
      <c r="Y154" s="191"/>
      <c r="Z154" s="191"/>
      <c r="AA154" s="191"/>
      <c r="AB154" s="191"/>
      <c r="AC154" s="191"/>
      <c r="AD154" s="191"/>
      <c r="AE154" s="191"/>
      <c r="AF154" s="191"/>
      <c r="AG154" s="191"/>
      <c r="AH154" s="191"/>
      <c r="AI154" s="191"/>
      <c r="AJ154" s="192"/>
      <c r="AK154" s="101"/>
      <c r="AL154" s="370"/>
      <c r="AM154" s="371"/>
    </row>
    <row r="155" spans="19:39" ht="24.75" customHeight="1">
      <c r="S155" s="257" t="str">
        <f>+IF(ABRIL!S155=0,"",ABRIL!S155)</f>
        <v>2.1.2.02.02</v>
      </c>
      <c r="T155" s="546" t="str">
        <f>+IF(ABRIL!T155=0,"",ABRIL!T155)</f>
        <v>Adquisición de Servicios</v>
      </c>
      <c r="U155" s="230">
        <f>SUM(U156:U157)</f>
        <v>8116738254.2222223</v>
      </c>
      <c r="V155" s="230">
        <f>SUM(V156:V157)</f>
        <v>0</v>
      </c>
      <c r="W155" s="230">
        <f>SUM(W156:W157)</f>
        <v>158814745</v>
      </c>
      <c r="X155" s="230">
        <f>SUM(X156:X157)</f>
        <v>8275552999.2222223</v>
      </c>
      <c r="Y155" s="230">
        <f>SUM(Y156:Y157)</f>
        <v>2541483456</v>
      </c>
      <c r="Z155" s="230">
        <f t="shared" ref="Z155:AM155" si="143">SUM(Z156:Z157)</f>
        <v>394383330</v>
      </c>
      <c r="AA155" s="230">
        <f t="shared" si="143"/>
        <v>2935866786</v>
      </c>
      <c r="AB155" s="230">
        <f t="shared" si="143"/>
        <v>1431762589</v>
      </c>
      <c r="AC155" s="230">
        <f t="shared" si="143"/>
        <v>499923911</v>
      </c>
      <c r="AD155" s="230">
        <f t="shared" si="143"/>
        <v>1931686500</v>
      </c>
      <c r="AE155" s="230">
        <f t="shared" si="143"/>
        <v>704918883</v>
      </c>
      <c r="AF155" s="230">
        <f t="shared" si="143"/>
        <v>484969301</v>
      </c>
      <c r="AG155" s="230">
        <f t="shared" si="143"/>
        <v>1189888184</v>
      </c>
      <c r="AH155" s="230">
        <f t="shared" si="143"/>
        <v>5339686213.2222223</v>
      </c>
      <c r="AI155" s="230">
        <f t="shared" si="143"/>
        <v>6343866499.2222223</v>
      </c>
      <c r="AJ155" s="230">
        <f t="shared" si="143"/>
        <v>7085664815.2222223</v>
      </c>
      <c r="AK155" s="230"/>
      <c r="AL155" s="230">
        <f t="shared" si="143"/>
        <v>0</v>
      </c>
      <c r="AM155" s="230">
        <f t="shared" si="143"/>
        <v>0</v>
      </c>
    </row>
    <row r="156" spans="19:39" ht="24.75" customHeight="1">
      <c r="S156" s="1163" t="str">
        <f>+IF(ABRIL!S156=0,"",ABRIL!S156)</f>
        <v>2.1.2.02.01.003.306</v>
      </c>
      <c r="T156" s="1164" t="str">
        <f>+IF(ABRIL!T156=0,"",ABRIL!T156)</f>
        <v>Mantenimiento - Bienes sistemas</v>
      </c>
      <c r="U156" s="1168">
        <f>+ENERO!U156</f>
        <v>17133955</v>
      </c>
      <c r="V156" s="220">
        <f>ABRIL!V156+MAYO!AL156</f>
        <v>0</v>
      </c>
      <c r="W156" s="220">
        <f>ABRIL!W156+MAYO!AM156</f>
        <v>0</v>
      </c>
      <c r="X156" s="1167">
        <f>SUM(U156:W156)</f>
        <v>17133955</v>
      </c>
      <c r="Y156" s="270">
        <f>ABRIL!AA156</f>
        <v>15819256</v>
      </c>
      <c r="Z156" s="208">
        <v>0</v>
      </c>
      <c r="AA156" s="1167">
        <f>SUM(Y156:Z156)</f>
        <v>15819256</v>
      </c>
      <c r="AB156" s="270">
        <f>ABRIL!AD156</f>
        <v>10574474</v>
      </c>
      <c r="AC156" s="208">
        <v>0</v>
      </c>
      <c r="AD156" s="1167">
        <f>SUM(AB156:AC156)</f>
        <v>10574474</v>
      </c>
      <c r="AE156" s="270">
        <f>ABRIL!AG156</f>
        <v>204304</v>
      </c>
      <c r="AF156" s="208">
        <v>1337666</v>
      </c>
      <c r="AG156" s="1167">
        <f>SUM(AE156:AF156)</f>
        <v>1541970</v>
      </c>
      <c r="AH156" s="270">
        <f>X156-AA156</f>
        <v>1314699</v>
      </c>
      <c r="AI156" s="220">
        <f>X156-AD156</f>
        <v>6559481</v>
      </c>
      <c r="AJ156" s="269">
        <f>X156-AG156</f>
        <v>15591985</v>
      </c>
      <c r="AK156" s="101"/>
      <c r="AL156" s="204">
        <v>0</v>
      </c>
      <c r="AM156" s="210">
        <v>0</v>
      </c>
    </row>
    <row r="157" spans="19:39" ht="24.75" customHeight="1">
      <c r="S157" s="266">
        <f>+IF(ABRIL!S157=0,"",ABRIL!S157)</f>
        <v>2020202</v>
      </c>
      <c r="T157" s="267" t="str">
        <f>+IF(ABRIL!T157=0,"",ABRIL!T157)</f>
        <v>Otros</v>
      </c>
      <c r="U157" s="373">
        <f t="shared" ref="U157:AJ157" si="144">SUM(U158:U166)</f>
        <v>8099604299.2222223</v>
      </c>
      <c r="V157" s="220">
        <f t="shared" si="144"/>
        <v>0</v>
      </c>
      <c r="W157" s="220">
        <f t="shared" si="144"/>
        <v>158814745</v>
      </c>
      <c r="X157" s="271">
        <f t="shared" si="144"/>
        <v>8258419044.2222223</v>
      </c>
      <c r="Y157" s="270">
        <f t="shared" si="144"/>
        <v>2525664200</v>
      </c>
      <c r="Z157" s="300">
        <f t="shared" si="144"/>
        <v>394383330</v>
      </c>
      <c r="AA157" s="271">
        <f t="shared" si="144"/>
        <v>2920047530</v>
      </c>
      <c r="AB157" s="270">
        <f t="shared" si="144"/>
        <v>1421188115</v>
      </c>
      <c r="AC157" s="300">
        <f t="shared" si="144"/>
        <v>499923911</v>
      </c>
      <c r="AD157" s="271">
        <f t="shared" si="144"/>
        <v>1921112026</v>
      </c>
      <c r="AE157" s="270">
        <f t="shared" si="144"/>
        <v>704714579</v>
      </c>
      <c r="AF157" s="300">
        <f t="shared" si="144"/>
        <v>483631635</v>
      </c>
      <c r="AG157" s="271">
        <f t="shared" si="144"/>
        <v>1188346214</v>
      </c>
      <c r="AH157" s="270">
        <f t="shared" si="144"/>
        <v>5338371514.2222223</v>
      </c>
      <c r="AI157" s="220">
        <f t="shared" si="144"/>
        <v>6337307018.2222223</v>
      </c>
      <c r="AJ157" s="269">
        <f t="shared" si="144"/>
        <v>7070072830.2222223</v>
      </c>
      <c r="AK157" s="216"/>
      <c r="AL157" s="301">
        <f>SUM(AL158:AL166)</f>
        <v>0</v>
      </c>
      <c r="AM157" s="302">
        <f>SUM(AM158:AM166)</f>
        <v>0</v>
      </c>
    </row>
    <row r="158" spans="19:39" ht="24.75" customHeight="1">
      <c r="S158" s="311" t="s">
        <v>609</v>
      </c>
      <c r="T158" s="312" t="s">
        <v>709</v>
      </c>
      <c r="U158" s="373">
        <f>+ENERO!U158</f>
        <v>0</v>
      </c>
      <c r="V158" s="220">
        <f>ABRIL!V158+MAYO!AL158</f>
        <v>0</v>
      </c>
      <c r="W158" s="220">
        <f>ABRIL!W158+MAYO!AM158</f>
        <v>0</v>
      </c>
      <c r="X158" s="271">
        <f t="shared" ref="X158:X166" si="145">SUM(U158:W158)</f>
        <v>0</v>
      </c>
      <c r="Y158" s="270">
        <f>ABRIL!AA158</f>
        <v>0</v>
      </c>
      <c r="Z158" s="208">
        <v>0</v>
      </c>
      <c r="AA158" s="271">
        <f t="shared" ref="AA158:AA166" si="146">SUM(Y158:Z158)</f>
        <v>0</v>
      </c>
      <c r="AB158" s="270">
        <f>ABRIL!AD158</f>
        <v>0</v>
      </c>
      <c r="AC158" s="208">
        <v>0</v>
      </c>
      <c r="AD158" s="271">
        <f t="shared" ref="AD158:AD166" si="147">SUM(AB158:AC158)</f>
        <v>0</v>
      </c>
      <c r="AE158" s="270">
        <f>ABRIL!AG158</f>
        <v>0</v>
      </c>
      <c r="AF158" s="208">
        <v>0</v>
      </c>
      <c r="AG158" s="271">
        <f t="shared" ref="AG158:AG166" si="148">SUM(AE158:AF158)</f>
        <v>0</v>
      </c>
      <c r="AH158" s="270">
        <f t="shared" ref="AH158:AH166" si="149">X158-AA158</f>
        <v>0</v>
      </c>
      <c r="AI158" s="220">
        <f t="shared" ref="AI158:AI166" si="150">X158-AD158</f>
        <v>0</v>
      </c>
      <c r="AJ158" s="269">
        <f t="shared" ref="AJ158:AJ166" si="151">X158-AG158</f>
        <v>0</v>
      </c>
      <c r="AK158" s="101"/>
      <c r="AL158" s="204">
        <v>0</v>
      </c>
      <c r="AM158" s="210">
        <v>0</v>
      </c>
    </row>
    <row r="159" spans="19:39" ht="24.75" customHeight="1">
      <c r="S159" s="1165" t="s">
        <v>714</v>
      </c>
      <c r="T159" s="1166" t="s">
        <v>713</v>
      </c>
      <c r="U159" s="1168">
        <f>+ENERO!U159</f>
        <v>476117296</v>
      </c>
      <c r="V159" s="220">
        <f>ABRIL!V159+MAYO!AL159</f>
        <v>0</v>
      </c>
      <c r="W159" s="220">
        <f>ABRIL!W159+MAYO!AM159</f>
        <v>0</v>
      </c>
      <c r="X159" s="1167">
        <f t="shared" si="145"/>
        <v>476117296</v>
      </c>
      <c r="Y159" s="270">
        <f>ABRIL!AA159</f>
        <v>8737248</v>
      </c>
      <c r="Z159" s="208">
        <v>0</v>
      </c>
      <c r="AA159" s="1167">
        <f t="shared" si="146"/>
        <v>8737248</v>
      </c>
      <c r="AB159" s="270">
        <f>ABRIL!AD159</f>
        <v>3308496</v>
      </c>
      <c r="AC159" s="208">
        <v>856570</v>
      </c>
      <c r="AD159" s="1167">
        <f t="shared" si="147"/>
        <v>4165066</v>
      </c>
      <c r="AE159" s="270">
        <f>ABRIL!AG159</f>
        <v>2571248</v>
      </c>
      <c r="AF159" s="208">
        <v>0</v>
      </c>
      <c r="AG159" s="1167">
        <f t="shared" si="148"/>
        <v>2571248</v>
      </c>
      <c r="AH159" s="270">
        <f t="shared" si="149"/>
        <v>467380048</v>
      </c>
      <c r="AI159" s="220">
        <f t="shared" si="150"/>
        <v>471952230</v>
      </c>
      <c r="AJ159" s="269">
        <f t="shared" si="151"/>
        <v>473546048</v>
      </c>
      <c r="AK159" s="101"/>
      <c r="AL159" s="204">
        <v>0</v>
      </c>
      <c r="AM159" s="210">
        <v>0</v>
      </c>
    </row>
    <row r="160" spans="19:39" ht="24.75" customHeight="1">
      <c r="S160" s="1165" t="s">
        <v>605</v>
      </c>
      <c r="T160" s="1166" t="s">
        <v>710</v>
      </c>
      <c r="U160" s="1168">
        <f>+ENERO!U160</f>
        <v>415609981</v>
      </c>
      <c r="V160" s="220">
        <f>ABRIL!V160+MAYO!AL160</f>
        <v>0</v>
      </c>
      <c r="W160" s="220">
        <f>ABRIL!W160+MAYO!AM160</f>
        <v>0</v>
      </c>
      <c r="X160" s="1167">
        <f t="shared" si="145"/>
        <v>415609981</v>
      </c>
      <c r="Y160" s="270">
        <f>ABRIL!AA160</f>
        <v>167797732</v>
      </c>
      <c r="Z160" s="208">
        <v>13410139</v>
      </c>
      <c r="AA160" s="1167">
        <f t="shared" si="146"/>
        <v>181207871</v>
      </c>
      <c r="AB160" s="270">
        <f>ABRIL!AD160</f>
        <v>84809580</v>
      </c>
      <c r="AC160" s="208">
        <v>32294932</v>
      </c>
      <c r="AD160" s="1167">
        <f t="shared" si="147"/>
        <v>117104512</v>
      </c>
      <c r="AE160" s="270">
        <f>ABRIL!AG160</f>
        <v>16590810</v>
      </c>
      <c r="AF160" s="208">
        <v>0</v>
      </c>
      <c r="AG160" s="1167">
        <f t="shared" si="148"/>
        <v>16590810</v>
      </c>
      <c r="AH160" s="270">
        <f t="shared" si="149"/>
        <v>234402110</v>
      </c>
      <c r="AI160" s="220">
        <f t="shared" si="150"/>
        <v>298505469</v>
      </c>
      <c r="AJ160" s="269">
        <f t="shared" si="151"/>
        <v>399019171</v>
      </c>
      <c r="AK160" s="101"/>
      <c r="AL160" s="204">
        <v>0</v>
      </c>
      <c r="AM160" s="210">
        <v>0</v>
      </c>
    </row>
    <row r="161" spans="19:39" ht="24.75" customHeight="1">
      <c r="S161" s="1165" t="s">
        <v>737</v>
      </c>
      <c r="T161" s="1166" t="s">
        <v>719</v>
      </c>
      <c r="U161" s="1168">
        <f>+ENERO!U161</f>
        <v>220500000</v>
      </c>
      <c r="V161" s="220">
        <f>ABRIL!V161+MAYO!AL161</f>
        <v>0</v>
      </c>
      <c r="W161" s="220">
        <f>ABRIL!W161+MAYO!AM161</f>
        <v>0</v>
      </c>
      <c r="X161" s="1167">
        <f t="shared" si="145"/>
        <v>220500000</v>
      </c>
      <c r="Y161" s="270">
        <f>ABRIL!AA161</f>
        <v>31535631</v>
      </c>
      <c r="Z161" s="208">
        <v>0</v>
      </c>
      <c r="AA161" s="1167">
        <f t="shared" si="146"/>
        <v>31535631</v>
      </c>
      <c r="AB161" s="270">
        <f>ABRIL!AD161</f>
        <v>31535631</v>
      </c>
      <c r="AC161" s="208">
        <v>0</v>
      </c>
      <c r="AD161" s="1167">
        <f t="shared" si="147"/>
        <v>31535631</v>
      </c>
      <c r="AE161" s="270">
        <f>ABRIL!AG161</f>
        <v>0</v>
      </c>
      <c r="AF161" s="208">
        <v>31535631</v>
      </c>
      <c r="AG161" s="1167">
        <f t="shared" si="148"/>
        <v>31535631</v>
      </c>
      <c r="AH161" s="270">
        <f t="shared" si="149"/>
        <v>188964369</v>
      </c>
      <c r="AI161" s="220">
        <f t="shared" si="150"/>
        <v>188964369</v>
      </c>
      <c r="AJ161" s="269">
        <f t="shared" si="151"/>
        <v>188964369</v>
      </c>
      <c r="AK161" s="101"/>
      <c r="AL161" s="204">
        <v>0</v>
      </c>
      <c r="AM161" s="210">
        <v>0</v>
      </c>
    </row>
    <row r="162" spans="19:39" ht="24.75" customHeight="1">
      <c r="S162" s="1165" t="s">
        <v>602</v>
      </c>
      <c r="T162" s="1166" t="s">
        <v>720</v>
      </c>
      <c r="U162" s="1168">
        <f>+ENERO!U162</f>
        <v>144394707</v>
      </c>
      <c r="V162" s="220">
        <f>ABRIL!V162+MAYO!AL162</f>
        <v>0</v>
      </c>
      <c r="W162" s="220">
        <f>ABRIL!W162+MAYO!AM162</f>
        <v>0</v>
      </c>
      <c r="X162" s="1167">
        <f t="shared" si="145"/>
        <v>144394707</v>
      </c>
      <c r="Y162" s="270">
        <f>ABRIL!AA162</f>
        <v>104424880</v>
      </c>
      <c r="Z162" s="208">
        <v>0</v>
      </c>
      <c r="AA162" s="1167">
        <f t="shared" si="146"/>
        <v>104424880</v>
      </c>
      <c r="AB162" s="270">
        <f>ABRIL!AD162</f>
        <v>0</v>
      </c>
      <c r="AC162" s="208">
        <v>0</v>
      </c>
      <c r="AD162" s="1167">
        <f t="shared" si="147"/>
        <v>0</v>
      </c>
      <c r="AE162" s="270">
        <f>ABRIL!AG162</f>
        <v>0</v>
      </c>
      <c r="AF162" s="208">
        <v>0</v>
      </c>
      <c r="AG162" s="1167">
        <f t="shared" si="148"/>
        <v>0</v>
      </c>
      <c r="AH162" s="270">
        <f t="shared" si="149"/>
        <v>39969827</v>
      </c>
      <c r="AI162" s="220">
        <f t="shared" si="150"/>
        <v>144394707</v>
      </c>
      <c r="AJ162" s="269">
        <f t="shared" si="151"/>
        <v>144394707</v>
      </c>
      <c r="AK162" s="101"/>
      <c r="AL162" s="204">
        <v>0</v>
      </c>
      <c r="AM162" s="210">
        <v>0</v>
      </c>
    </row>
    <row r="163" spans="19:39" ht="24.75" customHeight="1">
      <c r="S163" s="1165" t="s">
        <v>603</v>
      </c>
      <c r="T163" s="1166" t="s">
        <v>738</v>
      </c>
      <c r="U163" s="1168">
        <f>+ENERO!U163</f>
        <v>4141233251</v>
      </c>
      <c r="V163" s="220">
        <f>ABRIL!V163+MAYO!AL163</f>
        <v>0</v>
      </c>
      <c r="W163" s="220">
        <f>ABRIL!W163+MAYO!AM163</f>
        <v>0</v>
      </c>
      <c r="X163" s="1167">
        <f t="shared" si="145"/>
        <v>4141233251</v>
      </c>
      <c r="Y163" s="270">
        <f>ABRIL!AA163</f>
        <v>1482428313</v>
      </c>
      <c r="Z163" s="208">
        <v>132433910</v>
      </c>
      <c r="AA163" s="1167">
        <f t="shared" si="146"/>
        <v>1614862223</v>
      </c>
      <c r="AB163" s="270">
        <f>ABRIL!AD163</f>
        <v>705795388</v>
      </c>
      <c r="AC163" s="208">
        <v>209024449</v>
      </c>
      <c r="AD163" s="1167">
        <f t="shared" si="147"/>
        <v>914819837</v>
      </c>
      <c r="AE163" s="270">
        <f>ABRIL!AG163</f>
        <v>128092325</v>
      </c>
      <c r="AF163" s="208">
        <v>203556723</v>
      </c>
      <c r="AG163" s="1167">
        <f t="shared" si="148"/>
        <v>331649048</v>
      </c>
      <c r="AH163" s="270">
        <f t="shared" si="149"/>
        <v>2526371028</v>
      </c>
      <c r="AI163" s="220">
        <f t="shared" si="150"/>
        <v>3226413414</v>
      </c>
      <c r="AJ163" s="269">
        <f t="shared" si="151"/>
        <v>3809584203</v>
      </c>
      <c r="AK163" s="101"/>
      <c r="AL163" s="204">
        <v>0</v>
      </c>
      <c r="AM163" s="210">
        <v>0</v>
      </c>
    </row>
    <row r="164" spans="19:39" ht="24.75" customHeight="1">
      <c r="S164" s="1165" t="s">
        <v>604</v>
      </c>
      <c r="T164" s="1166" t="s">
        <v>721</v>
      </c>
      <c r="U164" s="1168">
        <f>+ENERO!U164</f>
        <v>267744477</v>
      </c>
      <c r="V164" s="220">
        <f>ABRIL!V164+MAYO!AL164</f>
        <v>0</v>
      </c>
      <c r="W164" s="220">
        <f>ABRIL!W164+MAYO!AM164</f>
        <v>0</v>
      </c>
      <c r="X164" s="1167">
        <f t="shared" si="145"/>
        <v>267744477</v>
      </c>
      <c r="Y164" s="270">
        <f>ABRIL!AA164</f>
        <v>173250000</v>
      </c>
      <c r="Z164" s="208">
        <v>0</v>
      </c>
      <c r="AA164" s="1167">
        <f t="shared" si="146"/>
        <v>173250000</v>
      </c>
      <c r="AB164" s="270">
        <f>ABRIL!AD164</f>
        <v>38248624</v>
      </c>
      <c r="AC164" s="208">
        <v>9208679</v>
      </c>
      <c r="AD164" s="1167">
        <f t="shared" si="147"/>
        <v>47457303</v>
      </c>
      <c r="AE164" s="270">
        <f>ABRIL!AG164</f>
        <v>0</v>
      </c>
      <c r="AF164" s="208">
        <v>0</v>
      </c>
      <c r="AG164" s="1167">
        <f t="shared" si="148"/>
        <v>0</v>
      </c>
      <c r="AH164" s="270">
        <f t="shared" si="149"/>
        <v>94494477</v>
      </c>
      <c r="AI164" s="220">
        <f t="shared" si="150"/>
        <v>220287174</v>
      </c>
      <c r="AJ164" s="269">
        <f t="shared" si="151"/>
        <v>267744477</v>
      </c>
      <c r="AK164" s="101"/>
      <c r="AL164" s="204">
        <v>0</v>
      </c>
      <c r="AM164" s="210">
        <v>0</v>
      </c>
    </row>
    <row r="165" spans="19:39" ht="24.75" customHeight="1">
      <c r="S165" s="311" t="str">
        <f>+IF(ABRIL!S165=0,"",ABRIL!S165)</f>
        <v>2.1.2.02.02.008.811</v>
      </c>
      <c r="T165" s="312" t="str">
        <f>+IF(ABRIL!T165=0,"",ABRIL!T165)</f>
        <v>Mantenimiento servicios - planta física y sistemas</v>
      </c>
      <c r="U165" s="373">
        <f>+ENERO!U165</f>
        <v>0</v>
      </c>
      <c r="V165" s="220">
        <f>ABRIL!V165+MAYO!AL165</f>
        <v>0</v>
      </c>
      <c r="W165" s="220">
        <f>ABRIL!W165+MAYO!AM165</f>
        <v>0</v>
      </c>
      <c r="X165" s="271">
        <f t="shared" si="145"/>
        <v>0</v>
      </c>
      <c r="Y165" s="270">
        <f>ABRIL!AA165</f>
        <v>0</v>
      </c>
      <c r="Z165" s="208">
        <v>0</v>
      </c>
      <c r="AA165" s="271">
        <f t="shared" si="146"/>
        <v>0</v>
      </c>
      <c r="AB165" s="270">
        <f>ABRIL!AD165</f>
        <v>0</v>
      </c>
      <c r="AC165" s="208">
        <v>0</v>
      </c>
      <c r="AD165" s="271">
        <f t="shared" si="147"/>
        <v>0</v>
      </c>
      <c r="AE165" s="270">
        <f>ABRIL!AG165</f>
        <v>0</v>
      </c>
      <c r="AF165" s="208">
        <v>0</v>
      </c>
      <c r="AG165" s="271">
        <f t="shared" si="148"/>
        <v>0</v>
      </c>
      <c r="AH165" s="270">
        <f t="shared" si="149"/>
        <v>0</v>
      </c>
      <c r="AI165" s="220">
        <f t="shared" si="150"/>
        <v>0</v>
      </c>
      <c r="AJ165" s="269">
        <f t="shared" si="151"/>
        <v>0</v>
      </c>
      <c r="AK165" s="101"/>
      <c r="AL165" s="204">
        <v>0</v>
      </c>
      <c r="AM165" s="210">
        <v>0</v>
      </c>
    </row>
    <row r="166" spans="19:39" ht="24.75" customHeight="1">
      <c r="S166" s="311" t="str">
        <f>+IF(ABRIL!S166=0,"",ABRIL!S166)</f>
        <v>2.1.2.02.02.008.99.03</v>
      </c>
      <c r="T166" s="312" t="str">
        <f>+IF(ABRIL!T166=0,"",ABRIL!T166)</f>
        <v xml:space="preserve">Vigencias Anteriores Mantenimiento Servicios </v>
      </c>
      <c r="U166" s="373">
        <f>SUM(ENERO!U167)</f>
        <v>2434004587.2222223</v>
      </c>
      <c r="V166" s="220">
        <f>ABRIL!V166+MAYO!AL166</f>
        <v>0</v>
      </c>
      <c r="W166" s="220">
        <f>ABRIL!W166+MAYO!AM166</f>
        <v>158814745</v>
      </c>
      <c r="X166" s="271">
        <f t="shared" si="145"/>
        <v>2592819332.2222223</v>
      </c>
      <c r="Y166" s="270">
        <f>ABRIL!AA166</f>
        <v>557490396</v>
      </c>
      <c r="Z166" s="208">
        <v>248539281</v>
      </c>
      <c r="AA166" s="271">
        <f t="shared" si="146"/>
        <v>806029677</v>
      </c>
      <c r="AB166" s="270">
        <f>ABRIL!AD166</f>
        <v>557490396</v>
      </c>
      <c r="AC166" s="208">
        <v>248539281</v>
      </c>
      <c r="AD166" s="271">
        <f t="shared" si="147"/>
        <v>806029677</v>
      </c>
      <c r="AE166" s="270">
        <f>ABRIL!AG166</f>
        <v>557460196</v>
      </c>
      <c r="AF166" s="208">
        <v>248539281</v>
      </c>
      <c r="AG166" s="271">
        <f t="shared" si="148"/>
        <v>805999477</v>
      </c>
      <c r="AH166" s="270">
        <f t="shared" si="149"/>
        <v>1786789655.2222223</v>
      </c>
      <c r="AI166" s="220">
        <f t="shared" si="150"/>
        <v>1786789655.2222223</v>
      </c>
      <c r="AJ166" s="269">
        <f t="shared" si="151"/>
        <v>1786819855.2222223</v>
      </c>
      <c r="AK166" s="101"/>
      <c r="AL166" s="204">
        <v>0</v>
      </c>
      <c r="AM166" s="210">
        <v>0</v>
      </c>
    </row>
    <row r="167" spans="19:39" ht="24.75" customHeight="1">
      <c r="S167" s="189" t="str">
        <f>+IF(ABRIL!S167=0,"",ABRIL!S167)</f>
        <v/>
      </c>
      <c r="T167" s="488" t="str">
        <f>+IF(ABRIL!T167=0,"",ABRIL!T167)</f>
        <v/>
      </c>
      <c r="U167" s="191"/>
      <c r="V167" s="191"/>
      <c r="W167" s="191"/>
      <c r="X167" s="191"/>
      <c r="Y167" s="191"/>
      <c r="Z167" s="191"/>
      <c r="AA167" s="191"/>
      <c r="AB167" s="191"/>
      <c r="AC167" s="191"/>
      <c r="AD167" s="191"/>
      <c r="AE167" s="191"/>
      <c r="AF167" s="191"/>
      <c r="AG167" s="191"/>
      <c r="AH167" s="191"/>
      <c r="AI167" s="191"/>
      <c r="AJ167" s="192"/>
      <c r="AK167" s="101"/>
      <c r="AL167" s="370"/>
      <c r="AM167" s="371"/>
    </row>
    <row r="168" spans="19:39" ht="24.75" customHeight="1">
      <c r="S168" s="228">
        <f>+IF(ABRIL!S168=0,"",ABRIL!S168)</f>
        <v>3000000</v>
      </c>
      <c r="T168" s="404" t="str">
        <f>+IF(ABRIL!T168=0,"",ABRIL!T168)</f>
        <v>TRANSFERENCIAS CORRIENTES</v>
      </c>
      <c r="U168" s="405">
        <f t="shared" ref="U168:AJ168" si="152">U170+U174+U183</f>
        <v>2193060585</v>
      </c>
      <c r="V168" s="406">
        <f t="shared" si="152"/>
        <v>16000000</v>
      </c>
      <c r="W168" s="406">
        <f t="shared" si="152"/>
        <v>1400000000</v>
      </c>
      <c r="X168" s="407">
        <f t="shared" si="152"/>
        <v>3609060585</v>
      </c>
      <c r="Y168" s="217">
        <f t="shared" si="152"/>
        <v>695524552</v>
      </c>
      <c r="Z168" s="406">
        <f t="shared" si="152"/>
        <v>101326845</v>
      </c>
      <c r="AA168" s="407">
        <f t="shared" si="152"/>
        <v>796851397</v>
      </c>
      <c r="AB168" s="217">
        <f t="shared" si="152"/>
        <v>695524552</v>
      </c>
      <c r="AC168" s="406">
        <f t="shared" si="152"/>
        <v>101326845</v>
      </c>
      <c r="AD168" s="407">
        <f t="shared" si="152"/>
        <v>796851397</v>
      </c>
      <c r="AE168" s="217">
        <f t="shared" si="152"/>
        <v>603806003</v>
      </c>
      <c r="AF168" s="406">
        <f t="shared" si="152"/>
        <v>119758098</v>
      </c>
      <c r="AG168" s="407">
        <f t="shared" si="152"/>
        <v>723564101</v>
      </c>
      <c r="AH168" s="217">
        <f t="shared" si="152"/>
        <v>2812209188</v>
      </c>
      <c r="AI168" s="406">
        <f t="shared" si="152"/>
        <v>2812209188</v>
      </c>
      <c r="AJ168" s="218">
        <f t="shared" si="152"/>
        <v>2885496484</v>
      </c>
      <c r="AK168" s="101"/>
      <c r="AL168" s="233">
        <f>AL170+AL174+AL183</f>
        <v>16000000</v>
      </c>
      <c r="AM168" s="232">
        <f>AM170+AM174+AM183</f>
        <v>0</v>
      </c>
    </row>
    <row r="169" spans="19:39" ht="24.75" customHeight="1">
      <c r="S169" s="189">
        <f>+IF(ABRIL!S169=0,"",ABRIL!S169)</f>
        <v>3000000</v>
      </c>
      <c r="T169" s="488" t="str">
        <f>+IF(ABRIL!T169=0,"",ABRIL!T169)</f>
        <v/>
      </c>
      <c r="U169" s="191"/>
      <c r="V169" s="191"/>
      <c r="W169" s="191"/>
      <c r="X169" s="191"/>
      <c r="Y169" s="191"/>
      <c r="Z169" s="191"/>
      <c r="AA169" s="191"/>
      <c r="AB169" s="191"/>
      <c r="AC169" s="191"/>
      <c r="AD169" s="191"/>
      <c r="AE169" s="191"/>
      <c r="AF169" s="191"/>
      <c r="AG169" s="191"/>
      <c r="AH169" s="191"/>
      <c r="AI169" s="191"/>
      <c r="AJ169" s="192"/>
      <c r="AK169" s="101"/>
      <c r="AL169" s="370"/>
      <c r="AM169" s="371"/>
    </row>
    <row r="170" spans="19:39" ht="24.75" customHeight="1">
      <c r="S170" s="257">
        <f>+IF(ABRIL!S170=0,"",ABRIL!S170)</f>
        <v>3100000</v>
      </c>
      <c r="T170" s="546" t="str">
        <f>+IF(ABRIL!T170=0,"",ABRIL!T170)</f>
        <v>Transferencias al Sector Público</v>
      </c>
      <c r="U170" s="230">
        <f t="shared" ref="U170:AJ170" si="153">SUM(U171:U172)</f>
        <v>570000000</v>
      </c>
      <c r="V170" s="231">
        <f t="shared" si="153"/>
        <v>0</v>
      </c>
      <c r="W170" s="231">
        <f t="shared" si="153"/>
        <v>900000000</v>
      </c>
      <c r="X170" s="234">
        <f t="shared" si="153"/>
        <v>1470000000</v>
      </c>
      <c r="Y170" s="233">
        <f t="shared" si="153"/>
        <v>217132233</v>
      </c>
      <c r="Z170" s="231">
        <f t="shared" si="153"/>
        <v>23590897</v>
      </c>
      <c r="AA170" s="234">
        <f t="shared" si="153"/>
        <v>240723130</v>
      </c>
      <c r="AB170" s="233">
        <f t="shared" si="153"/>
        <v>217132233</v>
      </c>
      <c r="AC170" s="231">
        <f t="shared" si="153"/>
        <v>23590897</v>
      </c>
      <c r="AD170" s="234">
        <f t="shared" si="153"/>
        <v>240723130</v>
      </c>
      <c r="AE170" s="233">
        <f t="shared" si="153"/>
        <v>131630387</v>
      </c>
      <c r="AF170" s="231">
        <f t="shared" si="153"/>
        <v>35805447</v>
      </c>
      <c r="AG170" s="234">
        <f t="shared" si="153"/>
        <v>167435834</v>
      </c>
      <c r="AH170" s="233">
        <f t="shared" si="153"/>
        <v>1229276870</v>
      </c>
      <c r="AI170" s="231">
        <f t="shared" si="153"/>
        <v>1229276870</v>
      </c>
      <c r="AJ170" s="232">
        <f t="shared" si="153"/>
        <v>1302564166</v>
      </c>
      <c r="AK170" s="101"/>
      <c r="AL170" s="233">
        <f>SUM(AL171:AL172)</f>
        <v>0</v>
      </c>
      <c r="AM170" s="232">
        <f>SUM(AM171:AM172)</f>
        <v>0</v>
      </c>
    </row>
    <row r="171" spans="19:39" ht="24.75" customHeight="1">
      <c r="S171" s="266" t="str">
        <f>+IF(ABRIL!S171=0,"",ABRIL!S171)</f>
        <v>2.1.8.04.01</v>
      </c>
      <c r="T171" s="267" t="str">
        <f>+IF(ABRIL!T171=0,"",ABRIL!T171)</f>
        <v>Cuotas de fiscalizacion y auditaje</v>
      </c>
      <c r="U171" s="373">
        <f>+ENERO!U172</f>
        <v>170000000</v>
      </c>
      <c r="V171" s="220">
        <f>ABRIL!V171+MAYO!AL171</f>
        <v>0</v>
      </c>
      <c r="W171" s="220">
        <f>ABRIL!W171+MAYO!AM171</f>
        <v>0</v>
      </c>
      <c r="X171" s="271">
        <f>SUM(U171:W171)</f>
        <v>170000000</v>
      </c>
      <c r="Y171" s="270">
        <f>ABRIL!AA171</f>
        <v>122145496</v>
      </c>
      <c r="Z171" s="208">
        <v>0</v>
      </c>
      <c r="AA171" s="271">
        <f>SUM(Y171:Z171)</f>
        <v>122145496</v>
      </c>
      <c r="AB171" s="270">
        <f>ABRIL!AD171</f>
        <v>122145496</v>
      </c>
      <c r="AC171" s="208">
        <v>0</v>
      </c>
      <c r="AD171" s="271">
        <f>SUM(AB171:AC171)</f>
        <v>122145496</v>
      </c>
      <c r="AE171" s="270">
        <f>ABRIL!AG171</f>
        <v>36643650</v>
      </c>
      <c r="AF171" s="208">
        <v>12214550</v>
      </c>
      <c r="AG171" s="271">
        <f>SUM(AE171:AF171)</f>
        <v>48858200</v>
      </c>
      <c r="AH171" s="270">
        <f>X171-AA171</f>
        <v>47854504</v>
      </c>
      <c r="AI171" s="220">
        <f>X171-AD171</f>
        <v>47854504</v>
      </c>
      <c r="AJ171" s="269">
        <f>X171-AG171</f>
        <v>121141800</v>
      </c>
      <c r="AK171" s="101"/>
      <c r="AL171" s="204">
        <v>0</v>
      </c>
      <c r="AM171" s="210">
        <v>0</v>
      </c>
    </row>
    <row r="172" spans="19:39" ht="24.75" customHeight="1">
      <c r="S172" s="266" t="str">
        <f>+IF(ABRIL!S172=0,"",ABRIL!S172)</f>
        <v>2.1.8.02</v>
      </c>
      <c r="T172" s="267" t="str">
        <f>+IF(ABRIL!T172=0,"",ABRIL!T172)</f>
        <v>Acuerdo de estampillas</v>
      </c>
      <c r="U172" s="373">
        <f>+ENERO!U173</f>
        <v>400000000</v>
      </c>
      <c r="V172" s="220">
        <f>ABRIL!V172+MAYO!AL172</f>
        <v>0</v>
      </c>
      <c r="W172" s="220">
        <f>ABRIL!W172+MAYO!AM172</f>
        <v>900000000</v>
      </c>
      <c r="X172" s="271">
        <f>SUM(U172:W172)</f>
        <v>1300000000</v>
      </c>
      <c r="Y172" s="270">
        <f>ABRIL!AA172</f>
        <v>94986737</v>
      </c>
      <c r="Z172" s="208">
        <v>23590897</v>
      </c>
      <c r="AA172" s="271">
        <f>SUM(Y172:Z172)</f>
        <v>118577634</v>
      </c>
      <c r="AB172" s="270">
        <f>ABRIL!AD172</f>
        <v>94986737</v>
      </c>
      <c r="AC172" s="208">
        <v>23590897</v>
      </c>
      <c r="AD172" s="271">
        <f>SUM(AB172:AC172)</f>
        <v>118577634</v>
      </c>
      <c r="AE172" s="270">
        <f>ABRIL!AG172</f>
        <v>94986737</v>
      </c>
      <c r="AF172" s="208">
        <v>23590897</v>
      </c>
      <c r="AG172" s="271">
        <f>SUM(AE172:AF172)</f>
        <v>118577634</v>
      </c>
      <c r="AH172" s="270">
        <f>X172-AA172</f>
        <v>1181422366</v>
      </c>
      <c r="AI172" s="220">
        <f>X172-AD172</f>
        <v>1181422366</v>
      </c>
      <c r="AJ172" s="269">
        <f>X172-AG172</f>
        <v>1181422366</v>
      </c>
      <c r="AK172" s="101"/>
      <c r="AL172" s="204">
        <v>0</v>
      </c>
      <c r="AM172" s="210">
        <v>0</v>
      </c>
    </row>
    <row r="173" spans="19:39" ht="24.75" customHeight="1">
      <c r="S173" s="189">
        <f>+IF(ABRIL!S173=0,"",ABRIL!S173)</f>
        <v>23007296</v>
      </c>
      <c r="T173" s="488" t="str">
        <f>+IF(ABRIL!T173=0,"",ABRIL!T173)</f>
        <v/>
      </c>
      <c r="U173" s="191"/>
      <c r="V173" s="191"/>
      <c r="W173" s="191"/>
      <c r="X173" s="191"/>
      <c r="Y173" s="191"/>
      <c r="Z173" s="191"/>
      <c r="AA173" s="191"/>
      <c r="AB173" s="191"/>
      <c r="AC173" s="191"/>
      <c r="AD173" s="191"/>
      <c r="AE173" s="191"/>
      <c r="AF173" s="191"/>
      <c r="AG173" s="191"/>
      <c r="AH173" s="191"/>
      <c r="AI173" s="191"/>
      <c r="AJ173" s="192"/>
      <c r="AK173" s="216"/>
      <c r="AL173" s="370"/>
      <c r="AM173" s="371"/>
    </row>
    <row r="174" spans="19:39" ht="24.75" customHeight="1">
      <c r="S174" s="257">
        <f>+IF(ABRIL!S174=0,"",ABRIL!S174)</f>
        <v>320000</v>
      </c>
      <c r="T174" s="546" t="str">
        <f>+IF(ABRIL!T174=0,"",ABRIL!T174)</f>
        <v>Transf. Previsión y Seguridad Social</v>
      </c>
      <c r="U174" s="230">
        <f t="shared" ref="U174:AJ174" si="154">SUM(U175:U181)</f>
        <v>310000000</v>
      </c>
      <c r="V174" s="231">
        <f t="shared" si="154"/>
        <v>0</v>
      </c>
      <c r="W174" s="231">
        <f t="shared" si="154"/>
        <v>0</v>
      </c>
      <c r="X174" s="234">
        <f t="shared" si="154"/>
        <v>310000000</v>
      </c>
      <c r="Y174" s="233">
        <f t="shared" si="154"/>
        <v>167833298</v>
      </c>
      <c r="Z174" s="231">
        <f t="shared" si="154"/>
        <v>1347980</v>
      </c>
      <c r="AA174" s="234">
        <f t="shared" si="154"/>
        <v>169181278</v>
      </c>
      <c r="AB174" s="233">
        <f t="shared" si="154"/>
        <v>167833298</v>
      </c>
      <c r="AC174" s="231">
        <f t="shared" si="154"/>
        <v>1347980</v>
      </c>
      <c r="AD174" s="234">
        <f t="shared" si="154"/>
        <v>169181278</v>
      </c>
      <c r="AE174" s="233">
        <f t="shared" si="154"/>
        <v>167833298</v>
      </c>
      <c r="AF174" s="231">
        <f t="shared" si="154"/>
        <v>1347980</v>
      </c>
      <c r="AG174" s="234">
        <f t="shared" si="154"/>
        <v>169181278</v>
      </c>
      <c r="AH174" s="233">
        <f t="shared" si="154"/>
        <v>140818722</v>
      </c>
      <c r="AI174" s="231">
        <f t="shared" si="154"/>
        <v>140818722</v>
      </c>
      <c r="AJ174" s="232">
        <f t="shared" si="154"/>
        <v>140818722</v>
      </c>
      <c r="AK174" s="101"/>
      <c r="AL174" s="233">
        <f>SUM(AL175:AL181)</f>
        <v>0</v>
      </c>
      <c r="AM174" s="232">
        <f>SUM(AM175:AM181)</f>
        <v>0</v>
      </c>
    </row>
    <row r="175" spans="19:39" ht="24.75" customHeight="1">
      <c r="S175" s="266">
        <f>+IF(ABRIL!S175=0,"",ABRIL!S175)</f>
        <v>3200100</v>
      </c>
      <c r="T175" s="267" t="str">
        <f>+IF(ABRIL!T175=0,"",ABRIL!T175)</f>
        <v>Pensiones y Jubilaciones (Pago Directo)</v>
      </c>
      <c r="U175" s="373">
        <f>+ENERO!U176</f>
        <v>0</v>
      </c>
      <c r="V175" s="220">
        <f>ABRIL!V175+MAYO!AL175</f>
        <v>0</v>
      </c>
      <c r="W175" s="220">
        <f>ABRIL!W175+MAYO!AM175</f>
        <v>0</v>
      </c>
      <c r="X175" s="271">
        <f t="shared" ref="X175:X181" si="155">SUM(U175:W175)</f>
        <v>0</v>
      </c>
      <c r="Y175" s="270">
        <f>ABRIL!AA175</f>
        <v>0</v>
      </c>
      <c r="Z175" s="208">
        <v>0</v>
      </c>
      <c r="AA175" s="271">
        <f t="shared" ref="AA175:AA181" si="156">SUM(Y175:Z175)</f>
        <v>0</v>
      </c>
      <c r="AB175" s="270">
        <f>ABRIL!AD175</f>
        <v>0</v>
      </c>
      <c r="AC175" s="208">
        <v>0</v>
      </c>
      <c r="AD175" s="271">
        <f t="shared" ref="AD175:AD181" si="157">SUM(AB175:AC175)</f>
        <v>0</v>
      </c>
      <c r="AE175" s="270">
        <f>ABRIL!AG175</f>
        <v>0</v>
      </c>
      <c r="AF175" s="208">
        <v>0</v>
      </c>
      <c r="AG175" s="271">
        <f t="shared" ref="AG175:AG181" si="158">SUM(AE175:AF175)</f>
        <v>0</v>
      </c>
      <c r="AH175" s="270">
        <f t="shared" ref="AH175:AH181" si="159">X175-AA175</f>
        <v>0</v>
      </c>
      <c r="AI175" s="220">
        <f t="shared" ref="AI175:AI181" si="160">X175-AD175</f>
        <v>0</v>
      </c>
      <c r="AJ175" s="269">
        <f t="shared" ref="AJ175:AJ181" si="161">X175-AG175</f>
        <v>0</v>
      </c>
      <c r="AK175" s="101"/>
      <c r="AL175" s="204">
        <v>0</v>
      </c>
      <c r="AM175" s="210">
        <v>0</v>
      </c>
    </row>
    <row r="176" spans="19:39" ht="24.75" customHeight="1">
      <c r="S176" s="266">
        <f>+IF(ABRIL!S176=0,"",ABRIL!S176)</f>
        <v>3200200</v>
      </c>
      <c r="T176" s="267" t="str">
        <f>+IF(ABRIL!T176=0,"",ABRIL!T176)</f>
        <v>Cesantías Pago Directo (Pago Directo)</v>
      </c>
      <c r="U176" s="373">
        <f>+ENERO!U177</f>
        <v>0</v>
      </c>
      <c r="V176" s="220">
        <f>ABRIL!V176+MAYO!AL176</f>
        <v>0</v>
      </c>
      <c r="W176" s="220">
        <f>ABRIL!W176+MAYO!AM176</f>
        <v>0</v>
      </c>
      <c r="X176" s="271">
        <f t="shared" si="155"/>
        <v>0</v>
      </c>
      <c r="Y176" s="270">
        <f>ABRIL!AA176</f>
        <v>0</v>
      </c>
      <c r="Z176" s="208">
        <v>0</v>
      </c>
      <c r="AA176" s="271">
        <f t="shared" si="156"/>
        <v>0</v>
      </c>
      <c r="AB176" s="270">
        <f>ABRIL!AD176</f>
        <v>0</v>
      </c>
      <c r="AC176" s="208">
        <v>0</v>
      </c>
      <c r="AD176" s="271">
        <f t="shared" si="157"/>
        <v>0</v>
      </c>
      <c r="AE176" s="270">
        <f>ABRIL!AG176</f>
        <v>0</v>
      </c>
      <c r="AF176" s="208">
        <v>0</v>
      </c>
      <c r="AG176" s="271">
        <f t="shared" si="158"/>
        <v>0</v>
      </c>
      <c r="AH176" s="270">
        <f t="shared" si="159"/>
        <v>0</v>
      </c>
      <c r="AI176" s="220">
        <f t="shared" si="160"/>
        <v>0</v>
      </c>
      <c r="AJ176" s="269">
        <f t="shared" si="161"/>
        <v>0</v>
      </c>
      <c r="AK176" s="101"/>
      <c r="AL176" s="204">
        <v>0</v>
      </c>
      <c r="AM176" s="210">
        <v>0</v>
      </c>
    </row>
    <row r="177" spans="19:39" ht="24.75" customHeight="1">
      <c r="S177" s="266" t="str">
        <f>+IF(ABRIL!S177=0,"",ABRIL!S177)</f>
        <v>2.1.3.07.02.002.02</v>
      </c>
      <c r="T177" s="267" t="str">
        <f>+IF(ABRIL!T177=0,"",ABRIL!T177)</f>
        <v>Cuotas partes pensionales a cargo de la entidad ( de pensiones)</v>
      </c>
      <c r="U177" s="373">
        <f>+ENERO!U178</f>
        <v>10000000</v>
      </c>
      <c r="V177" s="220">
        <f>ABRIL!V177+MAYO!AL177</f>
        <v>0</v>
      </c>
      <c r="W177" s="220">
        <f>ABRIL!W177+MAYO!AM177</f>
        <v>0</v>
      </c>
      <c r="X177" s="271">
        <f t="shared" si="155"/>
        <v>10000000</v>
      </c>
      <c r="Y177" s="270">
        <f>ABRIL!AA177</f>
        <v>3172298</v>
      </c>
      <c r="Z177" s="208">
        <v>548980</v>
      </c>
      <c r="AA177" s="271">
        <f t="shared" si="156"/>
        <v>3721278</v>
      </c>
      <c r="AB177" s="270">
        <f>ABRIL!AD177</f>
        <v>3172298</v>
      </c>
      <c r="AC177" s="208">
        <v>548980</v>
      </c>
      <c r="AD177" s="271">
        <f t="shared" si="157"/>
        <v>3721278</v>
      </c>
      <c r="AE177" s="270">
        <f>ABRIL!AG177</f>
        <v>3172298</v>
      </c>
      <c r="AF177" s="208">
        <v>548980</v>
      </c>
      <c r="AG177" s="271">
        <f t="shared" si="158"/>
        <v>3721278</v>
      </c>
      <c r="AH177" s="270">
        <f t="shared" si="159"/>
        <v>6278722</v>
      </c>
      <c r="AI177" s="220">
        <f t="shared" si="160"/>
        <v>6278722</v>
      </c>
      <c r="AJ177" s="269">
        <f t="shared" si="161"/>
        <v>6278722</v>
      </c>
      <c r="AK177" s="101"/>
      <c r="AL177" s="204">
        <v>0</v>
      </c>
      <c r="AM177" s="210">
        <v>0</v>
      </c>
    </row>
    <row r="178" spans="19:39" ht="24.75" customHeight="1">
      <c r="S178" s="266" t="str">
        <f>+IF(ABRIL!S178=0,"",ABRIL!S178)</f>
        <v>2.1.3.07.02.003.02</v>
      </c>
      <c r="T178" s="267" t="str">
        <f>+IF(ABRIL!T178=0,"",ABRIL!T178)</f>
        <v>Bonos pensionales a cargo de la entidad ( de pensiones)</v>
      </c>
      <c r="U178" s="373">
        <f>+ENERO!U179</f>
        <v>300000000</v>
      </c>
      <c r="V178" s="220">
        <f>ABRIL!V178+MAYO!AL178</f>
        <v>0</v>
      </c>
      <c r="W178" s="220">
        <f>ABRIL!W178+MAYO!AM178</f>
        <v>0</v>
      </c>
      <c r="X178" s="271">
        <f t="shared" si="155"/>
        <v>300000000</v>
      </c>
      <c r="Y178" s="270">
        <f>ABRIL!AA178</f>
        <v>164661000</v>
      </c>
      <c r="Z178" s="208">
        <v>799000</v>
      </c>
      <c r="AA178" s="271">
        <f t="shared" si="156"/>
        <v>165460000</v>
      </c>
      <c r="AB178" s="270">
        <f>ABRIL!AD178</f>
        <v>164661000</v>
      </c>
      <c r="AC178" s="208">
        <v>799000</v>
      </c>
      <c r="AD178" s="271">
        <f t="shared" si="157"/>
        <v>165460000</v>
      </c>
      <c r="AE178" s="270">
        <f>ABRIL!AG178</f>
        <v>164661000</v>
      </c>
      <c r="AF178" s="208">
        <v>799000</v>
      </c>
      <c r="AG178" s="271">
        <f t="shared" si="158"/>
        <v>165460000</v>
      </c>
      <c r="AH178" s="270">
        <f t="shared" si="159"/>
        <v>134540000</v>
      </c>
      <c r="AI178" s="220">
        <f t="shared" si="160"/>
        <v>134540000</v>
      </c>
      <c r="AJ178" s="269">
        <f t="shared" si="161"/>
        <v>134540000</v>
      </c>
      <c r="AK178" s="101"/>
      <c r="AL178" s="204">
        <v>0</v>
      </c>
      <c r="AM178" s="210">
        <v>0</v>
      </c>
    </row>
    <row r="179" spans="19:39" ht="24.75" customHeight="1">
      <c r="S179" s="266">
        <f>+IF(ABRIL!S179=0,"",ABRIL!S179)</f>
        <v>3200500</v>
      </c>
      <c r="T179" s="267" t="str">
        <f>+IF(ABRIL!T179=0,"",ABRIL!T179)</f>
        <v/>
      </c>
      <c r="U179" s="373">
        <f>+ENERO!U180</f>
        <v>0</v>
      </c>
      <c r="V179" s="220">
        <f>ABRIL!V179+MAYO!AL179</f>
        <v>0</v>
      </c>
      <c r="W179" s="220">
        <f>ABRIL!W179+MAYO!AM179</f>
        <v>0</v>
      </c>
      <c r="X179" s="271">
        <f t="shared" si="155"/>
        <v>0</v>
      </c>
      <c r="Y179" s="270">
        <f>ABRIL!AA179</f>
        <v>0</v>
      </c>
      <c r="Z179" s="208">
        <v>0</v>
      </c>
      <c r="AA179" s="271">
        <f t="shared" si="156"/>
        <v>0</v>
      </c>
      <c r="AB179" s="270">
        <f>ABRIL!AD179</f>
        <v>0</v>
      </c>
      <c r="AC179" s="208">
        <v>0</v>
      </c>
      <c r="AD179" s="271">
        <f t="shared" si="157"/>
        <v>0</v>
      </c>
      <c r="AE179" s="270">
        <f>ABRIL!AG179</f>
        <v>0</v>
      </c>
      <c r="AF179" s="208">
        <v>0</v>
      </c>
      <c r="AG179" s="271">
        <f t="shared" si="158"/>
        <v>0</v>
      </c>
      <c r="AH179" s="270">
        <f t="shared" si="159"/>
        <v>0</v>
      </c>
      <c r="AI179" s="220">
        <f t="shared" si="160"/>
        <v>0</v>
      </c>
      <c r="AJ179" s="269">
        <f t="shared" si="161"/>
        <v>0</v>
      </c>
      <c r="AK179" s="101"/>
      <c r="AL179" s="204">
        <v>0</v>
      </c>
      <c r="AM179" s="210">
        <v>0</v>
      </c>
    </row>
    <row r="180" spans="19:39" ht="24.75" customHeight="1">
      <c r="S180" s="266">
        <f>+IF(ABRIL!S180=0,"",ABRIL!S180)</f>
        <v>3200600</v>
      </c>
      <c r="T180" s="267" t="str">
        <f>+IF(ABRIL!T180=0,"",ABRIL!T180)</f>
        <v/>
      </c>
      <c r="U180" s="373">
        <f>+ENERO!U181</f>
        <v>0</v>
      </c>
      <c r="V180" s="220">
        <f>ABRIL!V180+MAYO!AL180</f>
        <v>0</v>
      </c>
      <c r="W180" s="220">
        <f>ABRIL!W180+MAYO!AM180</f>
        <v>0</v>
      </c>
      <c r="X180" s="271">
        <f t="shared" si="155"/>
        <v>0</v>
      </c>
      <c r="Y180" s="270">
        <f>ABRIL!AA180</f>
        <v>0</v>
      </c>
      <c r="Z180" s="208">
        <v>0</v>
      </c>
      <c r="AA180" s="271">
        <f t="shared" si="156"/>
        <v>0</v>
      </c>
      <c r="AB180" s="270">
        <f>ABRIL!AD180</f>
        <v>0</v>
      </c>
      <c r="AC180" s="208">
        <v>0</v>
      </c>
      <c r="AD180" s="271">
        <f t="shared" si="157"/>
        <v>0</v>
      </c>
      <c r="AE180" s="270">
        <f>ABRIL!AG180</f>
        <v>0</v>
      </c>
      <c r="AF180" s="208">
        <v>0</v>
      </c>
      <c r="AG180" s="271">
        <f t="shared" si="158"/>
        <v>0</v>
      </c>
      <c r="AH180" s="270">
        <f t="shared" si="159"/>
        <v>0</v>
      </c>
      <c r="AI180" s="220">
        <f t="shared" si="160"/>
        <v>0</v>
      </c>
      <c r="AJ180" s="269">
        <f t="shared" si="161"/>
        <v>0</v>
      </c>
      <c r="AK180" s="101"/>
      <c r="AL180" s="204">
        <v>0</v>
      </c>
      <c r="AM180" s="210">
        <v>0</v>
      </c>
    </row>
    <row r="181" spans="19:39" ht="24.75" customHeight="1">
      <c r="S181" s="266" t="str">
        <f>+IF(ABRIL!S181=0,"",ABRIL!S181)</f>
        <v>2.1.7.01.01</v>
      </c>
      <c r="T181" s="267" t="str">
        <f>+IF(ABRIL!T181=0,"",ABRIL!T181)</f>
        <v>Vigencias Anteriores Cesantias</v>
      </c>
      <c r="U181" s="373">
        <f>+ENERO!U182</f>
        <v>0</v>
      </c>
      <c r="V181" s="220">
        <f>ABRIL!V181+MAYO!AL181</f>
        <v>0</v>
      </c>
      <c r="W181" s="220">
        <f>ABRIL!W181+MAYO!AM181</f>
        <v>0</v>
      </c>
      <c r="X181" s="271">
        <f t="shared" si="155"/>
        <v>0</v>
      </c>
      <c r="Y181" s="270">
        <f>ABRIL!AA181</f>
        <v>0</v>
      </c>
      <c r="Z181" s="208">
        <v>0</v>
      </c>
      <c r="AA181" s="271">
        <f t="shared" si="156"/>
        <v>0</v>
      </c>
      <c r="AB181" s="270">
        <f>ABRIL!AD181</f>
        <v>0</v>
      </c>
      <c r="AC181" s="208">
        <v>0</v>
      </c>
      <c r="AD181" s="271">
        <f t="shared" si="157"/>
        <v>0</v>
      </c>
      <c r="AE181" s="270">
        <f>ABRIL!AG181</f>
        <v>0</v>
      </c>
      <c r="AF181" s="208">
        <v>0</v>
      </c>
      <c r="AG181" s="271">
        <f t="shared" si="158"/>
        <v>0</v>
      </c>
      <c r="AH181" s="270">
        <f t="shared" si="159"/>
        <v>0</v>
      </c>
      <c r="AI181" s="220">
        <f t="shared" si="160"/>
        <v>0</v>
      </c>
      <c r="AJ181" s="269">
        <f t="shared" si="161"/>
        <v>0</v>
      </c>
      <c r="AK181" s="101"/>
      <c r="AL181" s="204">
        <v>0</v>
      </c>
      <c r="AM181" s="210">
        <v>0</v>
      </c>
    </row>
    <row r="182" spans="19:39" ht="24.75" customHeight="1">
      <c r="S182" s="189" t="str">
        <f>+IF(ABRIL!S182=0,"",ABRIL!S182)</f>
        <v/>
      </c>
      <c r="T182" s="488" t="str">
        <f>+IF(ABRIL!T182=0,"",ABRIL!T182)</f>
        <v/>
      </c>
      <c r="U182" s="191"/>
      <c r="V182" s="191"/>
      <c r="W182" s="191"/>
      <c r="X182" s="191"/>
      <c r="Y182" s="191"/>
      <c r="Z182" s="191"/>
      <c r="AA182" s="191"/>
      <c r="AB182" s="191"/>
      <c r="AC182" s="191"/>
      <c r="AD182" s="191"/>
      <c r="AE182" s="191"/>
      <c r="AF182" s="191"/>
      <c r="AG182" s="191"/>
      <c r="AH182" s="191"/>
      <c r="AI182" s="191"/>
      <c r="AJ182" s="192"/>
      <c r="AK182" s="101"/>
      <c r="AL182" s="370"/>
      <c r="AM182" s="371"/>
    </row>
    <row r="183" spans="19:39" ht="24.75" customHeight="1">
      <c r="S183" s="257">
        <f>+IF(ABRIL!S183=0,"",ABRIL!S183)</f>
        <v>3300000</v>
      </c>
      <c r="T183" s="546" t="str">
        <f>+IF(ABRIL!T183=0,"",ABRIL!T183)</f>
        <v>Otras Transferencias</v>
      </c>
      <c r="U183" s="230">
        <f t="shared" ref="U183:AJ183" si="162">U184+U185+U190</f>
        <v>1313060585</v>
      </c>
      <c r="V183" s="231">
        <f t="shared" si="162"/>
        <v>16000000</v>
      </c>
      <c r="W183" s="231">
        <f t="shared" si="162"/>
        <v>500000000</v>
      </c>
      <c r="X183" s="234">
        <f t="shared" si="162"/>
        <v>1829060585</v>
      </c>
      <c r="Y183" s="233">
        <f t="shared" si="162"/>
        <v>310559021</v>
      </c>
      <c r="Z183" s="231">
        <f t="shared" si="162"/>
        <v>76387968</v>
      </c>
      <c r="AA183" s="234">
        <f t="shared" si="162"/>
        <v>386946989</v>
      </c>
      <c r="AB183" s="233">
        <f t="shared" si="162"/>
        <v>310559021</v>
      </c>
      <c r="AC183" s="231">
        <f t="shared" si="162"/>
        <v>76387968</v>
      </c>
      <c r="AD183" s="234">
        <f t="shared" si="162"/>
        <v>386946989</v>
      </c>
      <c r="AE183" s="233">
        <f t="shared" si="162"/>
        <v>304342318</v>
      </c>
      <c r="AF183" s="231">
        <f t="shared" si="162"/>
        <v>82604671</v>
      </c>
      <c r="AG183" s="234">
        <f t="shared" si="162"/>
        <v>386946989</v>
      </c>
      <c r="AH183" s="233">
        <f t="shared" si="162"/>
        <v>1442113596</v>
      </c>
      <c r="AI183" s="231">
        <f t="shared" si="162"/>
        <v>1442113596</v>
      </c>
      <c r="AJ183" s="232">
        <f t="shared" si="162"/>
        <v>1442113596</v>
      </c>
      <c r="AK183" s="101"/>
      <c r="AL183" s="233">
        <f>AL184+AL185+AL190</f>
        <v>16000000</v>
      </c>
      <c r="AM183" s="232">
        <f>AM184+AM185+AM190</f>
        <v>0</v>
      </c>
    </row>
    <row r="184" spans="19:39" ht="24.75" customHeight="1">
      <c r="S184" s="266" t="str">
        <f>+IF(ABRIL!S184=0,"",ABRIL!S184)</f>
        <v>2.1.3.13.01.001</v>
      </c>
      <c r="T184" s="267" t="str">
        <f>+IF(ABRIL!T184=0,"",ABRIL!T184)</f>
        <v>Sentencias</v>
      </c>
      <c r="U184" s="373">
        <f>+ENERO!U185</f>
        <v>800000000</v>
      </c>
      <c r="V184" s="220">
        <f>ABRIL!V184+MAYO!AL184</f>
        <v>-350000000</v>
      </c>
      <c r="W184" s="220">
        <f>ABRIL!W184+MAYO!AM184</f>
        <v>0</v>
      </c>
      <c r="X184" s="271">
        <f>SUM(U184:W184)</f>
        <v>450000000</v>
      </c>
      <c r="Y184" s="270">
        <f>ABRIL!AA184</f>
        <v>0</v>
      </c>
      <c r="Z184" s="208">
        <v>0</v>
      </c>
      <c r="AA184" s="271">
        <f>SUM(Y184:Z184)</f>
        <v>0</v>
      </c>
      <c r="AB184" s="270">
        <f>ABRIL!AD184</f>
        <v>0</v>
      </c>
      <c r="AC184" s="208">
        <v>0</v>
      </c>
      <c r="AD184" s="271">
        <f>SUM(AB184:AC184)</f>
        <v>0</v>
      </c>
      <c r="AE184" s="270">
        <f>ABRIL!AG184</f>
        <v>0</v>
      </c>
      <c r="AF184" s="208">
        <v>0</v>
      </c>
      <c r="AG184" s="271">
        <f>SUM(AE184:AF184)</f>
        <v>0</v>
      </c>
      <c r="AH184" s="270">
        <f>X184-AA184</f>
        <v>450000000</v>
      </c>
      <c r="AI184" s="220">
        <f>X184-AD184</f>
        <v>450000000</v>
      </c>
      <c r="AJ184" s="269">
        <f>X184-AG184</f>
        <v>450000000</v>
      </c>
      <c r="AK184" s="101"/>
      <c r="AL184" s="204">
        <v>0</v>
      </c>
      <c r="AM184" s="210">
        <v>0</v>
      </c>
    </row>
    <row r="185" spans="19:39" ht="24.75" customHeight="1">
      <c r="S185" s="266">
        <f>+IF(ABRIL!S185=0,"",ABRIL!S185)</f>
        <v>3300200</v>
      </c>
      <c r="T185" s="267" t="str">
        <f>+IF(ABRIL!T185=0,"",ABRIL!T185)</f>
        <v>Destinatarios de otras transferencias</v>
      </c>
      <c r="U185" s="373">
        <f t="shared" ref="U185:AJ185" si="163">SUM(U186:U189)</f>
        <v>463060585</v>
      </c>
      <c r="V185" s="220">
        <f t="shared" si="163"/>
        <v>16000000</v>
      </c>
      <c r="W185" s="220">
        <f t="shared" si="163"/>
        <v>500000000</v>
      </c>
      <c r="X185" s="271">
        <f t="shared" si="163"/>
        <v>979060585</v>
      </c>
      <c r="Y185" s="270">
        <f t="shared" si="163"/>
        <v>107784812</v>
      </c>
      <c r="Z185" s="300">
        <f t="shared" si="163"/>
        <v>76387968</v>
      </c>
      <c r="AA185" s="271">
        <f t="shared" si="163"/>
        <v>184172780</v>
      </c>
      <c r="AB185" s="270">
        <f t="shared" si="163"/>
        <v>107784812</v>
      </c>
      <c r="AC185" s="300">
        <f t="shared" si="163"/>
        <v>76387968</v>
      </c>
      <c r="AD185" s="271">
        <f t="shared" si="163"/>
        <v>184172780</v>
      </c>
      <c r="AE185" s="270">
        <f t="shared" si="163"/>
        <v>101568109</v>
      </c>
      <c r="AF185" s="300">
        <f t="shared" si="163"/>
        <v>82604671</v>
      </c>
      <c r="AG185" s="271">
        <f t="shared" si="163"/>
        <v>184172780</v>
      </c>
      <c r="AH185" s="270">
        <f t="shared" si="163"/>
        <v>794887805</v>
      </c>
      <c r="AI185" s="220">
        <f t="shared" si="163"/>
        <v>794887805</v>
      </c>
      <c r="AJ185" s="269">
        <f t="shared" si="163"/>
        <v>794887805</v>
      </c>
      <c r="AK185" s="101"/>
      <c r="AL185" s="301">
        <f>SUM(AL186:AL189)</f>
        <v>16000000</v>
      </c>
      <c r="AM185" s="302">
        <f>SUM(AM186:AM189)</f>
        <v>0</v>
      </c>
    </row>
    <row r="186" spans="19:39" ht="24.75" customHeight="1">
      <c r="S186" s="311" t="str">
        <f>+IF(ABRIL!S186=0,"",ABRIL!S186)</f>
        <v>2.1.2.02.02.009.907</v>
      </c>
      <c r="T186" s="267" t="str">
        <f>+IF(ABRIL!T186=0,"",ABRIL!T186)</f>
        <v>Cuota de Afiliación o sostenimiento (COHAN, AESA, OTROS)</v>
      </c>
      <c r="U186" s="373">
        <f>+ENERO!U187</f>
        <v>13060585</v>
      </c>
      <c r="V186" s="220">
        <f>ABRIL!V186+MAYO!AL186</f>
        <v>0</v>
      </c>
      <c r="W186" s="220">
        <f>ABRIL!W186+MAYO!AM186</f>
        <v>0</v>
      </c>
      <c r="X186" s="271">
        <f>SUM(U186:W186)</f>
        <v>13060585</v>
      </c>
      <c r="Y186" s="270">
        <f>ABRIL!AA186</f>
        <v>7784812</v>
      </c>
      <c r="Z186" s="208">
        <v>0</v>
      </c>
      <c r="AA186" s="271">
        <f>SUM(Y186:Z186)</f>
        <v>7784812</v>
      </c>
      <c r="AB186" s="270">
        <f>ABRIL!AD186</f>
        <v>7784812</v>
      </c>
      <c r="AC186" s="208">
        <v>0</v>
      </c>
      <c r="AD186" s="271">
        <f>SUM(AB186:AC186)</f>
        <v>7784812</v>
      </c>
      <c r="AE186" s="270">
        <f>ABRIL!AG186</f>
        <v>1568109</v>
      </c>
      <c r="AF186" s="208">
        <v>6216703</v>
      </c>
      <c r="AG186" s="271">
        <f>SUM(AE186:AF186)</f>
        <v>7784812</v>
      </c>
      <c r="AH186" s="270">
        <f>X186-AA186</f>
        <v>5275773</v>
      </c>
      <c r="AI186" s="220">
        <f>X186-AD186</f>
        <v>5275773</v>
      </c>
      <c r="AJ186" s="269">
        <f>X186-AG186</f>
        <v>5275773</v>
      </c>
      <c r="AK186" s="101"/>
      <c r="AL186" s="204">
        <v>0</v>
      </c>
      <c r="AM186" s="210">
        <v>0</v>
      </c>
    </row>
    <row r="187" spans="19:39" ht="24.75" customHeight="1">
      <c r="S187" s="311" t="str">
        <f>+IF(ABRIL!S187=0,"",ABRIL!S187)</f>
        <v>2.1.8.04.07</v>
      </c>
      <c r="T187" s="267" t="str">
        <f>+IF(ABRIL!T187=0,"",ABRIL!T187)</f>
        <v>Conciliaciones</v>
      </c>
      <c r="U187" s="373">
        <f>+ENERO!U188</f>
        <v>300000000</v>
      </c>
      <c r="V187" s="220">
        <f>ABRIL!V187+MAYO!AL187</f>
        <v>0</v>
      </c>
      <c r="W187" s="220">
        <f>ABRIL!W187+MAYO!AM187</f>
        <v>500000000</v>
      </c>
      <c r="X187" s="271">
        <f>SUM(U187:W187)</f>
        <v>800000000</v>
      </c>
      <c r="Y187" s="270">
        <f>ABRIL!AA187</f>
        <v>100000000</v>
      </c>
      <c r="Z187" s="208">
        <v>69000000</v>
      </c>
      <c r="AA187" s="271">
        <f>SUM(Y187:Z187)</f>
        <v>169000000</v>
      </c>
      <c r="AB187" s="270">
        <f>ABRIL!AD187</f>
        <v>100000000</v>
      </c>
      <c r="AC187" s="208">
        <v>69000000</v>
      </c>
      <c r="AD187" s="271">
        <f>SUM(AB187:AC187)</f>
        <v>169000000</v>
      </c>
      <c r="AE187" s="270">
        <f>ABRIL!AG187</f>
        <v>100000000</v>
      </c>
      <c r="AF187" s="208">
        <v>69000000</v>
      </c>
      <c r="AG187" s="271">
        <f>SUM(AE187:AF187)</f>
        <v>169000000</v>
      </c>
      <c r="AH187" s="270">
        <f>X187-AA187</f>
        <v>631000000</v>
      </c>
      <c r="AI187" s="220">
        <f>X187-AD187</f>
        <v>631000000</v>
      </c>
      <c r="AJ187" s="269">
        <f>X187-AG187</f>
        <v>631000000</v>
      </c>
      <c r="AK187" s="101"/>
      <c r="AL187" s="204">
        <v>0</v>
      </c>
      <c r="AM187" s="210">
        <v>0</v>
      </c>
    </row>
    <row r="188" spans="19:39" ht="24.75" customHeight="1">
      <c r="S188" s="311" t="s">
        <v>785</v>
      </c>
      <c r="T188" s="267" t="s">
        <v>787</v>
      </c>
      <c r="U188" s="373">
        <v>0</v>
      </c>
      <c r="V188" s="220">
        <f>ABRIL!V189+MAYO!AL188</f>
        <v>16000000</v>
      </c>
      <c r="W188" s="220">
        <f>ABRIL!W189+MAYO!AM188</f>
        <v>0</v>
      </c>
      <c r="X188" s="271">
        <f>SUM(U188:W188)</f>
        <v>16000000</v>
      </c>
      <c r="Y188" s="270">
        <f>ABRIL!AA189</f>
        <v>0</v>
      </c>
      <c r="Z188" s="208">
        <v>7387968</v>
      </c>
      <c r="AA188" s="271">
        <f>SUM(Y188:Z188)</f>
        <v>7387968</v>
      </c>
      <c r="AB188" s="270">
        <f>ABRIL!AD189</f>
        <v>0</v>
      </c>
      <c r="AC188" s="208">
        <v>7387968</v>
      </c>
      <c r="AD188" s="271">
        <f>SUM(AB188:AC188)</f>
        <v>7387968</v>
      </c>
      <c r="AE188" s="270">
        <f>ABRIL!AG189</f>
        <v>0</v>
      </c>
      <c r="AF188" s="208">
        <v>7387968</v>
      </c>
      <c r="AG188" s="271">
        <f>SUM(AE188:AF188)</f>
        <v>7387968</v>
      </c>
      <c r="AH188" s="270">
        <f>X188-AA188</f>
        <v>8612032</v>
      </c>
      <c r="AI188" s="220">
        <f>X188-AD188</f>
        <v>8612032</v>
      </c>
      <c r="AJ188" s="269">
        <f>X188-AG188</f>
        <v>8612032</v>
      </c>
      <c r="AK188" s="903"/>
      <c r="AL188" s="204">
        <f>4000000+12000000</f>
        <v>16000000</v>
      </c>
      <c r="AM188" s="210"/>
    </row>
    <row r="189" spans="19:39" ht="24.75" customHeight="1">
      <c r="S189" s="311" t="str">
        <f>+IF(ABRIL!S189=0,"",ABRIL!S189)</f>
        <v>2.1.8.04.07</v>
      </c>
      <c r="T189" s="267" t="str">
        <f>+IF(ABRIL!T189=0,"",ABRIL!T189)</f>
        <v>Cuotas de auditaje supersalud</v>
      </c>
      <c r="U189" s="373">
        <f>+ENERO!U190</f>
        <v>150000000</v>
      </c>
      <c r="V189" s="220">
        <f>ABRIL!V189+MAYO!AL189</f>
        <v>0</v>
      </c>
      <c r="W189" s="220">
        <f>ABRIL!W189+MAYO!AM189</f>
        <v>0</v>
      </c>
      <c r="X189" s="271">
        <f>SUM(U189:W189)</f>
        <v>150000000</v>
      </c>
      <c r="Y189" s="270">
        <f>ABRIL!AA189</f>
        <v>0</v>
      </c>
      <c r="Z189" s="208">
        <v>0</v>
      </c>
      <c r="AA189" s="271">
        <f>SUM(Y189:Z189)</f>
        <v>0</v>
      </c>
      <c r="AB189" s="270">
        <f>ABRIL!AD189</f>
        <v>0</v>
      </c>
      <c r="AC189" s="208">
        <v>0</v>
      </c>
      <c r="AD189" s="271">
        <f>SUM(AB189:AC189)</f>
        <v>0</v>
      </c>
      <c r="AE189" s="270">
        <f>ABRIL!AG189</f>
        <v>0</v>
      </c>
      <c r="AF189" s="208">
        <v>0</v>
      </c>
      <c r="AG189" s="271">
        <f>SUM(AE189:AF189)</f>
        <v>0</v>
      </c>
      <c r="AH189" s="270">
        <f>X189-AA189</f>
        <v>150000000</v>
      </c>
      <c r="AI189" s="220">
        <f>X189-AD189</f>
        <v>150000000</v>
      </c>
      <c r="AJ189" s="269">
        <f>X189-AG189</f>
        <v>150000000</v>
      </c>
      <c r="AK189" s="101"/>
      <c r="AL189" s="204">
        <v>0</v>
      </c>
      <c r="AM189" s="210">
        <v>0</v>
      </c>
    </row>
    <row r="190" spans="19:39" ht="24.75" customHeight="1">
      <c r="S190" s="266" t="str">
        <f>+IF(ABRIL!S190=0,"",ABRIL!S190)</f>
        <v>2.1.3.13.01.002.99</v>
      </c>
      <c r="T190" s="267" t="str">
        <f>+IF(ABRIL!T190=0,"",ABRIL!T190)</f>
        <v>Vigencias Anteriores Conciliaciones</v>
      </c>
      <c r="U190" s="373">
        <f>+ENERO!U191</f>
        <v>50000000</v>
      </c>
      <c r="V190" s="220">
        <f>ABRIL!V190+MAYO!AL190</f>
        <v>350000000</v>
      </c>
      <c r="W190" s="220">
        <f>ABRIL!W190+MAYO!AM190</f>
        <v>0</v>
      </c>
      <c r="X190" s="271">
        <f>SUM(U190:W190)</f>
        <v>400000000</v>
      </c>
      <c r="Y190" s="270">
        <f>ABRIL!AA190</f>
        <v>202774209</v>
      </c>
      <c r="Z190" s="208">
        <v>0</v>
      </c>
      <c r="AA190" s="271">
        <f>SUM(Y190:Z190)</f>
        <v>202774209</v>
      </c>
      <c r="AB190" s="270">
        <f>ABRIL!AD190</f>
        <v>202774209</v>
      </c>
      <c r="AC190" s="208">
        <v>0</v>
      </c>
      <c r="AD190" s="271">
        <f>SUM(AB190:AC190)</f>
        <v>202774209</v>
      </c>
      <c r="AE190" s="270">
        <f>ABRIL!AG190</f>
        <v>202774209</v>
      </c>
      <c r="AF190" s="208">
        <v>0</v>
      </c>
      <c r="AG190" s="271">
        <f>SUM(AE190:AF190)</f>
        <v>202774209</v>
      </c>
      <c r="AH190" s="270">
        <f>X190-AA190</f>
        <v>197225791</v>
      </c>
      <c r="AI190" s="220">
        <f>X190-AD190</f>
        <v>197225791</v>
      </c>
      <c r="AJ190" s="269">
        <f>X190-AG190</f>
        <v>197225791</v>
      </c>
      <c r="AK190" s="101"/>
      <c r="AL190" s="204">
        <v>0</v>
      </c>
      <c r="AM190" s="210">
        <v>0</v>
      </c>
    </row>
    <row r="191" spans="19:39" ht="24.75" customHeight="1">
      <c r="S191" s="558"/>
      <c r="T191" s="559"/>
      <c r="U191" s="557"/>
      <c r="V191" s="560"/>
      <c r="W191" s="560"/>
      <c r="X191" s="560"/>
      <c r="Y191" s="560"/>
      <c r="Z191" s="561"/>
      <c r="AA191" s="560"/>
      <c r="AB191" s="560"/>
      <c r="AC191" s="561"/>
      <c r="AD191" s="560"/>
      <c r="AE191" s="560"/>
      <c r="AF191" s="561"/>
      <c r="AG191" s="560"/>
      <c r="AH191" s="560"/>
      <c r="AI191" s="560"/>
      <c r="AJ191" s="371"/>
      <c r="AK191" s="101"/>
      <c r="AL191" s="562"/>
      <c r="AM191" s="563"/>
    </row>
    <row r="192" spans="19:39" ht="44.25" customHeight="1">
      <c r="S192" s="462" t="s">
        <v>294</v>
      </c>
      <c r="T192" s="463" t="s">
        <v>295</v>
      </c>
      <c r="U192" s="405">
        <f t="shared" ref="U192:AJ192" si="164">U194+U208</f>
        <v>42375190113.666664</v>
      </c>
      <c r="V192" s="406">
        <f t="shared" si="164"/>
        <v>0</v>
      </c>
      <c r="W192" s="406">
        <f t="shared" si="164"/>
        <v>2680000000</v>
      </c>
      <c r="X192" s="218">
        <f t="shared" si="164"/>
        <v>45055190113.666664</v>
      </c>
      <c r="Y192" s="217">
        <f t="shared" si="164"/>
        <v>29042233555</v>
      </c>
      <c r="Z192" s="406">
        <f t="shared" si="164"/>
        <v>4772179523</v>
      </c>
      <c r="AA192" s="218">
        <f t="shared" si="164"/>
        <v>33814413078</v>
      </c>
      <c r="AB192" s="405">
        <f t="shared" si="164"/>
        <v>20382566297</v>
      </c>
      <c r="AC192" s="406">
        <f t="shared" si="164"/>
        <v>6064979596</v>
      </c>
      <c r="AD192" s="407">
        <f t="shared" si="164"/>
        <v>26447545893</v>
      </c>
      <c r="AE192" s="217">
        <f t="shared" si="164"/>
        <v>10208315047</v>
      </c>
      <c r="AF192" s="406">
        <f t="shared" si="164"/>
        <v>5312374185</v>
      </c>
      <c r="AG192" s="218">
        <f t="shared" si="164"/>
        <v>15520689232</v>
      </c>
      <c r="AH192" s="217">
        <f t="shared" si="164"/>
        <v>11240777035.666666</v>
      </c>
      <c r="AI192" s="406">
        <f t="shared" si="164"/>
        <v>18607644220.666664</v>
      </c>
      <c r="AJ192" s="218">
        <f t="shared" si="164"/>
        <v>29534500881.666664</v>
      </c>
      <c r="AK192" s="101"/>
      <c r="AL192" s="217">
        <f>AL194+AL208</f>
        <v>0</v>
      </c>
      <c r="AM192" s="218">
        <f>AM194+AM208</f>
        <v>0</v>
      </c>
    </row>
    <row r="193" spans="19:39" ht="24.75" customHeight="1">
      <c r="S193" s="189" t="str">
        <f>+IF(ABRIL!S193=0,"",ABRIL!S193)</f>
        <v/>
      </c>
      <c r="T193" s="488" t="str">
        <f>+IF(ABRIL!T193=0,"",ABRIL!T193)</f>
        <v/>
      </c>
      <c r="U193" s="191"/>
      <c r="V193" s="191"/>
      <c r="W193" s="191"/>
      <c r="X193" s="191"/>
      <c r="Y193" s="191"/>
      <c r="Z193" s="191"/>
      <c r="AA193" s="191"/>
      <c r="AB193" s="191"/>
      <c r="AC193" s="191"/>
      <c r="AD193" s="191"/>
      <c r="AE193" s="191"/>
      <c r="AF193" s="191"/>
      <c r="AG193" s="191"/>
      <c r="AH193" s="191"/>
      <c r="AI193" s="191"/>
      <c r="AJ193" s="192"/>
      <c r="AK193" s="101"/>
      <c r="AL193" s="370"/>
      <c r="AM193" s="371"/>
    </row>
    <row r="194" spans="19:39" ht="24.75" customHeight="1">
      <c r="S194" s="228" t="str">
        <f>+IF(ABRIL!S194=0,"",ABRIL!S194)</f>
        <v>2.4</v>
      </c>
      <c r="T194" s="404" t="str">
        <f>+IF(ABRIL!T194=0,"",ABRIL!T194)</f>
        <v>GASTOS  DEOPERACIÓN COMERCIAL</v>
      </c>
      <c r="U194" s="405">
        <f t="shared" ref="U194:AJ194" si="165">U195</f>
        <v>40172190113.666664</v>
      </c>
      <c r="V194" s="406">
        <f t="shared" si="165"/>
        <v>-2112559635</v>
      </c>
      <c r="W194" s="406">
        <f t="shared" si="165"/>
        <v>2330000000</v>
      </c>
      <c r="X194" s="407">
        <f t="shared" si="165"/>
        <v>40389630478.666664</v>
      </c>
      <c r="Y194" s="217">
        <f t="shared" si="165"/>
        <v>25864209316</v>
      </c>
      <c r="Z194" s="406">
        <f t="shared" si="165"/>
        <v>3518804569</v>
      </c>
      <c r="AA194" s="407">
        <f t="shared" si="165"/>
        <v>29383013885</v>
      </c>
      <c r="AB194" s="217">
        <f t="shared" si="165"/>
        <v>17204542058</v>
      </c>
      <c r="AC194" s="406">
        <f t="shared" si="165"/>
        <v>4811604642</v>
      </c>
      <c r="AD194" s="407">
        <f t="shared" si="165"/>
        <v>22016146700</v>
      </c>
      <c r="AE194" s="217">
        <f t="shared" si="165"/>
        <v>7030290808</v>
      </c>
      <c r="AF194" s="406">
        <f t="shared" si="165"/>
        <v>4058999231</v>
      </c>
      <c r="AG194" s="407">
        <f t="shared" si="165"/>
        <v>11089290039</v>
      </c>
      <c r="AH194" s="217">
        <f t="shared" si="165"/>
        <v>11006616593.666666</v>
      </c>
      <c r="AI194" s="406">
        <f t="shared" si="165"/>
        <v>18373483778.666664</v>
      </c>
      <c r="AJ194" s="218">
        <f t="shared" si="165"/>
        <v>29300340439.666664</v>
      </c>
      <c r="AK194" s="101"/>
      <c r="AL194" s="233">
        <f>AL195</f>
        <v>-1019000000</v>
      </c>
      <c r="AM194" s="232">
        <f>AM195</f>
        <v>0</v>
      </c>
    </row>
    <row r="195" spans="19:39" ht="24.75" customHeight="1">
      <c r="S195" s="257" t="str">
        <f>+IF(ABRIL!S195=0,"",ABRIL!S195)</f>
        <v>2.4.5</v>
      </c>
      <c r="T195" s="546" t="str">
        <f>+IF(ABRIL!T195=0,"",ABRIL!T195)</f>
        <v>GASTOS DE COMERCIALIZACIÓN Y PRODUCCIÓN</v>
      </c>
      <c r="U195" s="230">
        <f t="shared" ref="U195:AJ195" si="166">U196+U204+U206</f>
        <v>40172190113.666664</v>
      </c>
      <c r="V195" s="231">
        <f t="shared" si="166"/>
        <v>-2112559635</v>
      </c>
      <c r="W195" s="231">
        <f t="shared" si="166"/>
        <v>2330000000</v>
      </c>
      <c r="X195" s="234">
        <f t="shared" si="166"/>
        <v>40389630478.666664</v>
      </c>
      <c r="Y195" s="233">
        <f t="shared" si="166"/>
        <v>25864209316</v>
      </c>
      <c r="Z195" s="231">
        <f t="shared" si="166"/>
        <v>3518804569</v>
      </c>
      <c r="AA195" s="234">
        <f t="shared" si="166"/>
        <v>29383013885</v>
      </c>
      <c r="AB195" s="233">
        <f t="shared" si="166"/>
        <v>17204542058</v>
      </c>
      <c r="AC195" s="231">
        <f t="shared" si="166"/>
        <v>4811604642</v>
      </c>
      <c r="AD195" s="234">
        <f t="shared" si="166"/>
        <v>22016146700</v>
      </c>
      <c r="AE195" s="233">
        <f t="shared" si="166"/>
        <v>7030290808</v>
      </c>
      <c r="AF195" s="231">
        <f t="shared" si="166"/>
        <v>4058999231</v>
      </c>
      <c r="AG195" s="234">
        <f t="shared" si="166"/>
        <v>11089290039</v>
      </c>
      <c r="AH195" s="233">
        <f t="shared" si="166"/>
        <v>11006616593.666666</v>
      </c>
      <c r="AI195" s="231">
        <f t="shared" si="166"/>
        <v>18373483778.666664</v>
      </c>
      <c r="AJ195" s="232">
        <f t="shared" si="166"/>
        <v>29300340439.666664</v>
      </c>
      <c r="AK195" s="216"/>
      <c r="AL195" s="233">
        <f>AL196+AL204+AL206</f>
        <v>-1019000000</v>
      </c>
      <c r="AM195" s="232">
        <f>AM196+AM204+AM206</f>
        <v>0</v>
      </c>
    </row>
    <row r="196" spans="19:39" ht="24.75" customHeight="1">
      <c r="S196" s="266" t="str">
        <f>+IF(ABRIL!S196=0,"",ABRIL!S196)</f>
        <v>2.4.5.01</v>
      </c>
      <c r="T196" s="267" t="str">
        <f>+IF(ABRIL!T196=0,"",ABRIL!T196)</f>
        <v>Materiales y suministros</v>
      </c>
      <c r="U196" s="373">
        <f t="shared" ref="U196:AJ196" si="167">SUM(U197:U203)</f>
        <v>28648709150.333332</v>
      </c>
      <c r="V196" s="220">
        <f t="shared" si="167"/>
        <v>-1015559635</v>
      </c>
      <c r="W196" s="220">
        <f t="shared" si="167"/>
        <v>2330000000</v>
      </c>
      <c r="X196" s="271">
        <f t="shared" si="167"/>
        <v>29963149515.333332</v>
      </c>
      <c r="Y196" s="270">
        <f t="shared" si="167"/>
        <v>18706927593</v>
      </c>
      <c r="Z196" s="300">
        <f t="shared" si="167"/>
        <v>2911188997</v>
      </c>
      <c r="AA196" s="271">
        <f t="shared" si="167"/>
        <v>21618116590</v>
      </c>
      <c r="AB196" s="270">
        <f t="shared" si="167"/>
        <v>12497604771</v>
      </c>
      <c r="AC196" s="300">
        <f t="shared" si="167"/>
        <v>3551049033</v>
      </c>
      <c r="AD196" s="271">
        <f t="shared" si="167"/>
        <v>16048653804</v>
      </c>
      <c r="AE196" s="270">
        <f t="shared" si="167"/>
        <v>2323353523</v>
      </c>
      <c r="AF196" s="300">
        <f t="shared" si="167"/>
        <v>2798443622</v>
      </c>
      <c r="AG196" s="271">
        <f t="shared" si="167"/>
        <v>5121797145</v>
      </c>
      <c r="AH196" s="270">
        <f t="shared" si="167"/>
        <v>8345032925.3333321</v>
      </c>
      <c r="AI196" s="220">
        <f t="shared" si="167"/>
        <v>13914495711.333332</v>
      </c>
      <c r="AJ196" s="269">
        <f t="shared" si="167"/>
        <v>24841352370.333332</v>
      </c>
      <c r="AK196" s="101"/>
      <c r="AL196" s="301">
        <f>SUM(AL197:AL203)</f>
        <v>-520000000</v>
      </c>
      <c r="AM196" s="302">
        <f>SUM(AM197:AM203)</f>
        <v>0</v>
      </c>
    </row>
    <row r="197" spans="19:39" ht="24.75" customHeight="1">
      <c r="S197" s="311" t="str">
        <f>+IF(ABRIL!S197=0,"",ABRIL!S197)</f>
        <v>2.4.5.01.03.301</v>
      </c>
      <c r="T197" s="312" t="str">
        <f>+IF(ABRIL!T197=0,"",ABRIL!T197)</f>
        <v>Medicamentos</v>
      </c>
      <c r="U197" s="373">
        <f>+ENERO!U198</f>
        <v>7396066391.666666</v>
      </c>
      <c r="V197" s="220">
        <f>ABRIL!V197+MAYO!AL197</f>
        <v>-432000000</v>
      </c>
      <c r="W197" s="220">
        <f>ABRIL!W197+MAYO!AM197</f>
        <v>0</v>
      </c>
      <c r="X197" s="271">
        <f t="shared" ref="X197:X203" si="168">SUM(U197:W197)</f>
        <v>6964066391.666666</v>
      </c>
      <c r="Y197" s="270">
        <f>ABRIL!AA197</f>
        <v>4196352456</v>
      </c>
      <c r="Z197" s="208">
        <v>663871134</v>
      </c>
      <c r="AA197" s="271">
        <f t="shared" ref="AA197:AA203" si="169">SUM(Y197:Z197)</f>
        <v>4860223590</v>
      </c>
      <c r="AB197" s="270">
        <f>ABRIL!AD197</f>
        <v>3071503885</v>
      </c>
      <c r="AC197" s="208">
        <v>743104749</v>
      </c>
      <c r="AD197" s="271">
        <f t="shared" ref="AD197:AD203" si="170">SUM(AB197:AC197)</f>
        <v>3814608634</v>
      </c>
      <c r="AE197" s="270">
        <f>ABRIL!AG197</f>
        <v>705498768</v>
      </c>
      <c r="AF197" s="208">
        <v>645083704</v>
      </c>
      <c r="AG197" s="271">
        <f t="shared" ref="AG197:AG203" si="171">SUM(AE197:AF197)</f>
        <v>1350582472</v>
      </c>
      <c r="AH197" s="270">
        <f t="shared" ref="AH197:AH203" si="172">X197-AA197</f>
        <v>2103842801.666666</v>
      </c>
      <c r="AI197" s="220">
        <f t="shared" ref="AI197:AI203" si="173">X197-AD197</f>
        <v>3149457757.666666</v>
      </c>
      <c r="AJ197" s="269">
        <f t="shared" ref="AJ197:AJ203" si="174">X197-AG197</f>
        <v>5613483919.666666</v>
      </c>
      <c r="AK197" s="101"/>
      <c r="AL197" s="204">
        <f>-32000000-400000000</f>
        <v>-432000000</v>
      </c>
      <c r="AM197" s="210">
        <v>0</v>
      </c>
    </row>
    <row r="198" spans="19:39" ht="24.75" customHeight="1">
      <c r="S198" s="311" t="str">
        <f>+IF(ABRIL!S198=0,"",ABRIL!S198)</f>
        <v>2.4.5.01.03.302</v>
      </c>
      <c r="T198" s="312" t="str">
        <f>+IF(ABRIL!T198=0,"",ABRIL!T198)</f>
        <v>Material Médico Quirúrgico</v>
      </c>
      <c r="U198" s="373">
        <f>+ENERO!U199</f>
        <v>6198007399.166666</v>
      </c>
      <c r="V198" s="220">
        <f>ABRIL!V198+MAYO!AL198</f>
        <v>400000000</v>
      </c>
      <c r="W198" s="220">
        <f>ABRIL!W198+MAYO!AM198</f>
        <v>200000000</v>
      </c>
      <c r="X198" s="271">
        <f t="shared" si="168"/>
        <v>6798007399.166666</v>
      </c>
      <c r="Y198" s="270">
        <f>ABRIL!AA198</f>
        <v>4369647830</v>
      </c>
      <c r="Z198" s="208">
        <v>1443009033</v>
      </c>
      <c r="AA198" s="271">
        <f t="shared" si="169"/>
        <v>5812656863</v>
      </c>
      <c r="AB198" s="270">
        <f>ABRIL!AD198</f>
        <v>3689445818</v>
      </c>
      <c r="AC198" s="208">
        <v>1178360403</v>
      </c>
      <c r="AD198" s="271">
        <f t="shared" si="170"/>
        <v>4867806221</v>
      </c>
      <c r="AE198" s="270">
        <f>ABRIL!AG198</f>
        <v>597775067</v>
      </c>
      <c r="AF198" s="208">
        <v>1191674635</v>
      </c>
      <c r="AG198" s="271">
        <f t="shared" si="171"/>
        <v>1789449702</v>
      </c>
      <c r="AH198" s="270">
        <f t="shared" si="172"/>
        <v>985350536.16666603</v>
      </c>
      <c r="AI198" s="220">
        <f t="shared" si="173"/>
        <v>1930201178.166666</v>
      </c>
      <c r="AJ198" s="269">
        <f t="shared" si="174"/>
        <v>5008557697.166666</v>
      </c>
      <c r="AK198" s="101"/>
      <c r="AL198" s="204">
        <v>400000000</v>
      </c>
      <c r="AM198" s="210">
        <v>0</v>
      </c>
    </row>
    <row r="199" spans="19:39" ht="24.75" customHeight="1">
      <c r="S199" s="311" t="str">
        <f>+IF(ABRIL!S199=0,"",ABRIL!S199)</f>
        <v>2.4.5.01.03.303</v>
      </c>
      <c r="T199" s="312" t="str">
        <f>+IF(ABRIL!T199=0,"",ABRIL!T199)</f>
        <v>Material de Laboratorio</v>
      </c>
      <c r="U199" s="373">
        <f>+ENERO!U200</f>
        <v>2001528195</v>
      </c>
      <c r="V199" s="220">
        <f>ABRIL!V199+MAYO!AL199</f>
        <v>0</v>
      </c>
      <c r="W199" s="220">
        <f>ABRIL!W199+MAYO!AM199</f>
        <v>1600000000</v>
      </c>
      <c r="X199" s="271">
        <f t="shared" si="168"/>
        <v>3601528195</v>
      </c>
      <c r="Y199" s="270">
        <f>ABRIL!AA199</f>
        <v>1123872038</v>
      </c>
      <c r="Z199" s="208">
        <v>584309365</v>
      </c>
      <c r="AA199" s="271">
        <f t="shared" si="169"/>
        <v>1708181403</v>
      </c>
      <c r="AB199" s="270">
        <f>ABRIL!AD199</f>
        <v>939424837</v>
      </c>
      <c r="AC199" s="208">
        <v>424331118</v>
      </c>
      <c r="AD199" s="271">
        <f t="shared" si="170"/>
        <v>1363755955</v>
      </c>
      <c r="AE199" s="270">
        <f>ABRIL!AG199</f>
        <v>100343851</v>
      </c>
      <c r="AF199" s="208">
        <v>42367814</v>
      </c>
      <c r="AG199" s="271">
        <f t="shared" si="171"/>
        <v>142711665</v>
      </c>
      <c r="AH199" s="270">
        <f t="shared" si="172"/>
        <v>1893346792</v>
      </c>
      <c r="AI199" s="220">
        <f t="shared" si="173"/>
        <v>2237772240</v>
      </c>
      <c r="AJ199" s="269">
        <f t="shared" si="174"/>
        <v>3458816530</v>
      </c>
      <c r="AK199" s="101"/>
      <c r="AL199" s="204">
        <v>0</v>
      </c>
      <c r="AM199" s="210">
        <v>0</v>
      </c>
    </row>
    <row r="200" spans="19:39" ht="24.75" customHeight="1">
      <c r="S200" s="311" t="str">
        <f>+IF(ABRIL!S200=0,"",ABRIL!S200)</f>
        <v>2.4.5.02.09.901</v>
      </c>
      <c r="T200" s="312" t="str">
        <f>+IF(ABRIL!T200=0,"",ABRIL!T200)</f>
        <v xml:space="preserve">Servicio de Lavandería </v>
      </c>
      <c r="U200" s="373">
        <f>+ENERO!U201</f>
        <v>758333333.33333325</v>
      </c>
      <c r="V200" s="220">
        <f>ABRIL!V200+MAYO!AL200</f>
        <v>32000000</v>
      </c>
      <c r="W200" s="220">
        <f>ABRIL!W200+MAYO!AM200</f>
        <v>0</v>
      </c>
      <c r="X200" s="271">
        <f t="shared" si="168"/>
        <v>790333333.33333325</v>
      </c>
      <c r="Y200" s="270">
        <f>ABRIL!AA200</f>
        <v>559900950</v>
      </c>
      <c r="Z200" s="208">
        <v>219999465</v>
      </c>
      <c r="AA200" s="271">
        <f t="shared" si="169"/>
        <v>779900415</v>
      </c>
      <c r="AB200" s="270">
        <f>ABRIL!AD200</f>
        <v>408475461</v>
      </c>
      <c r="AC200" s="208">
        <v>0</v>
      </c>
      <c r="AD200" s="271">
        <f t="shared" si="170"/>
        <v>408475461</v>
      </c>
      <c r="AE200" s="270">
        <f>ABRIL!AG200</f>
        <v>103127691</v>
      </c>
      <c r="AF200" s="208">
        <v>92470497</v>
      </c>
      <c r="AG200" s="271">
        <f t="shared" si="171"/>
        <v>195598188</v>
      </c>
      <c r="AH200" s="270">
        <f t="shared" si="172"/>
        <v>10432918.333333254</v>
      </c>
      <c r="AI200" s="220">
        <f t="shared" si="173"/>
        <v>381857872.33333325</v>
      </c>
      <c r="AJ200" s="269">
        <f t="shared" si="174"/>
        <v>594735145.33333325</v>
      </c>
      <c r="AK200" s="101"/>
      <c r="AL200" s="204">
        <v>32000000</v>
      </c>
      <c r="AM200" s="210">
        <v>0</v>
      </c>
    </row>
    <row r="201" spans="19:39" ht="24.75" customHeight="1">
      <c r="S201" s="311" t="str">
        <f>+IF(ABRIL!S201=0,"",ABRIL!S201)</f>
        <v>2.4.5.02.09.902</v>
      </c>
      <c r="T201" s="312" t="str">
        <f>+IF(ABRIL!T201=0,"",ABRIL!T201)</f>
        <v>Servicios de esterilización</v>
      </c>
      <c r="U201" s="373">
        <f>+ENERO!U202</f>
        <v>166666666.66666666</v>
      </c>
      <c r="V201" s="220">
        <f>ABRIL!V201+MAYO!AL201</f>
        <v>0</v>
      </c>
      <c r="W201" s="220">
        <f>ABRIL!W201+MAYO!AM201</f>
        <v>0</v>
      </c>
      <c r="X201" s="271">
        <f t="shared" si="168"/>
        <v>166666666.66666666</v>
      </c>
      <c r="Y201" s="270">
        <f>ABRIL!AA201</f>
        <v>109200000</v>
      </c>
      <c r="Z201" s="208">
        <v>0</v>
      </c>
      <c r="AA201" s="271">
        <f t="shared" si="169"/>
        <v>109200000</v>
      </c>
      <c r="AB201" s="270">
        <f>ABRIL!AD201</f>
        <v>27671153</v>
      </c>
      <c r="AC201" s="208">
        <v>5777336</v>
      </c>
      <c r="AD201" s="271">
        <f t="shared" si="170"/>
        <v>33448489</v>
      </c>
      <c r="AE201" s="270">
        <f>ABRIL!AG201</f>
        <v>0</v>
      </c>
      <c r="AF201" s="208">
        <v>0</v>
      </c>
      <c r="AG201" s="271">
        <f t="shared" si="171"/>
        <v>0</v>
      </c>
      <c r="AH201" s="270">
        <f t="shared" si="172"/>
        <v>57466666.666666657</v>
      </c>
      <c r="AI201" s="220">
        <f t="shared" si="173"/>
        <v>133218177.66666666</v>
      </c>
      <c r="AJ201" s="269">
        <f t="shared" si="174"/>
        <v>166666666.66666666</v>
      </c>
      <c r="AK201" s="101"/>
      <c r="AL201" s="204">
        <v>0</v>
      </c>
      <c r="AM201" s="210">
        <v>0</v>
      </c>
    </row>
    <row r="202" spans="19:39" ht="24.75" customHeight="1">
      <c r="S202" s="311" t="str">
        <f>+IF(ABRIL!S202=0,"",ABRIL!S202)</f>
        <v>2.4.5.01.03.305</v>
      </c>
      <c r="T202" s="312" t="str">
        <f>+IF(ABRIL!T202=0,"",ABRIL!T202)</f>
        <v>Sangre</v>
      </c>
      <c r="U202" s="373">
        <f>+ENERO!U203</f>
        <v>1257440000</v>
      </c>
      <c r="V202" s="220">
        <f>ABRIL!V202+MAYO!AL202</f>
        <v>0</v>
      </c>
      <c r="W202" s="220">
        <f>ABRIL!W202+MAYO!AM202</f>
        <v>0</v>
      </c>
      <c r="X202" s="271">
        <f t="shared" si="168"/>
        <v>1257440000</v>
      </c>
      <c r="Y202" s="270">
        <f>ABRIL!AA202</f>
        <v>891200000</v>
      </c>
      <c r="Z202" s="208">
        <v>0</v>
      </c>
      <c r="AA202" s="271">
        <f t="shared" si="169"/>
        <v>891200000</v>
      </c>
      <c r="AB202" s="270">
        <f>ABRIL!AD202</f>
        <v>592395993</v>
      </c>
      <c r="AC202" s="208">
        <v>121415319</v>
      </c>
      <c r="AD202" s="271">
        <f t="shared" si="170"/>
        <v>713811312</v>
      </c>
      <c r="AE202" s="270">
        <f>ABRIL!AG202</f>
        <v>75000000</v>
      </c>
      <c r="AF202" s="208">
        <v>0</v>
      </c>
      <c r="AG202" s="271">
        <f t="shared" si="171"/>
        <v>75000000</v>
      </c>
      <c r="AH202" s="270">
        <f t="shared" si="172"/>
        <v>366240000</v>
      </c>
      <c r="AI202" s="220">
        <f t="shared" si="173"/>
        <v>543628688</v>
      </c>
      <c r="AJ202" s="269">
        <f t="shared" si="174"/>
        <v>1182440000</v>
      </c>
      <c r="AK202" s="101"/>
      <c r="AL202" s="204">
        <v>0</v>
      </c>
      <c r="AM202" s="210">
        <v>0</v>
      </c>
    </row>
    <row r="203" spans="19:39" ht="24.75" customHeight="1">
      <c r="S203" s="311" t="str">
        <f>+IF(ABRIL!S203=0,"",ABRIL!S203)</f>
        <v>2.4.5.02.08</v>
      </c>
      <c r="T203" s="312" t="str">
        <f>+IF(ABRIL!T203=0,"",ABRIL!T203)</f>
        <v>Servicios de ayudas diagnòsticas</v>
      </c>
      <c r="U203" s="373">
        <f>+ENERO!U204</f>
        <v>10870667164.5</v>
      </c>
      <c r="V203" s="220">
        <f>ABRIL!V203+MAYO!AL203</f>
        <v>-1015559635</v>
      </c>
      <c r="W203" s="220">
        <f>ABRIL!W203+MAYO!AM203</f>
        <v>530000000</v>
      </c>
      <c r="X203" s="271">
        <f t="shared" si="168"/>
        <v>10385107529.5</v>
      </c>
      <c r="Y203" s="270">
        <f>ABRIL!AA203</f>
        <v>7456754319</v>
      </c>
      <c r="Z203" s="208">
        <v>0</v>
      </c>
      <c r="AA203" s="271">
        <f t="shared" si="169"/>
        <v>7456754319</v>
      </c>
      <c r="AB203" s="270">
        <f>ABRIL!AD203</f>
        <v>3768687624</v>
      </c>
      <c r="AC203" s="208">
        <v>1078060108</v>
      </c>
      <c r="AD203" s="271">
        <f t="shared" si="170"/>
        <v>4846747732</v>
      </c>
      <c r="AE203" s="270">
        <f>ABRIL!AG203</f>
        <v>741608146</v>
      </c>
      <c r="AF203" s="208">
        <v>826846972</v>
      </c>
      <c r="AG203" s="271">
        <f t="shared" si="171"/>
        <v>1568455118</v>
      </c>
      <c r="AH203" s="270">
        <f t="shared" si="172"/>
        <v>2928353210.5</v>
      </c>
      <c r="AI203" s="220">
        <f t="shared" si="173"/>
        <v>5538359797.5</v>
      </c>
      <c r="AJ203" s="269">
        <f t="shared" si="174"/>
        <v>8816652411.5</v>
      </c>
      <c r="AK203" s="101"/>
      <c r="AL203" s="204">
        <v>-520000000</v>
      </c>
      <c r="AM203" s="210">
        <v>0</v>
      </c>
    </row>
    <row r="204" spans="19:39" ht="24.75" customHeight="1">
      <c r="S204" s="266">
        <f>+IF(ABRIL!S204=0,"",ABRIL!S204)</f>
        <v>4100200</v>
      </c>
      <c r="T204" s="267" t="str">
        <f>+IF(ABRIL!T204=0,"",ABRIL!T204)</f>
        <v>Gastos Complementarios e Intermedios</v>
      </c>
      <c r="U204" s="373">
        <f t="shared" ref="U204:AJ204" si="175">U205</f>
        <v>5609700000</v>
      </c>
      <c r="V204" s="220">
        <f t="shared" si="175"/>
        <v>0</v>
      </c>
      <c r="W204" s="220">
        <f t="shared" si="175"/>
        <v>0</v>
      </c>
      <c r="X204" s="271">
        <f t="shared" si="175"/>
        <v>5609700000</v>
      </c>
      <c r="Y204" s="270">
        <f t="shared" si="175"/>
        <v>4142600000</v>
      </c>
      <c r="Z204" s="300">
        <f t="shared" si="175"/>
        <v>0</v>
      </c>
      <c r="AA204" s="271">
        <f t="shared" si="175"/>
        <v>4142600000</v>
      </c>
      <c r="AB204" s="270">
        <f t="shared" si="175"/>
        <v>1698455564</v>
      </c>
      <c r="AC204" s="300">
        <f t="shared" si="175"/>
        <v>652940037</v>
      </c>
      <c r="AD204" s="271">
        <f t="shared" si="175"/>
        <v>2351395601</v>
      </c>
      <c r="AE204" s="270">
        <f t="shared" si="175"/>
        <v>1698455564</v>
      </c>
      <c r="AF204" s="300">
        <f t="shared" si="175"/>
        <v>652940037</v>
      </c>
      <c r="AG204" s="271">
        <f t="shared" si="175"/>
        <v>2351395601</v>
      </c>
      <c r="AH204" s="270">
        <f t="shared" si="175"/>
        <v>1467100000</v>
      </c>
      <c r="AI204" s="220">
        <f t="shared" si="175"/>
        <v>3258304399</v>
      </c>
      <c r="AJ204" s="269">
        <f t="shared" si="175"/>
        <v>3258304399</v>
      </c>
      <c r="AK204" s="101"/>
      <c r="AL204" s="301">
        <f>AL205</f>
        <v>0</v>
      </c>
      <c r="AM204" s="302">
        <f>AM205</f>
        <v>0</v>
      </c>
    </row>
    <row r="205" spans="19:39" ht="24.75" customHeight="1">
      <c r="S205" s="311" t="str">
        <f>+IF(ABRIL!S205=0,"",ABRIL!S205)</f>
        <v>2.4.5.02.06.601</v>
      </c>
      <c r="T205" s="312" t="str">
        <f>+IF(ABRIL!T205=0,"",ABRIL!T205)</f>
        <v>Servicio de alimentación</v>
      </c>
      <c r="U205" s="373">
        <f>+ENERO!U206</f>
        <v>5609700000</v>
      </c>
      <c r="V205" s="220">
        <f>ABRIL!V205+MAYO!AL205</f>
        <v>0</v>
      </c>
      <c r="W205" s="220">
        <f>ABRIL!W205+MAYO!AM205</f>
        <v>0</v>
      </c>
      <c r="X205" s="271">
        <f>SUM(U205:W205)</f>
        <v>5609700000</v>
      </c>
      <c r="Y205" s="270">
        <f>ABRIL!AA205</f>
        <v>4142600000</v>
      </c>
      <c r="Z205" s="208">
        <v>0</v>
      </c>
      <c r="AA205" s="271">
        <f>SUM(Y205:Z205)</f>
        <v>4142600000</v>
      </c>
      <c r="AB205" s="270">
        <f>ABRIL!AD205</f>
        <v>1698455564</v>
      </c>
      <c r="AC205" s="208">
        <v>652940037</v>
      </c>
      <c r="AD205" s="271">
        <f>SUM(AB205:AC205)</f>
        <v>2351395601</v>
      </c>
      <c r="AE205" s="270">
        <f>ABRIL!AG205</f>
        <v>1698455564</v>
      </c>
      <c r="AF205" s="208">
        <v>652940037</v>
      </c>
      <c r="AG205" s="271">
        <f>SUM(AE205:AF205)</f>
        <v>2351395601</v>
      </c>
      <c r="AH205" s="270">
        <f>X205-AA205</f>
        <v>1467100000</v>
      </c>
      <c r="AI205" s="220">
        <f>X205-AD205</f>
        <v>3258304399</v>
      </c>
      <c r="AJ205" s="269">
        <f>X205-AG205</f>
        <v>3258304399</v>
      </c>
      <c r="AK205" s="101"/>
      <c r="AL205" s="204">
        <v>0</v>
      </c>
      <c r="AM205" s="210">
        <v>0</v>
      </c>
    </row>
    <row r="206" spans="19:39" ht="24.75" customHeight="1" thickBot="1">
      <c r="S206" s="466" t="str">
        <f>+IF(ABRIL!S206=0,"",ABRIL!S206)</f>
        <v>2.4.5.01.03.99.01</v>
      </c>
      <c r="T206" s="467" t="str">
        <f>+IF(ABRIL!T206=0,"",ABRIL!T206)</f>
        <v>Vigencias Anteriores Medicamentos</v>
      </c>
      <c r="U206" s="547">
        <f>+ENERO!U207</f>
        <v>5913780963.333334</v>
      </c>
      <c r="V206" s="468">
        <f>ABRIL!V206+MAYO!AL206</f>
        <v>-1097000000</v>
      </c>
      <c r="W206" s="468">
        <f>ABRIL!W206+MAYO!AM206</f>
        <v>0</v>
      </c>
      <c r="X206" s="471">
        <f>SUM(U206:W206)</f>
        <v>4816780963.333334</v>
      </c>
      <c r="Y206" s="470">
        <f>ABRIL!AA206</f>
        <v>3014681723</v>
      </c>
      <c r="Z206" s="208">
        <v>607615572</v>
      </c>
      <c r="AA206" s="471">
        <f>SUM(Y206:Z206)</f>
        <v>3622297295</v>
      </c>
      <c r="AB206" s="470">
        <f>ABRIL!AD206</f>
        <v>3008481723</v>
      </c>
      <c r="AC206" s="208">
        <v>607615572</v>
      </c>
      <c r="AD206" s="471">
        <f>SUM(AB206:AC206)</f>
        <v>3616097295</v>
      </c>
      <c r="AE206" s="470">
        <f>ABRIL!AG206</f>
        <v>3008481721</v>
      </c>
      <c r="AF206" s="208">
        <v>607615572</v>
      </c>
      <c r="AG206" s="471">
        <f>SUM(AE206:AF206)</f>
        <v>3616097293</v>
      </c>
      <c r="AH206" s="470">
        <f>X206-AA206</f>
        <v>1194483668.333334</v>
      </c>
      <c r="AI206" s="468">
        <f>X206-AD206</f>
        <v>1200683668.333334</v>
      </c>
      <c r="AJ206" s="469">
        <f>X206-AG206</f>
        <v>1200683670.333334</v>
      </c>
      <c r="AK206" s="101"/>
      <c r="AL206" s="242">
        <f>-29000000-470000000</f>
        <v>-499000000</v>
      </c>
      <c r="AM206" s="248">
        <v>0</v>
      </c>
    </row>
    <row r="207" spans="19:39" ht="24.75" customHeight="1">
      <c r="S207" s="455">
        <f>+IF(ABRIL!S207=0,"",ABRIL!S207)</f>
        <v>1050551296</v>
      </c>
      <c r="T207" s="456" t="str">
        <f>+IF(ABRIL!T207=0,"",ABRIL!T207)</f>
        <v/>
      </c>
      <c r="U207" s="457"/>
      <c r="V207" s="457"/>
      <c r="W207" s="457"/>
      <c r="X207" s="457"/>
      <c r="Y207" s="457"/>
      <c r="Z207" s="457"/>
      <c r="AA207" s="457"/>
      <c r="AB207" s="457"/>
      <c r="AC207" s="457"/>
      <c r="AD207" s="457"/>
      <c r="AE207" s="457"/>
      <c r="AF207" s="457"/>
      <c r="AG207" s="457"/>
      <c r="AH207" s="457"/>
      <c r="AI207" s="457"/>
      <c r="AJ207" s="458"/>
      <c r="AK207" s="101"/>
      <c r="AL207" s="460"/>
      <c r="AM207" s="461"/>
    </row>
    <row r="208" spans="19:39" ht="24.75" customHeight="1">
      <c r="S208" s="228">
        <f>+IF(ABRIL!S208=0,"",ABRIL!S208)</f>
        <v>5000000</v>
      </c>
      <c r="T208" s="404" t="s">
        <v>300</v>
      </c>
      <c r="U208" s="405">
        <f t="shared" ref="U208:AJ208" si="176">U209</f>
        <v>2203000000</v>
      </c>
      <c r="V208" s="406">
        <f t="shared" si="176"/>
        <v>2112559635</v>
      </c>
      <c r="W208" s="406">
        <f t="shared" si="176"/>
        <v>350000000</v>
      </c>
      <c r="X208" s="407">
        <f t="shared" si="176"/>
        <v>4665559635</v>
      </c>
      <c r="Y208" s="217">
        <f t="shared" si="176"/>
        <v>3178024239</v>
      </c>
      <c r="Z208" s="406">
        <f t="shared" si="176"/>
        <v>1253374954</v>
      </c>
      <c r="AA208" s="407">
        <f t="shared" si="176"/>
        <v>4431399193</v>
      </c>
      <c r="AB208" s="217">
        <f t="shared" si="176"/>
        <v>3178024239</v>
      </c>
      <c r="AC208" s="406">
        <f t="shared" si="176"/>
        <v>1253374954</v>
      </c>
      <c r="AD208" s="407">
        <f t="shared" si="176"/>
        <v>4431399193</v>
      </c>
      <c r="AE208" s="217">
        <f t="shared" si="176"/>
        <v>3178024239</v>
      </c>
      <c r="AF208" s="406">
        <f t="shared" si="176"/>
        <v>1253374954</v>
      </c>
      <c r="AG208" s="407">
        <f t="shared" si="176"/>
        <v>4431399193</v>
      </c>
      <c r="AH208" s="217">
        <f t="shared" si="176"/>
        <v>234160442</v>
      </c>
      <c r="AI208" s="406">
        <f t="shared" si="176"/>
        <v>234160442</v>
      </c>
      <c r="AJ208" s="218">
        <f t="shared" si="176"/>
        <v>234160442</v>
      </c>
      <c r="AK208" s="101"/>
      <c r="AL208" s="233">
        <f>AL209</f>
        <v>1019000000</v>
      </c>
      <c r="AM208" s="232">
        <f>AM209</f>
        <v>0</v>
      </c>
    </row>
    <row r="209" spans="19:39" ht="24.75" customHeight="1">
      <c r="S209" s="257">
        <f>+IF(ABRIL!S209=0,"",ABRIL!S209)</f>
        <v>5100000</v>
      </c>
      <c r="T209" s="546" t="str">
        <f>+IF(ABRIL!T209=0,"",ABRIL!T209)</f>
        <v>Insumos y Suministros para Venta al Público</v>
      </c>
      <c r="U209" s="230">
        <f t="shared" ref="U209:AJ209" si="177">U210+U217</f>
        <v>2203000000</v>
      </c>
      <c r="V209" s="231">
        <f t="shared" si="177"/>
        <v>2112559635</v>
      </c>
      <c r="W209" s="231">
        <f t="shared" si="177"/>
        <v>350000000</v>
      </c>
      <c r="X209" s="234">
        <f t="shared" si="177"/>
        <v>4665559635</v>
      </c>
      <c r="Y209" s="233">
        <f t="shared" si="177"/>
        <v>3178024239</v>
      </c>
      <c r="Z209" s="231">
        <f t="shared" si="177"/>
        <v>1253374954</v>
      </c>
      <c r="AA209" s="234">
        <f t="shared" si="177"/>
        <v>4431399193</v>
      </c>
      <c r="AB209" s="233">
        <f t="shared" si="177"/>
        <v>3178024239</v>
      </c>
      <c r="AC209" s="231">
        <f t="shared" si="177"/>
        <v>1253374954</v>
      </c>
      <c r="AD209" s="234">
        <f t="shared" si="177"/>
        <v>4431399193</v>
      </c>
      <c r="AE209" s="233">
        <f t="shared" si="177"/>
        <v>3178024239</v>
      </c>
      <c r="AF209" s="231">
        <f t="shared" si="177"/>
        <v>1253374954</v>
      </c>
      <c r="AG209" s="234">
        <f t="shared" si="177"/>
        <v>4431399193</v>
      </c>
      <c r="AH209" s="233">
        <f t="shared" si="177"/>
        <v>234160442</v>
      </c>
      <c r="AI209" s="231">
        <f t="shared" si="177"/>
        <v>234160442</v>
      </c>
      <c r="AJ209" s="232">
        <f t="shared" si="177"/>
        <v>234160442</v>
      </c>
      <c r="AK209" s="101"/>
      <c r="AL209" s="233">
        <f>AL210+AL217</f>
        <v>1019000000</v>
      </c>
      <c r="AM209" s="232">
        <f>AM210+AM217</f>
        <v>0</v>
      </c>
    </row>
    <row r="210" spans="19:39" ht="24.75" customHeight="1">
      <c r="S210" s="266">
        <f>+IF(ABRIL!S210=0,"",ABRIL!S210)</f>
        <v>5100100</v>
      </c>
      <c r="T210" s="267" t="str">
        <f>+IF(ABRIL!T210=0,"",ABRIL!T210)</f>
        <v>Compra de Bienes para la venta</v>
      </c>
      <c r="U210" s="373">
        <f t="shared" ref="U210:AJ210" si="178">SUM(U211:U216)</f>
        <v>3000000</v>
      </c>
      <c r="V210" s="220">
        <f t="shared" si="178"/>
        <v>0</v>
      </c>
      <c r="W210" s="220">
        <f t="shared" si="178"/>
        <v>0</v>
      </c>
      <c r="X210" s="271">
        <f t="shared" si="178"/>
        <v>3000000</v>
      </c>
      <c r="Y210" s="270">
        <f t="shared" si="178"/>
        <v>0</v>
      </c>
      <c r="Z210" s="300">
        <f t="shared" si="178"/>
        <v>0</v>
      </c>
      <c r="AA210" s="271">
        <f t="shared" si="178"/>
        <v>0</v>
      </c>
      <c r="AB210" s="270">
        <f t="shared" si="178"/>
        <v>0</v>
      </c>
      <c r="AC210" s="300">
        <f t="shared" si="178"/>
        <v>0</v>
      </c>
      <c r="AD210" s="271">
        <f t="shared" si="178"/>
        <v>0</v>
      </c>
      <c r="AE210" s="270">
        <f t="shared" si="178"/>
        <v>0</v>
      </c>
      <c r="AF210" s="300">
        <f t="shared" si="178"/>
        <v>0</v>
      </c>
      <c r="AG210" s="271">
        <f t="shared" si="178"/>
        <v>0</v>
      </c>
      <c r="AH210" s="270">
        <f t="shared" si="178"/>
        <v>3000000</v>
      </c>
      <c r="AI210" s="220">
        <f t="shared" si="178"/>
        <v>3000000</v>
      </c>
      <c r="AJ210" s="269">
        <f t="shared" si="178"/>
        <v>3000000</v>
      </c>
      <c r="AK210" s="216"/>
      <c r="AL210" s="301">
        <f>SUM(AL211:AL216)</f>
        <v>0</v>
      </c>
      <c r="AM210" s="302">
        <f>SUM(AM211:AM216)</f>
        <v>0</v>
      </c>
    </row>
    <row r="211" spans="19:39" ht="24.75" customHeight="1">
      <c r="S211" s="311" t="str">
        <f>+IF(ABRIL!S211=0,"",ABRIL!S211)</f>
        <v>5100100-1</v>
      </c>
      <c r="T211" s="312" t="str">
        <f>+IF(ABRIL!T211=0,"",ABRIL!T211)</f>
        <v>Productos Farmaceuticos</v>
      </c>
      <c r="U211" s="373">
        <f>+ENERO!U212</f>
        <v>0</v>
      </c>
      <c r="V211" s="220">
        <f>ABRIL!V211+MAYO!AL211</f>
        <v>0</v>
      </c>
      <c r="W211" s="220">
        <f>ABRIL!W211+MAYO!AM211</f>
        <v>0</v>
      </c>
      <c r="X211" s="271">
        <f t="shared" ref="X211:X217" si="179">SUM(U211:W211)</f>
        <v>0</v>
      </c>
      <c r="Y211" s="270">
        <f>ABRIL!AA211</f>
        <v>0</v>
      </c>
      <c r="Z211" s="208">
        <v>0</v>
      </c>
      <c r="AA211" s="271">
        <f t="shared" ref="AA211:AA217" si="180">SUM(Y211:Z211)</f>
        <v>0</v>
      </c>
      <c r="AB211" s="270">
        <f>ABRIL!AD211</f>
        <v>0</v>
      </c>
      <c r="AC211" s="208">
        <v>0</v>
      </c>
      <c r="AD211" s="271">
        <f t="shared" ref="AD211:AD217" si="181">SUM(AB211:AC211)</f>
        <v>0</v>
      </c>
      <c r="AE211" s="270">
        <f>ABRIL!AG211</f>
        <v>0</v>
      </c>
      <c r="AF211" s="208">
        <v>0</v>
      </c>
      <c r="AG211" s="271">
        <f t="shared" ref="AG211:AG217" si="182">SUM(AE211:AF211)</f>
        <v>0</v>
      </c>
      <c r="AH211" s="270">
        <f t="shared" ref="AH211:AH217" si="183">X211-AA211</f>
        <v>0</v>
      </c>
      <c r="AI211" s="220">
        <f t="shared" ref="AI211:AI217" si="184">X211-AD211</f>
        <v>0</v>
      </c>
      <c r="AJ211" s="269">
        <f t="shared" ref="AJ211:AJ217" si="185">X211-AG211</f>
        <v>0</v>
      </c>
      <c r="AK211" s="101"/>
      <c r="AL211" s="204">
        <v>0</v>
      </c>
      <c r="AM211" s="210">
        <v>0</v>
      </c>
    </row>
    <row r="212" spans="19:39" ht="24.75" customHeight="1">
      <c r="S212" s="311" t="str">
        <f>+IF(ABRIL!S212=0,"",ABRIL!S212)</f>
        <v>5100100-2</v>
      </c>
      <c r="T212" s="312" t="str">
        <f>+IF(ABRIL!T212=0,"",ABRIL!T212)</f>
        <v>Material Médico Quirúrgico</v>
      </c>
      <c r="U212" s="373">
        <f>+ENERO!U213</f>
        <v>0</v>
      </c>
      <c r="V212" s="220">
        <f>ABRIL!V212+MAYO!AL212</f>
        <v>0</v>
      </c>
      <c r="W212" s="220">
        <f>ABRIL!W212+MAYO!AM212</f>
        <v>0</v>
      </c>
      <c r="X212" s="271">
        <f t="shared" si="179"/>
        <v>0</v>
      </c>
      <c r="Y212" s="270">
        <f>ABRIL!AA212</f>
        <v>0</v>
      </c>
      <c r="Z212" s="208">
        <v>0</v>
      </c>
      <c r="AA212" s="271">
        <f t="shared" si="180"/>
        <v>0</v>
      </c>
      <c r="AB212" s="270">
        <f>ABRIL!AD212</f>
        <v>0</v>
      </c>
      <c r="AC212" s="208">
        <v>0</v>
      </c>
      <c r="AD212" s="271">
        <f t="shared" si="181"/>
        <v>0</v>
      </c>
      <c r="AE212" s="270">
        <f>ABRIL!AG212</f>
        <v>0</v>
      </c>
      <c r="AF212" s="208">
        <v>0</v>
      </c>
      <c r="AG212" s="271">
        <f t="shared" si="182"/>
        <v>0</v>
      </c>
      <c r="AH212" s="270">
        <f t="shared" si="183"/>
        <v>0</v>
      </c>
      <c r="AI212" s="220">
        <f t="shared" si="184"/>
        <v>0</v>
      </c>
      <c r="AJ212" s="269">
        <f t="shared" si="185"/>
        <v>0</v>
      </c>
      <c r="AK212" s="101"/>
      <c r="AL212" s="204">
        <v>0</v>
      </c>
      <c r="AM212" s="210">
        <v>0</v>
      </c>
    </row>
    <row r="213" spans="19:39" ht="24.75" customHeight="1">
      <c r="S213" s="311" t="str">
        <f>+IF(ABRIL!S213=0,"",ABRIL!S213)</f>
        <v>5100100-3</v>
      </c>
      <c r="T213" s="312" t="str">
        <f>+IF(ABRIL!T213=0,"",ABRIL!T213)</f>
        <v>Material de Laboratorio</v>
      </c>
      <c r="U213" s="373">
        <f>+ENERO!U214</f>
        <v>0</v>
      </c>
      <c r="V213" s="220">
        <f>ABRIL!V213+MAYO!AL213</f>
        <v>0</v>
      </c>
      <c r="W213" s="220">
        <f>ABRIL!W213+MAYO!AM213</f>
        <v>0</v>
      </c>
      <c r="X213" s="271">
        <f t="shared" si="179"/>
        <v>0</v>
      </c>
      <c r="Y213" s="270">
        <f>ABRIL!AA213</f>
        <v>0</v>
      </c>
      <c r="Z213" s="208">
        <v>0</v>
      </c>
      <c r="AA213" s="271">
        <f t="shared" si="180"/>
        <v>0</v>
      </c>
      <c r="AB213" s="270">
        <f>ABRIL!AD213</f>
        <v>0</v>
      </c>
      <c r="AC213" s="208">
        <v>0</v>
      </c>
      <c r="AD213" s="271">
        <f t="shared" si="181"/>
        <v>0</v>
      </c>
      <c r="AE213" s="270">
        <f>ABRIL!AG213</f>
        <v>0</v>
      </c>
      <c r="AF213" s="208">
        <v>0</v>
      </c>
      <c r="AG213" s="271">
        <f t="shared" si="182"/>
        <v>0</v>
      </c>
      <c r="AH213" s="270">
        <f t="shared" si="183"/>
        <v>0</v>
      </c>
      <c r="AI213" s="220">
        <f t="shared" si="184"/>
        <v>0</v>
      </c>
      <c r="AJ213" s="269">
        <f t="shared" si="185"/>
        <v>0</v>
      </c>
      <c r="AK213" s="101"/>
      <c r="AL213" s="204">
        <v>0</v>
      </c>
      <c r="AM213" s="210">
        <v>0</v>
      </c>
    </row>
    <row r="214" spans="19:39" ht="24.75" customHeight="1">
      <c r="S214" s="311" t="str">
        <f>+IF(ABRIL!S214=0,"",ABRIL!S214)</f>
        <v>2.4.5.02.09.91122</v>
      </c>
      <c r="T214" s="312" t="str">
        <f>+IF(ABRIL!T214=0,"",ABRIL!T214)</f>
        <v>Servicios de Certificación, Habilitación y Acreditación</v>
      </c>
      <c r="U214" s="373">
        <f>+ENERO!U215</f>
        <v>3000000</v>
      </c>
      <c r="V214" s="220">
        <f>ABRIL!V214+MAYO!AL214</f>
        <v>0</v>
      </c>
      <c r="W214" s="220">
        <f>ABRIL!W214+MAYO!AM214</f>
        <v>0</v>
      </c>
      <c r="X214" s="271">
        <f t="shared" si="179"/>
        <v>3000000</v>
      </c>
      <c r="Y214" s="270">
        <f>ABRIL!AA214</f>
        <v>0</v>
      </c>
      <c r="Z214" s="208">
        <v>0</v>
      </c>
      <c r="AA214" s="271">
        <f t="shared" si="180"/>
        <v>0</v>
      </c>
      <c r="AB214" s="270">
        <f>ABRIL!AD214</f>
        <v>0</v>
      </c>
      <c r="AC214" s="208">
        <v>0</v>
      </c>
      <c r="AD214" s="271">
        <f t="shared" si="181"/>
        <v>0</v>
      </c>
      <c r="AE214" s="270">
        <f>ABRIL!AG214</f>
        <v>0</v>
      </c>
      <c r="AF214" s="208">
        <v>0</v>
      </c>
      <c r="AG214" s="271">
        <f t="shared" si="182"/>
        <v>0</v>
      </c>
      <c r="AH214" s="270">
        <f t="shared" si="183"/>
        <v>3000000</v>
      </c>
      <c r="AI214" s="220">
        <f t="shared" si="184"/>
        <v>3000000</v>
      </c>
      <c r="AJ214" s="269">
        <f t="shared" si="185"/>
        <v>3000000</v>
      </c>
      <c r="AK214" s="101"/>
      <c r="AL214" s="204">
        <v>0</v>
      </c>
      <c r="AM214" s="210">
        <v>0</v>
      </c>
    </row>
    <row r="215" spans="19:39" ht="24.75" customHeight="1">
      <c r="S215" s="311" t="str">
        <f>+IF(ABRIL!S215=0,"",ABRIL!S215)</f>
        <v>2.4.5.02.08.801.99</v>
      </c>
      <c r="T215" s="312" t="str">
        <f>+IF(ABRIL!T215=0,"",ABRIL!T215)</f>
        <v>Vigencias Anteriores lavanderia</v>
      </c>
      <c r="U215" s="373">
        <f>+ENERO!U216</f>
        <v>0</v>
      </c>
      <c r="V215" s="220">
        <f>ABRIL!V215+MAYO!AL215</f>
        <v>0</v>
      </c>
      <c r="W215" s="220">
        <f>ABRIL!W215+MAYO!AM215</f>
        <v>0</v>
      </c>
      <c r="X215" s="271">
        <f t="shared" si="179"/>
        <v>0</v>
      </c>
      <c r="Y215" s="270">
        <f>ABRIL!AA215</f>
        <v>0</v>
      </c>
      <c r="Z215" s="208">
        <v>0</v>
      </c>
      <c r="AA215" s="271">
        <f t="shared" si="180"/>
        <v>0</v>
      </c>
      <c r="AB215" s="270">
        <f>ABRIL!AD215</f>
        <v>0</v>
      </c>
      <c r="AC215" s="208">
        <v>0</v>
      </c>
      <c r="AD215" s="271">
        <f t="shared" si="181"/>
        <v>0</v>
      </c>
      <c r="AE215" s="270">
        <f>ABRIL!AG215</f>
        <v>0</v>
      </c>
      <c r="AF215" s="208">
        <v>0</v>
      </c>
      <c r="AG215" s="271">
        <f t="shared" si="182"/>
        <v>0</v>
      </c>
      <c r="AH215" s="270">
        <f t="shared" si="183"/>
        <v>0</v>
      </c>
      <c r="AI215" s="220">
        <f t="shared" si="184"/>
        <v>0</v>
      </c>
      <c r="AJ215" s="269">
        <f t="shared" si="185"/>
        <v>0</v>
      </c>
      <c r="AK215" s="101"/>
      <c r="AL215" s="204">
        <v>0</v>
      </c>
      <c r="AM215" s="210">
        <v>0</v>
      </c>
    </row>
    <row r="216" spans="19:39" ht="24.75" customHeight="1">
      <c r="S216" s="311" t="str">
        <f>+IF(ABRIL!S216=0,"",ABRIL!S216)</f>
        <v>2.4.5.02.08.802.99</v>
      </c>
      <c r="T216" s="312" t="str">
        <f>+IF(ABRIL!T216=0,"",ABRIL!T216)</f>
        <v>Vigencias Anteriores de esterilizacion</v>
      </c>
      <c r="U216" s="373">
        <f>+ENERO!U217</f>
        <v>0</v>
      </c>
      <c r="V216" s="220">
        <f>ABRIL!V216+MAYO!AL216</f>
        <v>0</v>
      </c>
      <c r="W216" s="220">
        <f>ABRIL!W216+MAYO!AM216</f>
        <v>0</v>
      </c>
      <c r="X216" s="271">
        <f t="shared" si="179"/>
        <v>0</v>
      </c>
      <c r="Y216" s="270">
        <f>ABRIL!AA216</f>
        <v>0</v>
      </c>
      <c r="Z216" s="208">
        <v>0</v>
      </c>
      <c r="AA216" s="271">
        <f t="shared" si="180"/>
        <v>0</v>
      </c>
      <c r="AB216" s="270">
        <f>ABRIL!AD216</f>
        <v>0</v>
      </c>
      <c r="AC216" s="208">
        <v>0</v>
      </c>
      <c r="AD216" s="271">
        <f t="shared" si="181"/>
        <v>0</v>
      </c>
      <c r="AE216" s="270">
        <f>ABRIL!AG216</f>
        <v>0</v>
      </c>
      <c r="AF216" s="208">
        <v>0</v>
      </c>
      <c r="AG216" s="271">
        <f t="shared" si="182"/>
        <v>0</v>
      </c>
      <c r="AH216" s="270">
        <f t="shared" si="183"/>
        <v>0</v>
      </c>
      <c r="AI216" s="220">
        <f t="shared" si="184"/>
        <v>0</v>
      </c>
      <c r="AJ216" s="269">
        <f t="shared" si="185"/>
        <v>0</v>
      </c>
      <c r="AK216" s="101"/>
      <c r="AL216" s="204">
        <v>0</v>
      </c>
      <c r="AM216" s="210">
        <v>0</v>
      </c>
    </row>
    <row r="217" spans="19:39" ht="24.75" customHeight="1" thickBot="1">
      <c r="S217" s="499" t="str">
        <f>+IF(ABRIL!S217=0,"",ABRIL!S217)</f>
        <v>2.4.5.02.08.99</v>
      </c>
      <c r="T217" s="500" t="str">
        <f>+IF(ABRIL!T217=0,"",ABRIL!T217)</f>
        <v>Vigencias Anteriores ayudas diagnosticas, lavanderia, esterilizacion,alimentacion</v>
      </c>
      <c r="U217" s="547">
        <f>+ENERO!U218</f>
        <v>2200000000</v>
      </c>
      <c r="V217" s="468">
        <f>ABRIL!V217+MAYO!AL217</f>
        <v>2112559635</v>
      </c>
      <c r="W217" s="468">
        <f>ABRIL!W217+MAYO!AM217</f>
        <v>350000000</v>
      </c>
      <c r="X217" s="471">
        <f t="shared" si="179"/>
        <v>4662559635</v>
      </c>
      <c r="Y217" s="470">
        <f>ABRIL!AA217</f>
        <v>3178024239</v>
      </c>
      <c r="Z217" s="208">
        <f>1218171201+28022643+7181110</f>
        <v>1253374954</v>
      </c>
      <c r="AA217" s="471">
        <f t="shared" si="180"/>
        <v>4431399193</v>
      </c>
      <c r="AB217" s="470">
        <f>ABRIL!AD217</f>
        <v>3178024239</v>
      </c>
      <c r="AC217" s="208">
        <f>1218171201+28022643+7181110</f>
        <v>1253374954</v>
      </c>
      <c r="AD217" s="471">
        <f t="shared" si="181"/>
        <v>4431399193</v>
      </c>
      <c r="AE217" s="470">
        <f>ABRIL!AG217</f>
        <v>3178024239</v>
      </c>
      <c r="AF217" s="208">
        <f>1218171201+28022643+7181110</f>
        <v>1253374954</v>
      </c>
      <c r="AG217" s="471">
        <f t="shared" si="182"/>
        <v>4431399193</v>
      </c>
      <c r="AH217" s="470">
        <f t="shared" si="183"/>
        <v>231160442</v>
      </c>
      <c r="AI217" s="468">
        <f t="shared" si="184"/>
        <v>231160442</v>
      </c>
      <c r="AJ217" s="469">
        <f t="shared" si="185"/>
        <v>231160442</v>
      </c>
      <c r="AK217" s="101"/>
      <c r="AL217" s="489">
        <f>520000000+29000000+470000000</f>
        <v>1019000000</v>
      </c>
      <c r="AM217" s="490">
        <v>0</v>
      </c>
    </row>
    <row r="218" spans="19:39" ht="24.75" customHeight="1" thickBot="1">
      <c r="S218" s="480">
        <f>+IF(ABRIL!S218=0,"",ABRIL!S218)</f>
        <v>1133096960</v>
      </c>
      <c r="T218" s="481" t="str">
        <f>+IF(ABRIL!T218=0,"",ABRIL!T218)</f>
        <v/>
      </c>
      <c r="U218" s="482"/>
      <c r="V218" s="482"/>
      <c r="W218" s="482"/>
      <c r="X218" s="482"/>
      <c r="Y218" s="482"/>
      <c r="Z218" s="482"/>
      <c r="AA218" s="482"/>
      <c r="AB218" s="482"/>
      <c r="AC218" s="482"/>
      <c r="AD218" s="482"/>
      <c r="AE218" s="482"/>
      <c r="AF218" s="482"/>
      <c r="AG218" s="482"/>
      <c r="AH218" s="482"/>
      <c r="AI218" s="482"/>
      <c r="AJ218" s="484"/>
      <c r="AK218" s="216"/>
      <c r="AL218" s="485"/>
      <c r="AM218" s="486"/>
    </row>
    <row r="219" spans="19:39" ht="24.75" customHeight="1">
      <c r="S219" s="176" t="str">
        <f>+IF(ABRIL!S219=0,"",ABRIL!S219)</f>
        <v>C</v>
      </c>
      <c r="T219" s="177" t="str">
        <f>+IF(ABRIL!T219=0,"",ABRIL!T219)</f>
        <v xml:space="preserve">SERVICIO DE LA DEUDA </v>
      </c>
      <c r="U219" s="178">
        <f t="shared" ref="U219:AJ219" si="186">U221+U226</f>
        <v>3239175000</v>
      </c>
      <c r="V219" s="179">
        <f t="shared" si="186"/>
        <v>0</v>
      </c>
      <c r="W219" s="179">
        <f t="shared" si="186"/>
        <v>0</v>
      </c>
      <c r="X219" s="182">
        <f t="shared" si="186"/>
        <v>3239175000</v>
      </c>
      <c r="Y219" s="181">
        <f t="shared" si="186"/>
        <v>440504152</v>
      </c>
      <c r="Z219" s="179">
        <f t="shared" si="186"/>
        <v>109027136</v>
      </c>
      <c r="AA219" s="182">
        <f t="shared" si="186"/>
        <v>549531288</v>
      </c>
      <c r="AB219" s="181">
        <f t="shared" si="186"/>
        <v>440504152</v>
      </c>
      <c r="AC219" s="179">
        <f t="shared" si="186"/>
        <v>109027136</v>
      </c>
      <c r="AD219" s="182">
        <f t="shared" si="186"/>
        <v>549531288</v>
      </c>
      <c r="AE219" s="181">
        <f t="shared" si="186"/>
        <v>440504152</v>
      </c>
      <c r="AF219" s="179">
        <f t="shared" si="186"/>
        <v>109027136</v>
      </c>
      <c r="AG219" s="182">
        <f t="shared" si="186"/>
        <v>549531288</v>
      </c>
      <c r="AH219" s="181">
        <f t="shared" si="186"/>
        <v>2689643712</v>
      </c>
      <c r="AI219" s="179">
        <f t="shared" si="186"/>
        <v>2689643712</v>
      </c>
      <c r="AJ219" s="180">
        <f t="shared" si="186"/>
        <v>2689643712</v>
      </c>
      <c r="AK219" s="487"/>
      <c r="AL219" s="181">
        <f>AL221+AL226</f>
        <v>0</v>
      </c>
      <c r="AM219" s="180">
        <f>AM221+AM226</f>
        <v>0</v>
      </c>
    </row>
    <row r="220" spans="19:39" ht="24.75" customHeight="1">
      <c r="S220" s="189">
        <f>+IF(ABRIL!S220=0,"",ABRIL!S220)</f>
        <v>1133096960</v>
      </c>
      <c r="T220" s="488" t="str">
        <f>+IF(ABRIL!T220=0,"",ABRIL!T220)</f>
        <v/>
      </c>
      <c r="U220" s="191"/>
      <c r="V220" s="191"/>
      <c r="W220" s="191"/>
      <c r="X220" s="191"/>
      <c r="Y220" s="191"/>
      <c r="Z220" s="191"/>
      <c r="AA220" s="191"/>
      <c r="AB220" s="191"/>
      <c r="AC220" s="191"/>
      <c r="AD220" s="191"/>
      <c r="AE220" s="191"/>
      <c r="AF220" s="191"/>
      <c r="AG220" s="191"/>
      <c r="AH220" s="191"/>
      <c r="AI220" s="191"/>
      <c r="AJ220" s="192"/>
      <c r="AK220" s="101"/>
      <c r="AL220" s="370"/>
      <c r="AM220" s="371"/>
    </row>
    <row r="221" spans="19:39" ht="24.75" customHeight="1">
      <c r="S221" s="257">
        <f>+IF(ABRIL!S221=0,"",ABRIL!S221)</f>
        <v>7001000</v>
      </c>
      <c r="T221" s="546" t="str">
        <f>+IF(ABRIL!T221=0,"",ABRIL!T221)</f>
        <v>SERVICIO DE LA DEUDA INTERNA</v>
      </c>
      <c r="U221" s="230">
        <f t="shared" ref="U221:AJ221" si="187">SUM(U222:U224)</f>
        <v>3239175000</v>
      </c>
      <c r="V221" s="231">
        <f t="shared" si="187"/>
        <v>0</v>
      </c>
      <c r="W221" s="231">
        <f t="shared" si="187"/>
        <v>0</v>
      </c>
      <c r="X221" s="234">
        <f t="shared" si="187"/>
        <v>3239175000</v>
      </c>
      <c r="Y221" s="233">
        <f t="shared" si="187"/>
        <v>440504152</v>
      </c>
      <c r="Z221" s="231">
        <f t="shared" si="187"/>
        <v>109027136</v>
      </c>
      <c r="AA221" s="234">
        <f t="shared" si="187"/>
        <v>549531288</v>
      </c>
      <c r="AB221" s="233">
        <f t="shared" si="187"/>
        <v>440504152</v>
      </c>
      <c r="AC221" s="231">
        <f t="shared" si="187"/>
        <v>109027136</v>
      </c>
      <c r="AD221" s="234">
        <f t="shared" si="187"/>
        <v>549531288</v>
      </c>
      <c r="AE221" s="233">
        <f t="shared" si="187"/>
        <v>440504152</v>
      </c>
      <c r="AF221" s="231">
        <f t="shared" si="187"/>
        <v>109027136</v>
      </c>
      <c r="AG221" s="234">
        <f t="shared" si="187"/>
        <v>549531288</v>
      </c>
      <c r="AH221" s="233">
        <f t="shared" si="187"/>
        <v>2689643712</v>
      </c>
      <c r="AI221" s="231">
        <f t="shared" si="187"/>
        <v>2689643712</v>
      </c>
      <c r="AJ221" s="232">
        <f t="shared" si="187"/>
        <v>2689643712</v>
      </c>
      <c r="AK221" s="101"/>
      <c r="AL221" s="233">
        <f>SUM(AL222:AL224)</f>
        <v>0</v>
      </c>
      <c r="AM221" s="232">
        <f>SUM(AM222:AM224)</f>
        <v>0</v>
      </c>
    </row>
    <row r="222" spans="19:39" ht="24.75" customHeight="1">
      <c r="S222" s="266" t="str">
        <f>+IF(ABRIL!S222=0,"",ABRIL!S222)</f>
        <v>2.2.2.2.01.02.002.02</v>
      </c>
      <c r="T222" s="267" t="str">
        <f>+IF(ABRIL!T222=0,"",ABRIL!T222)</f>
        <v>Banca Comercial</v>
      </c>
      <c r="U222" s="373">
        <f>+ENERO!U223</f>
        <v>2000000000</v>
      </c>
      <c r="V222" s="220">
        <f>ABRIL!V222+MAYO!AL222</f>
        <v>0</v>
      </c>
      <c r="W222" s="220">
        <f>ABRIL!W222+MAYO!AM222</f>
        <v>0</v>
      </c>
      <c r="X222" s="271">
        <f>SUM(U222:W222)</f>
        <v>2000000000</v>
      </c>
      <c r="Y222" s="270">
        <f>ABRIL!AA222</f>
        <v>0</v>
      </c>
      <c r="Z222" s="208">
        <v>0</v>
      </c>
      <c r="AA222" s="271">
        <f>SUM(Y222:Z222)</f>
        <v>0</v>
      </c>
      <c r="AB222" s="270">
        <f>ABRIL!AD222</f>
        <v>0</v>
      </c>
      <c r="AC222" s="208">
        <v>0</v>
      </c>
      <c r="AD222" s="271">
        <f>SUM(AB222:AC222)</f>
        <v>0</v>
      </c>
      <c r="AE222" s="270">
        <f>ABRIL!AG222</f>
        <v>0</v>
      </c>
      <c r="AF222" s="208">
        <v>0</v>
      </c>
      <c r="AG222" s="271">
        <f>SUM(AE222:AF222)</f>
        <v>0</v>
      </c>
      <c r="AH222" s="270">
        <f>X222-AA222</f>
        <v>2000000000</v>
      </c>
      <c r="AI222" s="220">
        <f>X222-AD222</f>
        <v>2000000000</v>
      </c>
      <c r="AJ222" s="269">
        <f>X222-AG222</f>
        <v>2000000000</v>
      </c>
      <c r="AK222" s="101"/>
      <c r="AL222" s="204">
        <v>0</v>
      </c>
      <c r="AM222" s="210">
        <v>0</v>
      </c>
    </row>
    <row r="223" spans="19:39" ht="24.75" customHeight="1">
      <c r="S223" s="266" t="str">
        <f>+IF(ABRIL!S223=0,"",ABRIL!S223)</f>
        <v>2.2.2.02</v>
      </c>
      <c r="T223" s="267" t="str">
        <f>+IF(ABRIL!T223=0,"",ABRIL!T223)</f>
        <v>Intereses Comisiones y gastos de la Deuda Pública</v>
      </c>
      <c r="U223" s="373">
        <f>+ENERO!U224</f>
        <v>1239175000</v>
      </c>
      <c r="V223" s="220">
        <f>ABRIL!V223+MAYO!AL223</f>
        <v>0</v>
      </c>
      <c r="W223" s="220">
        <f>ABRIL!W223+MAYO!AM223</f>
        <v>0</v>
      </c>
      <c r="X223" s="271">
        <f>SUM(U223:W223)</f>
        <v>1239175000</v>
      </c>
      <c r="Y223" s="270">
        <f>ABRIL!AA223</f>
        <v>440504152</v>
      </c>
      <c r="Z223" s="208">
        <v>109027136</v>
      </c>
      <c r="AA223" s="271">
        <f>SUM(Y223:Z223)</f>
        <v>549531288</v>
      </c>
      <c r="AB223" s="270">
        <f>ABRIL!AD223</f>
        <v>440504152</v>
      </c>
      <c r="AC223" s="208">
        <v>109027136</v>
      </c>
      <c r="AD223" s="271">
        <f>SUM(AB223:AC223)</f>
        <v>549531288</v>
      </c>
      <c r="AE223" s="270">
        <f>ABRIL!AG223</f>
        <v>440504152</v>
      </c>
      <c r="AF223" s="208">
        <v>109027136</v>
      </c>
      <c r="AG223" s="271">
        <f>SUM(AE223:AF223)</f>
        <v>549531288</v>
      </c>
      <c r="AH223" s="270">
        <f>X223-AA223</f>
        <v>689643712</v>
      </c>
      <c r="AI223" s="220">
        <f>X223-AD223</f>
        <v>689643712</v>
      </c>
      <c r="AJ223" s="269">
        <f>X223-AG223</f>
        <v>689643712</v>
      </c>
      <c r="AK223" s="101"/>
      <c r="AL223" s="204">
        <v>0</v>
      </c>
      <c r="AM223" s="210">
        <v>0</v>
      </c>
    </row>
    <row r="224" spans="19:39" ht="24.75" customHeight="1">
      <c r="S224" s="266" t="str">
        <f>+IF(ABRIL!S224=0,"",ABRIL!S224)</f>
        <v>2.2.2.02</v>
      </c>
      <c r="T224" s="267" t="str">
        <f>+IF(ABRIL!T224=0,"",ABRIL!T224)</f>
        <v>Vigencias Anteriores Deuda Pública</v>
      </c>
      <c r="U224" s="373">
        <f>+ENERO!U225</f>
        <v>0</v>
      </c>
      <c r="V224" s="220">
        <f>ABRIL!V224+MAYO!AL224</f>
        <v>0</v>
      </c>
      <c r="W224" s="220">
        <f>ABRIL!W224+MAYO!AM224</f>
        <v>0</v>
      </c>
      <c r="X224" s="271">
        <f>SUM(U224:W224)</f>
        <v>0</v>
      </c>
      <c r="Y224" s="270">
        <f>ABRIL!AA224</f>
        <v>0</v>
      </c>
      <c r="Z224" s="208">
        <v>0</v>
      </c>
      <c r="AA224" s="271">
        <f>SUM(Y224:Z224)</f>
        <v>0</v>
      </c>
      <c r="AB224" s="270">
        <f>ABRIL!AD224</f>
        <v>0</v>
      </c>
      <c r="AC224" s="208">
        <v>0</v>
      </c>
      <c r="AD224" s="271">
        <f>SUM(AB224:AC224)</f>
        <v>0</v>
      </c>
      <c r="AE224" s="270">
        <f>ABRIL!AG224</f>
        <v>0</v>
      </c>
      <c r="AF224" s="208">
        <v>0</v>
      </c>
      <c r="AG224" s="271">
        <f>SUM(AE224:AF224)</f>
        <v>0</v>
      </c>
      <c r="AH224" s="270">
        <f>X224-AA224</f>
        <v>0</v>
      </c>
      <c r="AI224" s="220">
        <f>X224-AD224</f>
        <v>0</v>
      </c>
      <c r="AJ224" s="269">
        <f>X224-AG224</f>
        <v>0</v>
      </c>
      <c r="AK224" s="101"/>
      <c r="AL224" s="204">
        <v>0</v>
      </c>
      <c r="AM224" s="210">
        <v>0</v>
      </c>
    </row>
    <row r="225" spans="19:39" ht="24.75" customHeight="1">
      <c r="S225" s="189" t="str">
        <f>+IF(ABRIL!S225=0,"",ABRIL!S225)</f>
        <v/>
      </c>
      <c r="T225" s="488" t="str">
        <f>+IF(ABRIL!T225=0,"",ABRIL!T225)</f>
        <v/>
      </c>
      <c r="U225" s="191"/>
      <c r="V225" s="191"/>
      <c r="W225" s="191"/>
      <c r="X225" s="191"/>
      <c r="Y225" s="191"/>
      <c r="Z225" s="191"/>
      <c r="AA225" s="191"/>
      <c r="AB225" s="191"/>
      <c r="AC225" s="191"/>
      <c r="AD225" s="191"/>
      <c r="AE225" s="191"/>
      <c r="AF225" s="191"/>
      <c r="AG225" s="191"/>
      <c r="AH225" s="191"/>
      <c r="AI225" s="191"/>
      <c r="AJ225" s="192"/>
      <c r="AK225" s="216"/>
      <c r="AL225" s="370"/>
      <c r="AM225" s="371"/>
    </row>
    <row r="226" spans="19:39" ht="24.75" customHeight="1">
      <c r="S226" s="257">
        <f>+IF(ABRIL!S226=0,"",ABRIL!S226)</f>
        <v>7002001</v>
      </c>
      <c r="T226" s="546" t="str">
        <f>+IF(ABRIL!T226=0,"",ABRIL!T226)</f>
        <v>SERVICIO DE LA DEUDA EXTERNA</v>
      </c>
      <c r="U226" s="230">
        <f t="shared" ref="U226:AJ226" si="188">SUM(U227:U229)</f>
        <v>0</v>
      </c>
      <c r="V226" s="231">
        <f t="shared" si="188"/>
        <v>0</v>
      </c>
      <c r="W226" s="231">
        <f t="shared" si="188"/>
        <v>0</v>
      </c>
      <c r="X226" s="234">
        <f t="shared" si="188"/>
        <v>0</v>
      </c>
      <c r="Y226" s="233">
        <f t="shared" si="188"/>
        <v>0</v>
      </c>
      <c r="Z226" s="231">
        <f t="shared" si="188"/>
        <v>0</v>
      </c>
      <c r="AA226" s="234">
        <f t="shared" si="188"/>
        <v>0</v>
      </c>
      <c r="AB226" s="233">
        <f t="shared" si="188"/>
        <v>0</v>
      </c>
      <c r="AC226" s="231">
        <f t="shared" si="188"/>
        <v>0</v>
      </c>
      <c r="AD226" s="234">
        <f t="shared" si="188"/>
        <v>0</v>
      </c>
      <c r="AE226" s="233">
        <f t="shared" si="188"/>
        <v>0</v>
      </c>
      <c r="AF226" s="231">
        <f t="shared" si="188"/>
        <v>0</v>
      </c>
      <c r="AG226" s="234">
        <f t="shared" si="188"/>
        <v>0</v>
      </c>
      <c r="AH226" s="233">
        <f t="shared" si="188"/>
        <v>0</v>
      </c>
      <c r="AI226" s="231">
        <f t="shared" si="188"/>
        <v>0</v>
      </c>
      <c r="AJ226" s="232">
        <f t="shared" si="188"/>
        <v>0</v>
      </c>
      <c r="AK226" s="216"/>
      <c r="AL226" s="233">
        <f>SUM(AL227:AL229)</f>
        <v>0</v>
      </c>
      <c r="AM226" s="232">
        <f>SUM(AM227:AM229)</f>
        <v>0</v>
      </c>
    </row>
    <row r="227" spans="19:39" ht="24.75" customHeight="1">
      <c r="S227" s="266">
        <f>+IF(ABRIL!S227=0,"",ABRIL!S227)</f>
        <v>7002100</v>
      </c>
      <c r="T227" s="267" t="str">
        <f>+IF(ABRIL!T227=0,"",ABRIL!T227)</f>
        <v>Amortización deuda Pública Externa</v>
      </c>
      <c r="U227" s="373">
        <f>+ENERO!U228</f>
        <v>0</v>
      </c>
      <c r="V227" s="220">
        <f>ABRIL!V227+MAYO!AL227</f>
        <v>0</v>
      </c>
      <c r="W227" s="220">
        <f>ABRIL!W227+MAYO!AM227</f>
        <v>0</v>
      </c>
      <c r="X227" s="271">
        <f>SUM(U227:W227)</f>
        <v>0</v>
      </c>
      <c r="Y227" s="270">
        <f>ABRIL!AA227</f>
        <v>0</v>
      </c>
      <c r="Z227" s="208">
        <v>0</v>
      </c>
      <c r="AA227" s="271">
        <f>SUM(Y227:Z227)</f>
        <v>0</v>
      </c>
      <c r="AB227" s="270">
        <f>ABRIL!AD227</f>
        <v>0</v>
      </c>
      <c r="AC227" s="208">
        <v>0</v>
      </c>
      <c r="AD227" s="271">
        <f>SUM(AB227:AC227)</f>
        <v>0</v>
      </c>
      <c r="AE227" s="270">
        <f>ABRIL!AG227</f>
        <v>0</v>
      </c>
      <c r="AF227" s="208">
        <v>0</v>
      </c>
      <c r="AG227" s="271">
        <f>SUM(AE227:AF227)</f>
        <v>0</v>
      </c>
      <c r="AH227" s="270">
        <f>X227-AA227</f>
        <v>0</v>
      </c>
      <c r="AI227" s="220">
        <f>X227-AD227</f>
        <v>0</v>
      </c>
      <c r="AJ227" s="269">
        <f>X227-AG227</f>
        <v>0</v>
      </c>
      <c r="AK227" s="101"/>
      <c r="AL227" s="204">
        <v>0</v>
      </c>
      <c r="AM227" s="210">
        <v>0</v>
      </c>
    </row>
    <row r="228" spans="19:39" ht="24.75" customHeight="1">
      <c r="S228" s="266">
        <f>+IF(ABRIL!S228=0,"",ABRIL!S228)</f>
        <v>7002200</v>
      </c>
      <c r="T228" s="267" t="str">
        <f>+IF(ABRIL!T228=0,"",ABRIL!T228)</f>
        <v>Intereses Comisiones y gastos de la Deuda Pública</v>
      </c>
      <c r="U228" s="373">
        <f>+ENERO!U229</f>
        <v>0</v>
      </c>
      <c r="V228" s="220">
        <f>ABRIL!V228+MAYO!AL228</f>
        <v>0</v>
      </c>
      <c r="W228" s="220">
        <f>ABRIL!W228+MAYO!AM228</f>
        <v>0</v>
      </c>
      <c r="X228" s="271">
        <f>SUM(U228:W228)</f>
        <v>0</v>
      </c>
      <c r="Y228" s="270">
        <f>ABRIL!AA228</f>
        <v>0</v>
      </c>
      <c r="Z228" s="208">
        <v>0</v>
      </c>
      <c r="AA228" s="271">
        <f>SUM(Y228:Z228)</f>
        <v>0</v>
      </c>
      <c r="AB228" s="270">
        <f>ABRIL!AD228</f>
        <v>0</v>
      </c>
      <c r="AC228" s="208">
        <v>0</v>
      </c>
      <c r="AD228" s="271">
        <f>SUM(AB228:AC228)</f>
        <v>0</v>
      </c>
      <c r="AE228" s="270">
        <f>ABRIL!AG228</f>
        <v>0</v>
      </c>
      <c r="AF228" s="208">
        <v>0</v>
      </c>
      <c r="AG228" s="271">
        <f>SUM(AE228:AF228)</f>
        <v>0</v>
      </c>
      <c r="AH228" s="270">
        <f>X228-AA228</f>
        <v>0</v>
      </c>
      <c r="AI228" s="220">
        <f>X228-AD228</f>
        <v>0</v>
      </c>
      <c r="AJ228" s="269">
        <f>X228-AG228</f>
        <v>0</v>
      </c>
      <c r="AK228" s="101"/>
      <c r="AL228" s="204">
        <v>0</v>
      </c>
      <c r="AM228" s="210">
        <v>0</v>
      </c>
    </row>
    <row r="229" spans="19:39" ht="24.75" customHeight="1" thickBot="1">
      <c r="S229" s="466">
        <f>+IF(ABRIL!S229=0,"",ABRIL!S229)</f>
        <v>7002999</v>
      </c>
      <c r="T229" s="467" t="str">
        <f>+IF(ABRIL!T229=0,"",ABRIL!T229)</f>
        <v>Vigencias Anteriores</v>
      </c>
      <c r="U229" s="547">
        <f>+ENERO!U230</f>
        <v>0</v>
      </c>
      <c r="V229" s="468">
        <f>ABRIL!V229+MAYO!AL229</f>
        <v>0</v>
      </c>
      <c r="W229" s="468">
        <f>ABRIL!W229+MAYO!AM229</f>
        <v>0</v>
      </c>
      <c r="X229" s="471">
        <f>SUM(U229:W229)</f>
        <v>0</v>
      </c>
      <c r="Y229" s="470">
        <f>ABRIL!AA229</f>
        <v>0</v>
      </c>
      <c r="Z229" s="246">
        <v>0</v>
      </c>
      <c r="AA229" s="471">
        <f>SUM(Y229:Z229)</f>
        <v>0</v>
      </c>
      <c r="AB229" s="470">
        <f>ABRIL!AD229</f>
        <v>0</v>
      </c>
      <c r="AC229" s="246">
        <v>0</v>
      </c>
      <c r="AD229" s="471">
        <f>SUM(AB229:AC229)</f>
        <v>0</v>
      </c>
      <c r="AE229" s="470">
        <f>ABRIL!AG229</f>
        <v>0</v>
      </c>
      <c r="AF229" s="246">
        <v>0</v>
      </c>
      <c r="AG229" s="471">
        <f>SUM(AE229:AF229)</f>
        <v>0</v>
      </c>
      <c r="AH229" s="470">
        <f>X229-AA229</f>
        <v>0</v>
      </c>
      <c r="AI229" s="468">
        <f>X229-AD229</f>
        <v>0</v>
      </c>
      <c r="AJ229" s="469">
        <f>X229-AG229</f>
        <v>0</v>
      </c>
      <c r="AK229" s="101"/>
      <c r="AL229" s="489">
        <v>0</v>
      </c>
      <c r="AM229" s="490">
        <v>0</v>
      </c>
    </row>
    <row r="230" spans="19:39" ht="24.75" customHeight="1">
      <c r="S230" s="455" t="str">
        <f>+IF(ABRIL!S230=0,"",ABRIL!S230)</f>
        <v/>
      </c>
      <c r="T230" s="456" t="str">
        <f>+IF(ABRIL!T230=0,"",ABRIL!T230)</f>
        <v/>
      </c>
      <c r="U230" s="457"/>
      <c r="V230" s="457"/>
      <c r="W230" s="457"/>
      <c r="X230" s="457"/>
      <c r="Y230" s="457"/>
      <c r="Z230" s="457"/>
      <c r="AA230" s="457"/>
      <c r="AB230" s="457"/>
      <c r="AC230" s="457"/>
      <c r="AD230" s="457"/>
      <c r="AE230" s="457"/>
      <c r="AF230" s="457"/>
      <c r="AG230" s="457"/>
      <c r="AH230" s="457"/>
      <c r="AI230" s="457"/>
      <c r="AJ230" s="458"/>
      <c r="AK230" s="101"/>
      <c r="AL230" s="491"/>
      <c r="AM230" s="492"/>
    </row>
    <row r="231" spans="19:39" ht="24.75" customHeight="1">
      <c r="S231" s="493" t="str">
        <f>+IF(ABRIL!S231=0,"",ABRIL!S231)</f>
        <v>D</v>
      </c>
      <c r="T231" s="494" t="str">
        <f>+IF(ABRIL!T231=0,"",ABRIL!T231)</f>
        <v>INVERSION</v>
      </c>
      <c r="U231" s="405">
        <f t="shared" ref="U231:AJ231" si="189">U233+U242</f>
        <v>0</v>
      </c>
      <c r="V231" s="406">
        <f t="shared" si="189"/>
        <v>0</v>
      </c>
      <c r="W231" s="406">
        <f t="shared" si="189"/>
        <v>22025502895</v>
      </c>
      <c r="X231" s="407">
        <f t="shared" si="189"/>
        <v>22025502895</v>
      </c>
      <c r="Y231" s="217">
        <f t="shared" si="189"/>
        <v>10901218765</v>
      </c>
      <c r="Z231" s="406">
        <f t="shared" si="189"/>
        <v>3337649108</v>
      </c>
      <c r="AA231" s="407">
        <f t="shared" si="189"/>
        <v>14238867873</v>
      </c>
      <c r="AB231" s="217">
        <f t="shared" si="189"/>
        <v>5574560979</v>
      </c>
      <c r="AC231" s="406">
        <f t="shared" si="189"/>
        <v>1806672679</v>
      </c>
      <c r="AD231" s="407">
        <f t="shared" si="189"/>
        <v>7381233658</v>
      </c>
      <c r="AE231" s="217">
        <f t="shared" si="189"/>
        <v>2907469205</v>
      </c>
      <c r="AF231" s="406">
        <f t="shared" si="189"/>
        <v>1754773957</v>
      </c>
      <c r="AG231" s="407">
        <f t="shared" si="189"/>
        <v>4662243162</v>
      </c>
      <c r="AH231" s="217">
        <f t="shared" si="189"/>
        <v>7786635022</v>
      </c>
      <c r="AI231" s="406">
        <f t="shared" si="189"/>
        <v>14644269237</v>
      </c>
      <c r="AJ231" s="218">
        <f t="shared" si="189"/>
        <v>17363259733</v>
      </c>
      <c r="AK231" s="487"/>
      <c r="AL231" s="217">
        <f>AL233+AL242</f>
        <v>0</v>
      </c>
      <c r="AM231" s="218">
        <f>AM233+AM242</f>
        <v>7054239958</v>
      </c>
    </row>
    <row r="232" spans="19:39" ht="24.75" customHeight="1">
      <c r="S232" s="189" t="str">
        <f>+IF(ABRIL!S232=0,"",ABRIL!S232)</f>
        <v/>
      </c>
      <c r="T232" s="488" t="str">
        <f>+IF(ABRIL!T232=0,"",ABRIL!T232)</f>
        <v/>
      </c>
      <c r="U232" s="191"/>
      <c r="V232" s="191"/>
      <c r="W232" s="191"/>
      <c r="X232" s="191"/>
      <c r="Y232" s="191"/>
      <c r="Z232" s="191"/>
      <c r="AA232" s="191"/>
      <c r="AB232" s="191"/>
      <c r="AC232" s="191"/>
      <c r="AD232" s="191"/>
      <c r="AE232" s="191"/>
      <c r="AF232" s="191"/>
      <c r="AG232" s="191"/>
      <c r="AH232" s="191"/>
      <c r="AI232" s="191"/>
      <c r="AJ232" s="192"/>
      <c r="AK232" s="101"/>
      <c r="AL232" s="370"/>
      <c r="AM232" s="371"/>
    </row>
    <row r="233" spans="19:39" ht="24.75" customHeight="1">
      <c r="S233" s="257">
        <f>+IF(ABRIL!S233=0,"",ABRIL!S233)</f>
        <v>8000000</v>
      </c>
      <c r="T233" s="258" t="s">
        <v>313</v>
      </c>
      <c r="U233" s="230">
        <f t="shared" ref="U233:AJ233" si="190">U234</f>
        <v>0</v>
      </c>
      <c r="V233" s="231">
        <f t="shared" si="190"/>
        <v>0</v>
      </c>
      <c r="W233" s="231">
        <f t="shared" si="190"/>
        <v>22025502895</v>
      </c>
      <c r="X233" s="234">
        <f t="shared" si="190"/>
        <v>22025502895</v>
      </c>
      <c r="Y233" s="233">
        <f t="shared" si="190"/>
        <v>10901218765</v>
      </c>
      <c r="Z233" s="231">
        <f t="shared" si="190"/>
        <v>3337649108</v>
      </c>
      <c r="AA233" s="234">
        <f t="shared" si="190"/>
        <v>14238867873</v>
      </c>
      <c r="AB233" s="233">
        <f t="shared" si="190"/>
        <v>5574560979</v>
      </c>
      <c r="AC233" s="231">
        <f t="shared" si="190"/>
        <v>1806672679</v>
      </c>
      <c r="AD233" s="234">
        <f t="shared" si="190"/>
        <v>7381233658</v>
      </c>
      <c r="AE233" s="233">
        <f t="shared" si="190"/>
        <v>2907469205</v>
      </c>
      <c r="AF233" s="231">
        <f t="shared" si="190"/>
        <v>1754773957</v>
      </c>
      <c r="AG233" s="234">
        <f t="shared" si="190"/>
        <v>4662243162</v>
      </c>
      <c r="AH233" s="233">
        <f t="shared" si="190"/>
        <v>7786635022</v>
      </c>
      <c r="AI233" s="231">
        <f t="shared" si="190"/>
        <v>14644269237</v>
      </c>
      <c r="AJ233" s="232">
        <f t="shared" si="190"/>
        <v>17363259733</v>
      </c>
      <c r="AK233" s="101"/>
      <c r="AL233" s="233">
        <f>AL234</f>
        <v>0</v>
      </c>
      <c r="AM233" s="232">
        <f>AM234</f>
        <v>7054239958</v>
      </c>
    </row>
    <row r="234" spans="19:39" ht="24.75" customHeight="1">
      <c r="S234" s="266">
        <f>+IF(ABRIL!S234=0,"",ABRIL!S234)</f>
        <v>8001000</v>
      </c>
      <c r="T234" s="267" t="str">
        <f>+IF(FEBRERO!T235=0,"",FEBRERO!T235)</f>
        <v>Formación Bruta del Capital</v>
      </c>
      <c r="U234" s="373">
        <f t="shared" ref="U234:AJ234" si="191">SUM(U235:U240)</f>
        <v>0</v>
      </c>
      <c r="V234" s="220">
        <f t="shared" si="191"/>
        <v>0</v>
      </c>
      <c r="W234" s="220">
        <f t="shared" si="191"/>
        <v>22025502895</v>
      </c>
      <c r="X234" s="271">
        <f t="shared" si="191"/>
        <v>22025502895</v>
      </c>
      <c r="Y234" s="270">
        <f t="shared" si="191"/>
        <v>10901218765</v>
      </c>
      <c r="Z234" s="300">
        <f t="shared" si="191"/>
        <v>3337649108</v>
      </c>
      <c r="AA234" s="271">
        <f t="shared" si="191"/>
        <v>14238867873</v>
      </c>
      <c r="AB234" s="270">
        <f t="shared" si="191"/>
        <v>5574560979</v>
      </c>
      <c r="AC234" s="300">
        <f t="shared" si="191"/>
        <v>1806672679</v>
      </c>
      <c r="AD234" s="271">
        <f t="shared" si="191"/>
        <v>7381233658</v>
      </c>
      <c r="AE234" s="270">
        <f t="shared" si="191"/>
        <v>2907469205</v>
      </c>
      <c r="AF234" s="300">
        <f t="shared" si="191"/>
        <v>1754773957</v>
      </c>
      <c r="AG234" s="271">
        <f t="shared" si="191"/>
        <v>4662243162</v>
      </c>
      <c r="AH234" s="270">
        <f t="shared" si="191"/>
        <v>7786635022</v>
      </c>
      <c r="AI234" s="220">
        <f t="shared" si="191"/>
        <v>14644269237</v>
      </c>
      <c r="AJ234" s="269">
        <f t="shared" si="191"/>
        <v>17363259733</v>
      </c>
      <c r="AK234" s="101"/>
      <c r="AL234" s="301">
        <f>SUM(AL235:AL240)</f>
        <v>0</v>
      </c>
      <c r="AM234" s="302">
        <f>SUM(AM235:AM240)</f>
        <v>7054239958</v>
      </c>
    </row>
    <row r="235" spans="19:39" ht="24.75" customHeight="1">
      <c r="S235" s="311" t="str">
        <f>+IF(ABRIL!S235=0,"",ABRIL!S235)</f>
        <v>2.3.2.01.01</v>
      </c>
      <c r="T235" s="312" t="s">
        <v>698</v>
      </c>
      <c r="U235" s="373">
        <f>+ENERO!U236</f>
        <v>0</v>
      </c>
      <c r="V235" s="220">
        <f>ABRIL!V235+MAYO!AL235</f>
        <v>0</v>
      </c>
      <c r="W235" s="220">
        <f>ABRIL!W235+MAYO!AM235</f>
        <v>0</v>
      </c>
      <c r="X235" s="271">
        <f t="shared" ref="X235:X240" si="192">SUM(U235:W235)</f>
        <v>0</v>
      </c>
      <c r="Y235" s="270">
        <f>ABRIL!AA235</f>
        <v>0</v>
      </c>
      <c r="Z235" s="208">
        <v>0</v>
      </c>
      <c r="AA235" s="271">
        <f t="shared" ref="AA235:AA240" si="193">SUM(Y235:Z235)</f>
        <v>0</v>
      </c>
      <c r="AB235" s="270">
        <f>ABRIL!AD235</f>
        <v>0</v>
      </c>
      <c r="AC235" s="208">
        <v>0</v>
      </c>
      <c r="AD235" s="271">
        <f t="shared" ref="AD235:AD240" si="194">SUM(AB235:AC235)</f>
        <v>0</v>
      </c>
      <c r="AE235" s="270">
        <f>ABRIL!AG235</f>
        <v>0</v>
      </c>
      <c r="AF235" s="208">
        <v>0</v>
      </c>
      <c r="AG235" s="271">
        <f t="shared" ref="AG235:AG240" si="195">SUM(AE235:AF235)</f>
        <v>0</v>
      </c>
      <c r="AH235" s="270">
        <f t="shared" ref="AH235:AH240" si="196">X235-AA235</f>
        <v>0</v>
      </c>
      <c r="AI235" s="220">
        <f t="shared" ref="AI235:AI240" si="197">X235-AD235</f>
        <v>0</v>
      </c>
      <c r="AJ235" s="269">
        <f t="shared" ref="AJ235:AJ240" si="198">X235-AG235</f>
        <v>0</v>
      </c>
      <c r="AK235" s="101"/>
      <c r="AL235" s="204">
        <v>0</v>
      </c>
      <c r="AM235" s="210">
        <v>0</v>
      </c>
    </row>
    <row r="236" spans="19:39" ht="24.75" customHeight="1">
      <c r="S236" s="311" t="str">
        <f>+IF(ABRIL!S236=0,"",ABRIL!S236)</f>
        <v>2.3.2.02.02.005</v>
      </c>
      <c r="T236" s="312" t="s">
        <v>354</v>
      </c>
      <c r="U236" s="373">
        <f>+ENERO!U237</f>
        <v>0</v>
      </c>
      <c r="V236" s="220">
        <f>ABRIL!V236+MAYO!AL236</f>
        <v>0</v>
      </c>
      <c r="W236" s="220">
        <f>ABRIL!W236+MAYO!AM236</f>
        <v>0</v>
      </c>
      <c r="X236" s="271">
        <f t="shared" si="192"/>
        <v>0</v>
      </c>
      <c r="Y236" s="270">
        <f>ABRIL!AA236</f>
        <v>0</v>
      </c>
      <c r="Z236" s="208">
        <v>0</v>
      </c>
      <c r="AA236" s="271">
        <f t="shared" si="193"/>
        <v>0</v>
      </c>
      <c r="AB236" s="270">
        <f>ABRIL!AD236</f>
        <v>0</v>
      </c>
      <c r="AC236" s="208">
        <v>0</v>
      </c>
      <c r="AD236" s="271">
        <f t="shared" si="194"/>
        <v>0</v>
      </c>
      <c r="AE236" s="270">
        <f>ABRIL!AG236</f>
        <v>0</v>
      </c>
      <c r="AF236" s="208">
        <v>0</v>
      </c>
      <c r="AG236" s="271">
        <f t="shared" si="195"/>
        <v>0</v>
      </c>
      <c r="AH236" s="270">
        <f t="shared" si="196"/>
        <v>0</v>
      </c>
      <c r="AI236" s="220">
        <f t="shared" si="197"/>
        <v>0</v>
      </c>
      <c r="AJ236" s="269">
        <f t="shared" si="198"/>
        <v>0</v>
      </c>
      <c r="AK236" s="101"/>
      <c r="AL236" s="204">
        <v>0</v>
      </c>
      <c r="AM236" s="210">
        <v>0</v>
      </c>
    </row>
    <row r="237" spans="19:39" ht="24.75" customHeight="1">
      <c r="S237" s="311" t="str">
        <f>+IF(ABRIL!S237=0,"",ABRIL!S237)</f>
        <v>2.3.2.02.02.009</v>
      </c>
      <c r="T237" s="312" t="s">
        <v>684</v>
      </c>
      <c r="U237" s="373">
        <f>+ENERO!U238</f>
        <v>0</v>
      </c>
      <c r="V237" s="220">
        <f>ABRIL!V237+MAYO!AL237</f>
        <v>0</v>
      </c>
      <c r="W237" s="220">
        <f>ABRIL!W237+MAYO!AM237</f>
        <v>21574720366</v>
      </c>
      <c r="X237" s="271">
        <f t="shared" si="192"/>
        <v>21574720366</v>
      </c>
      <c r="Y237" s="270">
        <f>ABRIL!AA237</f>
        <v>10901218765</v>
      </c>
      <c r="Z237" s="208">
        <v>3337649108</v>
      </c>
      <c r="AA237" s="271">
        <f t="shared" si="193"/>
        <v>14238867873</v>
      </c>
      <c r="AB237" s="270">
        <f>ABRIL!AD237</f>
        <v>5574560979</v>
      </c>
      <c r="AC237" s="208">
        <v>1806672679</v>
      </c>
      <c r="AD237" s="271">
        <f t="shared" si="194"/>
        <v>7381233658</v>
      </c>
      <c r="AE237" s="270">
        <f>ABRIL!AG237</f>
        <v>2907469205</v>
      </c>
      <c r="AF237" s="208">
        <v>1754773957</v>
      </c>
      <c r="AG237" s="271">
        <f t="shared" si="195"/>
        <v>4662243162</v>
      </c>
      <c r="AH237" s="270">
        <f t="shared" si="196"/>
        <v>7335852493</v>
      </c>
      <c r="AI237" s="220">
        <f t="shared" si="197"/>
        <v>14193486708</v>
      </c>
      <c r="AJ237" s="269">
        <f t="shared" si="198"/>
        <v>16912477204</v>
      </c>
      <c r="AK237" s="101"/>
      <c r="AL237" s="204">
        <v>0</v>
      </c>
      <c r="AM237" s="210">
        <v>7054239958</v>
      </c>
    </row>
    <row r="238" spans="19:39" ht="24.75" customHeight="1">
      <c r="S238" s="311" t="str">
        <f>+IF(ABRIL!S238=0,"",ABRIL!S238)</f>
        <v>8001000-4</v>
      </c>
      <c r="T238" s="312" t="s">
        <v>316</v>
      </c>
      <c r="U238" s="373">
        <f>+ENERO!U239</f>
        <v>0</v>
      </c>
      <c r="V238" s="220">
        <f>ABRIL!V238+MAYO!AL238</f>
        <v>0</v>
      </c>
      <c r="W238" s="220">
        <f>ABRIL!W238+MAYO!AM238</f>
        <v>0</v>
      </c>
      <c r="X238" s="271">
        <f t="shared" si="192"/>
        <v>0</v>
      </c>
      <c r="Y238" s="270">
        <f>ABRIL!AA238</f>
        <v>0</v>
      </c>
      <c r="Z238" s="208"/>
      <c r="AA238" s="271">
        <f t="shared" si="193"/>
        <v>0</v>
      </c>
      <c r="AB238" s="270">
        <f>ABRIL!AD238</f>
        <v>0</v>
      </c>
      <c r="AC238" s="208">
        <v>0</v>
      </c>
      <c r="AD238" s="271">
        <f t="shared" si="194"/>
        <v>0</v>
      </c>
      <c r="AE238" s="270">
        <f>ABRIL!AG238</f>
        <v>0</v>
      </c>
      <c r="AF238" s="208">
        <v>0</v>
      </c>
      <c r="AG238" s="271">
        <f t="shared" si="195"/>
        <v>0</v>
      </c>
      <c r="AH238" s="270">
        <f t="shared" si="196"/>
        <v>0</v>
      </c>
      <c r="AI238" s="220">
        <f t="shared" si="197"/>
        <v>0</v>
      </c>
      <c r="AJ238" s="269">
        <f t="shared" si="198"/>
        <v>0</v>
      </c>
      <c r="AK238" s="101"/>
      <c r="AL238" s="204">
        <v>0</v>
      </c>
      <c r="AM238" s="210">
        <v>0</v>
      </c>
    </row>
    <row r="239" spans="19:39" ht="24.75" customHeight="1">
      <c r="S239" s="311" t="str">
        <f>+IF(ABRIL!S239=0,"",ABRIL!S239)</f>
        <v>8001000-5</v>
      </c>
      <c r="T239" s="312" t="s">
        <v>318</v>
      </c>
      <c r="U239" s="373">
        <f>+ENERO!U240</f>
        <v>0</v>
      </c>
      <c r="V239" s="220">
        <f>ABRIL!V239+MAYO!AL239</f>
        <v>0</v>
      </c>
      <c r="W239" s="220">
        <f>ABRIL!W239+MAYO!AM239</f>
        <v>0</v>
      </c>
      <c r="X239" s="271">
        <f t="shared" si="192"/>
        <v>0</v>
      </c>
      <c r="Y239" s="270">
        <f>ABRIL!AA239</f>
        <v>0</v>
      </c>
      <c r="Z239" s="208"/>
      <c r="AA239" s="271">
        <f t="shared" si="193"/>
        <v>0</v>
      </c>
      <c r="AB239" s="270">
        <f>ABRIL!AD239</f>
        <v>0</v>
      </c>
      <c r="AC239" s="208">
        <v>0</v>
      </c>
      <c r="AD239" s="271">
        <f t="shared" si="194"/>
        <v>0</v>
      </c>
      <c r="AE239" s="270">
        <f>ABRIL!AG239</f>
        <v>0</v>
      </c>
      <c r="AF239" s="208">
        <v>0</v>
      </c>
      <c r="AG239" s="271">
        <f t="shared" si="195"/>
        <v>0</v>
      </c>
      <c r="AH239" s="270">
        <f t="shared" si="196"/>
        <v>0</v>
      </c>
      <c r="AI239" s="220">
        <f t="shared" si="197"/>
        <v>0</v>
      </c>
      <c r="AJ239" s="269">
        <f t="shared" si="198"/>
        <v>0</v>
      </c>
      <c r="AK239" s="101"/>
      <c r="AL239" s="204">
        <v>0</v>
      </c>
      <c r="AM239" s="210">
        <v>0</v>
      </c>
    </row>
    <row r="240" spans="19:39" ht="24.75" customHeight="1">
      <c r="S240" s="496" t="str">
        <f>+IF(ABRIL!S240=0,"",ABRIL!S240)</f>
        <v>2.3.2.02.02.009.99</v>
      </c>
      <c r="T240" s="312" t="s">
        <v>685</v>
      </c>
      <c r="U240" s="373">
        <f>+ENERO!U241</f>
        <v>0</v>
      </c>
      <c r="V240" s="220">
        <f>ABRIL!V240+MAYO!AL240</f>
        <v>0</v>
      </c>
      <c r="W240" s="220">
        <f>ABRIL!W240+MAYO!AM240</f>
        <v>450782529</v>
      </c>
      <c r="X240" s="271">
        <f t="shared" si="192"/>
        <v>450782529</v>
      </c>
      <c r="Y240" s="270">
        <f>ABRIL!AA240</f>
        <v>0</v>
      </c>
      <c r="Z240" s="208"/>
      <c r="AA240" s="271">
        <f t="shared" si="193"/>
        <v>0</v>
      </c>
      <c r="AB240" s="270">
        <f>ABRIL!AD240</f>
        <v>0</v>
      </c>
      <c r="AC240" s="208">
        <v>0</v>
      </c>
      <c r="AD240" s="271">
        <f t="shared" si="194"/>
        <v>0</v>
      </c>
      <c r="AE240" s="270">
        <f>ABRIL!AG240</f>
        <v>0</v>
      </c>
      <c r="AF240" s="208">
        <v>0</v>
      </c>
      <c r="AG240" s="271">
        <f t="shared" si="195"/>
        <v>0</v>
      </c>
      <c r="AH240" s="270">
        <f t="shared" si="196"/>
        <v>450782529</v>
      </c>
      <c r="AI240" s="220">
        <f t="shared" si="197"/>
        <v>450782529</v>
      </c>
      <c r="AJ240" s="269">
        <f t="shared" si="198"/>
        <v>450782529</v>
      </c>
      <c r="AK240" s="101"/>
      <c r="AL240" s="204">
        <v>0</v>
      </c>
      <c r="AM240" s="210">
        <v>0</v>
      </c>
    </row>
    <row r="241" spans="19:39" ht="24.75" customHeight="1">
      <c r="S241" s="189" t="str">
        <f>+IF(ABRIL!S241=0,"",ABRIL!S241)</f>
        <v/>
      </c>
      <c r="T241" s="488"/>
      <c r="U241" s="191"/>
      <c r="V241" s="191"/>
      <c r="W241" s="191"/>
      <c r="X241" s="191"/>
      <c r="Y241" s="191"/>
      <c r="Z241" s="191"/>
      <c r="AA241" s="191"/>
      <c r="AB241" s="191"/>
      <c r="AC241" s="191"/>
      <c r="AD241" s="191"/>
      <c r="AE241" s="191"/>
      <c r="AF241" s="191"/>
      <c r="AG241" s="191"/>
      <c r="AH241" s="191"/>
      <c r="AI241" s="191"/>
      <c r="AJ241" s="192"/>
      <c r="AK241" s="101"/>
      <c r="AL241" s="370"/>
      <c r="AM241" s="371"/>
    </row>
    <row r="242" spans="19:39" ht="24.75" customHeight="1">
      <c r="S242" s="257">
        <f>+IF(ABRIL!S242=0,"",ABRIL!S242)</f>
        <v>8002001</v>
      </c>
      <c r="T242" s="498" t="s">
        <v>319</v>
      </c>
      <c r="U242" s="230">
        <f t="shared" ref="U242:AJ242" si="199">SUM(U243:U255)</f>
        <v>0</v>
      </c>
      <c r="V242" s="231">
        <f t="shared" si="199"/>
        <v>0</v>
      </c>
      <c r="W242" s="231">
        <f t="shared" si="199"/>
        <v>0</v>
      </c>
      <c r="X242" s="234">
        <f t="shared" si="199"/>
        <v>0</v>
      </c>
      <c r="Y242" s="233">
        <f t="shared" si="199"/>
        <v>0</v>
      </c>
      <c r="Z242" s="231">
        <f t="shared" si="199"/>
        <v>0</v>
      </c>
      <c r="AA242" s="234">
        <f t="shared" si="199"/>
        <v>0</v>
      </c>
      <c r="AB242" s="233">
        <f t="shared" si="199"/>
        <v>0</v>
      </c>
      <c r="AC242" s="231">
        <f t="shared" si="199"/>
        <v>0</v>
      </c>
      <c r="AD242" s="234">
        <f t="shared" si="199"/>
        <v>0</v>
      </c>
      <c r="AE242" s="233">
        <f t="shared" si="199"/>
        <v>0</v>
      </c>
      <c r="AF242" s="231">
        <f t="shared" si="199"/>
        <v>0</v>
      </c>
      <c r="AG242" s="234">
        <f t="shared" si="199"/>
        <v>0</v>
      </c>
      <c r="AH242" s="233">
        <f t="shared" si="199"/>
        <v>0</v>
      </c>
      <c r="AI242" s="231">
        <f t="shared" si="199"/>
        <v>0</v>
      </c>
      <c r="AJ242" s="232">
        <f t="shared" si="199"/>
        <v>0</v>
      </c>
      <c r="AK242" s="101"/>
      <c r="AL242" s="233">
        <f>SUM(AL243:AL255)</f>
        <v>0</v>
      </c>
      <c r="AM242" s="232">
        <f>SUM(AM243:AM255)</f>
        <v>0</v>
      </c>
    </row>
    <row r="243" spans="19:39" ht="24.75" customHeight="1">
      <c r="S243" s="311" t="str">
        <f>+IF(ABRIL!S243=0,"",ABRIL!S243)</f>
        <v>8002100-1</v>
      </c>
      <c r="T243" s="312" t="s">
        <v>265</v>
      </c>
      <c r="U243" s="373">
        <f>+ENERO!U244</f>
        <v>0</v>
      </c>
      <c r="V243" s="220">
        <f>ABRIL!V243+MAYO!AL243</f>
        <v>0</v>
      </c>
      <c r="W243" s="220">
        <f>ABRIL!W243+MAYO!AM243</f>
        <v>0</v>
      </c>
      <c r="X243" s="271">
        <f t="shared" ref="X243:X255" si="200">SUM(U243:W243)</f>
        <v>0</v>
      </c>
      <c r="Y243" s="270">
        <f>ABRIL!AA243</f>
        <v>0</v>
      </c>
      <c r="Z243" s="208">
        <v>0</v>
      </c>
      <c r="AA243" s="271">
        <f t="shared" ref="AA243:AA255" si="201">SUM(Y243:Z243)</f>
        <v>0</v>
      </c>
      <c r="AB243" s="270">
        <f>ABRIL!AD243</f>
        <v>0</v>
      </c>
      <c r="AC243" s="208">
        <v>0</v>
      </c>
      <c r="AD243" s="271">
        <f t="shared" ref="AD243:AD255" si="202">SUM(AB243:AC243)</f>
        <v>0</v>
      </c>
      <c r="AE243" s="270">
        <f>ABRIL!AG243</f>
        <v>0</v>
      </c>
      <c r="AF243" s="208">
        <v>0</v>
      </c>
      <c r="AG243" s="271">
        <f t="shared" ref="AG243:AG255" si="203">SUM(AE243:AF243)</f>
        <v>0</v>
      </c>
      <c r="AH243" s="270">
        <f t="shared" ref="AH243:AH255" si="204">X243-AA243</f>
        <v>0</v>
      </c>
      <c r="AI243" s="220">
        <f t="shared" ref="AI243:AI255" si="205">X243-AD243</f>
        <v>0</v>
      </c>
      <c r="AJ243" s="269">
        <f t="shared" ref="AJ243:AJ255" si="206">X243-AG243</f>
        <v>0</v>
      </c>
      <c r="AK243" s="101"/>
      <c r="AL243" s="204">
        <v>0</v>
      </c>
      <c r="AM243" s="210">
        <v>0</v>
      </c>
    </row>
    <row r="244" spans="19:39" ht="24.75" customHeight="1">
      <c r="S244" s="311" t="str">
        <f>+IF(ABRIL!S244=0,"",ABRIL!S244)</f>
        <v>8002100-2</v>
      </c>
      <c r="T244" s="548" t="s">
        <v>350</v>
      </c>
      <c r="U244" s="373">
        <f>+ENERO!U245</f>
        <v>0</v>
      </c>
      <c r="V244" s="220">
        <f>ABRIL!V244+MAYO!AL244</f>
        <v>0</v>
      </c>
      <c r="W244" s="220">
        <f>ABRIL!W244+MAYO!AM244</f>
        <v>0</v>
      </c>
      <c r="X244" s="271">
        <f t="shared" si="200"/>
        <v>0</v>
      </c>
      <c r="Y244" s="270">
        <f>ABRIL!AA244</f>
        <v>0</v>
      </c>
      <c r="Z244" s="208">
        <v>0</v>
      </c>
      <c r="AA244" s="271">
        <f t="shared" si="201"/>
        <v>0</v>
      </c>
      <c r="AB244" s="270">
        <f>ABRIL!AD244</f>
        <v>0</v>
      </c>
      <c r="AC244" s="208">
        <v>0</v>
      </c>
      <c r="AD244" s="271">
        <f t="shared" si="202"/>
        <v>0</v>
      </c>
      <c r="AE244" s="270">
        <f>ABRIL!AG244</f>
        <v>0</v>
      </c>
      <c r="AF244" s="208">
        <v>0</v>
      </c>
      <c r="AG244" s="271">
        <f t="shared" si="203"/>
        <v>0</v>
      </c>
      <c r="AH244" s="270">
        <f t="shared" si="204"/>
        <v>0</v>
      </c>
      <c r="AI244" s="220">
        <f t="shared" si="205"/>
        <v>0</v>
      </c>
      <c r="AJ244" s="269">
        <f t="shared" si="206"/>
        <v>0</v>
      </c>
      <c r="AK244" s="101"/>
      <c r="AL244" s="204">
        <v>0</v>
      </c>
      <c r="AM244" s="210">
        <v>0</v>
      </c>
    </row>
    <row r="245" spans="19:39" ht="24.75" customHeight="1">
      <c r="S245" s="311" t="str">
        <f>+IF(ABRIL!S245=0,"",ABRIL!S245)</f>
        <v>8002100-3</v>
      </c>
      <c r="T245" s="312" t="s">
        <v>492</v>
      </c>
      <c r="U245" s="373">
        <f>+ENERO!U246</f>
        <v>0</v>
      </c>
      <c r="V245" s="220">
        <f>ABRIL!V245+MAYO!AL245</f>
        <v>0</v>
      </c>
      <c r="W245" s="220">
        <f>ABRIL!W245+MAYO!AM245</f>
        <v>0</v>
      </c>
      <c r="X245" s="271">
        <f t="shared" si="200"/>
        <v>0</v>
      </c>
      <c r="Y245" s="270">
        <f>ABRIL!AA245</f>
        <v>0</v>
      </c>
      <c r="Z245" s="208">
        <v>0</v>
      </c>
      <c r="AA245" s="271">
        <f t="shared" si="201"/>
        <v>0</v>
      </c>
      <c r="AB245" s="270">
        <f>ABRIL!AD245</f>
        <v>0</v>
      </c>
      <c r="AC245" s="208">
        <v>0</v>
      </c>
      <c r="AD245" s="271">
        <f t="shared" si="202"/>
        <v>0</v>
      </c>
      <c r="AE245" s="270">
        <f>ABRIL!AG245</f>
        <v>0</v>
      </c>
      <c r="AF245" s="208">
        <v>0</v>
      </c>
      <c r="AG245" s="271">
        <f t="shared" si="203"/>
        <v>0</v>
      </c>
      <c r="AH245" s="270">
        <f t="shared" si="204"/>
        <v>0</v>
      </c>
      <c r="AI245" s="220">
        <f t="shared" si="205"/>
        <v>0</v>
      </c>
      <c r="AJ245" s="269">
        <f t="shared" si="206"/>
        <v>0</v>
      </c>
      <c r="AK245" s="101"/>
      <c r="AL245" s="204">
        <v>0</v>
      </c>
      <c r="AM245" s="210">
        <v>0</v>
      </c>
    </row>
    <row r="246" spans="19:39" ht="24.75" customHeight="1">
      <c r="S246" s="311" t="str">
        <f>+IF(ABRIL!S246=0,"",ABRIL!S246)</f>
        <v>8002100-4</v>
      </c>
      <c r="T246" s="312" t="str">
        <f>+IF(ABRIL!T246=0,"",ABRIL!T246)</f>
        <v>Programas Especial 03</v>
      </c>
      <c r="U246" s="373">
        <f>+ENERO!U247</f>
        <v>0</v>
      </c>
      <c r="V246" s="220">
        <f>ABRIL!V246+MAYO!AL246</f>
        <v>0</v>
      </c>
      <c r="W246" s="220">
        <f>ABRIL!W246+MAYO!AM246</f>
        <v>0</v>
      </c>
      <c r="X246" s="271">
        <f t="shared" si="200"/>
        <v>0</v>
      </c>
      <c r="Y246" s="270">
        <f>ABRIL!AA246</f>
        <v>0</v>
      </c>
      <c r="Z246" s="208">
        <v>0</v>
      </c>
      <c r="AA246" s="271">
        <f t="shared" si="201"/>
        <v>0</v>
      </c>
      <c r="AB246" s="270">
        <f>ABRIL!AD246</f>
        <v>0</v>
      </c>
      <c r="AC246" s="208">
        <v>0</v>
      </c>
      <c r="AD246" s="271">
        <f t="shared" si="202"/>
        <v>0</v>
      </c>
      <c r="AE246" s="270">
        <f>ABRIL!AG246</f>
        <v>0</v>
      </c>
      <c r="AF246" s="208">
        <v>0</v>
      </c>
      <c r="AG246" s="271">
        <f t="shared" si="203"/>
        <v>0</v>
      </c>
      <c r="AH246" s="270">
        <f t="shared" si="204"/>
        <v>0</v>
      </c>
      <c r="AI246" s="220">
        <f t="shared" si="205"/>
        <v>0</v>
      </c>
      <c r="AJ246" s="269">
        <f t="shared" si="206"/>
        <v>0</v>
      </c>
      <c r="AK246" s="101"/>
      <c r="AL246" s="204">
        <v>0</v>
      </c>
      <c r="AM246" s="210">
        <v>0</v>
      </c>
    </row>
    <row r="247" spans="19:39" ht="24.75" customHeight="1">
      <c r="S247" s="311" t="str">
        <f>+IF(ABRIL!S247=0,"",ABRIL!S247)</f>
        <v>8002100-5</v>
      </c>
      <c r="T247" s="312" t="str">
        <f>+IF(ABRIL!T247=0,"",ABRIL!T247)</f>
        <v>Programas Especial 04</v>
      </c>
      <c r="U247" s="373">
        <f>+ENERO!U248</f>
        <v>0</v>
      </c>
      <c r="V247" s="220">
        <f>ABRIL!V247+MAYO!AL247</f>
        <v>0</v>
      </c>
      <c r="W247" s="220">
        <f>ABRIL!W247+MAYO!AM247</f>
        <v>0</v>
      </c>
      <c r="X247" s="271">
        <f t="shared" si="200"/>
        <v>0</v>
      </c>
      <c r="Y247" s="270">
        <f>ABRIL!AA247</f>
        <v>0</v>
      </c>
      <c r="Z247" s="208">
        <v>0</v>
      </c>
      <c r="AA247" s="271">
        <f t="shared" si="201"/>
        <v>0</v>
      </c>
      <c r="AB247" s="270">
        <f>ABRIL!AD247</f>
        <v>0</v>
      </c>
      <c r="AC247" s="208">
        <v>0</v>
      </c>
      <c r="AD247" s="271">
        <f t="shared" si="202"/>
        <v>0</v>
      </c>
      <c r="AE247" s="270">
        <f>ABRIL!AG247</f>
        <v>0</v>
      </c>
      <c r="AF247" s="208">
        <v>0</v>
      </c>
      <c r="AG247" s="271">
        <f t="shared" si="203"/>
        <v>0</v>
      </c>
      <c r="AH247" s="270">
        <f t="shared" si="204"/>
        <v>0</v>
      </c>
      <c r="AI247" s="220">
        <f t="shared" si="205"/>
        <v>0</v>
      </c>
      <c r="AJ247" s="269">
        <f t="shared" si="206"/>
        <v>0</v>
      </c>
      <c r="AK247" s="101"/>
      <c r="AL247" s="204">
        <v>0</v>
      </c>
      <c r="AM247" s="210">
        <v>0</v>
      </c>
    </row>
    <row r="248" spans="19:39" ht="24.75" customHeight="1">
      <c r="S248" s="311" t="str">
        <f>+IF(ABRIL!S248=0,"",ABRIL!S248)</f>
        <v>8002100-6</v>
      </c>
      <c r="T248" s="312" t="str">
        <f>+IF(ABRIL!T248=0,"",ABRIL!T248)</f>
        <v>Programas Especial 05</v>
      </c>
      <c r="U248" s="373">
        <f>+ENERO!U249</f>
        <v>0</v>
      </c>
      <c r="V248" s="220">
        <f>ABRIL!V248+MAYO!AL248</f>
        <v>0</v>
      </c>
      <c r="W248" s="220">
        <f>ABRIL!W248+MAYO!AM248</f>
        <v>0</v>
      </c>
      <c r="X248" s="271">
        <f t="shared" si="200"/>
        <v>0</v>
      </c>
      <c r="Y248" s="270">
        <f>ABRIL!AA248</f>
        <v>0</v>
      </c>
      <c r="Z248" s="208">
        <v>0</v>
      </c>
      <c r="AA248" s="271">
        <f t="shared" si="201"/>
        <v>0</v>
      </c>
      <c r="AB248" s="270">
        <f>ABRIL!AD248</f>
        <v>0</v>
      </c>
      <c r="AC248" s="208">
        <v>0</v>
      </c>
      <c r="AD248" s="271">
        <f t="shared" si="202"/>
        <v>0</v>
      </c>
      <c r="AE248" s="270">
        <f>ABRIL!AG248</f>
        <v>0</v>
      </c>
      <c r="AF248" s="208">
        <v>0</v>
      </c>
      <c r="AG248" s="271">
        <f t="shared" si="203"/>
        <v>0</v>
      </c>
      <c r="AH248" s="270">
        <f t="shared" si="204"/>
        <v>0</v>
      </c>
      <c r="AI248" s="220">
        <f t="shared" si="205"/>
        <v>0</v>
      </c>
      <c r="AJ248" s="269">
        <f t="shared" si="206"/>
        <v>0</v>
      </c>
      <c r="AK248" s="101"/>
      <c r="AL248" s="204">
        <v>0</v>
      </c>
      <c r="AM248" s="210">
        <v>0</v>
      </c>
    </row>
    <row r="249" spans="19:39" ht="24.75" customHeight="1">
      <c r="S249" s="311" t="str">
        <f>+IF(ABRIL!S249=0,"",ABRIL!S249)</f>
        <v>8002100-7</v>
      </c>
      <c r="T249" s="312" t="str">
        <f>+IF(ABRIL!T249=0,"",ABRIL!T249)</f>
        <v>Programas Especial 06</v>
      </c>
      <c r="U249" s="373">
        <f>+ENERO!U250</f>
        <v>0</v>
      </c>
      <c r="V249" s="220">
        <f>ABRIL!V249+MAYO!AL249</f>
        <v>0</v>
      </c>
      <c r="W249" s="220">
        <f>ABRIL!W249+MAYO!AM249</f>
        <v>0</v>
      </c>
      <c r="X249" s="271">
        <f t="shared" si="200"/>
        <v>0</v>
      </c>
      <c r="Y249" s="270">
        <f>ABRIL!AA249</f>
        <v>0</v>
      </c>
      <c r="Z249" s="208">
        <v>0</v>
      </c>
      <c r="AA249" s="271">
        <f t="shared" si="201"/>
        <v>0</v>
      </c>
      <c r="AB249" s="270">
        <f>ABRIL!AD249</f>
        <v>0</v>
      </c>
      <c r="AC249" s="208">
        <v>0</v>
      </c>
      <c r="AD249" s="271">
        <f t="shared" si="202"/>
        <v>0</v>
      </c>
      <c r="AE249" s="270">
        <f>ABRIL!AG249</f>
        <v>0</v>
      </c>
      <c r="AF249" s="208">
        <v>0</v>
      </c>
      <c r="AG249" s="271">
        <f t="shared" si="203"/>
        <v>0</v>
      </c>
      <c r="AH249" s="270">
        <f t="shared" si="204"/>
        <v>0</v>
      </c>
      <c r="AI249" s="220">
        <f t="shared" si="205"/>
        <v>0</v>
      </c>
      <c r="AJ249" s="269">
        <f t="shared" si="206"/>
        <v>0</v>
      </c>
      <c r="AK249" s="101"/>
      <c r="AL249" s="204">
        <v>0</v>
      </c>
      <c r="AM249" s="210">
        <v>0</v>
      </c>
    </row>
    <row r="250" spans="19:39" ht="24.75" customHeight="1">
      <c r="S250" s="311" t="str">
        <f>+IF(ABRIL!S250=0,"",ABRIL!S250)</f>
        <v>8002100-8</v>
      </c>
      <c r="T250" s="312" t="str">
        <f>+IF(ABRIL!T250=0,"",ABRIL!T250)</f>
        <v>Programas Especial 07</v>
      </c>
      <c r="U250" s="373">
        <f>+ENERO!U251</f>
        <v>0</v>
      </c>
      <c r="V250" s="220">
        <f>ABRIL!V250+MAYO!AL250</f>
        <v>0</v>
      </c>
      <c r="W250" s="220">
        <f>ABRIL!W250+MAYO!AM250</f>
        <v>0</v>
      </c>
      <c r="X250" s="271">
        <f t="shared" si="200"/>
        <v>0</v>
      </c>
      <c r="Y250" s="270">
        <f>ABRIL!AA250</f>
        <v>0</v>
      </c>
      <c r="Z250" s="208">
        <v>0</v>
      </c>
      <c r="AA250" s="271">
        <f t="shared" si="201"/>
        <v>0</v>
      </c>
      <c r="AB250" s="270">
        <f>ABRIL!AD250</f>
        <v>0</v>
      </c>
      <c r="AC250" s="208">
        <v>0</v>
      </c>
      <c r="AD250" s="271">
        <f t="shared" si="202"/>
        <v>0</v>
      </c>
      <c r="AE250" s="270">
        <f>ABRIL!AG250</f>
        <v>0</v>
      </c>
      <c r="AF250" s="208">
        <v>0</v>
      </c>
      <c r="AG250" s="271">
        <f t="shared" si="203"/>
        <v>0</v>
      </c>
      <c r="AH250" s="270">
        <f t="shared" si="204"/>
        <v>0</v>
      </c>
      <c r="AI250" s="220">
        <f t="shared" si="205"/>
        <v>0</v>
      </c>
      <c r="AJ250" s="269">
        <f t="shared" si="206"/>
        <v>0</v>
      </c>
      <c r="AK250" s="101"/>
      <c r="AL250" s="204">
        <v>0</v>
      </c>
      <c r="AM250" s="210">
        <v>0</v>
      </c>
    </row>
    <row r="251" spans="19:39" ht="24.75" customHeight="1">
      <c r="S251" s="311" t="str">
        <f>+IF(ABRIL!S251=0,"",ABRIL!S251)</f>
        <v>8002100-9</v>
      </c>
      <c r="T251" s="312" t="str">
        <f>+IF(ABRIL!T251=0,"",ABRIL!T251)</f>
        <v>Programas Especial 08</v>
      </c>
      <c r="U251" s="373">
        <f>+ENERO!U252</f>
        <v>0</v>
      </c>
      <c r="V251" s="220">
        <f>ABRIL!V251+MAYO!AL251</f>
        <v>0</v>
      </c>
      <c r="W251" s="220">
        <f>ABRIL!W251+MAYO!AM251</f>
        <v>0</v>
      </c>
      <c r="X251" s="271">
        <f t="shared" si="200"/>
        <v>0</v>
      </c>
      <c r="Y251" s="270">
        <f>ABRIL!AA251</f>
        <v>0</v>
      </c>
      <c r="Z251" s="208">
        <v>0</v>
      </c>
      <c r="AA251" s="271">
        <f t="shared" si="201"/>
        <v>0</v>
      </c>
      <c r="AB251" s="270">
        <f>ABRIL!AD251</f>
        <v>0</v>
      </c>
      <c r="AC251" s="208">
        <v>0</v>
      </c>
      <c r="AD251" s="271">
        <f t="shared" si="202"/>
        <v>0</v>
      </c>
      <c r="AE251" s="270">
        <f>ABRIL!AG251</f>
        <v>0</v>
      </c>
      <c r="AF251" s="208">
        <v>0</v>
      </c>
      <c r="AG251" s="271">
        <f t="shared" si="203"/>
        <v>0</v>
      </c>
      <c r="AH251" s="270">
        <f t="shared" si="204"/>
        <v>0</v>
      </c>
      <c r="AI251" s="220">
        <f t="shared" si="205"/>
        <v>0</v>
      </c>
      <c r="AJ251" s="269">
        <f t="shared" si="206"/>
        <v>0</v>
      </c>
      <c r="AK251" s="101"/>
      <c r="AL251" s="204">
        <v>0</v>
      </c>
      <c r="AM251" s="210">
        <v>0</v>
      </c>
    </row>
    <row r="252" spans="19:39" ht="24.75" customHeight="1">
      <c r="S252" s="311" t="str">
        <f>+IF(ABRIL!S252=0,"",ABRIL!S252)</f>
        <v>8002100-10</v>
      </c>
      <c r="T252" s="312" t="str">
        <f>+IF(ABRIL!T252=0,"",ABRIL!T252)</f>
        <v>Programas Especial 09</v>
      </c>
      <c r="U252" s="373">
        <f>+ENERO!U253</f>
        <v>0</v>
      </c>
      <c r="V252" s="220">
        <f>ABRIL!V252+MAYO!AL252</f>
        <v>0</v>
      </c>
      <c r="W252" s="220">
        <f>ABRIL!W252+MAYO!AM252</f>
        <v>0</v>
      </c>
      <c r="X252" s="271">
        <f t="shared" si="200"/>
        <v>0</v>
      </c>
      <c r="Y252" s="270">
        <f>ABRIL!AA252</f>
        <v>0</v>
      </c>
      <c r="Z252" s="208">
        <v>0</v>
      </c>
      <c r="AA252" s="271">
        <f t="shared" si="201"/>
        <v>0</v>
      </c>
      <c r="AB252" s="270">
        <f>ABRIL!AD252</f>
        <v>0</v>
      </c>
      <c r="AC252" s="208">
        <v>0</v>
      </c>
      <c r="AD252" s="271">
        <f t="shared" si="202"/>
        <v>0</v>
      </c>
      <c r="AE252" s="270">
        <f>ABRIL!AG252</f>
        <v>0</v>
      </c>
      <c r="AF252" s="208">
        <v>0</v>
      </c>
      <c r="AG252" s="271">
        <f t="shared" si="203"/>
        <v>0</v>
      </c>
      <c r="AH252" s="270">
        <f t="shared" si="204"/>
        <v>0</v>
      </c>
      <c r="AI252" s="220">
        <f t="shared" si="205"/>
        <v>0</v>
      </c>
      <c r="AJ252" s="269">
        <f t="shared" si="206"/>
        <v>0</v>
      </c>
      <c r="AK252" s="101"/>
      <c r="AL252" s="204">
        <v>0</v>
      </c>
      <c r="AM252" s="210">
        <v>0</v>
      </c>
    </row>
    <row r="253" spans="19:39" ht="24.75" customHeight="1">
      <c r="S253" s="311" t="str">
        <f>+IF(ABRIL!S253=0,"",ABRIL!S253)</f>
        <v>8002100-11</v>
      </c>
      <c r="T253" s="312" t="str">
        <f>+IF(ABRIL!T253=0,"",ABRIL!T253)</f>
        <v>Programas Especial 10</v>
      </c>
      <c r="U253" s="373">
        <f>+ENERO!U254</f>
        <v>0</v>
      </c>
      <c r="V253" s="220">
        <f>ABRIL!V253+MAYO!AL253</f>
        <v>0</v>
      </c>
      <c r="W253" s="220">
        <f>ABRIL!W253+MAYO!AM253</f>
        <v>0</v>
      </c>
      <c r="X253" s="271">
        <f t="shared" si="200"/>
        <v>0</v>
      </c>
      <c r="Y253" s="270">
        <f>ABRIL!AA253</f>
        <v>0</v>
      </c>
      <c r="Z253" s="208">
        <v>0</v>
      </c>
      <c r="AA253" s="271">
        <f t="shared" si="201"/>
        <v>0</v>
      </c>
      <c r="AB253" s="270">
        <f>ABRIL!AD253</f>
        <v>0</v>
      </c>
      <c r="AC253" s="208">
        <v>0</v>
      </c>
      <c r="AD253" s="271">
        <f t="shared" si="202"/>
        <v>0</v>
      </c>
      <c r="AE253" s="270">
        <f>ABRIL!AG253</f>
        <v>0</v>
      </c>
      <c r="AF253" s="208">
        <v>0</v>
      </c>
      <c r="AG253" s="271">
        <f t="shared" si="203"/>
        <v>0</v>
      </c>
      <c r="AH253" s="270">
        <f t="shared" si="204"/>
        <v>0</v>
      </c>
      <c r="AI253" s="220">
        <f t="shared" si="205"/>
        <v>0</v>
      </c>
      <c r="AJ253" s="269">
        <f t="shared" si="206"/>
        <v>0</v>
      </c>
      <c r="AK253" s="101"/>
      <c r="AL253" s="204">
        <v>0</v>
      </c>
      <c r="AM253" s="210">
        <v>0</v>
      </c>
    </row>
    <row r="254" spans="19:39" ht="24.75" customHeight="1">
      <c r="S254" s="311" t="str">
        <f>+IF(ABRIL!S254=0,"",ABRIL!S254)</f>
        <v>8002100-12</v>
      </c>
      <c r="T254" s="312" t="str">
        <f>+IF(ABRIL!T254=0,"",ABRIL!T254)</f>
        <v>Programas Especial 11</v>
      </c>
      <c r="U254" s="373">
        <f>+ENERO!U255</f>
        <v>0</v>
      </c>
      <c r="V254" s="220">
        <f>ABRIL!V254+MAYO!AL254</f>
        <v>0</v>
      </c>
      <c r="W254" s="220">
        <f>ABRIL!W254+MAYO!AM254</f>
        <v>0</v>
      </c>
      <c r="X254" s="271">
        <f t="shared" si="200"/>
        <v>0</v>
      </c>
      <c r="Y254" s="270">
        <f>ABRIL!AA254</f>
        <v>0</v>
      </c>
      <c r="Z254" s="208">
        <v>0</v>
      </c>
      <c r="AA254" s="271">
        <f t="shared" si="201"/>
        <v>0</v>
      </c>
      <c r="AB254" s="270">
        <f>ABRIL!AD254</f>
        <v>0</v>
      </c>
      <c r="AC254" s="208">
        <v>0</v>
      </c>
      <c r="AD254" s="271">
        <f t="shared" si="202"/>
        <v>0</v>
      </c>
      <c r="AE254" s="270">
        <f>ABRIL!AG254</f>
        <v>0</v>
      </c>
      <c r="AF254" s="208">
        <v>0</v>
      </c>
      <c r="AG254" s="271">
        <f t="shared" si="203"/>
        <v>0</v>
      </c>
      <c r="AH254" s="270">
        <f t="shared" si="204"/>
        <v>0</v>
      </c>
      <c r="AI254" s="220">
        <f t="shared" si="205"/>
        <v>0</v>
      </c>
      <c r="AJ254" s="269">
        <f t="shared" si="206"/>
        <v>0</v>
      </c>
      <c r="AK254" s="101"/>
      <c r="AL254" s="204">
        <v>0</v>
      </c>
      <c r="AM254" s="210">
        <v>0</v>
      </c>
    </row>
    <row r="255" spans="19:39" ht="24.75" customHeight="1" thickBot="1">
      <c r="S255" s="499" t="str">
        <f>+IF(ABRIL!S255=0,"",ABRIL!S255)</f>
        <v>2.3.2.01.01.99</v>
      </c>
      <c r="T255" s="500" t="str">
        <f>+IF(ABRIL!T255=0,"",ABRIL!T255)</f>
        <v>Vigencias Anteriores Activos Fijos</v>
      </c>
      <c r="U255" s="547">
        <f>+ENERO!U256</f>
        <v>0</v>
      </c>
      <c r="V255" s="468">
        <f>ABRIL!V255+MAYO!AL255</f>
        <v>0</v>
      </c>
      <c r="W255" s="468">
        <f>ABRIL!W255+MAYO!AM255</f>
        <v>0</v>
      </c>
      <c r="X255" s="471">
        <f t="shared" si="200"/>
        <v>0</v>
      </c>
      <c r="Y255" s="470">
        <f>ABRIL!AA255</f>
        <v>0</v>
      </c>
      <c r="Z255" s="208">
        <v>0</v>
      </c>
      <c r="AA255" s="471">
        <f t="shared" si="201"/>
        <v>0</v>
      </c>
      <c r="AB255" s="470">
        <f>ABRIL!AD255</f>
        <v>0</v>
      </c>
      <c r="AC255" s="208">
        <v>0</v>
      </c>
      <c r="AD255" s="471">
        <f t="shared" si="202"/>
        <v>0</v>
      </c>
      <c r="AE255" s="470">
        <f>ABRIL!AG255</f>
        <v>0</v>
      </c>
      <c r="AF255" s="208">
        <v>0</v>
      </c>
      <c r="AG255" s="471">
        <f t="shared" si="203"/>
        <v>0</v>
      </c>
      <c r="AH255" s="470">
        <f t="shared" si="204"/>
        <v>0</v>
      </c>
      <c r="AI255" s="468">
        <f t="shared" si="205"/>
        <v>0</v>
      </c>
      <c r="AJ255" s="469">
        <f t="shared" si="206"/>
        <v>0</v>
      </c>
      <c r="AK255" s="101"/>
      <c r="AL255" s="242">
        <v>0</v>
      </c>
      <c r="AM255" s="248">
        <v>0</v>
      </c>
    </row>
    <row r="256" spans="19:39" ht="24.75" customHeight="1" thickBot="1">
      <c r="S256" s="480" t="str">
        <f>+IF(ABRIL!S256=0,"",ABRIL!S256)</f>
        <v/>
      </c>
      <c r="T256" s="481" t="str">
        <f>+IF(ABRIL!T256=0,"",ABRIL!T256)</f>
        <v/>
      </c>
      <c r="U256" s="482"/>
      <c r="V256" s="482"/>
      <c r="W256" s="482"/>
      <c r="X256" s="482"/>
      <c r="Y256" s="482"/>
      <c r="Z256" s="482"/>
      <c r="AA256" s="482"/>
      <c r="AB256" s="482"/>
      <c r="AC256" s="482"/>
      <c r="AD256" s="482"/>
      <c r="AE256" s="482"/>
      <c r="AF256" s="482"/>
      <c r="AG256" s="482"/>
      <c r="AH256" s="482"/>
      <c r="AI256" s="482"/>
      <c r="AJ256" s="484"/>
      <c r="AK256" s="216"/>
      <c r="AL256" s="501"/>
      <c r="AM256" s="502"/>
    </row>
    <row r="257" spans="19:39" ht="24.75" customHeight="1" thickBot="1">
      <c r="S257" s="503" t="s">
        <v>342</v>
      </c>
      <c r="T257" s="504" t="s">
        <v>197</v>
      </c>
      <c r="U257" s="136">
        <f t="shared" ref="U257:AJ257" si="207">+(C10+C17+C113)-(U10+U192+U219+U231)</f>
        <v>0.30987548828125</v>
      </c>
      <c r="V257" s="136">
        <f t="shared" si="207"/>
        <v>0</v>
      </c>
      <c r="W257" s="136">
        <f t="shared" si="207"/>
        <v>0</v>
      </c>
      <c r="X257" s="136">
        <f t="shared" si="207"/>
        <v>0.30987548828125</v>
      </c>
      <c r="Y257" s="136">
        <f t="shared" si="207"/>
        <v>-20820097467</v>
      </c>
      <c r="Z257" s="136">
        <f t="shared" si="207"/>
        <v>9625791354</v>
      </c>
      <c r="AA257" s="136">
        <f t="shared" si="207"/>
        <v>-11194306113</v>
      </c>
      <c r="AB257" s="136">
        <f t="shared" si="207"/>
        <v>-27861593703</v>
      </c>
      <c r="AC257" s="136">
        <f t="shared" si="207"/>
        <v>-1439978837</v>
      </c>
      <c r="AD257" s="136">
        <f t="shared" si="207"/>
        <v>-29301572540</v>
      </c>
      <c r="AE257" s="136">
        <f t="shared" si="207"/>
        <v>33654753440.476501</v>
      </c>
      <c r="AF257" s="136">
        <f t="shared" si="207"/>
        <v>110784364393.47652</v>
      </c>
      <c r="AG257" s="136">
        <f t="shared" si="207"/>
        <v>-57841959014</v>
      </c>
      <c r="AH257" s="136">
        <f t="shared" si="207"/>
        <v>-65612719150.166664</v>
      </c>
      <c r="AI257" s="136">
        <f t="shared" si="207"/>
        <v>-89118239086.166656</v>
      </c>
      <c r="AJ257" s="505">
        <f t="shared" si="207"/>
        <v>-129963574515.16666</v>
      </c>
      <c r="AK257" s="101"/>
      <c r="AL257" s="134">
        <v>0</v>
      </c>
      <c r="AM257" s="135">
        <v>0</v>
      </c>
    </row>
    <row r="258" spans="19:39" ht="24.75" customHeight="1" thickBot="1">
      <c r="S258" s="1449"/>
      <c r="T258" s="1450"/>
      <c r="U258" s="506"/>
      <c r="V258" s="506"/>
      <c r="W258" s="506"/>
      <c r="X258" s="506"/>
      <c r="Y258" s="506"/>
      <c r="Z258" s="506"/>
      <c r="AA258" s="506"/>
      <c r="AB258" s="506"/>
      <c r="AC258" s="506"/>
      <c r="AD258" s="506"/>
      <c r="AE258" s="506"/>
      <c r="AF258" s="506"/>
      <c r="AG258" s="506"/>
      <c r="AH258" s="506"/>
      <c r="AI258" s="506"/>
      <c r="AJ258" s="507"/>
      <c r="AK258" s="216"/>
      <c r="AL258" s="508">
        <f>+SUMIF(AK8:AK255,AK33,AL8:AL255)</f>
        <v>0</v>
      </c>
      <c r="AM258" s="509">
        <f>+SUMIF(AL8:AL255,AL33,AM8:AM255)</f>
        <v>35271199790</v>
      </c>
    </row>
    <row r="259" spans="19:39" ht="24.75" customHeight="1" thickBot="1">
      <c r="S259" s="510" t="s">
        <v>343</v>
      </c>
      <c r="T259" s="511"/>
      <c r="U259" s="512">
        <f t="shared" ref="U259:AJ259" si="208">+U8-U261</f>
        <v>135355804552.9446</v>
      </c>
      <c r="V259" s="512">
        <f t="shared" si="208"/>
        <v>-6691258168</v>
      </c>
      <c r="W259" s="512">
        <f t="shared" si="208"/>
        <v>25474600357</v>
      </c>
      <c r="X259" s="512">
        <f t="shared" si="208"/>
        <v>154139146741.94461</v>
      </c>
      <c r="Y259" s="512">
        <f t="shared" si="208"/>
        <v>86810019652</v>
      </c>
      <c r="Z259" s="512">
        <f t="shared" si="208"/>
        <v>8490752651</v>
      </c>
      <c r="AA259" s="512">
        <f t="shared" si="208"/>
        <v>95300772303</v>
      </c>
      <c r="AB259" s="512">
        <f t="shared" si="208"/>
        <v>51039906923</v>
      </c>
      <c r="AC259" s="512">
        <f t="shared" si="208"/>
        <v>13707305486</v>
      </c>
      <c r="AD259" s="512">
        <f t="shared" si="208"/>
        <v>64747212409</v>
      </c>
      <c r="AE259" s="512">
        <f t="shared" si="208"/>
        <v>18642121393</v>
      </c>
      <c r="AF259" s="512">
        <f t="shared" si="208"/>
        <v>12314025747</v>
      </c>
      <c r="AG259" s="512">
        <f t="shared" si="208"/>
        <v>30956147140</v>
      </c>
      <c r="AH259" s="512">
        <f t="shared" si="208"/>
        <v>58838374438.944611</v>
      </c>
      <c r="AI259" s="512">
        <f t="shared" si="208"/>
        <v>89391934332.944595</v>
      </c>
      <c r="AJ259" s="513">
        <f t="shared" si="208"/>
        <v>123182999601.9446</v>
      </c>
      <c r="AK259" s="216"/>
      <c r="AL259" s="67"/>
      <c r="AM259" s="67"/>
    </row>
    <row r="260" spans="19:39" ht="24.75" customHeight="1" thickBot="1">
      <c r="S260" s="514"/>
      <c r="T260" s="515"/>
      <c r="U260" s="516"/>
      <c r="V260" s="516"/>
      <c r="W260" s="516"/>
      <c r="X260" s="516"/>
      <c r="Y260" s="516"/>
      <c r="Z260" s="516"/>
      <c r="AA260" s="516"/>
      <c r="AB260" s="516"/>
      <c r="AC260" s="516"/>
      <c r="AD260" s="516"/>
      <c r="AE260" s="516"/>
      <c r="AF260" s="516"/>
      <c r="AG260" s="516"/>
      <c r="AH260" s="516"/>
      <c r="AI260" s="516"/>
      <c r="AJ260" s="517"/>
      <c r="AK260" s="36"/>
      <c r="AL260" s="31"/>
      <c r="AM260" s="31"/>
    </row>
    <row r="261" spans="19:39" ht="24.75" customHeight="1" thickBot="1">
      <c r="S261" s="518" t="s">
        <v>344</v>
      </c>
      <c r="T261" s="519"/>
      <c r="U261" s="660">
        <f>SUM(U255+U240+U229+U224+U217+U206+U190+U181+U153+U139+U121+U108+U102+U88+U81+U61+U55+U41+U33+U166)</f>
        <v>22787348584.222057</v>
      </c>
      <c r="V261" s="660">
        <f>SUM(V255+V240+V229+V224+V217+V206+V190+V181+V153+V139+V121+V108+V102+V88+V81+V61+V55+V41+V33+V166)</f>
        <v>6691258168</v>
      </c>
      <c r="W261" s="660">
        <f>SUM(W255+W240+W229+W224+W217+W206+W190+W181+W153+W139+W121+W108+W102+W88+W81+W61+W55+W41+W33+W166)</f>
        <v>4187780035</v>
      </c>
      <c r="X261" s="660">
        <f>SUM(X255+X240+X229+X224+X217+X206+X190+X181+X153+X139+X121+X108+X102+X88+X81+X61+X55+X41+X33+X166)</f>
        <v>33666386787.222057</v>
      </c>
      <c r="Y261" s="660">
        <f t="shared" ref="Y261:AJ261" si="209">SUM(Y255+Y240+Y229+Y224+Y217+Y206+Y190+Y181+Y166+Y153+Y139+Y121+Y108+Y102+Y88+Y81+Y61+Y55+Y41+Y33)</f>
        <v>24516380632</v>
      </c>
      <c r="Z261" s="660">
        <f t="shared" si="209"/>
        <v>2375661444</v>
      </c>
      <c r="AA261" s="660">
        <f t="shared" si="209"/>
        <v>26892042076</v>
      </c>
      <c r="AB261" s="660">
        <f t="shared" si="209"/>
        <v>24510180632</v>
      </c>
      <c r="AC261" s="660">
        <f t="shared" si="209"/>
        <v>2375661444</v>
      </c>
      <c r="AD261" s="660">
        <f t="shared" si="209"/>
        <v>26885842076</v>
      </c>
      <c r="AE261" s="660">
        <f t="shared" si="209"/>
        <v>24510150430</v>
      </c>
      <c r="AF261" s="660">
        <f t="shared" si="209"/>
        <v>2375661444</v>
      </c>
      <c r="AG261" s="660">
        <f t="shared" si="209"/>
        <v>26885811874</v>
      </c>
      <c r="AH261" s="660">
        <f t="shared" si="209"/>
        <v>6774344711.2220573</v>
      </c>
      <c r="AI261" s="660">
        <f t="shared" si="209"/>
        <v>6780544711.2220573</v>
      </c>
      <c r="AJ261" s="660">
        <f t="shared" si="209"/>
        <v>6780574913.2220573</v>
      </c>
      <c r="AK261" s="660"/>
      <c r="AL261" s="660"/>
      <c r="AM261" s="31"/>
    </row>
    <row r="262" spans="19:39" ht="24.75" customHeight="1" thickBot="1">
      <c r="S262" s="514"/>
      <c r="T262" s="515"/>
      <c r="U262" s="515"/>
      <c r="V262" s="516"/>
      <c r="W262" s="516"/>
      <c r="X262" s="516"/>
      <c r="Y262" s="516"/>
      <c r="Z262" s="516"/>
      <c r="AA262" s="516"/>
      <c r="AB262" s="516"/>
      <c r="AC262" s="516"/>
      <c r="AD262" s="516"/>
      <c r="AE262" s="516"/>
      <c r="AF262" s="516"/>
      <c r="AG262" s="516"/>
      <c r="AH262" s="516"/>
      <c r="AI262" s="516"/>
      <c r="AJ262" s="516"/>
      <c r="AK262" s="36"/>
      <c r="AL262" s="31"/>
      <c r="AM262" s="31"/>
    </row>
    <row r="263" spans="19:39" ht="24.75" customHeight="1" thickBot="1">
      <c r="S263" s="520" t="s">
        <v>345</v>
      </c>
      <c r="T263" s="521"/>
      <c r="U263" s="522">
        <f t="shared" ref="U263:AJ263" si="210">+U259+U261</f>
        <v>158143153137.16666</v>
      </c>
      <c r="V263" s="522">
        <f t="shared" si="210"/>
        <v>0</v>
      </c>
      <c r="W263" s="522">
        <f t="shared" si="210"/>
        <v>29662380392</v>
      </c>
      <c r="X263" s="522">
        <f t="shared" si="210"/>
        <v>187805533529.16666</v>
      </c>
      <c r="Y263" s="522">
        <f t="shared" si="210"/>
        <v>111326400284</v>
      </c>
      <c r="Z263" s="522">
        <f t="shared" si="210"/>
        <v>10866414095</v>
      </c>
      <c r="AA263" s="522">
        <f t="shared" si="210"/>
        <v>122192814379</v>
      </c>
      <c r="AB263" s="522">
        <f t="shared" si="210"/>
        <v>75550087555</v>
      </c>
      <c r="AC263" s="522">
        <f t="shared" si="210"/>
        <v>16082966930</v>
      </c>
      <c r="AD263" s="522">
        <f t="shared" si="210"/>
        <v>91633054485</v>
      </c>
      <c r="AE263" s="522">
        <f t="shared" si="210"/>
        <v>43152271823</v>
      </c>
      <c r="AF263" s="522">
        <f t="shared" si="210"/>
        <v>14689687191</v>
      </c>
      <c r="AG263" s="522">
        <f t="shared" si="210"/>
        <v>57841959014</v>
      </c>
      <c r="AH263" s="522">
        <f t="shared" si="210"/>
        <v>65612719150.166672</v>
      </c>
      <c r="AI263" s="522">
        <f t="shared" si="210"/>
        <v>96172479044.166656</v>
      </c>
      <c r="AJ263" s="523">
        <f t="shared" si="210"/>
        <v>129963574515.16666</v>
      </c>
      <c r="AK263" s="36"/>
      <c r="AL263" s="31"/>
      <c r="AM263" s="31"/>
    </row>
  </sheetData>
  <mergeCells count="53">
    <mergeCell ref="A5:A6"/>
    <mergeCell ref="B5:B6"/>
    <mergeCell ref="C5:F5"/>
    <mergeCell ref="A1:B1"/>
    <mergeCell ref="C1:J1"/>
    <mergeCell ref="K1:N1"/>
    <mergeCell ref="L2:M2"/>
    <mergeCell ref="P2:Q2"/>
    <mergeCell ref="D2:E2"/>
    <mergeCell ref="B3:B4"/>
    <mergeCell ref="D3:E4"/>
    <mergeCell ref="BB3:BC3"/>
    <mergeCell ref="F3:K4"/>
    <mergeCell ref="L3:M4"/>
    <mergeCell ref="P3:P5"/>
    <mergeCell ref="Q3:Q5"/>
    <mergeCell ref="G5:I5"/>
    <mergeCell ref="J5:L5"/>
    <mergeCell ref="M5:N5"/>
    <mergeCell ref="BC5:BE5"/>
    <mergeCell ref="S5:S6"/>
    <mergeCell ref="V2:X2"/>
    <mergeCell ref="BH5:BK5"/>
    <mergeCell ref="BM5:BM6"/>
    <mergeCell ref="BN5:BQ5"/>
    <mergeCell ref="BG2:BI2"/>
    <mergeCell ref="BM2:BO2"/>
    <mergeCell ref="V3:X4"/>
    <mergeCell ref="BG3:BI3"/>
    <mergeCell ref="BM3:BO3"/>
    <mergeCell ref="AW4:AZ4"/>
    <mergeCell ref="Y2:AG2"/>
    <mergeCell ref="AH2:AI2"/>
    <mergeCell ref="AL2:AM2"/>
    <mergeCell ref="AP2:AZ2"/>
    <mergeCell ref="BB2:BC2"/>
    <mergeCell ref="AP3:AZ3"/>
    <mergeCell ref="S258:T258"/>
    <mergeCell ref="AM3:AM5"/>
    <mergeCell ref="AW19:AZ19"/>
    <mergeCell ref="AW35:AX35"/>
    <mergeCell ref="N3:N4"/>
    <mergeCell ref="T3:T4"/>
    <mergeCell ref="Y3:AG4"/>
    <mergeCell ref="AH3:AI4"/>
    <mergeCell ref="AJ3:AJ4"/>
    <mergeCell ref="AL3:AL5"/>
    <mergeCell ref="AH5:AJ5"/>
    <mergeCell ref="T5:T6"/>
    <mergeCell ref="U5:X5"/>
    <mergeCell ref="Y5:AA5"/>
    <mergeCell ref="AB5:AD5"/>
    <mergeCell ref="AE5:AG5"/>
  </mergeCells>
  <conditionalFormatting sqref="B5:B7">
    <cfRule type="expression" dxfId="7" priority="1" stopIfTrue="1">
      <formula>$B$5="OJO - RECUERDE RECAUDAR LA DISPONIBLIDAD INICIAL EN ESTE TRIMESTRE, haga clik en H9 para ampliar la información"</formula>
    </cfRule>
  </conditionalFormatting>
  <printOptions horizontalCentered="1" verticalCentered="1"/>
  <pageMargins left="0.59055118110236227" right="0.59055118110236227" top="0.43307086614173229" bottom="0.39370078740157483" header="0" footer="0"/>
  <pageSetup paperSize="14" scale="50" orientation="landscape" r:id="rId1"/>
  <headerFooter>
    <oddFooter>&amp;CPágina &amp;P de</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BQ263"/>
  <sheetViews>
    <sheetView showGridLines="0" topLeftCell="AB33" zoomScale="142" zoomScaleNormal="142" workbookViewId="0">
      <selection activeCell="AK84" sqref="AK84:AK87"/>
    </sheetView>
  </sheetViews>
  <sheetFormatPr baseColWidth="10" defaultColWidth="14.42578125" defaultRowHeight="15" customHeight="1"/>
  <cols>
    <col min="1" max="1" width="28" customWidth="1"/>
    <col min="2" max="2" width="50.7109375" customWidth="1"/>
    <col min="3" max="3" width="19" customWidth="1"/>
    <col min="4" max="4" width="16.5703125" customWidth="1"/>
    <col min="5" max="5" width="14.42578125" customWidth="1"/>
    <col min="6" max="6" width="17.5703125" customWidth="1"/>
    <col min="7" max="7" width="14.42578125" customWidth="1"/>
    <col min="8" max="8" width="18.140625" customWidth="1"/>
    <col min="9" max="9" width="16.140625" customWidth="1"/>
    <col min="10" max="10" width="14.42578125" customWidth="1"/>
    <col min="11" max="11" width="17.140625" customWidth="1"/>
    <col min="12" max="12" width="14.42578125" customWidth="1"/>
    <col min="13" max="14" width="16.7109375" customWidth="1"/>
    <col min="15" max="15" width="2.85546875" customWidth="1"/>
    <col min="16" max="17" width="23.7109375" customWidth="1"/>
    <col min="18" max="18" width="5.42578125" customWidth="1"/>
    <col min="19" max="19" width="27.28515625" customWidth="1"/>
    <col min="20" max="20" width="60.140625" customWidth="1"/>
    <col min="21" max="21" width="17.85546875" customWidth="1"/>
    <col min="22" max="22" width="18.5703125" customWidth="1"/>
    <col min="23" max="23" width="17.28515625" customWidth="1"/>
    <col min="24" max="24" width="19.5703125" customWidth="1"/>
    <col min="25" max="25" width="17" customWidth="1"/>
    <col min="26" max="26" width="17.28515625" customWidth="1"/>
    <col min="27" max="27" width="18.5703125" customWidth="1"/>
    <col min="28" max="28" width="17.42578125" customWidth="1"/>
    <col min="29" max="29" width="16" customWidth="1"/>
    <col min="30" max="30" width="17.7109375" customWidth="1"/>
    <col min="31" max="31" width="16.42578125" customWidth="1"/>
    <col min="32" max="32" width="18.5703125" customWidth="1"/>
    <col min="33" max="33" width="22" customWidth="1"/>
    <col min="34" max="34" width="19.5703125" customWidth="1"/>
    <col min="35" max="35" width="19.140625" customWidth="1"/>
    <col min="36" max="36" width="20.5703125" customWidth="1"/>
    <col min="37" max="37" width="8.85546875" customWidth="1"/>
    <col min="38" max="39" width="23.7109375" customWidth="1"/>
    <col min="40" max="40" width="4.85546875" customWidth="1"/>
    <col min="41" max="41" width="12.28515625" customWidth="1"/>
    <col min="42" max="42" width="50.28515625" customWidth="1"/>
    <col min="43" max="45" width="16.85546875" customWidth="1"/>
    <col min="46" max="46" width="12.7109375" customWidth="1"/>
    <col min="47" max="47" width="27.42578125" customWidth="1"/>
    <col min="48" max="48" width="25" customWidth="1"/>
    <col min="49" max="52" width="16.85546875" customWidth="1"/>
    <col min="53" max="53" width="11" customWidth="1"/>
    <col min="54" max="54" width="65.140625" customWidth="1"/>
    <col min="55" max="57" width="18.85546875" customWidth="1"/>
    <col min="58" max="58" width="36.140625" customWidth="1"/>
    <col min="59" max="59" width="72.7109375" customWidth="1"/>
    <col min="60" max="63" width="17.5703125" customWidth="1"/>
    <col min="64" max="64" width="28.7109375" customWidth="1"/>
    <col min="65" max="65" width="76" customWidth="1"/>
    <col min="66" max="66" width="19" customWidth="1"/>
    <col min="67" max="68" width="18.28515625" customWidth="1"/>
    <col min="69" max="69" width="17.5703125" customWidth="1"/>
    <col min="70" max="70" width="11" customWidth="1"/>
  </cols>
  <sheetData>
    <row r="1" spans="1:69" ht="24.75" customHeight="1" thickBot="1">
      <c r="A1" s="1447"/>
      <c r="B1" s="1366"/>
      <c r="C1" s="1448"/>
      <c r="D1" s="1365"/>
      <c r="E1" s="1365"/>
      <c r="F1" s="1365"/>
      <c r="G1" s="1365"/>
      <c r="H1" s="1365"/>
      <c r="I1" s="1365"/>
      <c r="J1" s="1366"/>
      <c r="K1" s="1364" t="str">
        <f>+IF(L8&gt;I8,"OJO - SUS RECAUDOS SON SUPERIORES A SUS RECONOCIMIENTOS, VERIFIQUE","")</f>
        <v/>
      </c>
      <c r="L1" s="1365"/>
      <c r="M1" s="1365"/>
      <c r="N1" s="1366"/>
      <c r="O1" s="31"/>
      <c r="P1" s="32"/>
      <c r="Q1" s="32"/>
      <c r="R1" s="31"/>
      <c r="S1" s="33"/>
      <c r="T1" s="34"/>
      <c r="U1" s="35" t="str">
        <f>+IF(AA8&gt;X8,"OJO - HA COMPROMETIDO MUCHO MAS DE LO QUE TIENE PRESUPUESTADO","")</f>
        <v/>
      </c>
      <c r="V1" s="31"/>
      <c r="W1" s="31"/>
      <c r="X1" s="35"/>
      <c r="Y1" s="35" t="str">
        <f>+IF(AD8&gt;AA8,"OJO - SUS OBLIGACIONES SUPERAN SUS COMPROMISOS, VERIFIQUE","")</f>
        <v/>
      </c>
      <c r="Z1" s="31"/>
      <c r="AA1" s="31"/>
      <c r="AB1" s="31"/>
      <c r="AC1" s="35" t="str">
        <f>+IF(AG8&gt;AD8,"OJO - SUS PAGOS NO PUEDEN SUPERAR SUS OBLIGACIONES, VERIFIQUE","")</f>
        <v/>
      </c>
      <c r="AD1" s="31"/>
      <c r="AE1" s="31"/>
      <c r="AF1" s="31"/>
      <c r="AG1" s="31"/>
      <c r="AH1" s="31"/>
      <c r="AI1" s="31"/>
      <c r="AJ1" s="31"/>
      <c r="AK1" s="36"/>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r="2" spans="1:69" ht="53.25" customHeight="1" thickBot="1">
      <c r="A2" s="524"/>
      <c r="B2" s="45" t="str">
        <f>+ENERO!B2</f>
        <v>SECRETARIA SECCIONAL DE SALUD Y PROTECCION SOCIAL DE ANTIOQUIA DE ANTIOQUIA</v>
      </c>
      <c r="C2" s="39"/>
      <c r="D2" s="1346" t="str">
        <f>+IF(F2="","","MUNICIPIO:")</f>
        <v>MUNICIPIO:</v>
      </c>
      <c r="E2" s="1327"/>
      <c r="F2" s="40" t="str">
        <f>IF(INSTRUCCIONES!B3=0,"",INSTRUCCIONES!B3)</f>
        <v>BELLO</v>
      </c>
      <c r="G2" s="41"/>
      <c r="H2" s="41"/>
      <c r="I2" s="41"/>
      <c r="J2" s="41"/>
      <c r="K2" s="42"/>
      <c r="L2" s="1368" t="s">
        <v>37</v>
      </c>
      <c r="M2" s="1340"/>
      <c r="N2" s="43" t="s">
        <v>38</v>
      </c>
      <c r="O2" s="31"/>
      <c r="P2" s="1341" t="s">
        <v>346</v>
      </c>
      <c r="Q2" s="1338"/>
      <c r="R2" s="31"/>
      <c r="S2" s="44"/>
      <c r="T2" s="45" t="str">
        <f>+ENERO!T2</f>
        <v>SECRETARIA SECCIONAL DE SALUD Y PROTECCION SOCIAL DE ANTIOQUIA DE ANTIOQUIA</v>
      </c>
      <c r="U2" s="39"/>
      <c r="V2" s="1369" t="str">
        <f>+IF(Y2="","","M U N I C I P I O:")</f>
        <v>M U N I C I P I O:</v>
      </c>
      <c r="W2" s="1337"/>
      <c r="X2" s="1327"/>
      <c r="Y2" s="1336" t="str">
        <f>IF(INSTRUCCIONES!B3=0,"",INSTRUCCIONES!B3)</f>
        <v>BELLO</v>
      </c>
      <c r="Z2" s="1337"/>
      <c r="AA2" s="1337"/>
      <c r="AB2" s="1337"/>
      <c r="AC2" s="1337"/>
      <c r="AD2" s="1337"/>
      <c r="AE2" s="1337"/>
      <c r="AF2" s="1337"/>
      <c r="AG2" s="1338"/>
      <c r="AH2" s="1339" t="s">
        <v>37</v>
      </c>
      <c r="AI2" s="1340"/>
      <c r="AJ2" s="43" t="s">
        <v>38</v>
      </c>
      <c r="AK2" s="36"/>
      <c r="AL2" s="1341" t="s">
        <v>346</v>
      </c>
      <c r="AM2" s="1338"/>
      <c r="AN2" s="31"/>
      <c r="AO2" s="46">
        <v>6</v>
      </c>
      <c r="AP2" s="1342" t="s">
        <v>40</v>
      </c>
      <c r="AQ2" s="1322"/>
      <c r="AR2" s="1322"/>
      <c r="AS2" s="1322"/>
      <c r="AT2" s="1322"/>
      <c r="AU2" s="1322"/>
      <c r="AV2" s="1322"/>
      <c r="AW2" s="1322"/>
      <c r="AX2" s="1322"/>
      <c r="AY2" s="1322"/>
      <c r="AZ2" s="1323"/>
      <c r="BA2" s="31"/>
      <c r="BB2" s="1341" t="s">
        <v>41</v>
      </c>
      <c r="BC2" s="1327"/>
      <c r="BD2" s="47" t="s">
        <v>37</v>
      </c>
      <c r="BE2" s="43" t="str">
        <f>+L3</f>
        <v>JUNIO</v>
      </c>
      <c r="BF2" s="35"/>
      <c r="BG2" s="1341" t="s">
        <v>42</v>
      </c>
      <c r="BH2" s="1337"/>
      <c r="BI2" s="1327"/>
      <c r="BJ2" s="47" t="s">
        <v>37</v>
      </c>
      <c r="BK2" s="43" t="str">
        <f>+BE2</f>
        <v>JUNIO</v>
      </c>
      <c r="BL2" s="31"/>
      <c r="BM2" s="1343" t="s">
        <v>42</v>
      </c>
      <c r="BN2" s="1344"/>
      <c r="BO2" s="1345"/>
      <c r="BP2" s="732" t="s">
        <v>37</v>
      </c>
      <c r="BQ2" s="733" t="str">
        <f>+BK2</f>
        <v>JUNIO</v>
      </c>
    </row>
    <row r="3" spans="1:69" ht="24.75" customHeight="1" thickBot="1">
      <c r="A3" s="525"/>
      <c r="B3" s="1332" t="s">
        <v>43</v>
      </c>
      <c r="C3" s="49"/>
      <c r="D3" s="1347" t="str">
        <f>+IF(F3="","","INSTITUCION")</f>
        <v>INSTITUCION</v>
      </c>
      <c r="E3" s="1348"/>
      <c r="F3" s="1308" t="str">
        <f>IF(INSTRUCCIONES!B5=0,"",INSTRUCCIONES!B5)</f>
        <v>ESE HOSPITAL MARCO FIDEL SUAREZ</v>
      </c>
      <c r="G3" s="1309"/>
      <c r="H3" s="1309"/>
      <c r="I3" s="1309"/>
      <c r="J3" s="1309"/>
      <c r="K3" s="1310"/>
      <c r="L3" s="1312" t="s">
        <v>371</v>
      </c>
      <c r="M3" s="1313"/>
      <c r="N3" s="1331">
        <f>SUM(ENERO!N3)</f>
        <v>2025</v>
      </c>
      <c r="O3" s="31"/>
      <c r="P3" s="1315" t="s">
        <v>372</v>
      </c>
      <c r="Q3" s="1318" t="s">
        <v>373</v>
      </c>
      <c r="R3" s="31"/>
      <c r="S3" s="50"/>
      <c r="T3" s="1332" t="s">
        <v>47</v>
      </c>
      <c r="U3" s="51"/>
      <c r="V3" s="1357" t="str">
        <f>+IF(Y3="","","E.S.E. H O S P I T A L:")</f>
        <v>E.S.E. H O S P I T A L:</v>
      </c>
      <c r="W3" s="1309"/>
      <c r="X3" s="1348"/>
      <c r="Y3" s="1308" t="str">
        <f>IF(INSTRUCCIONES!B5=0,"",INSTRUCCIONES!B5)</f>
        <v>ESE HOSPITAL MARCO FIDEL SUAREZ</v>
      </c>
      <c r="Z3" s="1309"/>
      <c r="AA3" s="1309"/>
      <c r="AB3" s="1309"/>
      <c r="AC3" s="1309"/>
      <c r="AD3" s="1309"/>
      <c r="AE3" s="1309"/>
      <c r="AF3" s="1309"/>
      <c r="AG3" s="1310"/>
      <c r="AH3" s="1334" t="str">
        <f>+L3</f>
        <v>JUNIO</v>
      </c>
      <c r="AI3" s="1313"/>
      <c r="AJ3" s="1331">
        <f>SUM(N3)</f>
        <v>2025</v>
      </c>
      <c r="AK3" s="36"/>
      <c r="AL3" s="1315" t="s">
        <v>374</v>
      </c>
      <c r="AM3" s="1318" t="s">
        <v>375</v>
      </c>
      <c r="AN3" s="31"/>
      <c r="AO3" s="52"/>
      <c r="AP3" s="1373" t="s">
        <v>50</v>
      </c>
      <c r="AQ3" s="1374"/>
      <c r="AR3" s="1374"/>
      <c r="AS3" s="1374"/>
      <c r="AT3" s="1374"/>
      <c r="AU3" s="1374"/>
      <c r="AV3" s="1374"/>
      <c r="AW3" s="1374"/>
      <c r="AX3" s="1374"/>
      <c r="AY3" s="1374"/>
      <c r="AZ3" s="1375"/>
      <c r="BA3" s="31"/>
      <c r="BB3" s="1376" t="str">
        <f>+CONCATENATE(INSTRUCCIONES!B5, " - ", INSTRUCCIONES!B3)</f>
        <v>ESE HOSPITAL MARCO FIDEL SUAREZ - BELLO</v>
      </c>
      <c r="BC3" s="1377"/>
      <c r="BD3" s="53" t="s">
        <v>38</v>
      </c>
      <c r="BE3" s="54">
        <f>+N3</f>
        <v>2025</v>
      </c>
      <c r="BF3" s="55" t="s">
        <v>51</v>
      </c>
      <c r="BG3" s="1376" t="str">
        <f>+CONCATENATE(INSTRUCCIONES!B5, " - ", INSTRUCCIONES!B3)</f>
        <v>ESE HOSPITAL MARCO FIDEL SUAREZ - BELLO</v>
      </c>
      <c r="BH3" s="1378"/>
      <c r="BI3" s="1377"/>
      <c r="BJ3" s="53" t="s">
        <v>38</v>
      </c>
      <c r="BK3" s="54">
        <f>+BE3</f>
        <v>2025</v>
      </c>
      <c r="BL3" s="31"/>
      <c r="BM3" s="1379" t="str">
        <f>+CONCATENATE(INSTRUCCIONES!B5, " - ", INSTRUCCIONES!B3)</f>
        <v>ESE HOSPITAL MARCO FIDEL SUAREZ - BELLO</v>
      </c>
      <c r="BN3" s="1380"/>
      <c r="BO3" s="1381"/>
      <c r="BP3" s="53" t="s">
        <v>38</v>
      </c>
      <c r="BQ3" s="734">
        <f>+BK3</f>
        <v>2025</v>
      </c>
    </row>
    <row r="4" spans="1:69" ht="24.75" customHeight="1" thickBot="1">
      <c r="A4" s="525"/>
      <c r="B4" s="1363"/>
      <c r="C4" s="56"/>
      <c r="D4" s="1311"/>
      <c r="E4" s="1349"/>
      <c r="F4" s="1311"/>
      <c r="G4" s="1295"/>
      <c r="H4" s="1295"/>
      <c r="I4" s="1295"/>
      <c r="J4" s="1295"/>
      <c r="K4" s="1296"/>
      <c r="L4" s="1300"/>
      <c r="M4" s="1314"/>
      <c r="N4" s="1320"/>
      <c r="O4" s="31"/>
      <c r="P4" s="1316"/>
      <c r="Q4" s="1319"/>
      <c r="R4" s="31"/>
      <c r="S4" s="50"/>
      <c r="T4" s="1333"/>
      <c r="U4" s="56"/>
      <c r="V4" s="1311"/>
      <c r="W4" s="1295"/>
      <c r="X4" s="1349"/>
      <c r="Y4" s="1311"/>
      <c r="Z4" s="1295"/>
      <c r="AA4" s="1295"/>
      <c r="AB4" s="1295"/>
      <c r="AC4" s="1295"/>
      <c r="AD4" s="1295"/>
      <c r="AE4" s="1295"/>
      <c r="AF4" s="1295"/>
      <c r="AG4" s="1296"/>
      <c r="AH4" s="1311"/>
      <c r="AI4" s="1314"/>
      <c r="AJ4" s="1320"/>
      <c r="AK4" s="36"/>
      <c r="AL4" s="1316"/>
      <c r="AM4" s="1319"/>
      <c r="AN4" s="31"/>
      <c r="AO4" s="52"/>
      <c r="AP4" s="57"/>
      <c r="AQ4" s="58" t="s">
        <v>52</v>
      </c>
      <c r="AR4" s="58" t="s">
        <v>53</v>
      </c>
      <c r="AS4" s="58" t="s">
        <v>54</v>
      </c>
      <c r="AT4" s="58" t="s">
        <v>55</v>
      </c>
      <c r="AU4" s="58" t="s">
        <v>55</v>
      </c>
      <c r="AV4" s="59" t="s">
        <v>55</v>
      </c>
      <c r="AW4" s="1382" t="str">
        <f>+CONCATENATE("PROYECCION A DICIEMBRE 31 DEL ",N3)</f>
        <v>PROYECCION A DICIEMBRE 31 DEL 2025</v>
      </c>
      <c r="AX4" s="1374"/>
      <c r="AY4" s="1374"/>
      <c r="AZ4" s="1375"/>
      <c r="BA4" s="31"/>
      <c r="BB4" s="60"/>
      <c r="BC4" s="61"/>
      <c r="BD4" s="61"/>
      <c r="BE4" s="63"/>
      <c r="BF4" s="64"/>
      <c r="BG4" s="60"/>
      <c r="BH4" s="61"/>
      <c r="BI4" s="61"/>
      <c r="BJ4" s="62"/>
      <c r="BK4" s="65"/>
      <c r="BL4" s="66"/>
      <c r="BM4" s="735"/>
      <c r="BN4" s="736"/>
      <c r="BO4" s="737"/>
      <c r="BP4" s="737"/>
      <c r="BQ4" s="738"/>
    </row>
    <row r="5" spans="1:69" ht="42.75" customHeight="1" thickTop="1" thickBot="1">
      <c r="A5" s="1446" t="s">
        <v>56</v>
      </c>
      <c r="B5" s="1359" t="s">
        <v>61</v>
      </c>
      <c r="C5" s="1354" t="s">
        <v>57</v>
      </c>
      <c r="D5" s="1322"/>
      <c r="E5" s="1322"/>
      <c r="F5" s="1323"/>
      <c r="G5" s="1321" t="s">
        <v>376</v>
      </c>
      <c r="H5" s="1322"/>
      <c r="I5" s="1323"/>
      <c r="J5" s="1324" t="str">
        <f>+IF(L8&gt;I8,"OJO - RECAUDOS MAYORES QUE RECONOCIMIENTOS","RECAUDO")</f>
        <v>RECAUDO</v>
      </c>
      <c r="K5" s="1322"/>
      <c r="L5" s="1323"/>
      <c r="M5" s="1325" t="s">
        <v>59</v>
      </c>
      <c r="N5" s="1323"/>
      <c r="O5" s="31"/>
      <c r="P5" s="1317"/>
      <c r="Q5" s="1320"/>
      <c r="R5" s="31"/>
      <c r="S5" s="1358" t="s">
        <v>60</v>
      </c>
      <c r="T5" s="1359" t="s">
        <v>61</v>
      </c>
      <c r="U5" s="1360" t="s">
        <v>57</v>
      </c>
      <c r="V5" s="1322"/>
      <c r="W5" s="1322"/>
      <c r="X5" s="1323"/>
      <c r="Y5" s="1335" t="s">
        <v>377</v>
      </c>
      <c r="Z5" s="1322"/>
      <c r="AA5" s="1323"/>
      <c r="AB5" s="1335" t="s">
        <v>378</v>
      </c>
      <c r="AC5" s="1322"/>
      <c r="AD5" s="1323"/>
      <c r="AE5" s="1335" t="s">
        <v>34</v>
      </c>
      <c r="AF5" s="1322"/>
      <c r="AG5" s="1323"/>
      <c r="AH5" s="1335" t="s">
        <v>64</v>
      </c>
      <c r="AI5" s="1322"/>
      <c r="AJ5" s="1323"/>
      <c r="AK5" s="36"/>
      <c r="AL5" s="1317"/>
      <c r="AM5" s="1320"/>
      <c r="AN5" s="31"/>
      <c r="AO5" s="68"/>
      <c r="AP5" s="69" t="s">
        <v>65</v>
      </c>
      <c r="AQ5" s="58"/>
      <c r="AR5" s="58" t="s">
        <v>66</v>
      </c>
      <c r="AS5" s="58" t="s">
        <v>66</v>
      </c>
      <c r="AT5" s="58" t="s">
        <v>67</v>
      </c>
      <c r="AU5" s="58" t="s">
        <v>68</v>
      </c>
      <c r="AV5" s="58" t="s">
        <v>68</v>
      </c>
      <c r="AW5" s="58" t="s">
        <v>23</v>
      </c>
      <c r="AX5" s="58" t="s">
        <v>26</v>
      </c>
      <c r="AY5" s="58" t="s">
        <v>69</v>
      </c>
      <c r="AZ5" s="70" t="s">
        <v>69</v>
      </c>
      <c r="BA5" s="31"/>
      <c r="BB5" s="71" t="s">
        <v>70</v>
      </c>
      <c r="BC5" s="1445" t="str">
        <f>+CONCATENATE("ACUMULADO ",N3)</f>
        <v>ACUMULADO 2025</v>
      </c>
      <c r="BD5" s="1322"/>
      <c r="BE5" s="1323"/>
      <c r="BF5" s="1440" t="s">
        <v>352</v>
      </c>
      <c r="BG5" s="549" t="s">
        <v>71</v>
      </c>
      <c r="BH5" s="1361" t="str">
        <f>+CONCATENATE("ACUMULADO ",N3)</f>
        <v>ACUMULADO 2025</v>
      </c>
      <c r="BI5" s="1322"/>
      <c r="BJ5" s="1322"/>
      <c r="BK5" s="1442"/>
      <c r="BL5" s="1443" t="s">
        <v>353</v>
      </c>
      <c r="BM5" s="1384" t="s">
        <v>71</v>
      </c>
      <c r="BN5" s="1370" t="str">
        <f>+CONCATENATE("ACUMULADO ",BQ3)</f>
        <v>ACUMULADO 2025</v>
      </c>
      <c r="BO5" s="1371"/>
      <c r="BP5" s="1371"/>
      <c r="BQ5" s="1372"/>
    </row>
    <row r="6" spans="1:69" ht="24.75" customHeight="1" thickBot="1">
      <c r="A6" s="1398"/>
      <c r="B6" s="1401"/>
      <c r="C6" s="76" t="s">
        <v>72</v>
      </c>
      <c r="D6" s="77" t="s">
        <v>73</v>
      </c>
      <c r="E6" s="77" t="s">
        <v>74</v>
      </c>
      <c r="F6" s="78" t="s">
        <v>75</v>
      </c>
      <c r="G6" s="76" t="s">
        <v>76</v>
      </c>
      <c r="H6" s="77" t="s">
        <v>77</v>
      </c>
      <c r="I6" s="78" t="s">
        <v>78</v>
      </c>
      <c r="J6" s="76" t="s">
        <v>76</v>
      </c>
      <c r="K6" s="77" t="s">
        <v>77</v>
      </c>
      <c r="L6" s="78" t="s">
        <v>78</v>
      </c>
      <c r="M6" s="76" t="s">
        <v>79</v>
      </c>
      <c r="N6" s="78" t="s">
        <v>80</v>
      </c>
      <c r="O6" s="31"/>
      <c r="P6" s="79" t="s">
        <v>39</v>
      </c>
      <c r="Q6" s="80" t="s">
        <v>82</v>
      </c>
      <c r="R6" s="31"/>
      <c r="S6" s="1317"/>
      <c r="T6" s="1320"/>
      <c r="U6" s="81" t="s">
        <v>72</v>
      </c>
      <c r="V6" s="82" t="s">
        <v>73</v>
      </c>
      <c r="W6" s="82" t="s">
        <v>74</v>
      </c>
      <c r="X6" s="83" t="s">
        <v>75</v>
      </c>
      <c r="Y6" s="84" t="s">
        <v>76</v>
      </c>
      <c r="Z6" s="82" t="s">
        <v>77</v>
      </c>
      <c r="AA6" s="82" t="s">
        <v>78</v>
      </c>
      <c r="AB6" s="84" t="s">
        <v>76</v>
      </c>
      <c r="AC6" s="82" t="s">
        <v>77</v>
      </c>
      <c r="AD6" s="82" t="s">
        <v>78</v>
      </c>
      <c r="AE6" s="84" t="s">
        <v>76</v>
      </c>
      <c r="AF6" s="82" t="s">
        <v>77</v>
      </c>
      <c r="AG6" s="82" t="s">
        <v>78</v>
      </c>
      <c r="AH6" s="84" t="s">
        <v>29</v>
      </c>
      <c r="AI6" s="82" t="s">
        <v>31</v>
      </c>
      <c r="AJ6" s="83" t="s">
        <v>34</v>
      </c>
      <c r="AK6" s="36"/>
      <c r="AL6" s="76" t="s">
        <v>39</v>
      </c>
      <c r="AM6" s="78" t="s">
        <v>82</v>
      </c>
      <c r="AN6" s="31"/>
      <c r="AO6" s="85"/>
      <c r="AP6" s="86"/>
      <c r="AQ6" s="87" t="s">
        <v>75</v>
      </c>
      <c r="AR6" s="87" t="str">
        <f>+L3</f>
        <v>JUNIO</v>
      </c>
      <c r="AS6" s="87" t="str">
        <f>AR6</f>
        <v>JUNIO</v>
      </c>
      <c r="AT6" s="87" t="str">
        <f>AR6</f>
        <v>JUNIO</v>
      </c>
      <c r="AU6" s="87" t="s">
        <v>53</v>
      </c>
      <c r="AV6" s="87" t="s">
        <v>26</v>
      </c>
      <c r="AW6" s="87"/>
      <c r="AX6" s="87"/>
      <c r="AY6" s="87" t="s">
        <v>53</v>
      </c>
      <c r="AZ6" s="88" t="s">
        <v>26</v>
      </c>
      <c r="BA6" s="31"/>
      <c r="BB6" s="89"/>
      <c r="BC6" s="90" t="s">
        <v>83</v>
      </c>
      <c r="BD6" s="91" t="s">
        <v>84</v>
      </c>
      <c r="BE6" s="92" t="s">
        <v>85</v>
      </c>
      <c r="BF6" s="1441"/>
      <c r="BG6" s="550"/>
      <c r="BH6" s="551" t="s">
        <v>83</v>
      </c>
      <c r="BI6" s="551" t="s">
        <v>86</v>
      </c>
      <c r="BJ6" s="551" t="s">
        <v>87</v>
      </c>
      <c r="BK6" s="552" t="s">
        <v>88</v>
      </c>
      <c r="BL6" s="1444"/>
      <c r="BM6" s="1385"/>
      <c r="BN6" s="96" t="s">
        <v>83</v>
      </c>
      <c r="BO6" s="739" t="s">
        <v>86</v>
      </c>
      <c r="BP6" s="739" t="s">
        <v>87</v>
      </c>
      <c r="BQ6" s="740" t="s">
        <v>88</v>
      </c>
    </row>
    <row r="7" spans="1:69" ht="24.75" customHeight="1" thickBot="1">
      <c r="A7" s="526"/>
      <c r="B7" s="103"/>
      <c r="C7" s="104"/>
      <c r="D7" s="104"/>
      <c r="E7" s="104"/>
      <c r="F7" s="104"/>
      <c r="G7" s="104"/>
      <c r="H7" s="104"/>
      <c r="I7" s="104"/>
      <c r="J7" s="104"/>
      <c r="K7" s="104"/>
      <c r="L7" s="104"/>
      <c r="M7" s="104"/>
      <c r="N7" s="105"/>
      <c r="O7" s="31"/>
      <c r="P7" s="527"/>
      <c r="Q7" s="105"/>
      <c r="R7" s="101"/>
      <c r="S7" s="102"/>
      <c r="T7" s="103"/>
      <c r="U7" s="104"/>
      <c r="V7" s="104"/>
      <c r="W7" s="104"/>
      <c r="X7" s="104"/>
      <c r="Y7" s="104"/>
      <c r="Z7" s="104"/>
      <c r="AA7" s="104"/>
      <c r="AB7" s="104"/>
      <c r="AC7" s="104"/>
      <c r="AD7" s="104"/>
      <c r="AE7" s="104"/>
      <c r="AF7" s="104"/>
      <c r="AG7" s="104"/>
      <c r="AH7" s="104"/>
      <c r="AI7" s="104"/>
      <c r="AJ7" s="105"/>
      <c r="AK7" s="36"/>
      <c r="AL7" s="106"/>
      <c r="AM7" s="107"/>
      <c r="AN7" s="101"/>
      <c r="AO7" s="108"/>
      <c r="AP7" s="109" t="s">
        <v>89</v>
      </c>
      <c r="AQ7" s="110">
        <f>F22</f>
        <v>56030749893.586876</v>
      </c>
      <c r="AR7" s="110">
        <f>I22</f>
        <v>46615380681</v>
      </c>
      <c r="AS7" s="110">
        <f>L22</f>
        <v>27689547740</v>
      </c>
      <c r="AT7" s="101"/>
      <c r="AU7" s="111">
        <f t="shared" ref="AU7:AU17" si="0">IF(AQ7=0," ",AR7/AQ7)</f>
        <v>0.83196067819066377</v>
      </c>
      <c r="AV7" s="111">
        <f t="shared" ref="AV7:AV17" si="1">IF(AQ7=0," ",AS7/AQ7)</f>
        <v>0.49418485015081459</v>
      </c>
      <c r="AW7" s="110">
        <f>I23/AO$2*12+I24</f>
        <v>80108062427</v>
      </c>
      <c r="AX7" s="110">
        <f>L23/AO$2*12+L24</f>
        <v>42256396545</v>
      </c>
      <c r="AY7" s="110">
        <f t="shared" ref="AY7:AY16" si="2">AW7-AQ7</f>
        <v>24077312533.413124</v>
      </c>
      <c r="AZ7" s="112">
        <f t="shared" ref="AZ7:AZ16" si="3">AX7-AQ7</f>
        <v>-13774353348.586876</v>
      </c>
      <c r="BA7" s="101"/>
      <c r="BB7" s="113" t="s">
        <v>90</v>
      </c>
      <c r="BC7" s="114">
        <f>F10</f>
        <v>1179477265</v>
      </c>
      <c r="BD7" s="115">
        <f>I10</f>
        <v>1179477265</v>
      </c>
      <c r="BE7" s="116">
        <f>K10</f>
        <v>0</v>
      </c>
      <c r="BF7" s="553">
        <f>MARZO!BF7+ABRIL!BE7+MAYO!BE7+JUNIO!BE7</f>
        <v>1179477265</v>
      </c>
      <c r="BG7" s="227" t="s">
        <v>91</v>
      </c>
      <c r="BH7" s="554">
        <f>+SUM(BH8:BH11)</f>
        <v>96199401860.611267</v>
      </c>
      <c r="BI7" s="554">
        <f>+SUM(BI8:BI11)</f>
        <v>56504988186</v>
      </c>
      <c r="BJ7" s="554">
        <f>+SUM(BJ8:BJ11)</f>
        <v>46535925456</v>
      </c>
      <c r="BK7" s="554">
        <f>+SUM(BK8:BK11)</f>
        <v>7492288415.5</v>
      </c>
      <c r="BL7" s="555">
        <f>+BK7+MAYO!BK7+ABRIL!BK7+MARZO!BL7</f>
        <v>25763468359.5</v>
      </c>
      <c r="BM7" s="741" t="s">
        <v>91</v>
      </c>
      <c r="BN7" s="121">
        <f>BN8+BN15+BN22</f>
        <v>96199401860.611282</v>
      </c>
      <c r="BO7" s="121">
        <f>BO8+BO15+BO22</f>
        <v>56504988186</v>
      </c>
      <c r="BP7" s="121">
        <f>BP8+BP15+BP22</f>
        <v>46535925456</v>
      </c>
      <c r="BQ7" s="121">
        <f>BQ8+BQ15+BQ22</f>
        <v>7492288415.5</v>
      </c>
    </row>
    <row r="8" spans="1:69" ht="24.75" customHeight="1" thickBot="1">
      <c r="A8" s="123">
        <f>+IF(MAYO!A8=0,"",MAYO!A8)</f>
        <v>1</v>
      </c>
      <c r="B8" s="124" t="str">
        <f>+IF(MAYO!B8=0,"",MAYO!B8)</f>
        <v>INGRESOS</v>
      </c>
      <c r="C8" s="125">
        <f t="shared" ref="C8:N8" si="4">C10+C17+C113</f>
        <v>158143153137.47653</v>
      </c>
      <c r="D8" s="125">
        <f t="shared" si="4"/>
        <v>0</v>
      </c>
      <c r="E8" s="125">
        <f t="shared" si="4"/>
        <v>29662380392</v>
      </c>
      <c r="F8" s="125">
        <f t="shared" si="4"/>
        <v>187805533529.47653</v>
      </c>
      <c r="G8" s="125">
        <f t="shared" si="4"/>
        <v>110998508266</v>
      </c>
      <c r="H8" s="125">
        <f t="shared" si="4"/>
        <v>20273384729</v>
      </c>
      <c r="I8" s="125">
        <f t="shared" si="4"/>
        <v>131271892995</v>
      </c>
      <c r="J8" s="125">
        <f t="shared" si="4"/>
        <v>62331481945</v>
      </c>
      <c r="K8" s="125">
        <f t="shared" si="4"/>
        <v>13779616788</v>
      </c>
      <c r="L8" s="125">
        <f t="shared" si="4"/>
        <v>76111098733</v>
      </c>
      <c r="M8" s="125">
        <f t="shared" si="4"/>
        <v>56533640534.476509</v>
      </c>
      <c r="N8" s="125">
        <f t="shared" si="4"/>
        <v>111694434796.47652</v>
      </c>
      <c r="O8" s="126"/>
      <c r="P8" s="127">
        <f>P10+P17+P113</f>
        <v>0</v>
      </c>
      <c r="Q8" s="128">
        <f>Q10+Q17+Q113</f>
        <v>0</v>
      </c>
      <c r="R8" s="101"/>
      <c r="S8" s="129" t="str">
        <f>+IF(MAYO!S8=0,"",MAYO!S8)</f>
        <v>2</v>
      </c>
      <c r="T8" s="130" t="str">
        <f>+IF(MAYO!T8=0,"",MAYO!T8)</f>
        <v>GASTOS</v>
      </c>
      <c r="U8" s="131">
        <f t="shared" ref="U8:AJ8" si="5">U10+U192+U219+U231</f>
        <v>158143153137.16666</v>
      </c>
      <c r="V8" s="132">
        <f t="shared" si="5"/>
        <v>0</v>
      </c>
      <c r="W8" s="132">
        <f t="shared" si="5"/>
        <v>29662380392</v>
      </c>
      <c r="X8" s="133">
        <f t="shared" si="5"/>
        <v>187805533529.16666</v>
      </c>
      <c r="Y8" s="134">
        <f t="shared" si="5"/>
        <v>122192814379</v>
      </c>
      <c r="Z8" s="132">
        <f t="shared" si="5"/>
        <v>4858557207</v>
      </c>
      <c r="AA8" s="133">
        <f t="shared" si="5"/>
        <v>127051371586</v>
      </c>
      <c r="AB8" s="134">
        <f t="shared" si="5"/>
        <v>91633054485</v>
      </c>
      <c r="AC8" s="132">
        <f t="shared" si="5"/>
        <v>14820191571</v>
      </c>
      <c r="AD8" s="133">
        <f t="shared" si="5"/>
        <v>106453246056</v>
      </c>
      <c r="AE8" s="134">
        <f t="shared" si="5"/>
        <v>57841959014</v>
      </c>
      <c r="AF8" s="132">
        <f t="shared" si="5"/>
        <v>13168744356.5</v>
      </c>
      <c r="AG8" s="133">
        <f t="shared" si="5"/>
        <v>71010703370.5</v>
      </c>
      <c r="AH8" s="134">
        <f t="shared" si="5"/>
        <v>60754161943.166664</v>
      </c>
      <c r="AI8" s="132">
        <f t="shared" si="5"/>
        <v>81352287473.166656</v>
      </c>
      <c r="AJ8" s="135">
        <f t="shared" si="5"/>
        <v>116794830158.66666</v>
      </c>
      <c r="AK8" s="101"/>
      <c r="AL8" s="136">
        <f>AL10+AL192+AL219+AL231</f>
        <v>0</v>
      </c>
      <c r="AM8" s="137">
        <f>AM10+AM192+AM219+AM231</f>
        <v>0</v>
      </c>
      <c r="AN8" s="101"/>
      <c r="AO8" s="108"/>
      <c r="AP8" s="109" t="s">
        <v>93</v>
      </c>
      <c r="AQ8" s="138">
        <f>F25</f>
        <v>98449887678</v>
      </c>
      <c r="AR8" s="138">
        <f>I25</f>
        <v>67915311315</v>
      </c>
      <c r="AS8" s="138">
        <f>L25</f>
        <v>37107063731</v>
      </c>
      <c r="AT8" s="101"/>
      <c r="AU8" s="139">
        <f t="shared" si="0"/>
        <v>0.68984650888714649</v>
      </c>
      <c r="AV8" s="139">
        <f t="shared" si="1"/>
        <v>0.37691321550681761</v>
      </c>
      <c r="AW8" s="138">
        <f>I26/AO$2*12+I27</f>
        <v>107176577862</v>
      </c>
      <c r="AX8" s="138">
        <f>L26/AO$2*12+L27</f>
        <v>45560082694</v>
      </c>
      <c r="AY8" s="138">
        <f t="shared" si="2"/>
        <v>8726690184</v>
      </c>
      <c r="AZ8" s="140">
        <f t="shared" si="3"/>
        <v>-52889804984</v>
      </c>
      <c r="BA8" s="101"/>
      <c r="BB8" s="141" t="s">
        <v>94</v>
      </c>
      <c r="BC8" s="142">
        <f>BC9+BC19</f>
        <v>160562213924.37653</v>
      </c>
      <c r="BD8" s="143">
        <f>BD9+BD19</f>
        <v>86437592316</v>
      </c>
      <c r="BE8" s="142">
        <f>SUM(BE9+BE19+BE18)</f>
        <v>8425267740</v>
      </c>
      <c r="BF8" s="553">
        <f>MARZO!BF8+ABRIL!BE8+MAYO!BE8+JUNIO!BE8</f>
        <v>31282077404</v>
      </c>
      <c r="BG8" s="145" t="s">
        <v>95</v>
      </c>
      <c r="BH8" s="146">
        <f>BN9+BN13</f>
        <v>10756167331.212667</v>
      </c>
      <c r="BI8" s="146">
        <f>BO9+BO13</f>
        <v>3811629813</v>
      </c>
      <c r="BJ8" s="146">
        <f>BP9+BP13</f>
        <v>3811629813</v>
      </c>
      <c r="BK8" s="146">
        <f>BQ9+BQ13</f>
        <v>572737459</v>
      </c>
      <c r="BL8" s="555">
        <f>+BK8+MAYO!BK8+ABRIL!BK8+MARZO!BL8</f>
        <v>3811629813</v>
      </c>
      <c r="BM8" s="743" t="s">
        <v>96</v>
      </c>
      <c r="BN8" s="148">
        <f>BN9+BN14+BN13</f>
        <v>74813473588.212677</v>
      </c>
      <c r="BO8" s="146">
        <f>BO9+BO14+BO13</f>
        <v>45552192538</v>
      </c>
      <c r="BP8" s="146">
        <f>BP9+BP14+BP13</f>
        <v>38754109637</v>
      </c>
      <c r="BQ8" s="744">
        <f>BQ9+BQ14+BQ13</f>
        <v>6424768304</v>
      </c>
    </row>
    <row r="9" spans="1:69" ht="24.75" customHeight="1" thickBot="1">
      <c r="A9" s="149"/>
      <c r="B9" s="150"/>
      <c r="C9" s="151"/>
      <c r="D9" s="151"/>
      <c r="E9" s="151"/>
      <c r="F9" s="151"/>
      <c r="G9" s="151"/>
      <c r="H9" s="151"/>
      <c r="I9" s="151"/>
      <c r="J9" s="151"/>
      <c r="K9" s="151"/>
      <c r="L9" s="151"/>
      <c r="M9" s="151"/>
      <c r="N9" s="152"/>
      <c r="O9" s="126"/>
      <c r="P9" s="153"/>
      <c r="Q9" s="152"/>
      <c r="R9" s="101"/>
      <c r="S9" s="102"/>
      <c r="T9" s="103"/>
      <c r="U9" s="104"/>
      <c r="V9" s="104"/>
      <c r="W9" s="104"/>
      <c r="X9" s="104"/>
      <c r="Y9" s="104"/>
      <c r="Z9" s="104"/>
      <c r="AA9" s="104"/>
      <c r="AB9" s="104"/>
      <c r="AC9" s="104"/>
      <c r="AD9" s="104"/>
      <c r="AE9" s="104"/>
      <c r="AF9" s="104"/>
      <c r="AG9" s="104"/>
      <c r="AH9" s="104"/>
      <c r="AI9" s="104"/>
      <c r="AJ9" s="105"/>
      <c r="AK9" s="101"/>
      <c r="AL9" s="154"/>
      <c r="AM9" s="155"/>
      <c r="AN9" s="101"/>
      <c r="AO9" s="156"/>
      <c r="AP9" s="109" t="s">
        <v>97</v>
      </c>
      <c r="AQ9" s="138">
        <f>F28+F75</f>
        <v>2299679776</v>
      </c>
      <c r="AR9" s="138">
        <f>I28+I75</f>
        <v>1167220882</v>
      </c>
      <c r="AS9" s="138">
        <f>L28+L75</f>
        <v>1008797624</v>
      </c>
      <c r="AT9" s="101"/>
      <c r="AU9" s="157">
        <f t="shared" si="0"/>
        <v>0.50755800619781599</v>
      </c>
      <c r="AV9" s="157">
        <f t="shared" si="1"/>
        <v>0.43866873750339058</v>
      </c>
      <c r="AW9" s="158">
        <f>(I30+I33+I36+I76)/AO$2*12+I31+I34+I37+I38+I39+I40+I77</f>
        <v>2039595088</v>
      </c>
      <c r="AX9" s="158">
        <f>(L30+L33+L36+L76)/AO$2*12+L31+L34+L37+L38+L39+L40+L77</f>
        <v>1722748572</v>
      </c>
      <c r="AY9" s="158">
        <f t="shared" si="2"/>
        <v>-260084688</v>
      </c>
      <c r="AZ9" s="159">
        <f t="shared" si="3"/>
        <v>-576931204</v>
      </c>
      <c r="BA9" s="101"/>
      <c r="BB9" s="160" t="s">
        <v>98</v>
      </c>
      <c r="BC9" s="161">
        <f>BC10+BC18</f>
        <v>159649989034.37653</v>
      </c>
      <c r="BD9" s="162">
        <f>BD10+BD18</f>
        <v>85678095553</v>
      </c>
      <c r="BE9" s="161">
        <f>BE10+BE16</f>
        <v>7849796688</v>
      </c>
      <c r="BF9" s="553">
        <f>MARZO!BF9+ABRIL!BE9+MAYO!BE9+JUNIO!BE9</f>
        <v>30552431532</v>
      </c>
      <c r="BG9" s="165" t="s">
        <v>99</v>
      </c>
      <c r="BH9" s="166">
        <f t="shared" ref="BH9:BK10" si="6">BN14</f>
        <v>64057306257</v>
      </c>
      <c r="BI9" s="166">
        <f t="shared" si="6"/>
        <v>41740562725</v>
      </c>
      <c r="BJ9" s="166">
        <f t="shared" si="6"/>
        <v>34942479824</v>
      </c>
      <c r="BK9" s="166">
        <f t="shared" si="6"/>
        <v>5852030845</v>
      </c>
      <c r="BL9" s="555">
        <f>+BK9+MAYO!BK9+ABRIL!BK9+MARZO!BL9</f>
        <v>16727568537</v>
      </c>
      <c r="BM9" s="745" t="s">
        <v>100</v>
      </c>
      <c r="BN9" s="168">
        <f>SUM(BN10:BN12)</f>
        <v>8090515927.916667</v>
      </c>
      <c r="BO9" s="574">
        <f>SUM(BO10:BO12)</f>
        <v>2893404580</v>
      </c>
      <c r="BP9" s="166">
        <f>SUM(BP10:BP12)</f>
        <v>2893404580</v>
      </c>
      <c r="BQ9" s="746">
        <f>SUM(BQ10:BQ12)</f>
        <v>436893010</v>
      </c>
    </row>
    <row r="10" spans="1:69" ht="24.75" customHeight="1">
      <c r="A10" s="169" t="str">
        <f>+IF(MAYO!A10=0,"",MAYO!A10)</f>
        <v>1.0</v>
      </c>
      <c r="B10" s="170" t="str">
        <f>+IF(MAYO!B10=0,"",MAYO!B10)</f>
        <v>DISPONIBILIDAD INICIAL</v>
      </c>
      <c r="C10" s="171">
        <f t="shared" ref="C10:N10" si="7">SUM(C12:C15)</f>
        <v>0</v>
      </c>
      <c r="D10" s="172">
        <f t="shared" si="7"/>
        <v>0</v>
      </c>
      <c r="E10" s="172">
        <f t="shared" si="7"/>
        <v>1179477265</v>
      </c>
      <c r="F10" s="173">
        <f t="shared" si="7"/>
        <v>1179477265</v>
      </c>
      <c r="G10" s="174">
        <f t="shared" si="7"/>
        <v>1179477265</v>
      </c>
      <c r="H10" s="172">
        <f t="shared" si="7"/>
        <v>0</v>
      </c>
      <c r="I10" s="175">
        <f t="shared" si="7"/>
        <v>1179477265</v>
      </c>
      <c r="J10" s="171">
        <f t="shared" si="7"/>
        <v>1179477265</v>
      </c>
      <c r="K10" s="172">
        <f t="shared" si="7"/>
        <v>0</v>
      </c>
      <c r="L10" s="173">
        <f t="shared" si="7"/>
        <v>1179477265</v>
      </c>
      <c r="M10" s="171">
        <f t="shared" si="7"/>
        <v>0</v>
      </c>
      <c r="N10" s="173">
        <f t="shared" si="7"/>
        <v>0</v>
      </c>
      <c r="O10" s="101"/>
      <c r="P10" s="171">
        <f>SUM(P12:P15)</f>
        <v>0</v>
      </c>
      <c r="Q10" s="173">
        <f>SUM(Q12:Q15)</f>
        <v>0</v>
      </c>
      <c r="R10" s="101" t="s">
        <v>687</v>
      </c>
      <c r="S10" s="176" t="str">
        <f>+IF(MAYO!S10=0,"",MAYO!S10)</f>
        <v>2.1</v>
      </c>
      <c r="T10" s="177" t="str">
        <f>+IF(MAYO!T10=0,"",MAYO!T10)</f>
        <v>GASTOS DE FUNCIONAMIENTO</v>
      </c>
      <c r="U10" s="178">
        <f t="shared" ref="U10:AJ10" si="8">U12+U110+U168</f>
        <v>112528788023.5</v>
      </c>
      <c r="V10" s="179">
        <f t="shared" si="8"/>
        <v>0</v>
      </c>
      <c r="W10" s="179">
        <f t="shared" si="8"/>
        <v>4956877497</v>
      </c>
      <c r="X10" s="182">
        <f t="shared" si="8"/>
        <v>117485665520.5</v>
      </c>
      <c r="Y10" s="181">
        <f t="shared" si="8"/>
        <v>73590002140</v>
      </c>
      <c r="Z10" s="179">
        <f t="shared" si="8"/>
        <v>1784576259</v>
      </c>
      <c r="AA10" s="182">
        <f t="shared" si="8"/>
        <v>75374578399</v>
      </c>
      <c r="AB10" s="181">
        <f t="shared" si="8"/>
        <v>57254743646</v>
      </c>
      <c r="AC10" s="179">
        <f t="shared" si="8"/>
        <v>8150772023</v>
      </c>
      <c r="AD10" s="182">
        <f t="shared" si="8"/>
        <v>65405515669</v>
      </c>
      <c r="AE10" s="181">
        <f t="shared" si="8"/>
        <v>37109495332</v>
      </c>
      <c r="AF10" s="179">
        <f t="shared" si="8"/>
        <v>7523533040.5</v>
      </c>
      <c r="AG10" s="182">
        <f t="shared" si="8"/>
        <v>44633028372.5</v>
      </c>
      <c r="AH10" s="181">
        <f t="shared" si="8"/>
        <v>42111087121.5</v>
      </c>
      <c r="AI10" s="179">
        <f t="shared" si="8"/>
        <v>52080149851.5</v>
      </c>
      <c r="AJ10" s="180">
        <f t="shared" si="8"/>
        <v>72852637148</v>
      </c>
      <c r="AK10" s="101"/>
      <c r="AL10" s="183">
        <f>AL12+AL110+AL168</f>
        <v>0</v>
      </c>
      <c r="AM10" s="184">
        <f>AM12+AM110+AM168</f>
        <v>0</v>
      </c>
      <c r="AN10" s="101"/>
      <c r="AO10" s="156"/>
      <c r="AP10" s="109" t="s">
        <v>102</v>
      </c>
      <c r="AQ10" s="138">
        <f>F42</f>
        <v>287170800</v>
      </c>
      <c r="AR10" s="138">
        <f>I42</f>
        <v>81686424</v>
      </c>
      <c r="AS10" s="138">
        <f>L42</f>
        <v>59611819</v>
      </c>
      <c r="AT10" s="101"/>
      <c r="AU10" s="157">
        <f t="shared" si="0"/>
        <v>0.28445240254231974</v>
      </c>
      <c r="AV10" s="157">
        <f t="shared" si="1"/>
        <v>0.2075831491224038</v>
      </c>
      <c r="AW10" s="158">
        <f>I43/AO$2*12+I44</f>
        <v>106605262</v>
      </c>
      <c r="AX10" s="158">
        <f>L43/AO$2*12+L44</f>
        <v>62456052</v>
      </c>
      <c r="AY10" s="158">
        <f t="shared" si="2"/>
        <v>-180565538</v>
      </c>
      <c r="AZ10" s="159">
        <f t="shared" si="3"/>
        <v>-224714748</v>
      </c>
      <c r="BA10" s="101"/>
      <c r="BB10" s="185" t="s">
        <v>103</v>
      </c>
      <c r="BC10" s="161">
        <f>BC11+BC12+BC13+BC14+BC16+BC17+BC15</f>
        <v>159649989034.37653</v>
      </c>
      <c r="BD10" s="162">
        <f>BD11+BD12+BD13+BD14+BD16+BD17+BD15</f>
        <v>85678095553</v>
      </c>
      <c r="BE10" s="161">
        <f>SUM(BE11+BE12+BE13+BE14+BE17)</f>
        <v>6962873679</v>
      </c>
      <c r="BF10" s="553">
        <f>MARZO!BF10+ABRIL!BE10+MAYO!BE10+JUNIO!BE10</f>
        <v>24439062842</v>
      </c>
      <c r="BG10" s="145" t="s">
        <v>104</v>
      </c>
      <c r="BH10" s="186">
        <f t="shared" si="6"/>
        <v>18176867687.398609</v>
      </c>
      <c r="BI10" s="186">
        <f t="shared" si="6"/>
        <v>10190745892</v>
      </c>
      <c r="BJ10" s="186">
        <f t="shared" si="6"/>
        <v>7019766063</v>
      </c>
      <c r="BK10" s="186">
        <f t="shared" si="6"/>
        <v>950959107</v>
      </c>
      <c r="BL10" s="555">
        <f>+BK10+MAYO!BK10+ABRIL!BK10+MARZO!BL10</f>
        <v>4586919113</v>
      </c>
      <c r="BM10" s="747" t="s">
        <v>105</v>
      </c>
      <c r="BN10" s="188">
        <f>X17+X66</f>
        <v>6464913230</v>
      </c>
      <c r="BO10" s="575">
        <f>AA17+AA66</f>
        <v>2439605037</v>
      </c>
      <c r="BP10" s="186">
        <f>AD17+AD66</f>
        <v>2439605037</v>
      </c>
      <c r="BQ10" s="748">
        <f>AF17+AF66</f>
        <v>376040851</v>
      </c>
    </row>
    <row r="11" spans="1:69" ht="24.75" customHeight="1">
      <c r="A11" s="149"/>
      <c r="B11" s="150"/>
      <c r="C11" s="151"/>
      <c r="D11" s="151"/>
      <c r="E11" s="151"/>
      <c r="F11" s="151"/>
      <c r="G11" s="151"/>
      <c r="H11" s="151"/>
      <c r="I11" s="151"/>
      <c r="J11" s="151"/>
      <c r="K11" s="151"/>
      <c r="L11" s="151"/>
      <c r="M11" s="151"/>
      <c r="N11" s="152"/>
      <c r="O11" s="126"/>
      <c r="P11" s="153"/>
      <c r="Q11" s="152"/>
      <c r="R11" s="101"/>
      <c r="S11" s="189"/>
      <c r="T11" s="488"/>
      <c r="U11" s="191"/>
      <c r="V11" s="191"/>
      <c r="W11" s="191"/>
      <c r="X11" s="191"/>
      <c r="Y11" s="191"/>
      <c r="Z11" s="191"/>
      <c r="AA11" s="191"/>
      <c r="AB11" s="191"/>
      <c r="AC11" s="191"/>
      <c r="AD11" s="191"/>
      <c r="AE11" s="191"/>
      <c r="AF11" s="191"/>
      <c r="AG11" s="191"/>
      <c r="AH11" s="191"/>
      <c r="AI11" s="191"/>
      <c r="AJ11" s="192"/>
      <c r="AK11" s="101"/>
      <c r="AL11" s="194"/>
      <c r="AM11" s="195"/>
      <c r="AN11" s="101"/>
      <c r="AO11" s="196" t="s">
        <v>50</v>
      </c>
      <c r="AP11" s="197" t="s">
        <v>106</v>
      </c>
      <c r="AQ11" s="138">
        <f>F88</f>
        <v>2337265046</v>
      </c>
      <c r="AR11" s="138">
        <f>I88</f>
        <v>2337265046</v>
      </c>
      <c r="AS11" s="138">
        <f>L88</f>
        <v>2278833420</v>
      </c>
      <c r="AT11" s="198">
        <f>AO2/12</f>
        <v>0.5</v>
      </c>
      <c r="AU11" s="157">
        <f t="shared" si="0"/>
        <v>1</v>
      </c>
      <c r="AV11" s="157">
        <f t="shared" si="1"/>
        <v>0.97500000006417753</v>
      </c>
      <c r="AW11" s="158">
        <f>I88</f>
        <v>2337265046</v>
      </c>
      <c r="AX11" s="158">
        <f>L88</f>
        <v>2278833420</v>
      </c>
      <c r="AY11" s="158">
        <f t="shared" si="2"/>
        <v>0</v>
      </c>
      <c r="AZ11" s="159">
        <f t="shared" si="3"/>
        <v>-58431626</v>
      </c>
      <c r="BA11" s="101"/>
      <c r="BB11" s="185" t="s">
        <v>107</v>
      </c>
      <c r="BC11" s="161">
        <f>F26</f>
        <v>81866799864</v>
      </c>
      <c r="BD11" s="162">
        <f>I26</f>
        <v>39261266547</v>
      </c>
      <c r="BE11" s="161">
        <f>SUM(K26)</f>
        <v>3050627675</v>
      </c>
      <c r="BF11" s="553">
        <f>MARZO!BF11+ABRIL!BE11+MAYO!BE11+JUNIO!BE11</f>
        <v>8453018963</v>
      </c>
      <c r="BG11" s="145" t="s">
        <v>108</v>
      </c>
      <c r="BH11" s="199">
        <f>BN22</f>
        <v>3209060585</v>
      </c>
      <c r="BI11" s="199">
        <f>BO22</f>
        <v>762049756</v>
      </c>
      <c r="BJ11" s="199">
        <f>BP22</f>
        <v>762049756</v>
      </c>
      <c r="BK11" s="199">
        <f>BQ22</f>
        <v>116561004.5</v>
      </c>
      <c r="BL11" s="555">
        <f>+BK11+MAYO!BK11+ABRIL!BK11+MARZO!BL11</f>
        <v>637350896.5</v>
      </c>
      <c r="BM11" s="749" t="s">
        <v>109</v>
      </c>
      <c r="BN11" s="201">
        <f>X18+X67</f>
        <v>17000000</v>
      </c>
      <c r="BO11" s="576">
        <f>AA18+AA67</f>
        <v>6450894</v>
      </c>
      <c r="BP11" s="199">
        <f>AD18+AD67</f>
        <v>6450894</v>
      </c>
      <c r="BQ11" s="750">
        <f>AF18+AF67</f>
        <v>1252149</v>
      </c>
    </row>
    <row r="12" spans="1:69" ht="24.75" customHeight="1">
      <c r="A12" s="202" t="str">
        <f>+IF(MAYO!A12=0,"",MAYO!A12)</f>
        <v>1.0.01</v>
      </c>
      <c r="B12" s="203" t="str">
        <f>+IF(MAYO!B12=0,"",MAYO!B12)</f>
        <v>Caja</v>
      </c>
      <c r="C12" s="204">
        <f>+ENERO!C12</f>
        <v>0</v>
      </c>
      <c r="D12" s="205">
        <f>MAYO!D12+JUNIO!P12</f>
        <v>0</v>
      </c>
      <c r="E12" s="205">
        <f>MAYO!E12+JUNIO!Q12</f>
        <v>3941159</v>
      </c>
      <c r="F12" s="206">
        <f>SUM(C12:E12)</f>
        <v>3941159</v>
      </c>
      <c r="G12" s="207">
        <f>MAYO!I12</f>
        <v>3941159</v>
      </c>
      <c r="H12" s="208">
        <v>0</v>
      </c>
      <c r="I12" s="206">
        <f>SUM(G12:H12)</f>
        <v>3941159</v>
      </c>
      <c r="J12" s="207">
        <f>MAYO!L12</f>
        <v>3941159</v>
      </c>
      <c r="K12" s="209">
        <f>+H12</f>
        <v>0</v>
      </c>
      <c r="L12" s="206">
        <f>SUM(J12:K12)</f>
        <v>3941159</v>
      </c>
      <c r="M12" s="207">
        <f>F12-I12</f>
        <v>0</v>
      </c>
      <c r="N12" s="206">
        <f>F12-L12</f>
        <v>0</v>
      </c>
      <c r="O12" s="67"/>
      <c r="P12" s="204">
        <v>0</v>
      </c>
      <c r="Q12" s="210">
        <v>0</v>
      </c>
      <c r="R12" s="101"/>
      <c r="S12" s="211" t="str">
        <f>+IF(MAYO!S12=0,"",MAYO!S12)</f>
        <v>2.1.1</v>
      </c>
      <c r="T12" s="212" t="str">
        <f>+IF(MAYO!T12=0,"",MAYO!T12)</f>
        <v>GASTOS DE PERSONAL</v>
      </c>
      <c r="U12" s="213">
        <f t="shared" ref="U12:AJ12" si="9">U14+U63</f>
        <v>88367557767.879166</v>
      </c>
      <c r="V12" s="214">
        <f t="shared" si="9"/>
        <v>514062130</v>
      </c>
      <c r="W12" s="214">
        <f t="shared" si="9"/>
        <v>2928182761</v>
      </c>
      <c r="X12" s="215">
        <f t="shared" si="9"/>
        <v>91809802658.879166</v>
      </c>
      <c r="Y12" s="183">
        <f t="shared" si="9"/>
        <v>61962650168</v>
      </c>
      <c r="Z12" s="214">
        <f t="shared" si="9"/>
        <v>572737459</v>
      </c>
      <c r="AA12" s="215">
        <f t="shared" si="9"/>
        <v>62535387627</v>
      </c>
      <c r="AB12" s="183">
        <f t="shared" si="9"/>
        <v>49044384719</v>
      </c>
      <c r="AC12" s="214">
        <f t="shared" si="9"/>
        <v>6692920007</v>
      </c>
      <c r="AD12" s="215">
        <f t="shared" si="9"/>
        <v>55737304726</v>
      </c>
      <c r="AE12" s="183">
        <f t="shared" si="9"/>
        <v>31097625135</v>
      </c>
      <c r="AF12" s="214">
        <f t="shared" si="9"/>
        <v>6424768304</v>
      </c>
      <c r="AG12" s="215">
        <f t="shared" si="9"/>
        <v>37522393439</v>
      </c>
      <c r="AH12" s="183">
        <f t="shared" si="9"/>
        <v>29274415031.879166</v>
      </c>
      <c r="AI12" s="214">
        <f t="shared" si="9"/>
        <v>36072497932.879166</v>
      </c>
      <c r="AJ12" s="184">
        <f t="shared" si="9"/>
        <v>54287409219.879166</v>
      </c>
      <c r="AK12" s="216"/>
      <c r="AL12" s="217">
        <f>AL14+AL63</f>
        <v>-150000000</v>
      </c>
      <c r="AM12" s="218">
        <f>AM14+AM63</f>
        <v>0</v>
      </c>
      <c r="AN12" s="101"/>
      <c r="AO12" s="196"/>
      <c r="AP12" s="197" t="s">
        <v>111</v>
      </c>
      <c r="AQ12" s="138">
        <f>F89+F92</f>
        <v>9574697797</v>
      </c>
      <c r="AR12" s="138">
        <f>I89+I92</f>
        <v>2100381532</v>
      </c>
      <c r="AS12" s="138">
        <f>L89+L92</f>
        <v>2079377717</v>
      </c>
      <c r="AT12" s="101"/>
      <c r="AU12" s="157">
        <f t="shared" si="0"/>
        <v>0.21936791912723383</v>
      </c>
      <c r="AV12" s="157">
        <f t="shared" si="1"/>
        <v>0.21717423996938293</v>
      </c>
      <c r="AW12" s="158">
        <f>I89</f>
        <v>2100381532</v>
      </c>
      <c r="AX12" s="158">
        <f>L89</f>
        <v>2079377717</v>
      </c>
      <c r="AY12" s="158">
        <f t="shared" si="2"/>
        <v>-7474316265</v>
      </c>
      <c r="AZ12" s="159">
        <f t="shared" si="3"/>
        <v>-7495320080</v>
      </c>
      <c r="BA12" s="101"/>
      <c r="BB12" s="185" t="s">
        <v>112</v>
      </c>
      <c r="BC12" s="161">
        <f>F23</f>
        <v>49300076925.586876</v>
      </c>
      <c r="BD12" s="162">
        <f>I23</f>
        <v>33492681746</v>
      </c>
      <c r="BE12" s="161">
        <f>SUM(K23)</f>
        <v>3359282882</v>
      </c>
      <c r="BF12" s="553">
        <f>MARZO!BF12+ABRIL!BE12+MAYO!BE12+JUNIO!BE12</f>
        <v>14566848805</v>
      </c>
      <c r="BG12" s="219" t="s">
        <v>113</v>
      </c>
      <c r="BH12" s="199">
        <f>BN25</f>
        <v>35575849515.333328</v>
      </c>
      <c r="BI12" s="199">
        <f>BO25</f>
        <v>27308440459</v>
      </c>
      <c r="BJ12" s="199">
        <f>BP25</f>
        <v>23075201414</v>
      </c>
      <c r="BK12" s="199">
        <f>BQ25</f>
        <v>3660022623</v>
      </c>
      <c r="BL12" s="555">
        <f>+BK12+MAYO!BK12+ABRIL!BK12+MARZO!BL12</f>
        <v>11133215369</v>
      </c>
      <c r="BM12" s="751" t="s">
        <v>114</v>
      </c>
      <c r="BN12" s="201">
        <f>X16+X65-X81-X33-BN10-BN11</f>
        <v>1608602697.916667</v>
      </c>
      <c r="BO12" s="576">
        <f>AA16+AA65-AA81-AA33-BO10-BO11</f>
        <v>447348649</v>
      </c>
      <c r="BP12" s="199">
        <f>AD16+AD65-AD81-AD33-BP10-BP11</f>
        <v>447348649</v>
      </c>
      <c r="BQ12" s="750">
        <f>AF16+AF65-AF81-AF33-BQ10-BQ11</f>
        <v>59600010</v>
      </c>
    </row>
    <row r="13" spans="1:69" ht="24.75" customHeight="1">
      <c r="A13" s="202" t="str">
        <f>+IF(MAYO!A13=0,"",MAYO!A13)</f>
        <v>1.0.02</v>
      </c>
      <c r="B13" s="203" t="str">
        <f>+IF(MAYO!B13=0,"",MAYO!B13)</f>
        <v>Bancos</v>
      </c>
      <c r="C13" s="204">
        <f>+ENERO!C13</f>
        <v>0</v>
      </c>
      <c r="D13" s="205">
        <f>MAYO!D13+JUNIO!P13</f>
        <v>0</v>
      </c>
      <c r="E13" s="205">
        <f>MAYO!E13+JUNIO!Q13</f>
        <v>554873586</v>
      </c>
      <c r="F13" s="206">
        <f>SUM(C13:E13)</f>
        <v>554873586</v>
      </c>
      <c r="G13" s="207">
        <f>MAYO!I13</f>
        <v>554873586</v>
      </c>
      <c r="H13" s="208">
        <v>0</v>
      </c>
      <c r="I13" s="206">
        <f>SUM(G13:H13)</f>
        <v>554873586</v>
      </c>
      <c r="J13" s="207">
        <f>MAYO!L13</f>
        <v>554873586</v>
      </c>
      <c r="K13" s="209">
        <f>+H13</f>
        <v>0</v>
      </c>
      <c r="L13" s="206">
        <f>SUM(J13:K13)</f>
        <v>554873586</v>
      </c>
      <c r="M13" s="207">
        <f>F13-I13</f>
        <v>0</v>
      </c>
      <c r="N13" s="206">
        <f>F13-L13</f>
        <v>0</v>
      </c>
      <c r="O13" s="67"/>
      <c r="P13" s="204">
        <v>0</v>
      </c>
      <c r="Q13" s="210">
        <v>0</v>
      </c>
      <c r="R13" s="101"/>
      <c r="S13" s="189"/>
      <c r="T13" s="488"/>
      <c r="U13" s="191"/>
      <c r="V13" s="191"/>
      <c r="W13" s="191"/>
      <c r="X13" s="191"/>
      <c r="Y13" s="191"/>
      <c r="Z13" s="191"/>
      <c r="AA13" s="191"/>
      <c r="AB13" s="191"/>
      <c r="AC13" s="191"/>
      <c r="AD13" s="191"/>
      <c r="AE13" s="191"/>
      <c r="AF13" s="191"/>
      <c r="AG13" s="191"/>
      <c r="AH13" s="191"/>
      <c r="AI13" s="191"/>
      <c r="AJ13" s="192"/>
      <c r="AK13" s="216"/>
      <c r="AL13" s="194"/>
      <c r="AM13" s="195"/>
      <c r="AN13" s="101"/>
      <c r="AO13" s="221"/>
      <c r="AP13" s="197" t="s">
        <v>115</v>
      </c>
      <c r="AQ13" s="138">
        <f>F90</f>
        <v>9662757523</v>
      </c>
      <c r="AR13" s="138">
        <f>I90</f>
        <v>4934866653</v>
      </c>
      <c r="AS13" s="138">
        <f>L90</f>
        <v>1755157553</v>
      </c>
      <c r="AT13" s="101"/>
      <c r="AU13" s="157">
        <f t="shared" si="0"/>
        <v>0.51070997499975246</v>
      </c>
      <c r="AV13" s="157">
        <f t="shared" si="1"/>
        <v>0.18164147747909912</v>
      </c>
      <c r="AW13" s="158">
        <f>I90</f>
        <v>4934866653</v>
      </c>
      <c r="AX13" s="158">
        <f>L90</f>
        <v>1755157553</v>
      </c>
      <c r="AY13" s="158">
        <f t="shared" si="2"/>
        <v>-4727890870</v>
      </c>
      <c r="AZ13" s="159">
        <f t="shared" si="3"/>
        <v>-7907599970</v>
      </c>
      <c r="BA13" s="67"/>
      <c r="BB13" s="236" t="s">
        <v>116</v>
      </c>
      <c r="BC13" s="223">
        <f>+F30+F33+F36+F38+F39+F40</f>
        <v>1140706891</v>
      </c>
      <c r="BD13" s="224">
        <f>+I30+I33+I36+I38+I39+I40</f>
        <v>782446004</v>
      </c>
      <c r="BE13" s="161">
        <f>SUM(K33)</f>
        <v>381904601</v>
      </c>
      <c r="BF13" s="553">
        <f>MARZO!BF13+ABRIL!BE13+MAYO!BE13+JUNIO!BE13</f>
        <v>713778648</v>
      </c>
      <c r="BG13" s="227" t="s">
        <v>117</v>
      </c>
      <c r="BH13" s="199">
        <f t="shared" ref="BH13:BK15" si="10">BN29</f>
        <v>21574720366</v>
      </c>
      <c r="BI13" s="199">
        <f t="shared" si="10"/>
        <v>15453425304</v>
      </c>
      <c r="BJ13" s="199">
        <f t="shared" si="10"/>
        <v>9063801549</v>
      </c>
      <c r="BK13" s="199">
        <f t="shared" si="10"/>
        <v>1673489045</v>
      </c>
      <c r="BL13" s="555">
        <f>+BK13+MAYO!BK13+ABRIL!BK13+MARZO!BL13</f>
        <v>6335732207</v>
      </c>
      <c r="BM13" s="745" t="s">
        <v>118</v>
      </c>
      <c r="BN13" s="188">
        <f>X43-X55+X57-X61+X90-X102+X104-X108</f>
        <v>2665651403.2960005</v>
      </c>
      <c r="BO13" s="575">
        <f>AA43-AA55+AA57-AA61+AA90-AA102+AA104-AA108</f>
        <v>918225233</v>
      </c>
      <c r="BP13" s="186">
        <f>AD43-AD55+AD57-AD61+AD90-AD102+AD104-AD108</f>
        <v>918225233</v>
      </c>
      <c r="BQ13" s="748">
        <f>AF43-AF55+AF57-AF61+AF90-AF102+AF104-AF108</f>
        <v>135844449</v>
      </c>
    </row>
    <row r="14" spans="1:69" ht="24.75" customHeight="1">
      <c r="A14" s="202" t="str">
        <f>+IF(MAYO!A14=0,"",MAYO!A14)</f>
        <v>1.0.03</v>
      </c>
      <c r="B14" s="203" t="str">
        <f>+IF(MAYO!B14=0,"",MAYO!B14)</f>
        <v>Inversiones Temporales</v>
      </c>
      <c r="C14" s="204">
        <f>+ENERO!C14</f>
        <v>0</v>
      </c>
      <c r="D14" s="205">
        <f>MAYO!D14+JUNIO!P14</f>
        <v>0</v>
      </c>
      <c r="E14" s="205">
        <f>MAYO!E14+JUNIO!Q14</f>
        <v>620662520</v>
      </c>
      <c r="F14" s="206">
        <f>SUM(C14:E14)</f>
        <v>620662520</v>
      </c>
      <c r="G14" s="207">
        <f>MAYO!I14</f>
        <v>620662520</v>
      </c>
      <c r="H14" s="208">
        <v>0</v>
      </c>
      <c r="I14" s="206">
        <f>SUM(G14:H14)</f>
        <v>620662520</v>
      </c>
      <c r="J14" s="207">
        <f>MAYO!L14</f>
        <v>620662520</v>
      </c>
      <c r="K14" s="209">
        <f>+H14</f>
        <v>0</v>
      </c>
      <c r="L14" s="206">
        <f>SUM(J14:K14)</f>
        <v>620662520</v>
      </c>
      <c r="M14" s="207">
        <f>F14-I14</f>
        <v>0</v>
      </c>
      <c r="N14" s="206">
        <f>F14-L14</f>
        <v>0</v>
      </c>
      <c r="O14" s="67"/>
      <c r="P14" s="204">
        <v>0</v>
      </c>
      <c r="Q14" s="210">
        <v>0</v>
      </c>
      <c r="R14" s="101"/>
      <c r="S14" s="228" t="str">
        <f>+IF(MAYO!S14=0,"",MAYO!S14)</f>
        <v>2.1.1.01</v>
      </c>
      <c r="T14" s="229" t="str">
        <f>+IF(MAYO!T14=0,"",MAYO!T14)</f>
        <v>Gastos de Administración</v>
      </c>
      <c r="U14" s="230">
        <f t="shared" ref="U14:AJ14" si="11">U16+U35+U43+U57</f>
        <v>23848754297.879169</v>
      </c>
      <c r="V14" s="231">
        <f t="shared" si="11"/>
        <v>3037062130</v>
      </c>
      <c r="W14" s="231">
        <f t="shared" si="11"/>
        <v>0</v>
      </c>
      <c r="X14" s="234">
        <f t="shared" si="11"/>
        <v>26885816427.879169</v>
      </c>
      <c r="Y14" s="233">
        <f t="shared" si="11"/>
        <v>14763065447</v>
      </c>
      <c r="Z14" s="231">
        <f t="shared" si="11"/>
        <v>572737459</v>
      </c>
      <c r="AA14" s="234">
        <f t="shared" si="11"/>
        <v>15335802906</v>
      </c>
      <c r="AB14" s="233">
        <f t="shared" si="11"/>
        <v>12317145432</v>
      </c>
      <c r="AC14" s="231">
        <f t="shared" si="11"/>
        <v>1939009420</v>
      </c>
      <c r="AD14" s="234">
        <f t="shared" si="11"/>
        <v>14256154852</v>
      </c>
      <c r="AE14" s="233">
        <f>AE16+AE35+AE43+AE57</f>
        <v>8703467767</v>
      </c>
      <c r="AF14" s="231">
        <f t="shared" si="11"/>
        <v>1660919128</v>
      </c>
      <c r="AG14" s="234">
        <f t="shared" si="11"/>
        <v>10364386895</v>
      </c>
      <c r="AH14" s="233">
        <f t="shared" si="11"/>
        <v>11550013521.879168</v>
      </c>
      <c r="AI14" s="231">
        <f t="shared" si="11"/>
        <v>12629661575.879168</v>
      </c>
      <c r="AJ14" s="232">
        <f t="shared" si="11"/>
        <v>16521429532.879168</v>
      </c>
      <c r="AK14" s="216"/>
      <c r="AL14" s="233">
        <f>AL16+AL35+AL43+AL57</f>
        <v>2300000000</v>
      </c>
      <c r="AM14" s="232">
        <f>AM16+AM35+AM43+AM57</f>
        <v>0</v>
      </c>
      <c r="AN14" s="101"/>
      <c r="AO14" s="108"/>
      <c r="AP14" s="109" t="s">
        <v>120</v>
      </c>
      <c r="AQ14" s="138">
        <f>F19-AQ7-AQ8-AQ9-AQ10-AQ11-AQ12-AQ13+F104+F94</f>
        <v>7983847750.8896484</v>
      </c>
      <c r="AR14" s="138">
        <f>I19-AR7-AR8-AR9-AR10-AR11-AR12-AR13+I94+I104</f>
        <v>4940303197</v>
      </c>
      <c r="AS14" s="138">
        <f>L19-AS7-AS8-AS9-AS10-AS11-AS12-AS13+L94+L104</f>
        <v>2953231864</v>
      </c>
      <c r="AT14" s="67"/>
      <c r="AU14" s="157">
        <f t="shared" si="0"/>
        <v>0.61878725035174886</v>
      </c>
      <c r="AV14" s="157">
        <f t="shared" si="1"/>
        <v>0.36990082428249188</v>
      </c>
      <c r="AW14" s="158">
        <f>(I41+I46+I49+I52+I55+I58+I61+I64+I67+I70+I73+I78+I81+I82+I83+I85+I94+I104)/AO$2*12+I47+I50+I53+I56+I59+I62+I65+I68+I71+I74</f>
        <v>27563644657</v>
      </c>
      <c r="AX14" s="158">
        <f>(L41+L46+L49+L52+L55+L58+L61+L64+L67+L70+L73+L78+L81+L82+L83+L85+L94+L104)/AO$2*12+L47+L50+L53+L56+L59+L62+L65+L68+L71+L74</f>
        <v>16952458689</v>
      </c>
      <c r="AY14" s="158">
        <f t="shared" si="2"/>
        <v>19579796906.110352</v>
      </c>
      <c r="AZ14" s="159">
        <f t="shared" si="3"/>
        <v>8968610938.1103516</v>
      </c>
      <c r="BA14" s="101"/>
      <c r="BB14" s="236" t="s">
        <v>121</v>
      </c>
      <c r="BC14" s="237">
        <f>+F64</f>
        <v>2137731076.9417498</v>
      </c>
      <c r="BD14" s="238">
        <f>+I64</f>
        <v>934575360</v>
      </c>
      <c r="BE14" s="239">
        <f>K64</f>
        <v>63203453</v>
      </c>
      <c r="BF14" s="553">
        <f>MARZO!BF14+ABRIL!BE14+MAYO!BE14+JUNIO!BE14</f>
        <v>382641166</v>
      </c>
      <c r="BG14" s="227" t="s">
        <v>122</v>
      </c>
      <c r="BH14" s="186">
        <f t="shared" si="10"/>
        <v>3239175000</v>
      </c>
      <c r="BI14" s="186">
        <f t="shared" si="10"/>
        <v>664502026</v>
      </c>
      <c r="BJ14" s="186">
        <f t="shared" si="10"/>
        <v>664502026</v>
      </c>
      <c r="BK14" s="186">
        <f t="shared" si="10"/>
        <v>114970738</v>
      </c>
      <c r="BL14" s="555">
        <f>+BK14+MAYO!BK14+ABRIL!BK14+MARZO!BL14</f>
        <v>664502026</v>
      </c>
      <c r="BM14" s="752" t="s">
        <v>123</v>
      </c>
      <c r="BN14" s="201">
        <f>X35-X41+X83-X88</f>
        <v>64057306257</v>
      </c>
      <c r="BO14" s="199">
        <f>AA35-AA41+AA83-AA88</f>
        <v>41740562725</v>
      </c>
      <c r="BP14" s="199">
        <f>AD35-AD41+AD83-AD88</f>
        <v>34942479824</v>
      </c>
      <c r="BQ14" s="753">
        <f>AF35-AF41+AF83-AF88</f>
        <v>5852030845</v>
      </c>
    </row>
    <row r="15" spans="1:69" ht="24.75" customHeight="1" thickBot="1">
      <c r="A15" s="241">
        <f>+IF(MAYO!A15=0,"",MAYO!A15)</f>
        <v>1004</v>
      </c>
      <c r="B15" s="203" t="str">
        <f>+IF(MAYO!B15=0,"",MAYO!B15)</f>
        <v>Cesantias Ley 50/1990 a Dic-31-2024</v>
      </c>
      <c r="C15" s="242">
        <f>+ENERO!C15</f>
        <v>0</v>
      </c>
      <c r="D15" s="243">
        <f>MAYO!D15+JUNIO!P15</f>
        <v>0</v>
      </c>
      <c r="E15" s="243">
        <f>MAYO!E15+JUNIO!Q15</f>
        <v>0</v>
      </c>
      <c r="F15" s="244">
        <f>SUM(C15:E15)</f>
        <v>0</v>
      </c>
      <c r="G15" s="245">
        <f>MAYO!I15</f>
        <v>0</v>
      </c>
      <c r="H15" s="246">
        <v>0</v>
      </c>
      <c r="I15" s="244">
        <f>SUM(G15:H15)</f>
        <v>0</v>
      </c>
      <c r="J15" s="245">
        <f>MAYO!L15</f>
        <v>0</v>
      </c>
      <c r="K15" s="247">
        <f>+H15</f>
        <v>0</v>
      </c>
      <c r="L15" s="244">
        <f>SUM(J15:K15)</f>
        <v>0</v>
      </c>
      <c r="M15" s="245">
        <f>F15-I15</f>
        <v>0</v>
      </c>
      <c r="N15" s="244">
        <f>F15-L15</f>
        <v>0</v>
      </c>
      <c r="O15" s="67"/>
      <c r="P15" s="242">
        <v>0</v>
      </c>
      <c r="Q15" s="248">
        <v>0</v>
      </c>
      <c r="R15" s="101"/>
      <c r="S15" s="189" t="str">
        <f>+IF(MAYO!S15=0,"",MAYO!S15)</f>
        <v/>
      </c>
      <c r="T15" s="488" t="str">
        <f>+IF(MAYO!T15=0,"",MAYO!T15)</f>
        <v xml:space="preserve"> </v>
      </c>
      <c r="U15" s="191"/>
      <c r="V15" s="191"/>
      <c r="W15" s="191"/>
      <c r="X15" s="191"/>
      <c r="Y15" s="191"/>
      <c r="Z15" s="191"/>
      <c r="AA15" s="191"/>
      <c r="AB15" s="191"/>
      <c r="AC15" s="191"/>
      <c r="AD15" s="191"/>
      <c r="AE15" s="191"/>
      <c r="AF15" s="191"/>
      <c r="AG15" s="191"/>
      <c r="AH15" s="191"/>
      <c r="AI15" s="191"/>
      <c r="AJ15" s="192"/>
      <c r="AK15" s="216"/>
      <c r="AL15" s="249"/>
      <c r="AM15" s="250"/>
      <c r="AN15" s="101"/>
      <c r="AO15" s="221"/>
      <c r="AP15" s="109" t="s">
        <v>124</v>
      </c>
      <c r="AQ15" s="138">
        <f>F113</f>
        <v>0</v>
      </c>
      <c r="AR15" s="138">
        <f>I113</f>
        <v>0</v>
      </c>
      <c r="AS15" s="138">
        <f>L113</f>
        <v>0</v>
      </c>
      <c r="AT15" s="101"/>
      <c r="AU15" s="139" t="str">
        <f t="shared" si="0"/>
        <v xml:space="preserve"> </v>
      </c>
      <c r="AV15" s="139" t="str">
        <f t="shared" si="1"/>
        <v xml:space="preserve"> </v>
      </c>
      <c r="AW15" s="138">
        <f>+AR15</f>
        <v>0</v>
      </c>
      <c r="AX15" s="138">
        <f>+AS15</f>
        <v>0</v>
      </c>
      <c r="AY15" s="138">
        <f t="shared" si="2"/>
        <v>0</v>
      </c>
      <c r="AZ15" s="140">
        <f t="shared" si="3"/>
        <v>0</v>
      </c>
      <c r="BA15" s="67"/>
      <c r="BB15" s="236" t="s">
        <v>125</v>
      </c>
      <c r="BC15" s="237">
        <f>F46+F49</f>
        <v>976431378</v>
      </c>
      <c r="BD15" s="238">
        <f>I46+I49</f>
        <v>251447038</v>
      </c>
      <c r="BE15" s="239">
        <f>K46</f>
        <v>0</v>
      </c>
      <c r="BF15" s="553">
        <f>MARZO!BF15+ABRIL!BE15+MAYO!BE15+JUNIO!BE15</f>
        <v>4215387</v>
      </c>
      <c r="BG15" s="227" t="s">
        <v>126</v>
      </c>
      <c r="BH15" s="186">
        <f t="shared" si="10"/>
        <v>31216386787.222057</v>
      </c>
      <c r="BI15" s="186">
        <f t="shared" si="10"/>
        <v>27120015611</v>
      </c>
      <c r="BJ15" s="186">
        <f t="shared" si="10"/>
        <v>27113815611</v>
      </c>
      <c r="BK15" s="186">
        <f t="shared" si="10"/>
        <v>227973535</v>
      </c>
      <c r="BL15" s="555">
        <f>+BK15+MAYO!BK15+ABRIL!BK15+MARZO!BL15</f>
        <v>27113785409</v>
      </c>
      <c r="BM15" s="743" t="s">
        <v>104</v>
      </c>
      <c r="BN15" s="188">
        <f>SUM(BN16:BN21)</f>
        <v>18176867687.398609</v>
      </c>
      <c r="BO15" s="186">
        <f>SUM(BO16:BO21)</f>
        <v>10190745892</v>
      </c>
      <c r="BP15" s="186">
        <f>SUM(BP16:BP21)</f>
        <v>7019766063</v>
      </c>
      <c r="BQ15" s="754">
        <f>SUM(BQ16:BQ21)</f>
        <v>950959107</v>
      </c>
    </row>
    <row r="16" spans="1:69" ht="24.75" customHeight="1" thickBot="1">
      <c r="A16" s="251" t="str">
        <f>+IF(MAYO!A16=0,"",MAYO!A16)</f>
        <v/>
      </c>
      <c r="B16" s="252" t="str">
        <f>+IF(MAYO!B16=0,"",MAYO!B16)</f>
        <v/>
      </c>
      <c r="C16" s="253"/>
      <c r="D16" s="253"/>
      <c r="E16" s="253"/>
      <c r="F16" s="253"/>
      <c r="G16" s="253"/>
      <c r="H16" s="253"/>
      <c r="I16" s="253"/>
      <c r="J16" s="253"/>
      <c r="K16" s="253"/>
      <c r="L16" s="253"/>
      <c r="M16" s="253"/>
      <c r="N16" s="254"/>
      <c r="O16" s="67"/>
      <c r="P16" s="255"/>
      <c r="Q16" s="256"/>
      <c r="R16" s="101"/>
      <c r="S16" s="257" t="str">
        <f>+IF(MAYO!S16=0,"",MAYO!S16)</f>
        <v>2.1.1.01.01</v>
      </c>
      <c r="T16" s="546" t="str">
        <f>+IF(MAYO!T16=0,"",MAYO!T16)</f>
        <v>Servicios Personales Asociados a Nómina</v>
      </c>
      <c r="U16" s="230">
        <f t="shared" ref="U16:AJ16" si="12">SUM(U17:U20)+U33</f>
        <v>8136453797.916667</v>
      </c>
      <c r="V16" s="231">
        <f t="shared" si="12"/>
        <v>-45937870</v>
      </c>
      <c r="W16" s="231">
        <f t="shared" si="12"/>
        <v>0</v>
      </c>
      <c r="X16" s="234">
        <f t="shared" si="12"/>
        <v>8090515927.916667</v>
      </c>
      <c r="Y16" s="233">
        <f t="shared" si="12"/>
        <v>2456511570</v>
      </c>
      <c r="Z16" s="231">
        <f t="shared" si="12"/>
        <v>436893010</v>
      </c>
      <c r="AA16" s="234">
        <f t="shared" si="12"/>
        <v>2893404580</v>
      </c>
      <c r="AB16" s="233">
        <f t="shared" si="12"/>
        <v>2456511570</v>
      </c>
      <c r="AC16" s="231">
        <f t="shared" si="12"/>
        <v>436893010</v>
      </c>
      <c r="AD16" s="234">
        <f t="shared" si="12"/>
        <v>2893404580</v>
      </c>
      <c r="AE16" s="233">
        <f t="shared" si="12"/>
        <v>2456511570</v>
      </c>
      <c r="AF16" s="231">
        <f t="shared" si="12"/>
        <v>436893010</v>
      </c>
      <c r="AG16" s="234">
        <f t="shared" si="12"/>
        <v>2893404580</v>
      </c>
      <c r="AH16" s="233">
        <f t="shared" si="12"/>
        <v>5197111347.916666</v>
      </c>
      <c r="AI16" s="231">
        <f t="shared" si="12"/>
        <v>5197111347.916666</v>
      </c>
      <c r="AJ16" s="232">
        <f t="shared" si="12"/>
        <v>5197111347.916666</v>
      </c>
      <c r="AK16" s="216"/>
      <c r="AL16" s="233">
        <f>SUM(AL17:AL20)+AL33</f>
        <v>0</v>
      </c>
      <c r="AM16" s="232">
        <f>SUM(AM17:AM20)+AM33</f>
        <v>0</v>
      </c>
      <c r="AN16" s="101"/>
      <c r="AO16" s="108"/>
      <c r="AP16" s="259" t="s">
        <v>128</v>
      </c>
      <c r="AQ16" s="260">
        <f>F10</f>
        <v>1179477265</v>
      </c>
      <c r="AR16" s="260">
        <f>I10</f>
        <v>1179477265</v>
      </c>
      <c r="AS16" s="260">
        <f>L10</f>
        <v>1179477265</v>
      </c>
      <c r="AT16" s="67"/>
      <c r="AU16" s="261">
        <f t="shared" si="0"/>
        <v>1</v>
      </c>
      <c r="AV16" s="261">
        <f t="shared" si="1"/>
        <v>1</v>
      </c>
      <c r="AW16" s="260">
        <f>+AR16</f>
        <v>1179477265</v>
      </c>
      <c r="AX16" s="260">
        <f>+AS16</f>
        <v>1179477265</v>
      </c>
      <c r="AY16" s="138">
        <f t="shared" si="2"/>
        <v>0</v>
      </c>
      <c r="AZ16" s="262">
        <f t="shared" si="3"/>
        <v>0</v>
      </c>
      <c r="BA16" s="67"/>
      <c r="BB16" s="185" t="s">
        <v>129</v>
      </c>
      <c r="BC16" s="161">
        <f>F43</f>
        <v>0</v>
      </c>
      <c r="BD16" s="162">
        <f>I43</f>
        <v>24918838</v>
      </c>
      <c r="BE16" s="237">
        <f>SUM(K86:K91)</f>
        <v>886923009</v>
      </c>
      <c r="BF16" s="553">
        <f>MARZO!BF16+ABRIL!BE16+MAYO!BE16+JUNIO!BE16</f>
        <v>6113368690</v>
      </c>
      <c r="BG16" s="227" t="s">
        <v>130</v>
      </c>
      <c r="BH16" s="263">
        <f>BH7+BH12+BH13+BH14+BH15</f>
        <v>187805533529.16663</v>
      </c>
      <c r="BI16" s="263">
        <f>BI7+BI12+BI13+BI14+BI15</f>
        <v>127051371586</v>
      </c>
      <c r="BJ16" s="263">
        <f>BJ7+BJ12+BJ13+BJ14+BJ15</f>
        <v>106453246056</v>
      </c>
      <c r="BK16" s="263">
        <f>BK7+BK12+BK13+BK14+BK15</f>
        <v>13168744356.5</v>
      </c>
      <c r="BL16" s="555">
        <f>+BK16+MAYO!BK16+ABRIL!BK16+MARZO!BL16</f>
        <v>71010703370.5</v>
      </c>
      <c r="BM16" s="745" t="s">
        <v>131</v>
      </c>
      <c r="BN16" s="188">
        <f>SUM(X115+X116+X117+X149)</f>
        <v>1778007702.1208334</v>
      </c>
      <c r="BO16" s="188">
        <f>SUM(AA115+AA116+AA117+AA149)</f>
        <v>1048051140</v>
      </c>
      <c r="BP16" s="188">
        <f>SUM(AD115+AD116+AD117+AD149)</f>
        <v>872714684</v>
      </c>
      <c r="BQ16" s="188">
        <f>SUM(AF115+AF116+AF117+AF149)</f>
        <v>162434983</v>
      </c>
    </row>
    <row r="17" spans="1:69" ht="24.75" customHeight="1" thickBot="1">
      <c r="A17" s="169" t="str">
        <f>+IF(MAYO!A17=0,"",MAYO!A17)</f>
        <v>1.1</v>
      </c>
      <c r="B17" s="265" t="str">
        <f>+IF(MAYO!B17=0,"",MAYO!B17)</f>
        <v>INGRESOS  CORRIENTES</v>
      </c>
      <c r="C17" s="127">
        <f t="shared" ref="C17:N17" si="13">C19+C94+C104</f>
        <v>158143153137.47653</v>
      </c>
      <c r="D17" s="125">
        <f t="shared" si="13"/>
        <v>0</v>
      </c>
      <c r="E17" s="125">
        <f t="shared" si="13"/>
        <v>28482903127</v>
      </c>
      <c r="F17" s="125">
        <f t="shared" si="13"/>
        <v>186626056264.47653</v>
      </c>
      <c r="G17" s="125">
        <f t="shared" si="13"/>
        <v>109819031001</v>
      </c>
      <c r="H17" s="125">
        <f t="shared" si="13"/>
        <v>20273384729</v>
      </c>
      <c r="I17" s="125">
        <f t="shared" si="13"/>
        <v>130092415730</v>
      </c>
      <c r="J17" s="125">
        <f t="shared" si="13"/>
        <v>61152004680</v>
      </c>
      <c r="K17" s="125">
        <f t="shared" si="13"/>
        <v>13779616788</v>
      </c>
      <c r="L17" s="125">
        <f t="shared" si="13"/>
        <v>74931621468</v>
      </c>
      <c r="M17" s="125">
        <f t="shared" si="13"/>
        <v>56533640534.476509</v>
      </c>
      <c r="N17" s="128">
        <f t="shared" si="13"/>
        <v>111694434796.47652</v>
      </c>
      <c r="O17" s="67"/>
      <c r="P17" s="171">
        <f>P19+P94+P104</f>
        <v>0</v>
      </c>
      <c r="Q17" s="173">
        <f>Q19+Q94+Q104</f>
        <v>0</v>
      </c>
      <c r="R17" s="101"/>
      <c r="S17" s="266" t="str">
        <f>+IF(MAYO!S17=0,"",MAYO!S17)</f>
        <v>2.1.1.01.01.001.01</v>
      </c>
      <c r="T17" s="267" t="str">
        <f>+IF(MAYO!T17=0,"",MAYO!T17)</f>
        <v>Sueldos del Personal de nómina</v>
      </c>
      <c r="U17" s="373">
        <f>+ENERO!U17</f>
        <v>6531851100</v>
      </c>
      <c r="V17" s="220">
        <f>MAYO!V17+JUNIO!AL17</f>
        <v>-66937870</v>
      </c>
      <c r="W17" s="220">
        <f>MAYO!W17+JUNIO!AM17</f>
        <v>0</v>
      </c>
      <c r="X17" s="271">
        <f>SUM(U17:W17)</f>
        <v>6464913230</v>
      </c>
      <c r="Y17" s="270">
        <f>MAYO!AA17</f>
        <v>2063564186</v>
      </c>
      <c r="Z17" s="208">
        <v>376040851</v>
      </c>
      <c r="AA17" s="271">
        <f>SUM(Y17:Z17)</f>
        <v>2439605037</v>
      </c>
      <c r="AB17" s="270">
        <f>MAYO!AD17</f>
        <v>2063564186</v>
      </c>
      <c r="AC17" s="208">
        <v>376040851</v>
      </c>
      <c r="AD17" s="271">
        <f>SUM(AB17:AC17)</f>
        <v>2439605037</v>
      </c>
      <c r="AE17" s="270">
        <f>MAYO!AG17</f>
        <v>2063564186</v>
      </c>
      <c r="AF17" s="208">
        <v>376040851</v>
      </c>
      <c r="AG17" s="271">
        <f>SUM(AE17:AF17)</f>
        <v>2439605037</v>
      </c>
      <c r="AH17" s="270">
        <f>X17-AA17</f>
        <v>4025308193</v>
      </c>
      <c r="AI17" s="220">
        <f>X17-AD17</f>
        <v>4025308193</v>
      </c>
      <c r="AJ17" s="269">
        <f>X17-AG17</f>
        <v>4025308193</v>
      </c>
      <c r="AK17" s="101"/>
      <c r="AL17" s="204">
        <v>0</v>
      </c>
      <c r="AM17" s="210">
        <v>0</v>
      </c>
      <c r="AN17" s="101"/>
      <c r="AO17" s="156"/>
      <c r="AP17" s="272" t="s">
        <v>134</v>
      </c>
      <c r="AQ17" s="981">
        <f>SUM(AQ7:AQ16)</f>
        <v>187805533529.47653</v>
      </c>
      <c r="AR17" s="982">
        <f>SUM(AR7:AR16)</f>
        <v>131271892995</v>
      </c>
      <c r="AS17" s="983">
        <f>SUM(AS7:AS16)</f>
        <v>76111098733</v>
      </c>
      <c r="AT17" s="276"/>
      <c r="AU17" s="274">
        <f t="shared" si="0"/>
        <v>0.69897776986638449</v>
      </c>
      <c r="AV17" s="274">
        <f t="shared" si="1"/>
        <v>0.40526547489110154</v>
      </c>
      <c r="AW17" s="277">
        <f>SUM(AX7:AX16)</f>
        <v>113846988507</v>
      </c>
      <c r="AX17" s="277">
        <f>SUM(AX7:AX16)</f>
        <v>113846988507</v>
      </c>
      <c r="AY17" s="277">
        <f>SUM(AY7:AY16)</f>
        <v>39740942262.523476</v>
      </c>
      <c r="AZ17" s="278">
        <f>SUM(AZ7:AZ16)</f>
        <v>-73958545022.476532</v>
      </c>
      <c r="BA17" s="101"/>
      <c r="BB17" s="185" t="s">
        <v>135</v>
      </c>
      <c r="BC17" s="161">
        <f>F41+F52+F55+F58+F61+F67+F70+F73+F76+F79+F82+F86+F87+F88+F89+F90+F91</f>
        <v>24228242898.847889</v>
      </c>
      <c r="BD17" s="162">
        <f>I41+I52+I55+I58+I61+I67+I70+I73+I76+I79+I82+I86+I87+I88+I89+I90+I91</f>
        <v>10930760020</v>
      </c>
      <c r="BE17" s="161">
        <f>SUM(K43+K49+K46+K49+K52+K55+K58+K61+K67+K70+K73+K79+K76+K82)</f>
        <v>107855068</v>
      </c>
      <c r="BF17" s="553">
        <f>MARZO!BF17+ABRIL!BE17+MAYO!BE17+JUNIO!BE17</f>
        <v>322775260</v>
      </c>
      <c r="BG17" s="279" t="s">
        <v>136</v>
      </c>
      <c r="BH17" s="280">
        <f>BC23-BH16</f>
        <v>-187805533529.16663</v>
      </c>
      <c r="BI17" s="280"/>
      <c r="BJ17" s="280"/>
      <c r="BK17" s="280"/>
      <c r="BL17" s="555">
        <f>+BK17+MAYO!BK17+ABRIL!BK17+MARZO!BL17</f>
        <v>0</v>
      </c>
      <c r="BM17" s="745" t="s">
        <v>137</v>
      </c>
      <c r="BN17" s="188">
        <f>X124+X127+X128+X129+X130+X131+X132+X133+X134+X135+X136+X125+X137+X138</f>
        <v>4732970291.2777777</v>
      </c>
      <c r="BO17" s="188">
        <f>AA124+AA127+AA128+AA129+AA130+AA131+AA132+AA133+AA134+AA135+AA136+AA125+AA137+AA138</f>
        <v>4202722542</v>
      </c>
      <c r="BP17" s="188">
        <f>AD124+AD127+AD128+AD129+AD130+AD131+AD132+AD133+AD134+AD135+AD136+AD125+AD137+AD138</f>
        <v>2542985343</v>
      </c>
      <c r="BQ17" s="188">
        <f>AF124+AF127+AF128+AF129+AF130+AF131+AF132+AF133+AF134+AF135+AF136+AF125+AF137+AF138</f>
        <v>247910641</v>
      </c>
    </row>
    <row r="18" spans="1:69" ht="24.75" customHeight="1" thickBot="1">
      <c r="A18" s="202">
        <f>+IF(MAYO!A18=0,"",MAYO!A18)</f>
        <v>399373312</v>
      </c>
      <c r="B18" s="282">
        <f>+IF(MAYO!B18=0,"",MAYO!B18)</f>
        <v>399373312</v>
      </c>
      <c r="C18" s="67"/>
      <c r="D18" s="67"/>
      <c r="E18" s="67"/>
      <c r="F18" s="67"/>
      <c r="G18" s="67"/>
      <c r="H18" s="67"/>
      <c r="I18" s="67"/>
      <c r="J18" s="67"/>
      <c r="K18" s="67"/>
      <c r="L18" s="67"/>
      <c r="M18" s="67"/>
      <c r="N18" s="283"/>
      <c r="O18" s="101"/>
      <c r="P18" s="284"/>
      <c r="Q18" s="285"/>
      <c r="R18" s="101"/>
      <c r="S18" s="266" t="str">
        <f>+IF(MAYO!S18=0,"",MAYO!S18)</f>
        <v>2.1.1.01.01.001.02</v>
      </c>
      <c r="T18" s="267" t="str">
        <f>+IF(MAYO!T18=0,"",MAYO!T18)</f>
        <v>Horas Extras,Dominic.,Festivos y Rec. Nocturnos</v>
      </c>
      <c r="U18" s="373">
        <f>+ENERO!U18</f>
        <v>17000000</v>
      </c>
      <c r="V18" s="220">
        <f>MAYO!V18+JUNIO!AL18</f>
        <v>0</v>
      </c>
      <c r="W18" s="220">
        <f>MAYO!W18+JUNIO!AM18</f>
        <v>0</v>
      </c>
      <c r="X18" s="271">
        <f>SUM(U18:W18)</f>
        <v>17000000</v>
      </c>
      <c r="Y18" s="270">
        <f>MAYO!AA18</f>
        <v>5198745</v>
      </c>
      <c r="Z18" s="208">
        <v>1252149</v>
      </c>
      <c r="AA18" s="271">
        <f>SUM(Y18:Z18)</f>
        <v>6450894</v>
      </c>
      <c r="AB18" s="270">
        <f>MAYO!AD18</f>
        <v>5198745</v>
      </c>
      <c r="AC18" s="208">
        <v>1252149</v>
      </c>
      <c r="AD18" s="271">
        <f>SUM(AB18:AC18)</f>
        <v>6450894</v>
      </c>
      <c r="AE18" s="270">
        <f>MAYO!AG18</f>
        <v>5198745</v>
      </c>
      <c r="AF18" s="208">
        <v>1252149</v>
      </c>
      <c r="AG18" s="271">
        <f>SUM(AE18:AF18)</f>
        <v>6450894</v>
      </c>
      <c r="AH18" s="270">
        <f>X18-AA18</f>
        <v>10549106</v>
      </c>
      <c r="AI18" s="220">
        <f>X18-AD18</f>
        <v>10549106</v>
      </c>
      <c r="AJ18" s="269">
        <f>X18-AG18</f>
        <v>10549106</v>
      </c>
      <c r="AK18" s="101"/>
      <c r="AL18" s="204">
        <v>0</v>
      </c>
      <c r="AM18" s="210">
        <v>0</v>
      </c>
      <c r="AN18" s="101"/>
      <c r="AO18" s="108"/>
      <c r="AP18" s="67" t="s">
        <v>92</v>
      </c>
      <c r="AQ18" s="67"/>
      <c r="AR18" s="67"/>
      <c r="AS18" s="67"/>
      <c r="AT18" s="67"/>
      <c r="AU18" s="67"/>
      <c r="AV18" s="67"/>
      <c r="AW18" s="67"/>
      <c r="AX18" s="67"/>
      <c r="AY18" s="67"/>
      <c r="AZ18" s="67"/>
      <c r="BA18" s="67"/>
      <c r="BB18" s="236" t="s">
        <v>139</v>
      </c>
      <c r="BC18" s="161">
        <f>+F95+F96+F97+F99</f>
        <v>0</v>
      </c>
      <c r="BD18" s="162">
        <f>+I95+I96+I97+I99</f>
        <v>0</v>
      </c>
      <c r="BE18" s="163">
        <f>+K95+K96+K97+K99</f>
        <v>0</v>
      </c>
      <c r="BF18" s="553">
        <f>MARZO!BF18+ABRIL!BE18+MAYO!BE18+JUNIO!BE18</f>
        <v>0</v>
      </c>
      <c r="BG18" s="101"/>
      <c r="BH18" s="101"/>
      <c r="BI18" s="101"/>
      <c r="BJ18" s="101"/>
      <c r="BK18" s="101"/>
      <c r="BL18" s="101"/>
      <c r="BM18" s="745" t="s">
        <v>140</v>
      </c>
      <c r="BN18" s="188">
        <f>X118+X120+X148+X156+X157-X166</f>
        <v>8493867034.999999</v>
      </c>
      <c r="BO18" s="188">
        <f>AA118+AA120+AA148+AA156+AA157-AA166</f>
        <v>3251168601</v>
      </c>
      <c r="BP18" s="188">
        <f>AD118+AD120+AD148+AD156+AD157-AD166</f>
        <v>1925671827</v>
      </c>
      <c r="BQ18" s="188">
        <f>AF118+AF120+AF148+AF156+AF157-AF166</f>
        <v>263780258</v>
      </c>
    </row>
    <row r="19" spans="1:69" ht="24.75" customHeight="1" thickBot="1">
      <c r="A19" s="286">
        <f>+IF(MAYO!A19=0,"",MAYO!A19)</f>
        <v>113</v>
      </c>
      <c r="B19" s="287" t="str">
        <f>+IF(MAYO!B19=0,"",MAYO!B19)</f>
        <v>VENTA DE SERVICIOS</v>
      </c>
      <c r="C19" s="127">
        <f t="shared" ref="C19:N19" si="14">C21+C85</f>
        <v>157258153137.47653</v>
      </c>
      <c r="D19" s="125">
        <f t="shared" si="14"/>
        <v>0</v>
      </c>
      <c r="E19" s="125">
        <f t="shared" si="14"/>
        <v>28435941448</v>
      </c>
      <c r="F19" s="128">
        <f t="shared" si="14"/>
        <v>185694094585.47653</v>
      </c>
      <c r="G19" s="127">
        <f t="shared" si="14"/>
        <v>109639586153</v>
      </c>
      <c r="H19" s="125">
        <f t="shared" si="14"/>
        <v>19673596025</v>
      </c>
      <c r="I19" s="128">
        <f t="shared" si="14"/>
        <v>129313182178</v>
      </c>
      <c r="J19" s="127">
        <f t="shared" si="14"/>
        <v>60978093071</v>
      </c>
      <c r="K19" s="125">
        <f t="shared" si="14"/>
        <v>13204145736</v>
      </c>
      <c r="L19" s="128">
        <f t="shared" si="14"/>
        <v>74182238807</v>
      </c>
      <c r="M19" s="127">
        <f t="shared" si="14"/>
        <v>56380912407.476509</v>
      </c>
      <c r="N19" s="128">
        <f t="shared" si="14"/>
        <v>111511855778.47652</v>
      </c>
      <c r="O19" s="67"/>
      <c r="P19" s="288">
        <f>P21+P85</f>
        <v>0</v>
      </c>
      <c r="Q19" s="289">
        <f>Q21+Q85</f>
        <v>0</v>
      </c>
      <c r="R19" s="101"/>
      <c r="S19" s="266">
        <f>+IF(MAYO!S19=0,"",MAYO!S19)</f>
        <v>1010103</v>
      </c>
      <c r="T19" s="267" t="str">
        <f>+IF(MAYO!T19=0,"",MAYO!T19)</f>
        <v>Prima Técnica</v>
      </c>
      <c r="U19" s="373">
        <f>+ENERO!U19</f>
        <v>0</v>
      </c>
      <c r="V19" s="220">
        <f>MAYO!V19+JUNIO!AL19</f>
        <v>0</v>
      </c>
      <c r="W19" s="220">
        <f>MAYO!W19+JUNIO!AM19</f>
        <v>0</v>
      </c>
      <c r="X19" s="271">
        <f>SUM(U19:W19)</f>
        <v>0</v>
      </c>
      <c r="Y19" s="270">
        <f>MAYO!AA19</f>
        <v>0</v>
      </c>
      <c r="Z19" s="208"/>
      <c r="AA19" s="271">
        <f>SUM(Y19:Z19)</f>
        <v>0</v>
      </c>
      <c r="AB19" s="270">
        <f>MAYO!AD19</f>
        <v>0</v>
      </c>
      <c r="AC19" s="208">
        <v>0</v>
      </c>
      <c r="AD19" s="271">
        <f>SUM(AB19:AC19)</f>
        <v>0</v>
      </c>
      <c r="AE19" s="270">
        <f>MAYO!AG19</f>
        <v>0</v>
      </c>
      <c r="AF19" s="208">
        <v>0</v>
      </c>
      <c r="AG19" s="271">
        <f>SUM(AE19:AF19)</f>
        <v>0</v>
      </c>
      <c r="AH19" s="270">
        <f>X19-AA19</f>
        <v>0</v>
      </c>
      <c r="AI19" s="220">
        <f>X19-AD19</f>
        <v>0</v>
      </c>
      <c r="AJ19" s="269">
        <f>X19-AG19</f>
        <v>0</v>
      </c>
      <c r="AK19" s="101"/>
      <c r="AL19" s="204">
        <v>0</v>
      </c>
      <c r="AM19" s="210">
        <v>0</v>
      </c>
      <c r="AN19" s="101"/>
      <c r="AO19" s="108"/>
      <c r="AP19" s="290"/>
      <c r="AQ19" s="291" t="s">
        <v>52</v>
      </c>
      <c r="AR19" s="292" t="s">
        <v>31</v>
      </c>
      <c r="AS19" s="293" t="s">
        <v>143</v>
      </c>
      <c r="AT19" s="292" t="s">
        <v>55</v>
      </c>
      <c r="AU19" s="294" t="s">
        <v>55</v>
      </c>
      <c r="AV19" s="295" t="s">
        <v>55</v>
      </c>
      <c r="AW19" s="1328" t="str">
        <f>+CONCATENATE("PROYECCION A DICIEMBRE 31 DEL ",N3)</f>
        <v>PROYECCION A DICIEMBRE 31 DEL 2025</v>
      </c>
      <c r="AX19" s="1322"/>
      <c r="AY19" s="1322"/>
      <c r="AZ19" s="1323"/>
      <c r="BA19" s="67"/>
      <c r="BB19" s="296" t="s">
        <v>144</v>
      </c>
      <c r="BC19" s="297">
        <f>+F105+F106+F107+F108+F109+F110+F98+F100+F101</f>
        <v>912224890</v>
      </c>
      <c r="BD19" s="238">
        <f>+I105+I106+I107+I108+I109+I110+I98+I100+I101</f>
        <v>759496763</v>
      </c>
      <c r="BE19" s="239">
        <f>+K105+K106+K107+K108+K109+K110+K98+K100+K101</f>
        <v>575471052</v>
      </c>
      <c r="BF19" s="553">
        <f>MARZO!BF19+ABRIL!BE19+MAYO!BE19+JUNIO!BE19</f>
        <v>729645872</v>
      </c>
      <c r="BG19" s="67"/>
      <c r="BH19" s="67"/>
      <c r="BI19" s="67"/>
      <c r="BJ19" s="67"/>
      <c r="BK19" s="67"/>
      <c r="BL19" s="101"/>
      <c r="BM19" s="745" t="s">
        <v>145</v>
      </c>
      <c r="BN19" s="188">
        <f>X126</f>
        <v>2624022659</v>
      </c>
      <c r="BO19" s="188">
        <f>AA126</f>
        <v>1468204246</v>
      </c>
      <c r="BP19" s="188">
        <f>AD126</f>
        <v>1457794846</v>
      </c>
      <c r="BQ19" s="755">
        <f>AF126</f>
        <v>276833225</v>
      </c>
    </row>
    <row r="20" spans="1:69" ht="24.75" customHeight="1" thickBot="1">
      <c r="A20" s="202" t="str">
        <f>+IF(MAYO!A20=0,"",MAYO!A20)</f>
        <v/>
      </c>
      <c r="B20" s="298" t="str">
        <f>+IF(MAYO!B20=0,"",MAYO!B20)</f>
        <v/>
      </c>
      <c r="C20" s="67"/>
      <c r="D20" s="67"/>
      <c r="E20" s="67"/>
      <c r="F20" s="67"/>
      <c r="G20" s="67"/>
      <c r="H20" s="67"/>
      <c r="I20" s="67"/>
      <c r="J20" s="67"/>
      <c r="K20" s="67"/>
      <c r="L20" s="67"/>
      <c r="M20" s="67"/>
      <c r="N20" s="283"/>
      <c r="O20" s="101"/>
      <c r="P20" s="284"/>
      <c r="Q20" s="285"/>
      <c r="R20" s="101"/>
      <c r="S20" s="266">
        <f>+IF(MAYO!S20=0,"",MAYO!S20)</f>
        <v>1010104</v>
      </c>
      <c r="T20" s="267" t="str">
        <f>+IF(MAYO!T20=0,"",MAYO!T20)</f>
        <v>Otros</v>
      </c>
      <c r="U20" s="373">
        <f t="shared" ref="U20:AJ20" si="15">SUM(U21:U32)</f>
        <v>1587602697.9166667</v>
      </c>
      <c r="V20" s="220">
        <f t="shared" si="15"/>
        <v>21000000</v>
      </c>
      <c r="W20" s="220">
        <f t="shared" si="15"/>
        <v>0</v>
      </c>
      <c r="X20" s="271">
        <f t="shared" si="15"/>
        <v>1608602697.9166667</v>
      </c>
      <c r="Y20" s="270">
        <f t="shared" si="15"/>
        <v>387748639</v>
      </c>
      <c r="Z20" s="300">
        <f t="shared" si="15"/>
        <v>59600010</v>
      </c>
      <c r="AA20" s="271">
        <f t="shared" si="15"/>
        <v>447348649</v>
      </c>
      <c r="AB20" s="270">
        <f t="shared" si="15"/>
        <v>387748639</v>
      </c>
      <c r="AC20" s="300">
        <f t="shared" si="15"/>
        <v>59600010</v>
      </c>
      <c r="AD20" s="271">
        <f t="shared" si="15"/>
        <v>447348649</v>
      </c>
      <c r="AE20" s="270">
        <f t="shared" si="15"/>
        <v>387748639</v>
      </c>
      <c r="AF20" s="300">
        <f t="shared" si="15"/>
        <v>59600010</v>
      </c>
      <c r="AG20" s="271">
        <f t="shared" si="15"/>
        <v>447348649</v>
      </c>
      <c r="AH20" s="270">
        <f t="shared" si="15"/>
        <v>1161254048.9166665</v>
      </c>
      <c r="AI20" s="220">
        <f t="shared" si="15"/>
        <v>1161254048.9166665</v>
      </c>
      <c r="AJ20" s="269">
        <f t="shared" si="15"/>
        <v>1161254048.9166665</v>
      </c>
      <c r="AK20" s="101"/>
      <c r="AL20" s="301">
        <f>SUM(AL21:AL32)</f>
        <v>0</v>
      </c>
      <c r="AM20" s="302">
        <f>SUM(AM21:AM32)</f>
        <v>0</v>
      </c>
      <c r="AN20" s="101"/>
      <c r="AO20" s="156"/>
      <c r="AP20" s="303" t="s">
        <v>65</v>
      </c>
      <c r="AQ20" s="304" t="s">
        <v>75</v>
      </c>
      <c r="AR20" s="304" t="s">
        <v>66</v>
      </c>
      <c r="AS20" s="305" t="s">
        <v>66</v>
      </c>
      <c r="AT20" s="304" t="s">
        <v>67</v>
      </c>
      <c r="AU20" s="306" t="s">
        <v>68</v>
      </c>
      <c r="AV20" s="306" t="s">
        <v>68</v>
      </c>
      <c r="AW20" s="306" t="s">
        <v>31</v>
      </c>
      <c r="AX20" s="306" t="s">
        <v>34</v>
      </c>
      <c r="AY20" s="306" t="s">
        <v>147</v>
      </c>
      <c r="AZ20" s="307" t="s">
        <v>147</v>
      </c>
      <c r="BA20" s="67"/>
      <c r="BB20" s="308" t="s">
        <v>148</v>
      </c>
      <c r="BC20" s="142">
        <f>+F115+F117+F119+F120+F121+F123+F124</f>
        <v>0</v>
      </c>
      <c r="BD20" s="143">
        <f>+I115+I117+I119+I120+I121+I123+I124</f>
        <v>0</v>
      </c>
      <c r="BE20" s="144">
        <f>+K115+K117+K119+K120+K121+K123+K124</f>
        <v>0</v>
      </c>
      <c r="BF20" s="553">
        <f>MARZO!BF20+ABRIL!BE20+MAYO!BE20+JUNIO!BE20</f>
        <v>0</v>
      </c>
      <c r="BG20" s="67"/>
      <c r="BH20" s="67"/>
      <c r="BI20" s="67"/>
      <c r="BJ20" s="67"/>
      <c r="BK20" s="67"/>
      <c r="BL20" s="67"/>
      <c r="BM20" s="745" t="s">
        <v>149</v>
      </c>
      <c r="BN20" s="188">
        <f>+X141</f>
        <v>548000000</v>
      </c>
      <c r="BO20" s="188">
        <f>+AA141</f>
        <v>220599363</v>
      </c>
      <c r="BP20" s="188">
        <f>+AD141</f>
        <v>220599363</v>
      </c>
      <c r="BQ20" s="755">
        <f>+AF141</f>
        <v>0</v>
      </c>
    </row>
    <row r="21" spans="1:69" ht="24.75" customHeight="1" thickBot="1">
      <c r="A21" s="309" t="str">
        <f>+IF(MAYO!A21=0,"",MAYO!A21)</f>
        <v>1.1.02.05.001.09.02</v>
      </c>
      <c r="B21" s="310" t="str">
        <f>+IF(MAYO!B21=0,"",MAYO!B21)</f>
        <v>Venta de Servicios de Salud</v>
      </c>
      <c r="C21" s="171">
        <f t="shared" ref="C21:N21" si="16">C22+C25+C28+C41+C42+C45+C48+C51+C54+C57+C60+C63+C66+C69+C72+C75+C78+C81</f>
        <v>157258153137.47653</v>
      </c>
      <c r="D21" s="172">
        <f t="shared" si="16"/>
        <v>0</v>
      </c>
      <c r="E21" s="172">
        <f t="shared" si="16"/>
        <v>6861221082</v>
      </c>
      <c r="F21" s="172">
        <f t="shared" si="16"/>
        <v>164119374219.47653</v>
      </c>
      <c r="G21" s="172">
        <f t="shared" si="16"/>
        <v>101880351492</v>
      </c>
      <c r="H21" s="172">
        <f t="shared" si="16"/>
        <v>18060317455</v>
      </c>
      <c r="I21" s="172">
        <f t="shared" si="16"/>
        <v>119940668947</v>
      </c>
      <c r="J21" s="172">
        <f t="shared" si="16"/>
        <v>55751647390</v>
      </c>
      <c r="K21" s="172">
        <f t="shared" si="16"/>
        <v>12317222727</v>
      </c>
      <c r="L21" s="172">
        <f t="shared" si="16"/>
        <v>68068870117</v>
      </c>
      <c r="M21" s="172">
        <f t="shared" si="16"/>
        <v>44178705272.476509</v>
      </c>
      <c r="N21" s="173">
        <f t="shared" si="16"/>
        <v>96050504102.476517</v>
      </c>
      <c r="O21" s="67"/>
      <c r="P21" s="288">
        <f>P22+P25+P28+P41+P42+P45+P48+P51+P54+P57+P60+P63+P66+P69+P72+P75+P78+P81</f>
        <v>0</v>
      </c>
      <c r="Q21" s="289">
        <f>Q22+Q25+Q28+Q41+Q42+Q45+Q48+Q51+Q54+Q57+Q60+Q63+Q66+Q69+Q72+Q75+Q78+Q81</f>
        <v>0</v>
      </c>
      <c r="R21" s="101"/>
      <c r="S21" s="311" t="str">
        <f>+IF(MAYO!S21=0,"",MAYO!S21)</f>
        <v>2.1.1.01.01.001.08.01</v>
      </c>
      <c r="T21" s="312" t="str">
        <f>+IF(MAYO!T21=0,"",MAYO!T21)</f>
        <v xml:space="preserve">Prima de Navidad </v>
      </c>
      <c r="U21" s="373">
        <f>+ENERO!U21</f>
        <v>544320925</v>
      </c>
      <c r="V21" s="220">
        <f>MAYO!V21+JUNIO!AL21</f>
        <v>0</v>
      </c>
      <c r="W21" s="220">
        <f>MAYO!W21+JUNIO!AM21</f>
        <v>0</v>
      </c>
      <c r="X21" s="271">
        <f t="shared" ref="X21:X33" si="17">SUM(U21:W21)</f>
        <v>544320925</v>
      </c>
      <c r="Y21" s="270">
        <f>MAYO!AA21</f>
        <v>5056122</v>
      </c>
      <c r="Z21" s="208">
        <v>1417108</v>
      </c>
      <c r="AA21" s="271">
        <f t="shared" ref="AA21:AA33" si="18">SUM(Y21:Z21)</f>
        <v>6473230</v>
      </c>
      <c r="AB21" s="270">
        <f>MAYO!AD21</f>
        <v>5056122</v>
      </c>
      <c r="AC21" s="208">
        <v>1417108</v>
      </c>
      <c r="AD21" s="271">
        <f t="shared" ref="AD21:AD33" si="19">SUM(AB21:AC21)</f>
        <v>6473230</v>
      </c>
      <c r="AE21" s="270">
        <f>MAYO!AG21</f>
        <v>5056122</v>
      </c>
      <c r="AF21" s="208">
        <v>1417108</v>
      </c>
      <c r="AG21" s="271">
        <f t="shared" ref="AG21:AG33" si="20">SUM(AE21:AF21)</f>
        <v>6473230</v>
      </c>
      <c r="AH21" s="270">
        <f t="shared" ref="AH21:AH33" si="21">X21-AA21</f>
        <v>537847695</v>
      </c>
      <c r="AI21" s="220">
        <f t="shared" ref="AI21:AI33" si="22">X21-AD21</f>
        <v>537847695</v>
      </c>
      <c r="AJ21" s="269">
        <f t="shared" ref="AJ21:AJ33" si="23">X21-AG21</f>
        <v>537847695</v>
      </c>
      <c r="AK21" s="101"/>
      <c r="AL21" s="204">
        <v>0</v>
      </c>
      <c r="AM21" s="210">
        <v>0</v>
      </c>
      <c r="AN21" s="101"/>
      <c r="AO21" s="156"/>
      <c r="AP21" s="313"/>
      <c r="AQ21" s="314"/>
      <c r="AR21" s="315" t="str">
        <f>AR6</f>
        <v>JUNIO</v>
      </c>
      <c r="AS21" s="316" t="str">
        <f>AR6</f>
        <v>JUNIO</v>
      </c>
      <c r="AT21" s="315" t="str">
        <f>AR6</f>
        <v>JUNIO</v>
      </c>
      <c r="AU21" s="315" t="s">
        <v>31</v>
      </c>
      <c r="AV21" s="315" t="s">
        <v>34</v>
      </c>
      <c r="AW21" s="317"/>
      <c r="AX21" s="317"/>
      <c r="AY21" s="315" t="s">
        <v>31</v>
      </c>
      <c r="AZ21" s="318" t="s">
        <v>34</v>
      </c>
      <c r="BA21" s="101"/>
      <c r="BB21" s="308" t="s">
        <v>152</v>
      </c>
      <c r="BC21" s="142">
        <f>SUMIF($B8:B122,$B24,F8:F122)+F122+F92+F111</f>
        <v>26063842340.099998</v>
      </c>
      <c r="BD21" s="143">
        <f>SUMIF($B8:B122,$B24,I8:I122)+I122+I92+I111</f>
        <v>43654823414</v>
      </c>
      <c r="BE21" s="142">
        <f>SUM(K128)</f>
        <v>5354349048</v>
      </c>
      <c r="BF21" s="553">
        <f>MARZO!BF21+ABRIL!BE21+MAYO!BE21+JUNIO!BE21</f>
        <v>43654823414</v>
      </c>
      <c r="BG21" s="67"/>
      <c r="BH21" s="67"/>
      <c r="BI21" s="67"/>
      <c r="BJ21" s="67"/>
      <c r="BK21" s="67"/>
      <c r="BL21" s="67"/>
      <c r="BM21" s="745" t="s">
        <v>153</v>
      </c>
      <c r="BN21" s="188">
        <v>0</v>
      </c>
      <c r="BO21" s="186">
        <v>0</v>
      </c>
      <c r="BP21" s="186">
        <v>0</v>
      </c>
      <c r="BQ21" s="754">
        <v>0</v>
      </c>
    </row>
    <row r="22" spans="1:69" ht="24.75" customHeight="1" thickBot="1">
      <c r="A22" s="286" t="str">
        <f>+IF(MAYO!A22=0,"",MAYO!A22)</f>
        <v>1.1.02.05.001.09.02.02</v>
      </c>
      <c r="B22" s="319" t="str">
        <f>+IF(MAYO!B22=0,"",MAYO!B22)</f>
        <v>EPS - REGIMEN CONTRIBUTIVO</v>
      </c>
      <c r="C22" s="288">
        <f t="shared" ref="C22:N22" si="24">SUM(C23:C24)</f>
        <v>56030749893.586876</v>
      </c>
      <c r="D22" s="320">
        <f t="shared" si="24"/>
        <v>0</v>
      </c>
      <c r="E22" s="320">
        <f t="shared" si="24"/>
        <v>0</v>
      </c>
      <c r="F22" s="320">
        <f t="shared" si="24"/>
        <v>56030749893.586876</v>
      </c>
      <c r="G22" s="320">
        <f t="shared" si="24"/>
        <v>38646831210</v>
      </c>
      <c r="H22" s="320">
        <f t="shared" si="24"/>
        <v>7968549471</v>
      </c>
      <c r="I22" s="320">
        <f t="shared" si="24"/>
        <v>46615380681</v>
      </c>
      <c r="J22" s="320">
        <f t="shared" si="24"/>
        <v>22084494162</v>
      </c>
      <c r="K22" s="320">
        <f t="shared" si="24"/>
        <v>5605053578</v>
      </c>
      <c r="L22" s="1172">
        <f t="shared" si="24"/>
        <v>27689547740</v>
      </c>
      <c r="M22" s="320">
        <f t="shared" si="24"/>
        <v>9415369212.5868759</v>
      </c>
      <c r="N22" s="289">
        <f t="shared" si="24"/>
        <v>28341202153.586876</v>
      </c>
      <c r="O22" s="101"/>
      <c r="P22" s="288">
        <f>SUM(P23:P24)</f>
        <v>0</v>
      </c>
      <c r="Q22" s="289">
        <f>SUM(Q23:Q24)</f>
        <v>0</v>
      </c>
      <c r="R22" s="101"/>
      <c r="S22" s="311" t="str">
        <f>+IF(MAYO!S22=0,"",MAYO!S22)</f>
        <v>2.1.1.01.01.001.08.02</v>
      </c>
      <c r="T22" s="312" t="str">
        <f>+IF(MAYO!T22=0,"",MAYO!T22)</f>
        <v>Prima de Vacaciones</v>
      </c>
      <c r="U22" s="373">
        <f>+ENERO!U22</f>
        <v>272160462.5</v>
      </c>
      <c r="V22" s="220">
        <f>MAYO!V22+JUNIO!AL22</f>
        <v>0</v>
      </c>
      <c r="W22" s="220">
        <f>MAYO!W22+JUNIO!AM22</f>
        <v>0</v>
      </c>
      <c r="X22" s="271">
        <f t="shared" si="17"/>
        <v>272160462.5</v>
      </c>
      <c r="Y22" s="270">
        <f>MAYO!AA22</f>
        <v>100924572</v>
      </c>
      <c r="Z22" s="208">
        <v>17693204</v>
      </c>
      <c r="AA22" s="271">
        <f t="shared" si="18"/>
        <v>118617776</v>
      </c>
      <c r="AB22" s="270">
        <f>MAYO!AD22</f>
        <v>100924572</v>
      </c>
      <c r="AC22" s="208">
        <v>17693204</v>
      </c>
      <c r="AD22" s="271">
        <f t="shared" si="19"/>
        <v>118617776</v>
      </c>
      <c r="AE22" s="270">
        <f>MAYO!AG22</f>
        <v>100924572</v>
      </c>
      <c r="AF22" s="208">
        <v>17693204</v>
      </c>
      <c r="AG22" s="271">
        <f t="shared" si="20"/>
        <v>118617776</v>
      </c>
      <c r="AH22" s="270">
        <f t="shared" si="21"/>
        <v>153542686.5</v>
      </c>
      <c r="AI22" s="220">
        <f t="shared" si="22"/>
        <v>153542686.5</v>
      </c>
      <c r="AJ22" s="269">
        <f t="shared" si="23"/>
        <v>153542686.5</v>
      </c>
      <c r="AK22" s="101"/>
      <c r="AL22" s="204">
        <v>0</v>
      </c>
      <c r="AM22" s="210">
        <v>0</v>
      </c>
      <c r="AN22" s="101"/>
      <c r="AO22" s="108"/>
      <c r="AP22" s="536" t="s">
        <v>156</v>
      </c>
      <c r="AQ22" s="537">
        <f>X17+X66</f>
        <v>6464913230</v>
      </c>
      <c r="AR22" s="537">
        <f>AD17+AD66</f>
        <v>2439605037</v>
      </c>
      <c r="AS22" s="537">
        <f>AG17+AG66</f>
        <v>2439605037</v>
      </c>
      <c r="AT22" s="338"/>
      <c r="AU22" s="325">
        <f t="shared" ref="AU22:AU32" si="25">IF(AQ22=0," ",AR22/AQ22)</f>
        <v>0.37736083226595757</v>
      </c>
      <c r="AV22" s="325">
        <f t="shared" ref="AV22:AV32" si="26">IF(AQ22=0," ",AS22/AQ22)</f>
        <v>0.37736083226595757</v>
      </c>
      <c r="AW22" s="323">
        <f>AR22/$AO$2*12</f>
        <v>4879210074</v>
      </c>
      <c r="AX22" s="323">
        <f>AS22/$AO$2*12</f>
        <v>4879210074</v>
      </c>
      <c r="AY22" s="323">
        <f t="shared" ref="AY22:AY31" si="27">AW22-AQ22</f>
        <v>-1585703156</v>
      </c>
      <c r="AZ22" s="326">
        <f t="shared" ref="AZ22:AZ31" si="28">AQ22-AX22</f>
        <v>1585703156</v>
      </c>
      <c r="BA22" s="67"/>
      <c r="BB22" s="327" t="s">
        <v>157</v>
      </c>
      <c r="BC22" s="328">
        <f>BC7+BC8+BC20+BC21</f>
        <v>187805533529.47653</v>
      </c>
      <c r="BD22" s="329">
        <f>BD7+BD8+BD20+BD21</f>
        <v>131271892995</v>
      </c>
      <c r="BE22" s="328">
        <f>SUM(BE8+BE21)</f>
        <v>13779616788</v>
      </c>
      <c r="BF22" s="553">
        <f>MARZO!BF22+ABRIL!BE22+MAYO!BE22+JUNIO!BE22</f>
        <v>74936900818</v>
      </c>
      <c r="BG22" s="67"/>
      <c r="BH22" s="67"/>
      <c r="BI22" s="67"/>
      <c r="BJ22" s="67"/>
      <c r="BK22" s="67"/>
      <c r="BL22" s="101"/>
      <c r="BM22" s="743" t="s">
        <v>108</v>
      </c>
      <c r="BN22" s="188">
        <f>BN23+BN24</f>
        <v>3209060585</v>
      </c>
      <c r="BO22" s="186">
        <f>BO23+BO24</f>
        <v>762049756</v>
      </c>
      <c r="BP22" s="186">
        <f>BP23+BP24</f>
        <v>762049756</v>
      </c>
      <c r="BQ22" s="748">
        <f>BQ23+BQ24</f>
        <v>116561004.5</v>
      </c>
    </row>
    <row r="23" spans="1:69" ht="24.75" customHeight="1">
      <c r="A23" s="202" t="str">
        <f>+IF(MAYO!A23=0,"",MAYO!A23)</f>
        <v>1.1.02.05.001.09.02.02</v>
      </c>
      <c r="B23" s="331" t="str">
        <f>+CONCATENATE("Vigencia ",INSTRUCCIONES!$F$3)</f>
        <v>Vigencia 2025</v>
      </c>
      <c r="C23" s="204">
        <f>+ENERO!C23</f>
        <v>49300076925.586876</v>
      </c>
      <c r="D23" s="205">
        <f>MAYO!D23+JUNIO!P23</f>
        <v>0</v>
      </c>
      <c r="E23" s="205">
        <f>MAYO!E23+JUNIO!Q23</f>
        <v>0</v>
      </c>
      <c r="F23" s="205">
        <f>SUM(C23:E23)</f>
        <v>49300076925.586876</v>
      </c>
      <c r="G23" s="205">
        <f>MAYO!I23</f>
        <v>27769902971</v>
      </c>
      <c r="H23" s="208">
        <v>5722778775</v>
      </c>
      <c r="I23" s="1156">
        <f>SUM(G23:H23)</f>
        <v>33492681746</v>
      </c>
      <c r="J23" s="205">
        <f>MAYO!L23</f>
        <v>11207565923</v>
      </c>
      <c r="K23" s="208">
        <v>3359282882</v>
      </c>
      <c r="L23" s="205">
        <f>SUM(J23:K23)</f>
        <v>14566848805</v>
      </c>
      <c r="M23" s="205">
        <f>F23-I23</f>
        <v>15807395179.586876</v>
      </c>
      <c r="N23" s="206">
        <f>F23-L23</f>
        <v>34733228120.586876</v>
      </c>
      <c r="O23" s="101"/>
      <c r="P23" s="204">
        <v>0</v>
      </c>
      <c r="Q23" s="210">
        <v>0</v>
      </c>
      <c r="R23" s="101"/>
      <c r="S23" s="311" t="str">
        <f>+IF(MAYO!S23=0,"",MAYO!S23)</f>
        <v>2.1.1.01.01.001.07</v>
      </c>
      <c r="T23" s="312" t="str">
        <f>+IF(MAYO!T23=0,"",MAYO!T23)</f>
        <v>Bonificación  por servicios prestados</v>
      </c>
      <c r="U23" s="373">
        <f>+ENERO!U23</f>
        <v>190512323.74999997</v>
      </c>
      <c r="V23" s="220">
        <f>MAYO!V23+JUNIO!AL23</f>
        <v>0</v>
      </c>
      <c r="W23" s="220">
        <f>MAYO!W23+JUNIO!AM23</f>
        <v>0</v>
      </c>
      <c r="X23" s="271">
        <f t="shared" si="17"/>
        <v>190512323.74999997</v>
      </c>
      <c r="Y23" s="270">
        <f>MAYO!AA23</f>
        <v>101491752</v>
      </c>
      <c r="Z23" s="208">
        <v>10356871</v>
      </c>
      <c r="AA23" s="271">
        <f t="shared" si="18"/>
        <v>111848623</v>
      </c>
      <c r="AB23" s="270">
        <f>MAYO!AD23</f>
        <v>101491752</v>
      </c>
      <c r="AC23" s="208">
        <v>10356871</v>
      </c>
      <c r="AD23" s="271">
        <f t="shared" si="19"/>
        <v>111848623</v>
      </c>
      <c r="AE23" s="270">
        <f>MAYO!AG23</f>
        <v>101491752</v>
      </c>
      <c r="AF23" s="208">
        <v>10356871</v>
      </c>
      <c r="AG23" s="271">
        <f t="shared" si="20"/>
        <v>111848623</v>
      </c>
      <c r="AH23" s="270">
        <f t="shared" si="21"/>
        <v>78663700.74999997</v>
      </c>
      <c r="AI23" s="220">
        <f t="shared" si="22"/>
        <v>78663700.74999997</v>
      </c>
      <c r="AJ23" s="269">
        <f t="shared" si="23"/>
        <v>78663700.74999997</v>
      </c>
      <c r="AK23" s="101"/>
      <c r="AL23" s="204">
        <v>0</v>
      </c>
      <c r="AM23" s="210">
        <v>0</v>
      </c>
      <c r="AN23" s="101"/>
      <c r="AO23" s="196"/>
      <c r="AP23" s="538" t="s">
        <v>159</v>
      </c>
      <c r="AQ23" s="334">
        <f>X16+X65-AQ22</f>
        <v>1625602697.916667</v>
      </c>
      <c r="AR23" s="334">
        <f>AD16+AD65-AR22</f>
        <v>453799543</v>
      </c>
      <c r="AS23" s="334">
        <f>AG16+AG65-AS22</f>
        <v>453799543</v>
      </c>
      <c r="AT23" s="110"/>
      <c r="AU23" s="139">
        <f t="shared" si="25"/>
        <v>0.27915772013763174</v>
      </c>
      <c r="AV23" s="139">
        <f t="shared" si="26"/>
        <v>0.27915772013763174</v>
      </c>
      <c r="AW23" s="334">
        <f>(AR23-AD21-AD22-AD23-AD25-AD30-AD33-AD70-AD71-AD72-AD74-AD78-AD81)/$AO$2*12+AX22/12*2.5+AD30+AD33+AD78+AD81</f>
        <v>1435377375.75</v>
      </c>
      <c r="AX23" s="334">
        <f>(AS23-AG21-AG22-AG23-AG25-AG30-AG33-AG70-AG71-AG72-AG74-AG78-AG81)/$AO$2*12+AX22/12*2.5+AG30+AG33+AG78+AG81</f>
        <v>1435377375.75</v>
      </c>
      <c r="AY23" s="334">
        <f t="shared" si="27"/>
        <v>-190225322.16666698</v>
      </c>
      <c r="AZ23" s="335">
        <f t="shared" si="28"/>
        <v>190225322.16666698</v>
      </c>
      <c r="BA23" s="67"/>
      <c r="BB23" s="336"/>
      <c r="BC23" s="336"/>
      <c r="BD23" s="336"/>
      <c r="BE23" s="336"/>
      <c r="BF23" s="67"/>
      <c r="BG23" s="67"/>
      <c r="BH23" s="67"/>
      <c r="BI23" s="67"/>
      <c r="BJ23" s="67"/>
      <c r="BK23" s="67"/>
      <c r="BL23" s="67"/>
      <c r="BM23" s="745" t="s">
        <v>160</v>
      </c>
      <c r="BN23" s="188">
        <f>X176</f>
        <v>0</v>
      </c>
      <c r="BO23" s="186">
        <f>AA176</f>
        <v>0</v>
      </c>
      <c r="BP23" s="186">
        <f>AD176</f>
        <v>0</v>
      </c>
      <c r="BQ23" s="748">
        <f>AF176</f>
        <v>0</v>
      </c>
    </row>
    <row r="24" spans="1:69" ht="24.75" customHeight="1">
      <c r="A24" s="202" t="str">
        <f>+IF(MAYO!A24=0,"",MAYO!A24)</f>
        <v>1.1.02.05.001.09.02.02,99</v>
      </c>
      <c r="B24" s="331" t="str">
        <f>+IF(MAYO!B24=0,"",MAYO!B24)</f>
        <v>Vigencia Anterior</v>
      </c>
      <c r="C24" s="204">
        <f>+ENERO!C24</f>
        <v>6730672968</v>
      </c>
      <c r="D24" s="205">
        <f>MAYO!D24+JUNIO!P24</f>
        <v>0</v>
      </c>
      <c r="E24" s="205">
        <f>MAYO!E24+JUNIO!Q24</f>
        <v>0</v>
      </c>
      <c r="F24" s="205">
        <f>SUM(C24:E24)</f>
        <v>6730672968</v>
      </c>
      <c r="G24" s="205">
        <f>MAYO!I24</f>
        <v>10876928239</v>
      </c>
      <c r="H24" s="208">
        <v>2245770696</v>
      </c>
      <c r="I24" s="205">
        <f>SUM(G24:H24)</f>
        <v>13122698935</v>
      </c>
      <c r="J24" s="205">
        <f>MAYO!L24</f>
        <v>10876928239</v>
      </c>
      <c r="K24" s="208">
        <v>2245770696</v>
      </c>
      <c r="L24" s="205">
        <f>SUM(J24:K24)</f>
        <v>13122698935</v>
      </c>
      <c r="M24" s="205">
        <f>F24-I24</f>
        <v>-6392025967</v>
      </c>
      <c r="N24" s="206">
        <f>F24-L24</f>
        <v>-6392025967</v>
      </c>
      <c r="O24" s="67"/>
      <c r="P24" s="204">
        <v>0</v>
      </c>
      <c r="Q24" s="210">
        <v>0</v>
      </c>
      <c r="R24" s="101"/>
      <c r="S24" s="311" t="str">
        <f>+IF(MAYO!S24=0,"",MAYO!S24)</f>
        <v>2.1.1.01.01.001.06</v>
      </c>
      <c r="T24" s="312" t="str">
        <f>+IF(MAYO!T24=0,"",MAYO!T24)</f>
        <v>Prima de Servicios</v>
      </c>
      <c r="U24" s="373">
        <f>+ENERO!U24</f>
        <v>272160462.5</v>
      </c>
      <c r="V24" s="220">
        <f>MAYO!V24+JUNIO!AL24</f>
        <v>0</v>
      </c>
      <c r="W24" s="220">
        <f>MAYO!W24+JUNIO!AM24</f>
        <v>0</v>
      </c>
      <c r="X24" s="271">
        <f t="shared" si="17"/>
        <v>272160462.5</v>
      </c>
      <c r="Y24" s="270">
        <f>MAYO!AA24</f>
        <v>16911848</v>
      </c>
      <c r="Z24" s="208">
        <v>1452183</v>
      </c>
      <c r="AA24" s="271">
        <f t="shared" si="18"/>
        <v>18364031</v>
      </c>
      <c r="AB24" s="270">
        <f>MAYO!AD24</f>
        <v>16911848</v>
      </c>
      <c r="AC24" s="208">
        <v>1452183</v>
      </c>
      <c r="AD24" s="271">
        <f t="shared" si="19"/>
        <v>18364031</v>
      </c>
      <c r="AE24" s="270">
        <f>MAYO!AG24</f>
        <v>16911848</v>
      </c>
      <c r="AF24" s="208">
        <v>1452183</v>
      </c>
      <c r="AG24" s="271">
        <f t="shared" si="20"/>
        <v>18364031</v>
      </c>
      <c r="AH24" s="270">
        <f t="shared" si="21"/>
        <v>253796431.5</v>
      </c>
      <c r="AI24" s="220">
        <f t="shared" si="22"/>
        <v>253796431.5</v>
      </c>
      <c r="AJ24" s="269">
        <f t="shared" si="23"/>
        <v>253796431.5</v>
      </c>
      <c r="AK24" s="101"/>
      <c r="AL24" s="204">
        <v>0</v>
      </c>
      <c r="AM24" s="210">
        <v>0</v>
      </c>
      <c r="AN24" s="101"/>
      <c r="AO24" s="196"/>
      <c r="AP24" s="303" t="s">
        <v>163</v>
      </c>
      <c r="AQ24" s="338">
        <f>X35+X83</f>
        <v>80501494238</v>
      </c>
      <c r="AR24" s="338">
        <f>AD35+AD83</f>
        <v>51383105708</v>
      </c>
      <c r="AS24" s="338">
        <f>AG35+AG83</f>
        <v>33168194421</v>
      </c>
      <c r="AT24" s="338"/>
      <c r="AU24" s="205">
        <f t="shared" si="25"/>
        <v>0.63828760191814016</v>
      </c>
      <c r="AV24" s="205">
        <f t="shared" si="26"/>
        <v>0.41201961199551568</v>
      </c>
      <c r="AW24" s="205">
        <f>(AR24-AD41-AD88)/$AO$2*12+AD41+AD88</f>
        <v>86325585532</v>
      </c>
      <c r="AX24" s="205">
        <f>(AS24-AG41-AG88)/$AO$2*12+AG41+AG88</f>
        <v>49895762958</v>
      </c>
      <c r="AY24" s="205">
        <f t="shared" si="27"/>
        <v>5824091294</v>
      </c>
      <c r="AZ24" s="206">
        <f t="shared" si="28"/>
        <v>30605731280</v>
      </c>
      <c r="BA24" s="101"/>
      <c r="BB24" s="339"/>
      <c r="BC24" s="67"/>
      <c r="BD24" s="67"/>
      <c r="BE24" s="67"/>
      <c r="BF24" s="67"/>
      <c r="BG24" s="67"/>
      <c r="BH24" s="67"/>
      <c r="BI24" s="67"/>
      <c r="BJ24" s="67"/>
      <c r="BK24" s="67"/>
      <c r="BL24" s="67"/>
      <c r="BM24" s="745" t="s">
        <v>164</v>
      </c>
      <c r="BN24" s="188">
        <f>X168-X190</f>
        <v>3209060585</v>
      </c>
      <c r="BO24" s="188">
        <f>AA168-AA190</f>
        <v>762049756</v>
      </c>
      <c r="BP24" s="188">
        <f>AD168-AD190</f>
        <v>762049756</v>
      </c>
      <c r="BQ24" s="188">
        <f>AF168-AF190</f>
        <v>116561004.5</v>
      </c>
    </row>
    <row r="25" spans="1:69" ht="24.75" customHeight="1">
      <c r="A25" s="286" t="str">
        <f>+IF(MAYO!A25=0,"",MAYO!A25)</f>
        <v>1.1.02.05.001.09.02.01</v>
      </c>
      <c r="B25" s="319" t="str">
        <f>+IF(MAYO!B25=0,"",MAYO!B25)</f>
        <v>ARS - REGIMEN SUBSIDIADO</v>
      </c>
      <c r="C25" s="288">
        <f t="shared" ref="C25:N25" si="29">SUM(C26:C27)</f>
        <v>91588666596</v>
      </c>
      <c r="D25" s="320">
        <f t="shared" si="29"/>
        <v>0</v>
      </c>
      <c r="E25" s="320">
        <f t="shared" si="29"/>
        <v>6861221082</v>
      </c>
      <c r="F25" s="320">
        <f t="shared" si="29"/>
        <v>98449887678</v>
      </c>
      <c r="G25" s="320">
        <f t="shared" si="29"/>
        <v>58335102848</v>
      </c>
      <c r="H25" s="320">
        <f t="shared" si="29"/>
        <v>9580208467</v>
      </c>
      <c r="I25" s="320">
        <f t="shared" si="29"/>
        <v>67915311315</v>
      </c>
      <c r="J25" s="320">
        <f t="shared" si="29"/>
        <v>30985680376</v>
      </c>
      <c r="K25" s="320">
        <f t="shared" si="29"/>
        <v>6121383355</v>
      </c>
      <c r="L25" s="1172">
        <f t="shared" si="29"/>
        <v>37107063731</v>
      </c>
      <c r="M25" s="320">
        <f t="shared" si="29"/>
        <v>30534576363</v>
      </c>
      <c r="N25" s="289">
        <f t="shared" si="29"/>
        <v>61342823947</v>
      </c>
      <c r="O25" s="67"/>
      <c r="P25" s="288">
        <f>SUM(P26:P27)</f>
        <v>0</v>
      </c>
      <c r="Q25" s="289">
        <f>SUM(Q26:Q27)</f>
        <v>0</v>
      </c>
      <c r="R25" s="101"/>
      <c r="S25" s="311" t="str">
        <f>+IF(MAYO!S25=0,"",MAYO!S25)</f>
        <v>1010104-5</v>
      </c>
      <c r="T25" s="312" t="str">
        <f>+IF(MAYO!T25=0,"",MAYO!T25)</f>
        <v>Bonificación Convencional</v>
      </c>
      <c r="U25" s="373">
        <f>+ENERO!U25</f>
        <v>0</v>
      </c>
      <c r="V25" s="220">
        <f>MAYO!V25+JUNIO!AL25</f>
        <v>0</v>
      </c>
      <c r="W25" s="220">
        <f>MAYO!W25+JUNIO!AM25</f>
        <v>0</v>
      </c>
      <c r="X25" s="271">
        <f t="shared" si="17"/>
        <v>0</v>
      </c>
      <c r="Y25" s="270">
        <f>MAYO!AA25</f>
        <v>0</v>
      </c>
      <c r="Z25" s="208">
        <v>0</v>
      </c>
      <c r="AA25" s="271">
        <f t="shared" si="18"/>
        <v>0</v>
      </c>
      <c r="AB25" s="270">
        <f>MAYO!AD25</f>
        <v>0</v>
      </c>
      <c r="AC25" s="208">
        <v>0</v>
      </c>
      <c r="AD25" s="271">
        <f t="shared" si="19"/>
        <v>0</v>
      </c>
      <c r="AE25" s="270">
        <f>MAYO!AG25</f>
        <v>0</v>
      </c>
      <c r="AF25" s="208">
        <v>0</v>
      </c>
      <c r="AG25" s="271">
        <f t="shared" si="20"/>
        <v>0</v>
      </c>
      <c r="AH25" s="270">
        <f t="shared" si="21"/>
        <v>0</v>
      </c>
      <c r="AI25" s="220">
        <f t="shared" si="22"/>
        <v>0</v>
      </c>
      <c r="AJ25" s="269">
        <f t="shared" si="23"/>
        <v>0</v>
      </c>
      <c r="AK25" s="101"/>
      <c r="AL25" s="204">
        <v>0</v>
      </c>
      <c r="AM25" s="210">
        <v>0</v>
      </c>
      <c r="AN25" s="101"/>
      <c r="AO25" s="108"/>
      <c r="AP25" s="420" t="s">
        <v>168</v>
      </c>
      <c r="AQ25" s="205">
        <f>X43+X57+X90+X104</f>
        <v>3217792492.9625015</v>
      </c>
      <c r="AR25" s="205">
        <f>AD43+AD57+AD90+AD104</f>
        <v>1460794438</v>
      </c>
      <c r="AS25" s="205">
        <f>AG43+AG57+AG90+AG104</f>
        <v>1460794438</v>
      </c>
      <c r="AT25" s="338"/>
      <c r="AU25" s="205">
        <f t="shared" si="25"/>
        <v>0.45397409596636268</v>
      </c>
      <c r="AV25" s="205">
        <f t="shared" si="26"/>
        <v>0.45397409596636268</v>
      </c>
      <c r="AW25" s="205">
        <f>(AR25-AD55-AD61-AD102-AD108)/$AO$2*12+AD55+AD61+AD102+AD108</f>
        <v>2379019671</v>
      </c>
      <c r="AX25" s="205">
        <f>(AS25-AG55-AG61-AG102-AG108)/$AO$2*12+AG55+AG61+AG102+AG108</f>
        <v>2379019671</v>
      </c>
      <c r="AY25" s="205">
        <f t="shared" si="27"/>
        <v>-838772821.96250153</v>
      </c>
      <c r="AZ25" s="206">
        <f t="shared" si="28"/>
        <v>838772821.96250153</v>
      </c>
      <c r="BA25" s="67"/>
      <c r="BB25" s="67"/>
      <c r="BC25" s="67"/>
      <c r="BD25" s="67"/>
      <c r="BE25" s="67"/>
      <c r="BF25" s="67"/>
      <c r="BG25" s="67"/>
      <c r="BH25" s="67"/>
      <c r="BI25" s="67"/>
      <c r="BJ25" s="67"/>
      <c r="BK25" s="67"/>
      <c r="BL25" s="67"/>
      <c r="BM25" s="756" t="s">
        <v>169</v>
      </c>
      <c r="BN25" s="340">
        <f>+SUM(BN26:BN28)</f>
        <v>35575849515.333328</v>
      </c>
      <c r="BO25" s="341">
        <f>+SUM(BO26:BO28)</f>
        <v>27308440459</v>
      </c>
      <c r="BP25" s="341">
        <f>+SUM(BP26:BP28)</f>
        <v>23075201414</v>
      </c>
      <c r="BQ25" s="757">
        <f>+SUM(BQ26:BQ28)</f>
        <v>3660022623</v>
      </c>
    </row>
    <row r="26" spans="1:69" ht="24.75" customHeight="1">
      <c r="A26" s="202" t="str">
        <f>+IF(MAYO!A26=0,"",MAYO!A26)</f>
        <v>1.1.02.05.001.09.02.01</v>
      </c>
      <c r="B26" s="331" t="str">
        <f>+CONCATENATE("Vigencia ",INSTRUCCIONES!$F$3)</f>
        <v>Vigencia 2025</v>
      </c>
      <c r="C26" s="204">
        <f>+ENERO!C26</f>
        <v>81866799864</v>
      </c>
      <c r="D26" s="205">
        <f>MAYO!D26+JUNIO!P26</f>
        <v>0</v>
      </c>
      <c r="E26" s="205">
        <f>MAYO!E26+JUNIO!Q26</f>
        <v>0</v>
      </c>
      <c r="F26" s="205">
        <f>SUM(C26:E26)</f>
        <v>81866799864</v>
      </c>
      <c r="G26" s="205">
        <f>MAYO!I26</f>
        <v>32751813760</v>
      </c>
      <c r="H26" s="208">
        <v>6509452787</v>
      </c>
      <c r="I26" s="1156">
        <f>SUM(G26:H26)</f>
        <v>39261266547</v>
      </c>
      <c r="J26" s="205">
        <f>MAYO!L26</f>
        <v>5402391288</v>
      </c>
      <c r="K26" s="208">
        <v>3050627675</v>
      </c>
      <c r="L26" s="205">
        <f>SUM(J26:K26)</f>
        <v>8453018963</v>
      </c>
      <c r="M26" s="205">
        <f>F26-I26</f>
        <v>42605533317</v>
      </c>
      <c r="N26" s="206">
        <f>F26-L26</f>
        <v>73413780901</v>
      </c>
      <c r="O26" s="101"/>
      <c r="P26" s="204">
        <v>0</v>
      </c>
      <c r="Q26" s="210">
        <v>0</v>
      </c>
      <c r="R26" s="101"/>
      <c r="S26" s="311" t="str">
        <f>+IF(MAYO!S26=0,"",MAYO!S26)</f>
        <v>2.1.1.01.01.001.05</v>
      </c>
      <c r="T26" s="312" t="str">
        <f>+IF(MAYO!T26=0,"",MAYO!T26)</f>
        <v>Auxilio de Transporte</v>
      </c>
      <c r="U26" s="373">
        <f>+ENERO!U26</f>
        <v>0</v>
      </c>
      <c r="V26" s="220">
        <f>MAYO!V26+JUNIO!AL26</f>
        <v>21000000</v>
      </c>
      <c r="W26" s="220">
        <f>MAYO!W26+JUNIO!AM26</f>
        <v>0</v>
      </c>
      <c r="X26" s="271">
        <f t="shared" si="17"/>
        <v>21000000</v>
      </c>
      <c r="Y26" s="270">
        <f>MAYO!AA26</f>
        <v>11026665</v>
      </c>
      <c r="Z26" s="208">
        <v>1906666</v>
      </c>
      <c r="AA26" s="271">
        <f t="shared" si="18"/>
        <v>12933331</v>
      </c>
      <c r="AB26" s="270">
        <f>MAYO!AD26</f>
        <v>11026665</v>
      </c>
      <c r="AC26" s="208">
        <v>1906666</v>
      </c>
      <c r="AD26" s="271">
        <f t="shared" si="19"/>
        <v>12933331</v>
      </c>
      <c r="AE26" s="270">
        <f>MAYO!AG26</f>
        <v>11026665</v>
      </c>
      <c r="AF26" s="208">
        <v>1906666</v>
      </c>
      <c r="AG26" s="271">
        <f t="shared" si="20"/>
        <v>12933331</v>
      </c>
      <c r="AH26" s="270">
        <f t="shared" si="21"/>
        <v>8066669</v>
      </c>
      <c r="AI26" s="220">
        <f t="shared" si="22"/>
        <v>8066669</v>
      </c>
      <c r="AJ26" s="269">
        <f t="shared" si="23"/>
        <v>8066669</v>
      </c>
      <c r="AK26" s="101"/>
      <c r="AL26" s="204">
        <v>0</v>
      </c>
      <c r="AM26" s="210">
        <v>0</v>
      </c>
      <c r="AN26" s="101"/>
      <c r="AO26" s="108"/>
      <c r="AP26" s="539" t="s">
        <v>171</v>
      </c>
      <c r="AQ26" s="110">
        <f>X110</f>
        <v>22066802276.620834</v>
      </c>
      <c r="AR26" s="110">
        <f>AD110</f>
        <v>8703386978</v>
      </c>
      <c r="AS26" s="110">
        <f>AG110</f>
        <v>6270509828</v>
      </c>
      <c r="AT26" s="198">
        <f>AO2/12</f>
        <v>0.5</v>
      </c>
      <c r="AU26" s="139">
        <f t="shared" si="25"/>
        <v>0.39441088332136809</v>
      </c>
      <c r="AV26" s="139">
        <f t="shared" si="26"/>
        <v>0.28416033049987632</v>
      </c>
      <c r="AW26" s="334" t="e">
        <f>(AR26-AD121-AD139-AD143-AD153-#REF!)/$AO$2*12+AD121+AD139+AD143+AD153+#REF!</f>
        <v>#REF!</v>
      </c>
      <c r="AX26" s="334" t="e">
        <f>(AS26-AG121-AG139-AG143-AG153-#REF!)/$AO$2*12+AG121+AG139+AG143+AG153+#REF!</f>
        <v>#REF!</v>
      </c>
      <c r="AY26" s="334" t="e">
        <f t="shared" si="27"/>
        <v>#REF!</v>
      </c>
      <c r="AZ26" s="335" t="e">
        <f t="shared" si="28"/>
        <v>#REF!</v>
      </c>
      <c r="BA26" s="67"/>
      <c r="BB26" s="67"/>
      <c r="BC26" s="67"/>
      <c r="BD26" s="67"/>
      <c r="BE26" s="67"/>
      <c r="BF26" s="67"/>
      <c r="BG26" s="67"/>
      <c r="BH26" s="67"/>
      <c r="BI26" s="67"/>
      <c r="BJ26" s="67"/>
      <c r="BK26" s="67"/>
      <c r="BL26" s="101"/>
      <c r="BM26" s="758" t="s">
        <v>172</v>
      </c>
      <c r="BN26" s="199">
        <f>+X197</f>
        <v>6764066391.666666</v>
      </c>
      <c r="BO26" s="199">
        <f>+AA197</f>
        <v>5352776188</v>
      </c>
      <c r="BP26" s="199">
        <f>+AD197</f>
        <v>4586744437</v>
      </c>
      <c r="BQ26" s="750">
        <f>+AF197</f>
        <v>565045255</v>
      </c>
    </row>
    <row r="27" spans="1:69" ht="24.75" customHeight="1">
      <c r="A27" s="202" t="str">
        <f>+IF(MAYO!A27=0,"",MAYO!A27)</f>
        <v>1.1.02.05.001.09.02.01.99</v>
      </c>
      <c r="B27" s="331" t="str">
        <f>+IF(MAYO!B27=0,"",MAYO!B27)</f>
        <v>Vigencia Anterior</v>
      </c>
      <c r="C27" s="204">
        <f>+ENERO!C27</f>
        <v>9721866732</v>
      </c>
      <c r="D27" s="205">
        <f>MAYO!D27+JUNIO!P27</f>
        <v>0</v>
      </c>
      <c r="E27" s="205">
        <f>MAYO!E27+JUNIO!Q27</f>
        <v>6861221082</v>
      </c>
      <c r="F27" s="205">
        <f>SUM(C27:E27)</f>
        <v>16583087814</v>
      </c>
      <c r="G27" s="205">
        <f>MAYO!I27</f>
        <v>25583289088</v>
      </c>
      <c r="H27" s="208">
        <v>3070755680</v>
      </c>
      <c r="I27" s="205">
        <f>SUM(G27:H27)</f>
        <v>28654044768</v>
      </c>
      <c r="J27" s="205">
        <f>MAYO!L27</f>
        <v>25583289088</v>
      </c>
      <c r="K27" s="208">
        <v>3070755680</v>
      </c>
      <c r="L27" s="205">
        <f>SUM(J27:K27)</f>
        <v>28654044768</v>
      </c>
      <c r="M27" s="205">
        <f>F27-I27</f>
        <v>-12070956954</v>
      </c>
      <c r="N27" s="206">
        <f>F27-L27</f>
        <v>-12070956954</v>
      </c>
      <c r="O27" s="67"/>
      <c r="P27" s="204">
        <v>0</v>
      </c>
      <c r="Q27" s="210">
        <v>0</v>
      </c>
      <c r="R27" s="101"/>
      <c r="S27" s="311" t="str">
        <f>+IF(MAYO!S27=0,"",MAYO!S27)</f>
        <v>2.1.1.01.01.001.04</v>
      </c>
      <c r="T27" s="312" t="str">
        <f>+IF(MAYO!T27=0,"",MAYO!T27)</f>
        <v>Auxilio de Alimentación</v>
      </c>
      <c r="U27" s="373">
        <f>+ENERO!U27</f>
        <v>0</v>
      </c>
      <c r="V27" s="220">
        <f>MAYO!V27+JUNIO!AL27</f>
        <v>0</v>
      </c>
      <c r="W27" s="220">
        <f>MAYO!W27+JUNIO!AM27</f>
        <v>0</v>
      </c>
      <c r="X27" s="271">
        <f t="shared" si="17"/>
        <v>0</v>
      </c>
      <c r="Y27" s="270">
        <f>MAYO!AA27</f>
        <v>0</v>
      </c>
      <c r="Z27" s="208">
        <v>0</v>
      </c>
      <c r="AA27" s="271">
        <f t="shared" si="18"/>
        <v>0</v>
      </c>
      <c r="AB27" s="270">
        <f>MAYO!AD27</f>
        <v>0</v>
      </c>
      <c r="AC27" s="208">
        <v>0</v>
      </c>
      <c r="AD27" s="271">
        <f t="shared" si="19"/>
        <v>0</v>
      </c>
      <c r="AE27" s="270">
        <f>MAYO!AG27</f>
        <v>0</v>
      </c>
      <c r="AF27" s="208">
        <v>0</v>
      </c>
      <c r="AG27" s="271">
        <f t="shared" si="20"/>
        <v>0</v>
      </c>
      <c r="AH27" s="270">
        <f t="shared" si="21"/>
        <v>0</v>
      </c>
      <c r="AI27" s="220">
        <f t="shared" si="22"/>
        <v>0</v>
      </c>
      <c r="AJ27" s="269">
        <f t="shared" si="23"/>
        <v>0</v>
      </c>
      <c r="AK27" s="101"/>
      <c r="AL27" s="204">
        <v>0</v>
      </c>
      <c r="AM27" s="210">
        <v>0</v>
      </c>
      <c r="AN27" s="101"/>
      <c r="AO27" s="156"/>
      <c r="AP27" s="420" t="s">
        <v>174</v>
      </c>
      <c r="AQ27" s="205">
        <f>X168</f>
        <v>3609060585</v>
      </c>
      <c r="AR27" s="205">
        <f>AD168</f>
        <v>964823965</v>
      </c>
      <c r="AS27" s="205">
        <f>AG168</f>
        <v>840125105.5</v>
      </c>
      <c r="AT27" s="338"/>
      <c r="AU27" s="205">
        <f t="shared" si="25"/>
        <v>0.26733382338052381</v>
      </c>
      <c r="AV27" s="205">
        <f t="shared" si="26"/>
        <v>0.23278221180096925</v>
      </c>
      <c r="AW27" s="205">
        <f>(AR27-AD172-AD181-AD190)/$AO$2*12+AD172+AD181+AD190</f>
        <v>1584556040</v>
      </c>
      <c r="AX27" s="205">
        <f>(AS27-AG172-AG181-AG190)/$AO$2*12+AG172+AG181+AG190</f>
        <v>1335158321</v>
      </c>
      <c r="AY27" s="205">
        <f t="shared" si="27"/>
        <v>-2024504545</v>
      </c>
      <c r="AZ27" s="206">
        <f t="shared" si="28"/>
        <v>2273902264</v>
      </c>
      <c r="BA27" s="101"/>
      <c r="BB27" s="67"/>
      <c r="BC27" s="67"/>
      <c r="BD27" s="67"/>
      <c r="BE27" s="67"/>
      <c r="BF27" s="67"/>
      <c r="BG27" s="67"/>
      <c r="BH27" s="67"/>
      <c r="BI27" s="67"/>
      <c r="BJ27" s="67"/>
      <c r="BK27" s="67"/>
      <c r="BL27" s="67"/>
      <c r="BM27" s="758" t="s">
        <v>175</v>
      </c>
      <c r="BN27" s="201">
        <f>+X210</f>
        <v>3000000</v>
      </c>
      <c r="BO27" s="199">
        <f>+AA210</f>
        <v>0</v>
      </c>
      <c r="BP27" s="199">
        <f>+AD210</f>
        <v>0</v>
      </c>
      <c r="BQ27" s="750">
        <f>+AF210</f>
        <v>0</v>
      </c>
    </row>
    <row r="28" spans="1:69" ht="24.75" customHeight="1">
      <c r="A28" s="286">
        <f>+IF(MAYO!A28=0,"",MAYO!A28)</f>
        <v>1130103</v>
      </c>
      <c r="B28" s="344" t="str">
        <f>+IF(MAYO!B28=0,"",MAYO!B28)</f>
        <v>SUBSIDIO A LA OFERTA- ATENCION PERSONAS POBRES NO CUBIERTOS CON SUBSIDIO A LA DEMANDA</v>
      </c>
      <c r="C28" s="288">
        <f>C29+C32+C35+C38+C39+C40</f>
        <v>1850957800</v>
      </c>
      <c r="D28" s="320">
        <f>+D29+D32+D35+D38+D39+D40</f>
        <v>0</v>
      </c>
      <c r="E28" s="320">
        <f>+E29+E32+E35+E38+E39+E40</f>
        <v>0</v>
      </c>
      <c r="F28" s="320">
        <f>+F29+F32+F35+F38+F39+F40</f>
        <v>1850957800</v>
      </c>
      <c r="G28" s="320">
        <f t="shared" ref="G28:N28" si="30">G29+G32+G35+G38+G39+G40</f>
        <v>926192121</v>
      </c>
      <c r="H28" s="320">
        <f t="shared" si="30"/>
        <v>129695280</v>
      </c>
      <c r="I28" s="320">
        <f t="shared" si="30"/>
        <v>1055887401</v>
      </c>
      <c r="J28" s="320">
        <f t="shared" si="30"/>
        <v>604634679</v>
      </c>
      <c r="K28" s="320">
        <f t="shared" si="30"/>
        <v>382585366</v>
      </c>
      <c r="L28" s="1173">
        <f t="shared" si="30"/>
        <v>987220045</v>
      </c>
      <c r="M28" s="320">
        <f t="shared" si="30"/>
        <v>795070399</v>
      </c>
      <c r="N28" s="289">
        <f t="shared" si="30"/>
        <v>863737755</v>
      </c>
      <c r="O28" s="67"/>
      <c r="P28" s="288">
        <f>P29+P32+P35+P38+P39+P939</f>
        <v>0</v>
      </c>
      <c r="Q28" s="289">
        <f>Q29+Q32+Q35+Q38+Q39+Q40</f>
        <v>0</v>
      </c>
      <c r="R28" s="101"/>
      <c r="S28" s="311" t="str">
        <f>+IF(MAYO!S28=0,"",MAYO!S28)</f>
        <v>1010104-8</v>
      </c>
      <c r="T28" s="312" t="str">
        <f>+IF(MAYO!T28=0,"",MAYO!T28)</f>
        <v>Indemnizaciones por Vacaciones o Supresión de Cargos por Reestructuración</v>
      </c>
      <c r="U28" s="373">
        <f>+ENERO!U28</f>
        <v>0</v>
      </c>
      <c r="V28" s="220">
        <f>MAYO!V28+JUNIO!AL28</f>
        <v>0</v>
      </c>
      <c r="W28" s="220">
        <f>MAYO!W28+JUNIO!AM28</f>
        <v>0</v>
      </c>
      <c r="X28" s="271">
        <f t="shared" si="17"/>
        <v>0</v>
      </c>
      <c r="Y28" s="270">
        <f>MAYO!AA28</f>
        <v>0</v>
      </c>
      <c r="Z28" s="208">
        <v>0</v>
      </c>
      <c r="AA28" s="271">
        <f t="shared" si="18"/>
        <v>0</v>
      </c>
      <c r="AB28" s="270">
        <f>MAYO!AD28</f>
        <v>0</v>
      </c>
      <c r="AC28" s="208">
        <v>0</v>
      </c>
      <c r="AD28" s="271">
        <f t="shared" si="19"/>
        <v>0</v>
      </c>
      <c r="AE28" s="270">
        <f>MAYO!AG28</f>
        <v>0</v>
      </c>
      <c r="AF28" s="208">
        <v>0</v>
      </c>
      <c r="AG28" s="271">
        <f t="shared" si="20"/>
        <v>0</v>
      </c>
      <c r="AH28" s="270">
        <f t="shared" si="21"/>
        <v>0</v>
      </c>
      <c r="AI28" s="220">
        <f t="shared" si="22"/>
        <v>0</v>
      </c>
      <c r="AJ28" s="269">
        <f t="shared" si="23"/>
        <v>0</v>
      </c>
      <c r="AK28" s="101"/>
      <c r="AL28" s="204">
        <v>0</v>
      </c>
      <c r="AM28" s="210">
        <v>0</v>
      </c>
      <c r="AN28" s="101"/>
      <c r="AO28" s="156"/>
      <c r="AP28" s="333" t="s">
        <v>179</v>
      </c>
      <c r="AQ28" s="205">
        <f>X194</f>
        <v>40389630478.666664</v>
      </c>
      <c r="AR28" s="205">
        <f>AD194</f>
        <v>26723263969</v>
      </c>
      <c r="AS28" s="205">
        <f>AG194</f>
        <v>14781277922</v>
      </c>
      <c r="AT28" s="338"/>
      <c r="AU28" s="205">
        <f t="shared" si="25"/>
        <v>0.66163675310460979</v>
      </c>
      <c r="AV28" s="205">
        <f t="shared" si="26"/>
        <v>0.36596714916238959</v>
      </c>
      <c r="AW28" s="205">
        <f>(AR28-AD206)/$AO$2*12+AD206</f>
        <v>49798465383</v>
      </c>
      <c r="AX28" s="205">
        <f>(AS28-AG206)/$AO$2*12+AG206</f>
        <v>25914493291</v>
      </c>
      <c r="AY28" s="205">
        <f t="shared" si="27"/>
        <v>9408834904.3333359</v>
      </c>
      <c r="AZ28" s="206">
        <f t="shared" si="28"/>
        <v>14475137187.666664</v>
      </c>
      <c r="BA28" s="67"/>
      <c r="BB28" s="67"/>
      <c r="BC28" s="67"/>
      <c r="BD28" s="67"/>
      <c r="BE28" s="67"/>
      <c r="BF28" s="67"/>
      <c r="BG28" s="67"/>
      <c r="BH28" s="67"/>
      <c r="BI28" s="67"/>
      <c r="BJ28" s="67"/>
      <c r="BK28" s="67"/>
      <c r="BL28" s="67"/>
      <c r="BM28" s="743" t="s">
        <v>180</v>
      </c>
      <c r="BN28" s="186">
        <f>+X196-X197+X204</f>
        <v>28808783123.666664</v>
      </c>
      <c r="BO28" s="186">
        <f>+AA196-AA197+AA204</f>
        <v>21955664271</v>
      </c>
      <c r="BP28" s="186">
        <f>+AD196-AD197+AD204</f>
        <v>18488456977</v>
      </c>
      <c r="BQ28" s="748">
        <f>+AF196-AF197+AF204</f>
        <v>3094977368</v>
      </c>
    </row>
    <row r="29" spans="1:69" ht="24.75" customHeight="1">
      <c r="A29" s="202" t="str">
        <f>+IF(MAYO!A29=0,"",MAYO!A29)</f>
        <v>1130103-1</v>
      </c>
      <c r="B29" s="345" t="str">
        <f>+IF(MAYO!B29=0,"",MAYO!B29)</f>
        <v>Prestación de Servicios de salud  1er Nivel</v>
      </c>
      <c r="C29" s="270">
        <f t="shared" ref="C29:N29" si="31">SUM(C30:C31)</f>
        <v>0</v>
      </c>
      <c r="D29" s="220">
        <f t="shared" si="31"/>
        <v>0</v>
      </c>
      <c r="E29" s="220">
        <f t="shared" si="31"/>
        <v>0</v>
      </c>
      <c r="F29" s="220">
        <f t="shared" si="31"/>
        <v>0</v>
      </c>
      <c r="G29" s="220">
        <f t="shared" si="31"/>
        <v>0</v>
      </c>
      <c r="H29" s="220">
        <f t="shared" si="31"/>
        <v>0</v>
      </c>
      <c r="I29" s="220">
        <f t="shared" si="31"/>
        <v>0</v>
      </c>
      <c r="J29" s="220">
        <f t="shared" si="31"/>
        <v>0</v>
      </c>
      <c r="K29" s="220">
        <f t="shared" si="31"/>
        <v>0</v>
      </c>
      <c r="L29" s="220">
        <f t="shared" si="31"/>
        <v>0</v>
      </c>
      <c r="M29" s="220">
        <f t="shared" si="31"/>
        <v>0</v>
      </c>
      <c r="N29" s="269">
        <f t="shared" si="31"/>
        <v>0</v>
      </c>
      <c r="O29" s="67"/>
      <c r="P29" s="346">
        <f>SUM(P30:P31)</f>
        <v>0</v>
      </c>
      <c r="Q29" s="347">
        <f>SUM(Q30:Q31)</f>
        <v>0</v>
      </c>
      <c r="R29" s="101"/>
      <c r="S29" s="311" t="str">
        <f>+IF(MAYO!S29=0,"",MAYO!S29)</f>
        <v>1010104-9</v>
      </c>
      <c r="T29" s="312" t="str">
        <f>+IF(MAYO!T29=0,"",MAYO!T29)</f>
        <v>Gastos de Representacion</v>
      </c>
      <c r="U29" s="373">
        <f>+ENERO!U29</f>
        <v>0</v>
      </c>
      <c r="V29" s="220">
        <f>MAYO!V29+JUNIO!AL29</f>
        <v>0</v>
      </c>
      <c r="W29" s="220">
        <f>MAYO!W29+JUNIO!AM29</f>
        <v>0</v>
      </c>
      <c r="X29" s="271">
        <f t="shared" si="17"/>
        <v>0</v>
      </c>
      <c r="Y29" s="270">
        <f>MAYO!AA29</f>
        <v>0</v>
      </c>
      <c r="Z29" s="208">
        <v>0</v>
      </c>
      <c r="AA29" s="271">
        <f t="shared" si="18"/>
        <v>0</v>
      </c>
      <c r="AB29" s="270">
        <f>MAYO!AD29</f>
        <v>0</v>
      </c>
      <c r="AC29" s="208">
        <v>0</v>
      </c>
      <c r="AD29" s="271">
        <f t="shared" si="19"/>
        <v>0</v>
      </c>
      <c r="AE29" s="270">
        <f>MAYO!AG29</f>
        <v>0</v>
      </c>
      <c r="AF29" s="208">
        <v>0</v>
      </c>
      <c r="AG29" s="271">
        <f t="shared" si="20"/>
        <v>0</v>
      </c>
      <c r="AH29" s="270">
        <f t="shared" si="21"/>
        <v>0</v>
      </c>
      <c r="AI29" s="220">
        <f t="shared" si="22"/>
        <v>0</v>
      </c>
      <c r="AJ29" s="269">
        <f t="shared" si="23"/>
        <v>0</v>
      </c>
      <c r="AK29" s="101"/>
      <c r="AL29" s="204">
        <v>0</v>
      </c>
      <c r="AM29" s="210">
        <v>0</v>
      </c>
      <c r="AN29" s="101"/>
      <c r="AO29" s="108"/>
      <c r="AP29" s="333" t="s">
        <v>185</v>
      </c>
      <c r="AQ29" s="205">
        <f>X208</f>
        <v>4665559635</v>
      </c>
      <c r="AR29" s="205">
        <f>AD208</f>
        <v>4596162843</v>
      </c>
      <c r="AS29" s="205">
        <f>AG208</f>
        <v>4596162843</v>
      </c>
      <c r="AT29" s="110"/>
      <c r="AU29" s="139">
        <f t="shared" si="25"/>
        <v>0.98512573036696383</v>
      </c>
      <c r="AV29" s="139">
        <f t="shared" si="26"/>
        <v>0.98512573036696383</v>
      </c>
      <c r="AW29" s="334">
        <f>(AR29-AD217)/$AO$2*12+AD217</f>
        <v>4596162843</v>
      </c>
      <c r="AX29" s="334">
        <f>(AS29-AG217)/$AO$2*12+AG217</f>
        <v>4596162843</v>
      </c>
      <c r="AY29" s="334">
        <f t="shared" si="27"/>
        <v>-69396792</v>
      </c>
      <c r="AZ29" s="335">
        <f t="shared" si="28"/>
        <v>69396792</v>
      </c>
      <c r="BA29" s="67"/>
      <c r="BB29" s="336"/>
      <c r="BC29" s="336"/>
      <c r="BD29" s="336"/>
      <c r="BE29" s="336"/>
      <c r="BF29" s="336"/>
      <c r="BG29" s="67"/>
      <c r="BH29" s="67"/>
      <c r="BI29" s="67"/>
      <c r="BJ29" s="67"/>
      <c r="BK29" s="67"/>
      <c r="BL29" s="101"/>
      <c r="BM29" s="759" t="s">
        <v>117</v>
      </c>
      <c r="BN29" s="340">
        <f>X234-X240</f>
        <v>21574720366</v>
      </c>
      <c r="BO29" s="340">
        <f>AA234-AA240</f>
        <v>15453425304</v>
      </c>
      <c r="BP29" s="340">
        <f>AD234-AD240</f>
        <v>9063801549</v>
      </c>
      <c r="BQ29" s="340">
        <f>AF234-AF240</f>
        <v>1673489045</v>
      </c>
    </row>
    <row r="30" spans="1:69" ht="24.75" customHeight="1">
      <c r="A30" s="202" t="str">
        <f>+IF(MAYO!A30=0,"",MAYO!A30)</f>
        <v>1130103-1-1</v>
      </c>
      <c r="B30" s="331" t="str">
        <f>+CONCATENATE("Vigencia ",INSTRUCCIONES!$F$3)</f>
        <v>Vigencia 2025</v>
      </c>
      <c r="C30" s="204">
        <f>+ENERO!C30</f>
        <v>0</v>
      </c>
      <c r="D30" s="205">
        <f>MAYO!D30+JUNIO!P30</f>
        <v>0</v>
      </c>
      <c r="E30" s="205">
        <f>MAYO!E30+JUNIO!Q30</f>
        <v>0</v>
      </c>
      <c r="F30" s="205">
        <f>SUM(C30:E30)</f>
        <v>0</v>
      </c>
      <c r="G30" s="205">
        <f>MAYO!I30</f>
        <v>0</v>
      </c>
      <c r="H30" s="208">
        <v>0</v>
      </c>
      <c r="I30" s="205">
        <f>SUM(G30:H30)</f>
        <v>0</v>
      </c>
      <c r="J30" s="205">
        <f>MAYO!L30</f>
        <v>0</v>
      </c>
      <c r="K30" s="208">
        <v>0</v>
      </c>
      <c r="L30" s="205">
        <f>SUM(J30:K30)</f>
        <v>0</v>
      </c>
      <c r="M30" s="205">
        <f>F30-I30</f>
        <v>0</v>
      </c>
      <c r="N30" s="206">
        <f>F30-L30</f>
        <v>0</v>
      </c>
      <c r="O30" s="101"/>
      <c r="P30" s="204">
        <v>0</v>
      </c>
      <c r="Q30" s="210">
        <v>0</v>
      </c>
      <c r="R30" s="101"/>
      <c r="S30" s="311" t="str">
        <f>+IF(MAYO!S30=0,"",MAYO!S30)</f>
        <v>2.1.1.01.03.001.03</v>
      </c>
      <c r="T30" s="312" t="str">
        <f>+IF(MAYO!T30=0,"",MAYO!T30)</f>
        <v>Bonificación Especial por Recreación</v>
      </c>
      <c r="U30" s="373">
        <f>+ENERO!U30</f>
        <v>36288061.666666657</v>
      </c>
      <c r="V30" s="220">
        <f>MAYO!V30+JUNIO!AL30</f>
        <v>0</v>
      </c>
      <c r="W30" s="220">
        <f>MAYO!W30+JUNIO!AM30</f>
        <v>0</v>
      </c>
      <c r="X30" s="271">
        <f t="shared" si="17"/>
        <v>36288061.666666657</v>
      </c>
      <c r="Y30" s="270">
        <f>MAYO!AA30</f>
        <v>12613403</v>
      </c>
      <c r="Z30" s="208">
        <v>2231148</v>
      </c>
      <c r="AA30" s="271">
        <f t="shared" si="18"/>
        <v>14844551</v>
      </c>
      <c r="AB30" s="270">
        <f>MAYO!AD30</f>
        <v>12613403</v>
      </c>
      <c r="AC30" s="208">
        <v>2231148</v>
      </c>
      <c r="AD30" s="271">
        <f t="shared" si="19"/>
        <v>14844551</v>
      </c>
      <c r="AE30" s="270">
        <f>MAYO!AG30</f>
        <v>12613403</v>
      </c>
      <c r="AF30" s="208">
        <v>2231148</v>
      </c>
      <c r="AG30" s="271">
        <f t="shared" si="20"/>
        <v>14844551</v>
      </c>
      <c r="AH30" s="270">
        <f t="shared" si="21"/>
        <v>21443510.666666657</v>
      </c>
      <c r="AI30" s="220">
        <f t="shared" si="22"/>
        <v>21443510.666666657</v>
      </c>
      <c r="AJ30" s="269">
        <f t="shared" si="23"/>
        <v>21443510.666666657</v>
      </c>
      <c r="AK30" s="101"/>
      <c r="AL30" s="204">
        <v>0</v>
      </c>
      <c r="AM30" s="210">
        <v>0</v>
      </c>
      <c r="AN30" s="101"/>
      <c r="AO30" s="196" t="s">
        <v>92</v>
      </c>
      <c r="AP30" s="420" t="s">
        <v>188</v>
      </c>
      <c r="AQ30" s="205">
        <f>X219+X231</f>
        <v>25264677895</v>
      </c>
      <c r="AR30" s="205">
        <f>AD219+AD231</f>
        <v>9728303575</v>
      </c>
      <c r="AS30" s="205">
        <f>AG219+AG231</f>
        <v>7000234233</v>
      </c>
      <c r="AT30" s="338"/>
      <c r="AU30" s="205">
        <f t="shared" si="25"/>
        <v>0.3850555156662131</v>
      </c>
      <c r="AV30" s="205">
        <f t="shared" si="26"/>
        <v>0.27707593431798233</v>
      </c>
      <c r="AW30" s="205">
        <f>(AR30-AD224-AD229-AD240-AD255)/$AO$2*12+AD224+AD229+AD240+AD255</f>
        <v>19456607150</v>
      </c>
      <c r="AX30" s="205">
        <f>(AS30-AG224-AG229-AG240-AG255)/$AO$2*12+AG224+AG229+AG240+AG255</f>
        <v>14000468466</v>
      </c>
      <c r="AY30" s="205">
        <f t="shared" si="27"/>
        <v>-5808070745</v>
      </c>
      <c r="AZ30" s="206">
        <f t="shared" si="28"/>
        <v>11264209429</v>
      </c>
      <c r="BA30" s="67"/>
      <c r="BB30" s="336"/>
      <c r="BC30" s="336"/>
      <c r="BD30" s="336"/>
      <c r="BE30" s="336"/>
      <c r="BF30" s="336"/>
      <c r="BG30" s="67"/>
      <c r="BH30" s="67"/>
      <c r="BI30" s="67"/>
      <c r="BJ30" s="67"/>
      <c r="BK30" s="67"/>
      <c r="BL30" s="67"/>
      <c r="BM30" s="759" t="s">
        <v>122</v>
      </c>
      <c r="BN30" s="340">
        <f>X219-X229</f>
        <v>3239175000</v>
      </c>
      <c r="BO30" s="340">
        <f>AA219-AA229</f>
        <v>664502026</v>
      </c>
      <c r="BP30" s="340">
        <f>AD219-AD229</f>
        <v>664502026</v>
      </c>
      <c r="BQ30" s="340">
        <f>AF219-AF229</f>
        <v>114970738</v>
      </c>
    </row>
    <row r="31" spans="1:69" ht="24.75" customHeight="1">
      <c r="A31" s="202" t="str">
        <f>+IF(MAYO!A31=0,"",MAYO!A31)</f>
        <v>1130103-1-2</v>
      </c>
      <c r="B31" s="331" t="str">
        <f>+IF(MAYO!B31=0,"",MAYO!B31)</f>
        <v>Vigencia Anterior</v>
      </c>
      <c r="C31" s="204">
        <f>+ENERO!C31</f>
        <v>0</v>
      </c>
      <c r="D31" s="205">
        <f>MAYO!D31+JUNIO!P31</f>
        <v>0</v>
      </c>
      <c r="E31" s="205">
        <f>MAYO!E31+JUNIO!Q31</f>
        <v>0</v>
      </c>
      <c r="F31" s="205">
        <f>SUM(C31:E31)</f>
        <v>0</v>
      </c>
      <c r="G31" s="205">
        <f>MAYO!I31</f>
        <v>0</v>
      </c>
      <c r="H31" s="208">
        <v>0</v>
      </c>
      <c r="I31" s="205">
        <f>SUM(G31:H31)</f>
        <v>0</v>
      </c>
      <c r="J31" s="205">
        <f>MAYO!L31</f>
        <v>0</v>
      </c>
      <c r="K31" s="208">
        <v>0</v>
      </c>
      <c r="L31" s="205">
        <f>SUM(J31:K31)</f>
        <v>0</v>
      </c>
      <c r="M31" s="205">
        <f>F31-I31</f>
        <v>0</v>
      </c>
      <c r="N31" s="206">
        <f>F31-L31</f>
        <v>0</v>
      </c>
      <c r="O31" s="67"/>
      <c r="P31" s="204">
        <v>0</v>
      </c>
      <c r="Q31" s="210">
        <v>0</v>
      </c>
      <c r="R31" s="101"/>
      <c r="S31" s="311" t="str">
        <f>+IF(MAYO!S31=0,"",MAYO!S31)</f>
        <v>2.1.1.01.03.001.01</v>
      </c>
      <c r="T31" s="312" t="str">
        <f>+IF(MAYO!T31=0,"",MAYO!T31)</f>
        <v>Vacaciones</v>
      </c>
      <c r="U31" s="373">
        <f>+ENERO!U31</f>
        <v>272160462.5</v>
      </c>
      <c r="V31" s="220">
        <f>MAYO!V31+JUNIO!AL31</f>
        <v>0</v>
      </c>
      <c r="W31" s="220">
        <f>MAYO!W31+JUNIO!AM31</f>
        <v>0</v>
      </c>
      <c r="X31" s="271">
        <f t="shared" si="17"/>
        <v>272160462.5</v>
      </c>
      <c r="Y31" s="270">
        <f>MAYO!AA31</f>
        <v>139724277</v>
      </c>
      <c r="Z31" s="208">
        <v>24542830</v>
      </c>
      <c r="AA31" s="271">
        <f t="shared" si="18"/>
        <v>164267107</v>
      </c>
      <c r="AB31" s="270">
        <f>MAYO!AD31</f>
        <v>139724277</v>
      </c>
      <c r="AC31" s="208">
        <v>24542830</v>
      </c>
      <c r="AD31" s="271">
        <f t="shared" si="19"/>
        <v>164267107</v>
      </c>
      <c r="AE31" s="270">
        <f>MAYO!AG31</f>
        <v>139724277</v>
      </c>
      <c r="AF31" s="208">
        <v>24542830</v>
      </c>
      <c r="AG31" s="271">
        <f t="shared" si="20"/>
        <v>164267107</v>
      </c>
      <c r="AH31" s="270">
        <f t="shared" si="21"/>
        <v>107893355.5</v>
      </c>
      <c r="AI31" s="220">
        <f t="shared" si="22"/>
        <v>107893355.5</v>
      </c>
      <c r="AJ31" s="269">
        <f t="shared" si="23"/>
        <v>107893355.5</v>
      </c>
      <c r="AK31" s="101"/>
      <c r="AL31" s="204">
        <v>0</v>
      </c>
      <c r="AM31" s="210">
        <v>0</v>
      </c>
      <c r="AN31" s="101"/>
      <c r="AO31" s="156"/>
      <c r="AP31" s="303" t="s">
        <v>190</v>
      </c>
      <c r="AQ31" s="338">
        <f>X257</f>
        <v>0.30987548828125</v>
      </c>
      <c r="AR31" s="338">
        <f>AD257</f>
        <v>-30342147323</v>
      </c>
      <c r="AS31" s="338">
        <f>AG257</f>
        <v>-71010703370.5</v>
      </c>
      <c r="AT31" s="338"/>
      <c r="AU31" s="205">
        <f t="shared" si="25"/>
        <v>-97917223112.080368</v>
      </c>
      <c r="AV31" s="205">
        <f t="shared" si="26"/>
        <v>-229158826870.64645</v>
      </c>
      <c r="AW31" s="205">
        <f>AQ31</f>
        <v>0.30987548828125</v>
      </c>
      <c r="AX31" s="205">
        <f>AQ31</f>
        <v>0.30987548828125</v>
      </c>
      <c r="AY31" s="205">
        <f t="shared" si="27"/>
        <v>0</v>
      </c>
      <c r="AZ31" s="206">
        <f t="shared" si="28"/>
        <v>0</v>
      </c>
      <c r="BA31" s="67"/>
      <c r="BB31" s="67"/>
      <c r="BC31" s="67"/>
      <c r="BD31" s="67"/>
      <c r="BE31" s="67"/>
      <c r="BF31" s="67"/>
      <c r="BG31" s="67"/>
      <c r="BH31" s="67"/>
      <c r="BI31" s="67"/>
      <c r="BJ31" s="67"/>
      <c r="BK31" s="67"/>
      <c r="BL31" s="67"/>
      <c r="BM31" s="759" t="s">
        <v>191</v>
      </c>
      <c r="BN31" s="340">
        <f>X261</f>
        <v>31216386787.222057</v>
      </c>
      <c r="BO31" s="340">
        <f>AA261</f>
        <v>27120015611</v>
      </c>
      <c r="BP31" s="340">
        <f>AD261</f>
        <v>27113815611</v>
      </c>
      <c r="BQ31" s="340">
        <f>AF261</f>
        <v>227973535</v>
      </c>
    </row>
    <row r="32" spans="1:69" ht="24.75" customHeight="1" thickBot="1">
      <c r="A32" s="202" t="str">
        <f>+IF(MAYO!A32=0,"",MAYO!A32)</f>
        <v>1.1.02.05.001.09.02.15</v>
      </c>
      <c r="B32" s="345" t="str">
        <f>+IF(MAYO!B32=0,"",MAYO!B32)</f>
        <v>Prestación de Servicios de salud  2o. Nivel</v>
      </c>
      <c r="C32" s="270">
        <f t="shared" ref="C32:N32" si="32">SUM(C33:C34)</f>
        <v>1850957800</v>
      </c>
      <c r="D32" s="220">
        <f t="shared" si="32"/>
        <v>0</v>
      </c>
      <c r="E32" s="220">
        <f t="shared" si="32"/>
        <v>0</v>
      </c>
      <c r="F32" s="220">
        <f t="shared" si="32"/>
        <v>1850957800</v>
      </c>
      <c r="G32" s="220">
        <f t="shared" si="32"/>
        <v>926192121</v>
      </c>
      <c r="H32" s="220">
        <f t="shared" si="32"/>
        <v>129695280</v>
      </c>
      <c r="I32" s="220">
        <f t="shared" si="32"/>
        <v>1055887401</v>
      </c>
      <c r="J32" s="220">
        <f t="shared" si="32"/>
        <v>604634679</v>
      </c>
      <c r="K32" s="220">
        <f t="shared" si="32"/>
        <v>382585366</v>
      </c>
      <c r="L32" s="220">
        <f t="shared" si="32"/>
        <v>987220045</v>
      </c>
      <c r="M32" s="220">
        <f t="shared" si="32"/>
        <v>795070399</v>
      </c>
      <c r="N32" s="269">
        <f t="shared" si="32"/>
        <v>863737755</v>
      </c>
      <c r="O32" s="67"/>
      <c r="P32" s="346">
        <f>SUM(P33:P34)</f>
        <v>0</v>
      </c>
      <c r="Q32" s="347">
        <f>SUM(Q33:Q34)</f>
        <v>0</v>
      </c>
      <c r="R32" s="101"/>
      <c r="S32" s="311" t="str">
        <f>+IF(MAYO!S32=0,"",MAYO!S32)</f>
        <v>1010104-12</v>
      </c>
      <c r="T32" s="312" t="str">
        <f>+IF(MAYO!T32=0,"",MAYO!T32)</f>
        <v/>
      </c>
      <c r="U32" s="373">
        <f>+ENERO!U32</f>
        <v>0</v>
      </c>
      <c r="V32" s="220">
        <f>MAYO!V32+JUNIO!AL32</f>
        <v>0</v>
      </c>
      <c r="W32" s="220">
        <f>MAYO!W32+JUNIO!AM32</f>
        <v>0</v>
      </c>
      <c r="X32" s="271">
        <f t="shared" si="17"/>
        <v>0</v>
      </c>
      <c r="Y32" s="270">
        <f>MAYO!AA32</f>
        <v>0</v>
      </c>
      <c r="Z32" s="208">
        <v>0</v>
      </c>
      <c r="AA32" s="271">
        <f t="shared" si="18"/>
        <v>0</v>
      </c>
      <c r="AB32" s="270">
        <f>MAYO!AD32</f>
        <v>0</v>
      </c>
      <c r="AC32" s="208">
        <v>0</v>
      </c>
      <c r="AD32" s="271">
        <f t="shared" si="19"/>
        <v>0</v>
      </c>
      <c r="AE32" s="270">
        <f>MAYO!AG32</f>
        <v>0</v>
      </c>
      <c r="AF32" s="208">
        <v>0</v>
      </c>
      <c r="AG32" s="271">
        <f t="shared" si="20"/>
        <v>0</v>
      </c>
      <c r="AH32" s="270">
        <f t="shared" si="21"/>
        <v>0</v>
      </c>
      <c r="AI32" s="220">
        <f t="shared" si="22"/>
        <v>0</v>
      </c>
      <c r="AJ32" s="269">
        <f t="shared" si="23"/>
        <v>0</v>
      </c>
      <c r="AK32" s="101"/>
      <c r="AL32" s="204">
        <v>0</v>
      </c>
      <c r="AM32" s="210">
        <v>0</v>
      </c>
      <c r="AN32" s="101"/>
      <c r="AO32" s="108"/>
      <c r="AP32" s="540" t="s">
        <v>194</v>
      </c>
      <c r="AQ32" s="260">
        <f>SUM(AQ22:AQ31)</f>
        <v>187805533529.47656</v>
      </c>
      <c r="AR32" s="260">
        <f>SUM(AR22:AR31)</f>
        <v>76111098733</v>
      </c>
      <c r="AS32" s="260">
        <f>SUM(AS22:AS31)</f>
        <v>0</v>
      </c>
      <c r="AT32" s="349"/>
      <c r="AU32" s="350">
        <f t="shared" si="25"/>
        <v>0.40526547489110148</v>
      </c>
      <c r="AV32" s="350">
        <f t="shared" si="26"/>
        <v>0</v>
      </c>
      <c r="AW32" s="158" t="e">
        <f>SUM(AW22:AW31)</f>
        <v>#REF!</v>
      </c>
      <c r="AX32" s="158" t="e">
        <f>SUM(AX22:AX31)</f>
        <v>#REF!</v>
      </c>
      <c r="AY32" s="158" t="e">
        <f>SUM(AY22:AY31)</f>
        <v>#REF!</v>
      </c>
      <c r="AZ32" s="159" t="e">
        <f>SUM(AZ22:AZ31)</f>
        <v>#REF!</v>
      </c>
      <c r="BA32" s="67"/>
      <c r="BB32" s="336"/>
      <c r="BC32" s="336"/>
      <c r="BD32" s="336"/>
      <c r="BE32" s="336"/>
      <c r="BF32" s="336"/>
      <c r="BG32" s="67"/>
      <c r="BH32" s="67"/>
      <c r="BI32" s="67"/>
      <c r="BJ32" s="67"/>
      <c r="BK32" s="67"/>
      <c r="BL32" s="101"/>
      <c r="BM32" s="759" t="s">
        <v>195</v>
      </c>
      <c r="BN32" s="340">
        <f>+BN7+BN25+BN29+BN30+BN31</f>
        <v>187805533529.16666</v>
      </c>
      <c r="BO32" s="340">
        <f>+BO7+BO25+BO29+BO30+BO31</f>
        <v>127051371586</v>
      </c>
      <c r="BP32" s="340">
        <f>+BP7+BP25+BP29+BP30+BP31</f>
        <v>106453246056</v>
      </c>
      <c r="BQ32" s="760">
        <f>+BQ7+BQ25+BQ29+BQ30+BQ31</f>
        <v>13168744356.5</v>
      </c>
    </row>
    <row r="33" spans="1:69" ht="24.75" customHeight="1" thickBot="1">
      <c r="A33" s="202" t="str">
        <f>+IF(MAYO!A33=0,"",MAYO!A33)</f>
        <v>1.1.02.05.001.09.02.15</v>
      </c>
      <c r="B33" s="331" t="str">
        <f>+CONCATENATE("Vigencia ",INSTRUCCIONES!$F$3)</f>
        <v>Vigencia 2025</v>
      </c>
      <c r="C33" s="204">
        <f>+ENERO!C33</f>
        <v>1140706891</v>
      </c>
      <c r="D33" s="205">
        <f>MAYO!D33+JUNIO!P33</f>
        <v>0</v>
      </c>
      <c r="E33" s="205">
        <f>MAYO!E33+JUNIO!Q33</f>
        <v>0</v>
      </c>
      <c r="F33" s="205">
        <f>SUM(C33:E33)</f>
        <v>1140706891</v>
      </c>
      <c r="G33" s="205">
        <f>MAYO!I33</f>
        <v>653431489</v>
      </c>
      <c r="H33" s="208">
        <f>438400+128102915-1139637+1612837</f>
        <v>129014515</v>
      </c>
      <c r="I33" s="1156">
        <f>SUM(G33:H33)</f>
        <v>782446004</v>
      </c>
      <c r="J33" s="205">
        <f>MAYO!L33</f>
        <v>331874047</v>
      </c>
      <c r="K33" s="208">
        <f>381189201+715400</f>
        <v>381904601</v>
      </c>
      <c r="L33" s="413">
        <f>SUM(J33:K33)</f>
        <v>713778648</v>
      </c>
      <c r="M33" s="205">
        <f>F33-I33</f>
        <v>358260887</v>
      </c>
      <c r="N33" s="206">
        <f>F33-L33</f>
        <v>426928243</v>
      </c>
      <c r="O33" s="101"/>
      <c r="P33" s="204">
        <v>0</v>
      </c>
      <c r="Q33" s="210">
        <v>0</v>
      </c>
      <c r="R33" s="101" t="s">
        <v>688</v>
      </c>
      <c r="S33" s="266">
        <f>+IF(MAYO!S33=0,"",MAYO!S33)</f>
        <v>1010199</v>
      </c>
      <c r="T33" s="267" t="str">
        <f>+IF(MAYO!T33=0,"",MAYO!T33)</f>
        <v>Vigencias Anteriores</v>
      </c>
      <c r="U33" s="373">
        <f>+ENERO!U33</f>
        <v>0</v>
      </c>
      <c r="V33" s="220">
        <f>MAYO!V33+JUNIO!AL33</f>
        <v>0</v>
      </c>
      <c r="W33" s="220">
        <f>MAYO!W33+JUNIO!AM33</f>
        <v>0</v>
      </c>
      <c r="X33" s="271">
        <f t="shared" si="17"/>
        <v>0</v>
      </c>
      <c r="Y33" s="270">
        <f>MAYO!AA33</f>
        <v>0</v>
      </c>
      <c r="Z33" s="208">
        <v>0</v>
      </c>
      <c r="AA33" s="271">
        <f t="shared" si="18"/>
        <v>0</v>
      </c>
      <c r="AB33" s="270">
        <f>MAYO!AD33</f>
        <v>0</v>
      </c>
      <c r="AC33" s="208">
        <v>0</v>
      </c>
      <c r="AD33" s="271">
        <f t="shared" si="19"/>
        <v>0</v>
      </c>
      <c r="AE33" s="270">
        <f>MAYO!AG33</f>
        <v>0</v>
      </c>
      <c r="AF33" s="208">
        <v>0</v>
      </c>
      <c r="AG33" s="271">
        <f t="shared" si="20"/>
        <v>0</v>
      </c>
      <c r="AH33" s="270">
        <f t="shared" si="21"/>
        <v>0</v>
      </c>
      <c r="AI33" s="220">
        <f t="shared" si="22"/>
        <v>0</v>
      </c>
      <c r="AJ33" s="269">
        <f t="shared" si="23"/>
        <v>0</v>
      </c>
      <c r="AK33" s="101"/>
      <c r="AL33" s="204">
        <v>0</v>
      </c>
      <c r="AM33" s="210">
        <v>0</v>
      </c>
      <c r="AN33" s="101"/>
      <c r="AO33" s="156"/>
      <c r="AP33" s="351"/>
      <c r="AQ33" s="352">
        <f>IF((AQ32-X8)&lt;&gt;0,(AQ32-X8),"")</f>
        <v>0.309906005859375</v>
      </c>
      <c r="AR33" s="352"/>
      <c r="AS33" s="352"/>
      <c r="AT33" s="352"/>
      <c r="AU33" s="353"/>
      <c r="AV33" s="325"/>
      <c r="AW33" s="323"/>
      <c r="AX33" s="323"/>
      <c r="AY33" s="323"/>
      <c r="AZ33" s="326"/>
      <c r="BA33" s="67"/>
      <c r="BB33" s="336"/>
      <c r="BC33" s="336"/>
      <c r="BD33" s="336"/>
      <c r="BE33" s="336"/>
      <c r="BF33" s="336"/>
      <c r="BG33" s="67"/>
      <c r="BH33" s="67"/>
      <c r="BI33" s="67"/>
      <c r="BJ33" s="67"/>
      <c r="BK33" s="67"/>
      <c r="BL33" s="67"/>
      <c r="BM33" s="761" t="s">
        <v>197</v>
      </c>
      <c r="BN33" s="762">
        <f>X258</f>
        <v>0</v>
      </c>
      <c r="BO33" s="763">
        <f>AA258</f>
        <v>0</v>
      </c>
      <c r="BP33" s="763">
        <f>AD258</f>
        <v>0</v>
      </c>
      <c r="BQ33" s="764">
        <f>AF258</f>
        <v>0</v>
      </c>
    </row>
    <row r="34" spans="1:69" ht="24.75" customHeight="1" thickBot="1">
      <c r="A34" s="202" t="str">
        <f>+IF(MAYO!A34=0,"",MAYO!A34)</f>
        <v>1.1.02.05.001.09.02.15.99</v>
      </c>
      <c r="B34" s="331" t="str">
        <f>+IF(MAYO!B34=0,"",MAYO!B34)</f>
        <v>Vigencia Anterior</v>
      </c>
      <c r="C34" s="204">
        <f>+ENERO!C34</f>
        <v>710250909</v>
      </c>
      <c r="D34" s="205">
        <f>MAYO!D34+JUNIO!P34</f>
        <v>0</v>
      </c>
      <c r="E34" s="205">
        <f>MAYO!E34+JUNIO!Q34</f>
        <v>0</v>
      </c>
      <c r="F34" s="205">
        <f>SUM(C34:E34)</f>
        <v>710250909</v>
      </c>
      <c r="G34" s="205">
        <f>MAYO!I34</f>
        <v>272760632</v>
      </c>
      <c r="H34" s="208">
        <f>599365+81400</f>
        <v>680765</v>
      </c>
      <c r="I34" s="205">
        <f>SUM(G34:H34)</f>
        <v>273441397</v>
      </c>
      <c r="J34" s="205">
        <f>MAYO!L34</f>
        <v>272760632</v>
      </c>
      <c r="K34" s="208">
        <f>599365+81400</f>
        <v>680765</v>
      </c>
      <c r="L34" s="205">
        <f>SUM(J34:K34)</f>
        <v>273441397</v>
      </c>
      <c r="M34" s="205">
        <f>F34-I34</f>
        <v>436809512</v>
      </c>
      <c r="N34" s="206">
        <f>F34-L34</f>
        <v>436809512</v>
      </c>
      <c r="O34" s="67"/>
      <c r="P34" s="204">
        <v>0</v>
      </c>
      <c r="Q34" s="210">
        <v>0</v>
      </c>
      <c r="R34" s="101"/>
      <c r="S34" s="189" t="str">
        <f>+IF(MAYO!S34=0,"",MAYO!S34)</f>
        <v/>
      </c>
      <c r="T34" s="488" t="str">
        <f>+IF(MAYO!T34=0,"",MAYO!T34)</f>
        <v/>
      </c>
      <c r="U34" s="191"/>
      <c r="V34" s="191"/>
      <c r="W34" s="191"/>
      <c r="X34" s="191"/>
      <c r="Y34" s="191"/>
      <c r="Z34" s="191"/>
      <c r="AA34" s="191"/>
      <c r="AB34" s="191"/>
      <c r="AC34" s="191"/>
      <c r="AD34" s="191"/>
      <c r="AE34" s="191"/>
      <c r="AF34" s="191"/>
      <c r="AG34" s="191"/>
      <c r="AH34" s="191"/>
      <c r="AI34" s="191"/>
      <c r="AJ34" s="192"/>
      <c r="AK34" s="101"/>
      <c r="AL34" s="249"/>
      <c r="AM34" s="250"/>
      <c r="AN34" s="101"/>
      <c r="AO34" s="156"/>
      <c r="AP34" s="354"/>
      <c r="AQ34" s="101"/>
      <c r="AR34" s="101"/>
      <c r="AS34" s="101" t="s">
        <v>198</v>
      </c>
      <c r="AT34" s="101"/>
      <c r="AU34" s="355" t="s">
        <v>199</v>
      </c>
      <c r="AV34" s="356" t="s">
        <v>200</v>
      </c>
      <c r="AW34" s="243" t="s">
        <v>198</v>
      </c>
      <c r="AX34" s="357"/>
      <c r="AY34" s="243" t="s">
        <v>201</v>
      </c>
      <c r="AZ34" s="244" t="s">
        <v>202</v>
      </c>
      <c r="BA34" s="67"/>
      <c r="BB34" s="67"/>
      <c r="BC34" s="67"/>
      <c r="BD34" s="67"/>
      <c r="BE34" s="67"/>
      <c r="BF34" s="67"/>
      <c r="BG34" s="67"/>
      <c r="BH34" s="67"/>
      <c r="BI34" s="67"/>
      <c r="BJ34" s="67"/>
      <c r="BK34" s="67"/>
      <c r="BL34" s="67"/>
      <c r="BM34" s="101"/>
      <c r="BN34" s="101"/>
      <c r="BO34" s="101"/>
      <c r="BP34" s="101"/>
      <c r="BQ34" s="101"/>
    </row>
    <row r="35" spans="1:69" ht="24.75" customHeight="1" thickBot="1">
      <c r="A35" s="202" t="str">
        <f>+IF(MAYO!A35=0,"",MAYO!A35)</f>
        <v>1130103-3</v>
      </c>
      <c r="B35" s="345" t="str">
        <f>+IF(MAYO!B35=0,"",MAYO!B35)</f>
        <v>Prestación de Servicios de salud  3o. Nivel</v>
      </c>
      <c r="C35" s="270">
        <f t="shared" ref="C35:N35" si="33">SUM(C36:C37)</f>
        <v>0</v>
      </c>
      <c r="D35" s="220">
        <f t="shared" si="33"/>
        <v>0</v>
      </c>
      <c r="E35" s="220">
        <f t="shared" si="33"/>
        <v>0</v>
      </c>
      <c r="F35" s="220">
        <f t="shared" si="33"/>
        <v>0</v>
      </c>
      <c r="G35" s="220">
        <f t="shared" si="33"/>
        <v>0</v>
      </c>
      <c r="H35" s="220">
        <f t="shared" si="33"/>
        <v>0</v>
      </c>
      <c r="I35" s="220">
        <f t="shared" si="33"/>
        <v>0</v>
      </c>
      <c r="J35" s="220">
        <f t="shared" si="33"/>
        <v>0</v>
      </c>
      <c r="K35" s="220">
        <f t="shared" si="33"/>
        <v>0</v>
      </c>
      <c r="L35" s="220">
        <f t="shared" si="33"/>
        <v>0</v>
      </c>
      <c r="M35" s="220">
        <f t="shared" si="33"/>
        <v>0</v>
      </c>
      <c r="N35" s="269">
        <f t="shared" si="33"/>
        <v>0</v>
      </c>
      <c r="O35" s="67"/>
      <c r="P35" s="346">
        <f>SUM(P36:P37)</f>
        <v>0</v>
      </c>
      <c r="Q35" s="347">
        <f>SUM(Q36:Q37)</f>
        <v>0</v>
      </c>
      <c r="R35" s="101"/>
      <c r="S35" s="257" t="str">
        <f>+IF(MAYO!S35=0,"",MAYO!S35)</f>
        <v>2.1.2.02.02.008</v>
      </c>
      <c r="T35" s="546" t="str">
        <f>+IF(MAYO!T35=0,"",MAYO!T35)</f>
        <v>Servicios Personales Indirectos</v>
      </c>
      <c r="U35" s="230">
        <f t="shared" ref="U35:AJ35" si="34">SUM(U36:U41)</f>
        <v>12514508007</v>
      </c>
      <c r="V35" s="231">
        <f t="shared" si="34"/>
        <v>3083000000</v>
      </c>
      <c r="W35" s="231">
        <f t="shared" si="34"/>
        <v>0</v>
      </c>
      <c r="X35" s="234">
        <f t="shared" si="34"/>
        <v>15597508007</v>
      </c>
      <c r="Y35" s="233">
        <f t="shared" si="34"/>
        <v>10999865459</v>
      </c>
      <c r="Z35" s="231">
        <f t="shared" si="34"/>
        <v>0</v>
      </c>
      <c r="AA35" s="234">
        <f t="shared" si="34"/>
        <v>10999865459</v>
      </c>
      <c r="AB35" s="233">
        <f t="shared" si="34"/>
        <v>8553945444</v>
      </c>
      <c r="AC35" s="231">
        <f t="shared" si="34"/>
        <v>1366271961</v>
      </c>
      <c r="AD35" s="234">
        <f t="shared" si="34"/>
        <v>9920217405</v>
      </c>
      <c r="AE35" s="233">
        <f t="shared" si="34"/>
        <v>4940267779</v>
      </c>
      <c r="AF35" s="231">
        <f t="shared" si="34"/>
        <v>1088181669</v>
      </c>
      <c r="AG35" s="234">
        <f t="shared" si="34"/>
        <v>6028449448</v>
      </c>
      <c r="AH35" s="233">
        <f t="shared" si="34"/>
        <v>4597642548</v>
      </c>
      <c r="AI35" s="231">
        <f t="shared" si="34"/>
        <v>5677290602</v>
      </c>
      <c r="AJ35" s="232">
        <f t="shared" si="34"/>
        <v>9569058559</v>
      </c>
      <c r="AK35" s="101"/>
      <c r="AL35" s="233">
        <f>SUM(AL36:AL41)</f>
        <v>2300000000</v>
      </c>
      <c r="AM35" s="232">
        <f>SUM(AM36:AM41)</f>
        <v>0</v>
      </c>
      <c r="AN35" s="101"/>
      <c r="AO35" s="156"/>
      <c r="AP35" s="358"/>
      <c r="AQ35" s="61"/>
      <c r="AR35" s="359"/>
      <c r="AS35" s="359"/>
      <c r="AT35" s="359"/>
      <c r="AU35" s="360">
        <f>AR17-AR32</f>
        <v>55160794262</v>
      </c>
      <c r="AV35" s="361">
        <f>AS17-AR32</f>
        <v>0</v>
      </c>
      <c r="AW35" s="1329" t="s">
        <v>205</v>
      </c>
      <c r="AX35" s="1330"/>
      <c r="AY35" s="361" t="e">
        <f>AY17+AY32</f>
        <v>#REF!</v>
      </c>
      <c r="AZ35" s="362" t="e">
        <f>AZ17+AY32</f>
        <v>#REF!</v>
      </c>
      <c r="BA35" s="67"/>
      <c r="BB35" s="336"/>
      <c r="BC35" s="336"/>
      <c r="BD35" s="336"/>
      <c r="BE35" s="336"/>
      <c r="BF35" s="336"/>
      <c r="BG35" s="67"/>
      <c r="BH35" s="67"/>
      <c r="BI35" s="67"/>
      <c r="BJ35" s="67"/>
      <c r="BK35" s="67"/>
      <c r="BL35" s="67"/>
      <c r="BM35" s="67"/>
      <c r="BN35" s="67"/>
      <c r="BO35" s="67"/>
      <c r="BP35" s="67"/>
      <c r="BQ35" s="67"/>
    </row>
    <row r="36" spans="1:69" s="1246" customFormat="1" ht="24.75" customHeight="1" thickBot="1">
      <c r="A36" s="1191" t="str">
        <f>+IF(MAYO!A36=0,"",MAYO!A36)</f>
        <v>1130103-3-1</v>
      </c>
      <c r="B36" s="1192" t="str">
        <f>+CONCATENATE("Vigencia ",INSTRUCCIONES!$F$3)</f>
        <v>Vigencia 2025</v>
      </c>
      <c r="C36" s="1218">
        <f>+ENERO!C36</f>
        <v>0</v>
      </c>
      <c r="D36" s="1156">
        <f>MAYO!D36+JUNIO!P36</f>
        <v>0</v>
      </c>
      <c r="E36" s="1156">
        <f>MAYO!E36+JUNIO!Q36</f>
        <v>0</v>
      </c>
      <c r="F36" s="1156">
        <f t="shared" ref="F36:F41" si="35">SUM(C36:E36)</f>
        <v>0</v>
      </c>
      <c r="G36" s="1156">
        <f>MAYO!I36</f>
        <v>0</v>
      </c>
      <c r="H36" s="1216">
        <v>0</v>
      </c>
      <c r="I36" s="1156">
        <f t="shared" ref="I36:I41" si="36">SUM(G36:H36)</f>
        <v>0</v>
      </c>
      <c r="J36" s="1156">
        <f>MAYO!L36</f>
        <v>0</v>
      </c>
      <c r="K36" s="1216">
        <v>0</v>
      </c>
      <c r="L36" s="1156">
        <f t="shared" ref="L36:L41" si="37">SUM(J36:K36)</f>
        <v>0</v>
      </c>
      <c r="M36" s="1156">
        <f t="shared" ref="M36:M41" si="38">F36-I36</f>
        <v>0</v>
      </c>
      <c r="N36" s="979">
        <f t="shared" ref="N36:N41" si="39">F36-L36</f>
        <v>0</v>
      </c>
      <c r="O36" s="1195"/>
      <c r="P36" s="1218">
        <v>0</v>
      </c>
      <c r="Q36" s="1219">
        <v>0</v>
      </c>
      <c r="R36" s="1195"/>
      <c r="S36" s="1197" t="str">
        <f>+IF(MAYO!S36=0,"",MAYO!S36)</f>
        <v>2.1.2.02.02.008.802</v>
      </c>
      <c r="T36" s="1198" t="str">
        <f>+IF(MAYO!T36=0,"",MAYO!T36)</f>
        <v>Servicios Personales Administrativos (Contador, Abogado, otros)</v>
      </c>
      <c r="U36" s="1199">
        <f>+ENERO!U36</f>
        <v>771615965</v>
      </c>
      <c r="V36" s="1200">
        <f>MAYO!V36+JUNIO!AL36</f>
        <v>450000000</v>
      </c>
      <c r="W36" s="1200">
        <f>MAYO!W36+JUNIO!AM36</f>
        <v>0</v>
      </c>
      <c r="X36" s="1201">
        <f t="shared" ref="X36:X41" si="40">SUM(U36:W36)</f>
        <v>1221615965</v>
      </c>
      <c r="Y36" s="1202">
        <f>MAYO!AA36</f>
        <v>466006980</v>
      </c>
      <c r="Z36" s="1216">
        <v>0</v>
      </c>
      <c r="AA36" s="1201">
        <f t="shared" ref="AA36:AA41" si="41">SUM(Y36:Z36)</f>
        <v>466006980</v>
      </c>
      <c r="AB36" s="1202">
        <f>MAYO!AD36</f>
        <v>231548111</v>
      </c>
      <c r="AC36" s="1216">
        <v>74962964</v>
      </c>
      <c r="AD36" s="1201">
        <f t="shared" ref="AD36:AD41" si="42">SUM(AB36:AC36)</f>
        <v>306511075</v>
      </c>
      <c r="AE36" s="1202">
        <f>MAYO!AG36</f>
        <v>212610957</v>
      </c>
      <c r="AF36" s="1216">
        <v>18179413</v>
      </c>
      <c r="AG36" s="1201">
        <f t="shared" ref="AG36:AG41" si="43">SUM(AE36:AF36)</f>
        <v>230790370</v>
      </c>
      <c r="AH36" s="1202">
        <f t="shared" ref="AH36:AH41" si="44">X36-AA36</f>
        <v>755608985</v>
      </c>
      <c r="AI36" s="1200">
        <f t="shared" ref="AI36:AI41" si="45">X36-AD36</f>
        <v>915104890</v>
      </c>
      <c r="AJ36" s="1204">
        <f t="shared" ref="AJ36:AJ41" si="46">X36-AG36</f>
        <v>990825595</v>
      </c>
      <c r="AK36" s="1195">
        <f>+AA36</f>
        <v>466006980</v>
      </c>
      <c r="AL36" s="1218">
        <v>450000000</v>
      </c>
      <c r="AM36" s="1219">
        <v>0</v>
      </c>
      <c r="AN36" s="1195"/>
      <c r="AO36" s="1205"/>
      <c r="AP36" s="1206"/>
      <c r="AQ36" s="1206"/>
      <c r="AR36" s="1206"/>
      <c r="AS36" s="1206"/>
      <c r="AT36" s="1206"/>
      <c r="AU36" s="1206"/>
      <c r="AV36" s="1206"/>
      <c r="AW36" s="1206"/>
      <c r="AX36" s="1206"/>
      <c r="AY36" s="1206"/>
      <c r="AZ36" s="1207"/>
      <c r="BA36" s="1208"/>
      <c r="BB36" s="1209"/>
      <c r="BC36" s="1209"/>
      <c r="BD36" s="1209"/>
      <c r="BE36" s="1209"/>
      <c r="BF36" s="1209"/>
      <c r="BG36" s="1208"/>
      <c r="BH36" s="1208"/>
      <c r="BI36" s="1208"/>
      <c r="BJ36" s="1208"/>
      <c r="BK36" s="1208"/>
      <c r="BL36" s="1208"/>
      <c r="BM36" s="1208"/>
      <c r="BN36" s="1208"/>
      <c r="BO36" s="1208"/>
      <c r="BP36" s="1208"/>
      <c r="BQ36" s="1208"/>
    </row>
    <row r="37" spans="1:69" s="1246" customFormat="1" ht="24.75" customHeight="1">
      <c r="A37" s="1191" t="str">
        <f>+IF(MAYO!A37=0,"",MAYO!A37)</f>
        <v>1130103-3-2</v>
      </c>
      <c r="B37" s="1192" t="str">
        <f>+IF(MAYO!B37=0,"",MAYO!B37)</f>
        <v>Vigencia Anterior</v>
      </c>
      <c r="C37" s="1218">
        <f>+ENERO!C37</f>
        <v>0</v>
      </c>
      <c r="D37" s="1156">
        <f>MAYO!D37+JUNIO!P37</f>
        <v>0</v>
      </c>
      <c r="E37" s="1156">
        <f>MAYO!E37+JUNIO!Q37</f>
        <v>0</v>
      </c>
      <c r="F37" s="1156">
        <f t="shared" si="35"/>
        <v>0</v>
      </c>
      <c r="G37" s="1156">
        <f>MAYO!I37</f>
        <v>0</v>
      </c>
      <c r="H37" s="1216">
        <v>0</v>
      </c>
      <c r="I37" s="1156">
        <f t="shared" si="36"/>
        <v>0</v>
      </c>
      <c r="J37" s="1156">
        <f>MAYO!L37</f>
        <v>0</v>
      </c>
      <c r="K37" s="1216">
        <v>0</v>
      </c>
      <c r="L37" s="1156">
        <f t="shared" si="37"/>
        <v>0</v>
      </c>
      <c r="M37" s="1156">
        <f t="shared" si="38"/>
        <v>0</v>
      </c>
      <c r="N37" s="979">
        <f t="shared" si="39"/>
        <v>0</v>
      </c>
      <c r="O37" s="1208"/>
      <c r="P37" s="1218">
        <v>0</v>
      </c>
      <c r="Q37" s="1219">
        <v>0</v>
      </c>
      <c r="R37" s="1195"/>
      <c r="S37" s="1197" t="str">
        <f>+IF(MAYO!S37=0,"",MAYO!S37)</f>
        <v>1010200-2</v>
      </c>
      <c r="T37" s="1198" t="str">
        <f>+IF(MAYO!T37=0,"",MAYO!T37)</f>
        <v>Personal Supernumerario</v>
      </c>
      <c r="U37" s="1199">
        <f>+ENERO!U37</f>
        <v>0</v>
      </c>
      <c r="V37" s="1200">
        <f>MAYO!V37+JUNIO!AL37</f>
        <v>0</v>
      </c>
      <c r="W37" s="1200">
        <f>MAYO!W37+JUNIO!AM37</f>
        <v>0</v>
      </c>
      <c r="X37" s="1201">
        <f t="shared" si="40"/>
        <v>0</v>
      </c>
      <c r="Y37" s="1202">
        <f>MAYO!AA37</f>
        <v>0</v>
      </c>
      <c r="Z37" s="1216">
        <v>0</v>
      </c>
      <c r="AA37" s="1201">
        <f t="shared" si="41"/>
        <v>0</v>
      </c>
      <c r="AB37" s="1202">
        <f>MAYO!AD37</f>
        <v>0</v>
      </c>
      <c r="AC37" s="1216">
        <v>0</v>
      </c>
      <c r="AD37" s="1201">
        <f t="shared" si="42"/>
        <v>0</v>
      </c>
      <c r="AE37" s="1202">
        <f>MAYO!AG37</f>
        <v>0</v>
      </c>
      <c r="AF37" s="1216">
        <v>0</v>
      </c>
      <c r="AG37" s="1201">
        <f t="shared" si="43"/>
        <v>0</v>
      </c>
      <c r="AH37" s="1202">
        <f t="shared" si="44"/>
        <v>0</v>
      </c>
      <c r="AI37" s="1200">
        <f t="shared" si="45"/>
        <v>0</v>
      </c>
      <c r="AJ37" s="1204">
        <f t="shared" si="46"/>
        <v>0</v>
      </c>
      <c r="AK37" s="1195">
        <f t="shared" ref="AK37:AK40" si="47">+AA37</f>
        <v>0</v>
      </c>
      <c r="AL37" s="1218">
        <v>0</v>
      </c>
      <c r="AM37" s="1219">
        <v>0</v>
      </c>
      <c r="AN37" s="1195"/>
      <c r="AO37" s="1247" t="s">
        <v>209</v>
      </c>
      <c r="AP37" s="1208"/>
      <c r="AQ37" s="1208"/>
      <c r="AR37" s="1208"/>
      <c r="AS37" s="1208"/>
      <c r="AT37" s="1208"/>
      <c r="AU37" s="1208"/>
      <c r="AV37" s="1208"/>
      <c r="AW37" s="1208"/>
      <c r="AX37" s="1208"/>
      <c r="AY37" s="1208"/>
      <c r="AZ37" s="1208"/>
      <c r="BA37" s="1208"/>
      <c r="BB37" s="1208"/>
      <c r="BC37" s="1208"/>
      <c r="BD37" s="1208"/>
      <c r="BE37" s="1208"/>
      <c r="BF37" s="1208"/>
      <c r="BG37" s="1208"/>
      <c r="BH37" s="1208"/>
      <c r="BI37" s="1208"/>
      <c r="BJ37" s="1208"/>
      <c r="BK37" s="1208"/>
      <c r="BL37" s="1208"/>
      <c r="BM37" s="1208"/>
      <c r="BN37" s="1208"/>
      <c r="BO37" s="1208"/>
      <c r="BP37" s="1208"/>
      <c r="BQ37" s="1208"/>
    </row>
    <row r="38" spans="1:69" s="1246" customFormat="1" ht="24.75" customHeight="1">
      <c r="A38" s="1248" t="str">
        <f>+IF(MAYO!A38=0,"",MAYO!A38)</f>
        <v>1130103-4</v>
      </c>
      <c r="B38" s="1249" t="str">
        <f>+IF(MAYO!B38=0,"",MAYO!B38)</f>
        <v xml:space="preserve"> Aportes Patronales  1o. Nivel</v>
      </c>
      <c r="C38" s="1218">
        <f>+ENERO!C38</f>
        <v>0</v>
      </c>
      <c r="D38" s="1156">
        <f>MAYO!D38+JUNIO!P38</f>
        <v>0</v>
      </c>
      <c r="E38" s="1156">
        <f>MAYO!E38+JUNIO!Q38</f>
        <v>0</v>
      </c>
      <c r="F38" s="1156">
        <f t="shared" si="35"/>
        <v>0</v>
      </c>
      <c r="G38" s="1156">
        <f>MAYO!I38</f>
        <v>0</v>
      </c>
      <c r="H38" s="1216">
        <v>0</v>
      </c>
      <c r="I38" s="1156">
        <f t="shared" si="36"/>
        <v>0</v>
      </c>
      <c r="J38" s="1156">
        <f>MAYO!L38</f>
        <v>0</v>
      </c>
      <c r="K38" s="1216">
        <v>0</v>
      </c>
      <c r="L38" s="1156">
        <f t="shared" si="37"/>
        <v>0</v>
      </c>
      <c r="M38" s="1156">
        <f t="shared" si="38"/>
        <v>0</v>
      </c>
      <c r="N38" s="979">
        <f t="shared" si="39"/>
        <v>0</v>
      </c>
      <c r="O38" s="1250"/>
      <c r="P38" s="1218">
        <v>0</v>
      </c>
      <c r="Q38" s="1219">
        <v>0</v>
      </c>
      <c r="R38" s="1195"/>
      <c r="S38" s="1197" t="str">
        <f>+IF(MAYO!S38=0,"",MAYO!S38)</f>
        <v>2.1.2.02.02.008.810</v>
      </c>
      <c r="T38" s="1198" t="str">
        <f>+IF(MAYO!T38=0,"",MAYO!T38)</f>
        <v>Honorarios de la Junta Directiva</v>
      </c>
      <c r="U38" s="1199">
        <f>+ENERO!U38</f>
        <v>38518134</v>
      </c>
      <c r="V38" s="1200">
        <f>MAYO!V38+JUNIO!AL38</f>
        <v>0</v>
      </c>
      <c r="W38" s="1200">
        <f>MAYO!W38+JUNIO!AM38</f>
        <v>0</v>
      </c>
      <c r="X38" s="1201">
        <f t="shared" si="40"/>
        <v>38518134</v>
      </c>
      <c r="Y38" s="1202">
        <f>MAYO!AA38</f>
        <v>12099750</v>
      </c>
      <c r="Z38" s="1216">
        <v>0</v>
      </c>
      <c r="AA38" s="1201">
        <f t="shared" si="41"/>
        <v>12099750</v>
      </c>
      <c r="AB38" s="1202">
        <f>MAYO!AD38</f>
        <v>12099750</v>
      </c>
      <c r="AC38" s="1216">
        <v>0</v>
      </c>
      <c r="AD38" s="1201">
        <f t="shared" si="42"/>
        <v>12099750</v>
      </c>
      <c r="AE38" s="1202">
        <f>MAYO!AG38</f>
        <v>9252750</v>
      </c>
      <c r="AF38" s="1216">
        <v>2847000</v>
      </c>
      <c r="AG38" s="1201">
        <f t="shared" si="43"/>
        <v>12099750</v>
      </c>
      <c r="AH38" s="1202">
        <f t="shared" si="44"/>
        <v>26418384</v>
      </c>
      <c r="AI38" s="1200">
        <f t="shared" si="45"/>
        <v>26418384</v>
      </c>
      <c r="AJ38" s="1204">
        <f t="shared" si="46"/>
        <v>26418384</v>
      </c>
      <c r="AK38" s="1195">
        <f t="shared" si="47"/>
        <v>12099750</v>
      </c>
      <c r="AL38" s="1218">
        <v>0</v>
      </c>
      <c r="AM38" s="1219">
        <v>0</v>
      </c>
      <c r="AN38" s="1195"/>
      <c r="AO38" s="1208"/>
      <c r="AP38" s="1208"/>
      <c r="AQ38" s="1208"/>
      <c r="AR38" s="1208"/>
      <c r="AS38" s="1208"/>
      <c r="AT38" s="1208"/>
      <c r="AU38" s="1208"/>
      <c r="AV38" s="1208"/>
      <c r="AW38" s="1208"/>
      <c r="AX38" s="1208"/>
      <c r="AY38" s="1208"/>
      <c r="AZ38" s="1208"/>
      <c r="BA38" s="1208"/>
      <c r="BB38" s="1208"/>
      <c r="BC38" s="1208"/>
      <c r="BD38" s="1208"/>
      <c r="BE38" s="1208"/>
      <c r="BF38" s="1208"/>
      <c r="BG38" s="1208"/>
      <c r="BH38" s="1208"/>
      <c r="BI38" s="1208"/>
      <c r="BJ38" s="1208"/>
      <c r="BK38" s="1208"/>
      <c r="BL38" s="1208"/>
      <c r="BM38" s="1208"/>
      <c r="BN38" s="1208"/>
      <c r="BO38" s="1208"/>
      <c r="BP38" s="1208"/>
      <c r="BQ38" s="1208"/>
    </row>
    <row r="39" spans="1:69" s="1246" customFormat="1" ht="24.75" customHeight="1">
      <c r="A39" s="1248" t="str">
        <f>+IF(MAYO!A39=0,"",MAYO!A39)</f>
        <v>1130103-5</v>
      </c>
      <c r="B39" s="1249" t="str">
        <f>+IF(MAYO!B39=0,"",MAYO!B39)</f>
        <v xml:space="preserve"> Aportes Patronales  2o. Nivel</v>
      </c>
      <c r="C39" s="1218">
        <f>+ENERO!C39</f>
        <v>0</v>
      </c>
      <c r="D39" s="1156">
        <f>MAYO!D39+JUNIO!P39</f>
        <v>0</v>
      </c>
      <c r="E39" s="1156">
        <f>MAYO!E39+JUNIO!Q39</f>
        <v>0</v>
      </c>
      <c r="F39" s="1156">
        <f t="shared" si="35"/>
        <v>0</v>
      </c>
      <c r="G39" s="1156">
        <f>MAYO!I39</f>
        <v>0</v>
      </c>
      <c r="H39" s="1216">
        <v>0</v>
      </c>
      <c r="I39" s="1156">
        <f t="shared" si="36"/>
        <v>0</v>
      </c>
      <c r="J39" s="1156">
        <f>MAYO!L39</f>
        <v>0</v>
      </c>
      <c r="K39" s="1216">
        <v>0</v>
      </c>
      <c r="L39" s="1156">
        <f t="shared" si="37"/>
        <v>0</v>
      </c>
      <c r="M39" s="1156">
        <f t="shared" si="38"/>
        <v>0</v>
      </c>
      <c r="N39" s="979">
        <f t="shared" si="39"/>
        <v>0</v>
      </c>
      <c r="O39" s="1250"/>
      <c r="P39" s="1218">
        <v>0</v>
      </c>
      <c r="Q39" s="1219">
        <v>0</v>
      </c>
      <c r="R39" s="1195"/>
      <c r="S39" s="1197" t="str">
        <f>+IF(MAYO!S39=0,"",MAYO!S39)</f>
        <v>2.1.2.02.02.009.906</v>
      </c>
      <c r="T39" s="1198" t="str">
        <f>+IF(MAYO!T39=0,"",MAYO!T39)</f>
        <v>Servicios de Agremiación (administrativo)</v>
      </c>
      <c r="U39" s="1199">
        <f>+ENERO!U39</f>
        <v>9849382921</v>
      </c>
      <c r="V39" s="1200">
        <f>MAYO!V39+JUNIO!AL39</f>
        <v>1850000000</v>
      </c>
      <c r="W39" s="1200">
        <f>MAYO!W39+JUNIO!AM39</f>
        <v>0</v>
      </c>
      <c r="X39" s="1201">
        <f t="shared" si="40"/>
        <v>11699382921</v>
      </c>
      <c r="Y39" s="1202">
        <f>MAYO!AA39</f>
        <v>7884648295</v>
      </c>
      <c r="Z39" s="1216">
        <v>0</v>
      </c>
      <c r="AA39" s="1201">
        <f t="shared" si="41"/>
        <v>7884648295</v>
      </c>
      <c r="AB39" s="1202">
        <f>MAYO!AD39</f>
        <v>5673187149</v>
      </c>
      <c r="AC39" s="1216">
        <v>1291308997</v>
      </c>
      <c r="AD39" s="1201">
        <f t="shared" si="42"/>
        <v>6964496146</v>
      </c>
      <c r="AE39" s="1202">
        <f>MAYO!AG39</f>
        <v>2081293638</v>
      </c>
      <c r="AF39" s="1216">
        <v>1067155256</v>
      </c>
      <c r="AG39" s="1201">
        <f t="shared" si="43"/>
        <v>3148448894</v>
      </c>
      <c r="AH39" s="1202">
        <f t="shared" si="44"/>
        <v>3814734626</v>
      </c>
      <c r="AI39" s="1200">
        <f t="shared" si="45"/>
        <v>4734886775</v>
      </c>
      <c r="AJ39" s="1204">
        <f t="shared" si="46"/>
        <v>8550934027</v>
      </c>
      <c r="AK39" s="1195">
        <f t="shared" si="47"/>
        <v>7884648295</v>
      </c>
      <c r="AL39" s="1218">
        <v>1850000000</v>
      </c>
      <c r="AM39" s="1219">
        <v>0</v>
      </c>
      <c r="AN39" s="1195"/>
      <c r="AO39" s="1208"/>
      <c r="AP39" s="1208"/>
      <c r="AQ39" s="1208"/>
      <c r="AR39" s="1208"/>
      <c r="AS39" s="1208"/>
      <c r="AT39" s="1208"/>
      <c r="AU39" s="1208"/>
      <c r="AV39" s="1208"/>
      <c r="AW39" s="1208"/>
      <c r="AX39" s="1208"/>
      <c r="AY39" s="1208"/>
      <c r="AZ39" s="1208"/>
      <c r="BA39" s="1208"/>
      <c r="BB39" s="1208"/>
      <c r="BC39" s="1208"/>
      <c r="BD39" s="1208"/>
      <c r="BE39" s="1208"/>
      <c r="BF39" s="1208"/>
      <c r="BG39" s="1208"/>
      <c r="BH39" s="1208"/>
      <c r="BI39" s="1208"/>
      <c r="BJ39" s="1208"/>
      <c r="BK39" s="1208"/>
      <c r="BL39" s="1208"/>
      <c r="BM39" s="1208"/>
      <c r="BN39" s="1208"/>
      <c r="BO39" s="1208"/>
      <c r="BP39" s="1208"/>
      <c r="BQ39" s="1208"/>
    </row>
    <row r="40" spans="1:69" s="1246" customFormat="1" ht="24.75" customHeight="1">
      <c r="A40" s="1248" t="str">
        <f>+IF(MAYO!A40=0,"",MAYO!A40)</f>
        <v>1130103-6</v>
      </c>
      <c r="B40" s="1249" t="str">
        <f>+IF(MAYO!B40=0,"",MAYO!B40)</f>
        <v xml:space="preserve"> Aportes Patronales  3er. Nivel</v>
      </c>
      <c r="C40" s="1218">
        <f>+ENERO!C40</f>
        <v>0</v>
      </c>
      <c r="D40" s="1156">
        <f>MAYO!D40+JUNIO!P40</f>
        <v>0</v>
      </c>
      <c r="E40" s="1156">
        <f>MAYO!E40+JUNIO!Q40</f>
        <v>0</v>
      </c>
      <c r="F40" s="1156">
        <f t="shared" si="35"/>
        <v>0</v>
      </c>
      <c r="G40" s="1156">
        <f>MAYO!I40</f>
        <v>0</v>
      </c>
      <c r="H40" s="1216">
        <v>0</v>
      </c>
      <c r="I40" s="1156">
        <f t="shared" si="36"/>
        <v>0</v>
      </c>
      <c r="J40" s="1156">
        <f>MAYO!L40</f>
        <v>0</v>
      </c>
      <c r="K40" s="1216">
        <v>0</v>
      </c>
      <c r="L40" s="1156">
        <f t="shared" si="37"/>
        <v>0</v>
      </c>
      <c r="M40" s="1156">
        <f t="shared" si="38"/>
        <v>0</v>
      </c>
      <c r="N40" s="979">
        <f t="shared" si="39"/>
        <v>0</v>
      </c>
      <c r="O40" s="1250"/>
      <c r="P40" s="1218">
        <v>0</v>
      </c>
      <c r="Q40" s="1219">
        <v>0</v>
      </c>
      <c r="R40" s="1195"/>
      <c r="S40" s="1197" t="str">
        <f>+IF(MAYO!S40=0,"",MAYO!S40)</f>
        <v/>
      </c>
      <c r="T40" s="1198" t="str">
        <f>+IF(MAYO!T40=0,"",MAYO!T40)</f>
        <v>Certificación, Habilitación y Acreditación</v>
      </c>
      <c r="U40" s="1199">
        <f>+ENERO!U40</f>
        <v>0</v>
      </c>
      <c r="V40" s="1200">
        <f>MAYO!V40+JUNIO!AL40</f>
        <v>0</v>
      </c>
      <c r="W40" s="1200">
        <f>MAYO!W40+JUNIO!AM40</f>
        <v>0</v>
      </c>
      <c r="X40" s="1201">
        <f t="shared" si="40"/>
        <v>0</v>
      </c>
      <c r="Y40" s="1202">
        <f>MAYO!AA40</f>
        <v>0</v>
      </c>
      <c r="Z40" s="1216">
        <v>0</v>
      </c>
      <c r="AA40" s="1201">
        <f t="shared" si="41"/>
        <v>0</v>
      </c>
      <c r="AB40" s="1202">
        <f>MAYO!AD40</f>
        <v>0</v>
      </c>
      <c r="AC40" s="1216">
        <v>0</v>
      </c>
      <c r="AD40" s="1201">
        <f t="shared" si="42"/>
        <v>0</v>
      </c>
      <c r="AE40" s="1202">
        <f>MAYO!AG40</f>
        <v>0</v>
      </c>
      <c r="AF40" s="1216">
        <v>0</v>
      </c>
      <c r="AG40" s="1201">
        <f t="shared" si="43"/>
        <v>0</v>
      </c>
      <c r="AH40" s="1202">
        <f t="shared" si="44"/>
        <v>0</v>
      </c>
      <c r="AI40" s="1200">
        <f t="shared" si="45"/>
        <v>0</v>
      </c>
      <c r="AJ40" s="1204">
        <f t="shared" si="46"/>
        <v>0</v>
      </c>
      <c r="AK40" s="1195">
        <f t="shared" si="47"/>
        <v>0</v>
      </c>
      <c r="AL40" s="1218">
        <v>0</v>
      </c>
      <c r="AM40" s="1219">
        <v>0</v>
      </c>
      <c r="AN40" s="1195"/>
      <c r="AO40" s="1208"/>
      <c r="AP40" s="1208"/>
      <c r="AQ40" s="1208"/>
      <c r="AR40" s="1208"/>
      <c r="AS40" s="1208"/>
      <c r="AT40" s="1208"/>
      <c r="AU40" s="1208"/>
      <c r="AV40" s="1208"/>
      <c r="AW40" s="1208"/>
      <c r="AX40" s="1208"/>
      <c r="AY40" s="1208"/>
      <c r="AZ40" s="1208"/>
      <c r="BA40" s="1208"/>
      <c r="BB40" s="1209"/>
      <c r="BC40" s="1209"/>
      <c r="BD40" s="1209"/>
      <c r="BE40" s="1209"/>
      <c r="BF40" s="1208"/>
      <c r="BG40" s="1208"/>
      <c r="BH40" s="1208"/>
      <c r="BI40" s="1208"/>
      <c r="BJ40" s="1208"/>
      <c r="BK40" s="1208"/>
      <c r="BL40" s="1208"/>
      <c r="BM40" s="1208"/>
      <c r="BN40" s="1208"/>
      <c r="BO40" s="1208"/>
      <c r="BP40" s="1208"/>
      <c r="BQ40" s="1208"/>
    </row>
    <row r="41" spans="1:69" ht="24.75" customHeight="1">
      <c r="A41" s="286">
        <f>+IF(MAYO!A41=0,"",MAYO!A41)</f>
        <v>1130104</v>
      </c>
      <c r="B41" s="319" t="str">
        <f>+IF(MAYO!B41=0,"",MAYO!B41)</f>
        <v>SUBSIDIO A LA OFERTA- ACTIVIDADES NO POS-S</v>
      </c>
      <c r="C41" s="204">
        <f>+ENERO!C41</f>
        <v>0</v>
      </c>
      <c r="D41" s="231">
        <f>MAYO!D41+JUNIO!P41</f>
        <v>0</v>
      </c>
      <c r="E41" s="231">
        <f>MAYO!E41+JUNIO!Q41</f>
        <v>0</v>
      </c>
      <c r="F41" s="231">
        <f t="shared" si="35"/>
        <v>0</v>
      </c>
      <c r="G41" s="231">
        <f>MAYO!I41</f>
        <v>0</v>
      </c>
      <c r="H41" s="208">
        <v>0</v>
      </c>
      <c r="I41" s="231">
        <f t="shared" si="36"/>
        <v>0</v>
      </c>
      <c r="J41" s="231">
        <f>MAYO!L41</f>
        <v>0</v>
      </c>
      <c r="K41" s="208">
        <v>0</v>
      </c>
      <c r="L41" s="231">
        <f t="shared" si="37"/>
        <v>0</v>
      </c>
      <c r="M41" s="231">
        <f t="shared" si="38"/>
        <v>0</v>
      </c>
      <c r="N41" s="232">
        <f t="shared" si="39"/>
        <v>0</v>
      </c>
      <c r="O41" s="67"/>
      <c r="P41" s="208">
        <v>0</v>
      </c>
      <c r="Q41" s="210">
        <v>0</v>
      </c>
      <c r="R41" s="101" t="s">
        <v>688</v>
      </c>
      <c r="S41" s="266" t="str">
        <f>+IF(MAYO!S41=0,"",MAYO!S41)</f>
        <v>2.1.2.02.02.009.99.02</v>
      </c>
      <c r="T41" s="267" t="s">
        <v>196</v>
      </c>
      <c r="U41" s="373">
        <f>+ENERO!U41</f>
        <v>1854990987</v>
      </c>
      <c r="V41" s="220">
        <f>MAYO!V41+JUNIO!AL41</f>
        <v>783000000</v>
      </c>
      <c r="W41" s="220">
        <f>MAYO!W41+JUNIO!AM41</f>
        <v>0</v>
      </c>
      <c r="X41" s="271">
        <f t="shared" si="40"/>
        <v>2637990987</v>
      </c>
      <c r="Y41" s="270">
        <f>MAYO!AA41</f>
        <v>2637110434</v>
      </c>
      <c r="Z41" s="208">
        <v>0</v>
      </c>
      <c r="AA41" s="271">
        <f t="shared" si="41"/>
        <v>2637110434</v>
      </c>
      <c r="AB41" s="270">
        <f>MAYO!AD41</f>
        <v>2637110434</v>
      </c>
      <c r="AC41" s="208">
        <v>0</v>
      </c>
      <c r="AD41" s="271">
        <f t="shared" si="42"/>
        <v>2637110434</v>
      </c>
      <c r="AE41" s="270">
        <f>MAYO!AG41</f>
        <v>2637110434</v>
      </c>
      <c r="AF41" s="208">
        <v>0</v>
      </c>
      <c r="AG41" s="271">
        <f t="shared" si="43"/>
        <v>2637110434</v>
      </c>
      <c r="AH41" s="270">
        <f t="shared" si="44"/>
        <v>880553</v>
      </c>
      <c r="AI41" s="220">
        <f t="shared" si="45"/>
        <v>880553</v>
      </c>
      <c r="AJ41" s="269">
        <f t="shared" si="46"/>
        <v>880553</v>
      </c>
      <c r="AK41" s="101"/>
      <c r="AL41" s="204">
        <v>0</v>
      </c>
      <c r="AM41" s="210">
        <v>0</v>
      </c>
      <c r="AN41" s="101"/>
      <c r="AO41" s="67"/>
      <c r="AP41" s="67"/>
      <c r="AQ41" s="67"/>
      <c r="AR41" s="67"/>
      <c r="AS41" s="67"/>
      <c r="AT41" s="67"/>
      <c r="AU41" s="67"/>
      <c r="AV41" s="67"/>
      <c r="AW41" s="67"/>
      <c r="AX41" s="67"/>
      <c r="AY41" s="67"/>
      <c r="AZ41" s="67"/>
      <c r="BA41" s="67"/>
      <c r="BB41" s="336"/>
      <c r="BC41" s="336"/>
      <c r="BD41" s="336"/>
      <c r="BE41" s="336"/>
      <c r="BF41" s="67"/>
      <c r="BG41" s="67"/>
      <c r="BH41" s="67"/>
      <c r="BI41" s="67"/>
      <c r="BJ41" s="67"/>
      <c r="BK41" s="67"/>
      <c r="BL41" s="67"/>
      <c r="BM41" s="336"/>
      <c r="BN41" s="336"/>
      <c r="BO41" s="336"/>
      <c r="BP41" s="336"/>
      <c r="BQ41" s="336"/>
    </row>
    <row r="42" spans="1:69" ht="24.75" customHeight="1">
      <c r="A42" s="286" t="str">
        <f>+IF(MAYO!A42=0,"",MAYO!A42)</f>
        <v>1.1.02.05.001.09.02.03</v>
      </c>
      <c r="B42" s="319" t="str">
        <f>+IF(MAYO!B42=0,"",MAYO!B42)</f>
        <v>SALUD PUBLICA - PLAN DE INTERVENCIONES COLECTIVAS</v>
      </c>
      <c r="C42" s="288">
        <f t="shared" ref="C42:N42" si="48">SUM(C43:C44)</f>
        <v>287170800</v>
      </c>
      <c r="D42" s="320">
        <f t="shared" si="48"/>
        <v>0</v>
      </c>
      <c r="E42" s="320">
        <f t="shared" si="48"/>
        <v>0</v>
      </c>
      <c r="F42" s="320">
        <f t="shared" si="48"/>
        <v>287170800</v>
      </c>
      <c r="G42" s="320">
        <f t="shared" si="48"/>
        <v>160172233</v>
      </c>
      <c r="H42" s="320">
        <f t="shared" si="48"/>
        <v>-78485809</v>
      </c>
      <c r="I42" s="320">
        <f t="shared" si="48"/>
        <v>81686424</v>
      </c>
      <c r="J42" s="320">
        <f t="shared" si="48"/>
        <v>143741949</v>
      </c>
      <c r="K42" s="320">
        <f t="shared" si="48"/>
        <v>-84130130</v>
      </c>
      <c r="L42" s="1173">
        <f t="shared" si="48"/>
        <v>59611819</v>
      </c>
      <c r="M42" s="320">
        <f t="shared" si="48"/>
        <v>205484376</v>
      </c>
      <c r="N42" s="289">
        <f t="shared" si="48"/>
        <v>227558981</v>
      </c>
      <c r="O42" s="67"/>
      <c r="P42" s="288">
        <f>SUM(P43:P44)</f>
        <v>0</v>
      </c>
      <c r="Q42" s="289">
        <f>SUM(Q43:Q44)</f>
        <v>0</v>
      </c>
      <c r="R42" s="101"/>
      <c r="S42" s="189">
        <f>+IF(MAYO!S42=0,"",MAYO!S42)</f>
        <v>1130106</v>
      </c>
      <c r="T42" s="488" t="str">
        <f>+IF(MAYO!T42=0,"",MAYO!T42)</f>
        <v/>
      </c>
      <c r="U42" s="191"/>
      <c r="V42" s="191"/>
      <c r="W42" s="191"/>
      <c r="X42" s="191"/>
      <c r="Y42" s="191"/>
      <c r="Z42" s="191"/>
      <c r="AA42" s="191"/>
      <c r="AB42" s="191"/>
      <c r="AC42" s="191"/>
      <c r="AD42" s="191"/>
      <c r="AE42" s="191"/>
      <c r="AF42" s="191"/>
      <c r="AG42" s="191"/>
      <c r="AH42" s="191"/>
      <c r="AI42" s="191"/>
      <c r="AJ42" s="192"/>
      <c r="AK42" s="216"/>
      <c r="AL42" s="370"/>
      <c r="AM42" s="371"/>
      <c r="AN42" s="101"/>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row>
    <row r="43" spans="1:69" ht="24.75" customHeight="1">
      <c r="A43" s="202" t="str">
        <f>+IF(MAYO!A43=0,"",MAYO!A43)</f>
        <v>1.1.02.05.001.09.02.03</v>
      </c>
      <c r="B43" s="331" t="str">
        <f>+CONCATENATE("Vigencia ",INSTRUCCIONES!$F$3)</f>
        <v>Vigencia 2025</v>
      </c>
      <c r="C43" s="204">
        <f>+ENERO!C43</f>
        <v>0</v>
      </c>
      <c r="D43" s="205">
        <f>MAYO!D43+JUNIO!P43</f>
        <v>0</v>
      </c>
      <c r="E43" s="205">
        <f>MAYO!E43+JUNIO!Q43</f>
        <v>0</v>
      </c>
      <c r="F43" s="205">
        <f>SUM(C43:E43)</f>
        <v>0</v>
      </c>
      <c r="G43" s="205">
        <f>MAYO!I43</f>
        <v>19989917</v>
      </c>
      <c r="H43" s="208">
        <f>5230521-301600</f>
        <v>4928921</v>
      </c>
      <c r="I43" s="1156">
        <f>SUM(G43:H43)</f>
        <v>24918838</v>
      </c>
      <c r="J43" s="205">
        <f>MAYO!L43</f>
        <v>3559633</v>
      </c>
      <c r="K43" s="208">
        <v>-715400</v>
      </c>
      <c r="L43" s="205">
        <f>SUM(J43:K43)</f>
        <v>2844233</v>
      </c>
      <c r="M43" s="205">
        <f>F43-I43</f>
        <v>-24918838</v>
      </c>
      <c r="N43" s="206">
        <f>F43-L43</f>
        <v>-2844233</v>
      </c>
      <c r="O43" s="67"/>
      <c r="P43" s="204">
        <v>0</v>
      </c>
      <c r="Q43" s="210">
        <v>0</v>
      </c>
      <c r="R43" s="101"/>
      <c r="S43" s="257">
        <f>+IF(MAYO!S43=0,"",MAYO!S43)</f>
        <v>1010300</v>
      </c>
      <c r="T43" s="546" t="str">
        <f>+IF(MAYO!T43=0,"",MAYO!T43)</f>
        <v>Contribuciones Inherentes nómina al Sector Privado</v>
      </c>
      <c r="U43" s="230">
        <f t="shared" ref="U43:AJ43" si="49">U44+U49+U55</f>
        <v>2871199937.9625015</v>
      </c>
      <c r="V43" s="231">
        <f t="shared" si="49"/>
        <v>0</v>
      </c>
      <c r="W43" s="231">
        <f t="shared" si="49"/>
        <v>0</v>
      </c>
      <c r="X43" s="234">
        <f t="shared" si="49"/>
        <v>2871199937.9625015</v>
      </c>
      <c r="Y43" s="233">
        <f t="shared" si="49"/>
        <v>1192552118</v>
      </c>
      <c r="Z43" s="231">
        <f t="shared" si="49"/>
        <v>114720749</v>
      </c>
      <c r="AA43" s="234">
        <f t="shared" si="49"/>
        <v>1307272867</v>
      </c>
      <c r="AB43" s="233">
        <f t="shared" si="49"/>
        <v>1192552118</v>
      </c>
      <c r="AC43" s="231">
        <f t="shared" si="49"/>
        <v>114720749</v>
      </c>
      <c r="AD43" s="234">
        <f t="shared" si="49"/>
        <v>1307272867</v>
      </c>
      <c r="AE43" s="233">
        <f t="shared" si="49"/>
        <v>1192552118</v>
      </c>
      <c r="AF43" s="231">
        <f t="shared" si="49"/>
        <v>114720749</v>
      </c>
      <c r="AG43" s="234">
        <f t="shared" si="49"/>
        <v>1307272867</v>
      </c>
      <c r="AH43" s="233">
        <f t="shared" si="49"/>
        <v>1563927070.9625013</v>
      </c>
      <c r="AI43" s="231">
        <f t="shared" si="49"/>
        <v>1563927070.9625013</v>
      </c>
      <c r="AJ43" s="232">
        <f t="shared" si="49"/>
        <v>1563927070.9625013</v>
      </c>
      <c r="AK43" s="101"/>
      <c r="AL43" s="233">
        <f>AL44+AL49+AL55</f>
        <v>0</v>
      </c>
      <c r="AM43" s="232">
        <f>AM44+AM49+AM55</f>
        <v>0</v>
      </c>
      <c r="AN43" s="101"/>
      <c r="AO43" s="67"/>
      <c r="AP43" s="372"/>
      <c r="AQ43" s="67"/>
      <c r="AR43" s="67"/>
      <c r="AS43" s="67"/>
      <c r="AT43" s="67"/>
      <c r="AU43" s="67"/>
      <c r="AV43" s="67"/>
      <c r="AW43" s="67"/>
      <c r="AX43" s="67"/>
      <c r="AY43" s="67"/>
      <c r="AZ43" s="67"/>
      <c r="BA43" s="67"/>
      <c r="BB43" s="336"/>
      <c r="BC43" s="336"/>
      <c r="BD43" s="336"/>
      <c r="BE43" s="336"/>
      <c r="BF43" s="67"/>
      <c r="BG43" s="67"/>
      <c r="BH43" s="67"/>
      <c r="BI43" s="67"/>
      <c r="BJ43" s="67"/>
      <c r="BK43" s="67"/>
      <c r="BL43" s="67"/>
      <c r="BM43" s="67"/>
      <c r="BN43" s="67"/>
      <c r="BO43" s="67"/>
      <c r="BP43" s="67"/>
      <c r="BQ43" s="67"/>
    </row>
    <row r="44" spans="1:69" ht="24.75" customHeight="1">
      <c r="A44" s="202" t="str">
        <f>+IF(MAYO!A44=0,"",MAYO!A44)</f>
        <v>1.1.02.05.001.09.02.03.99</v>
      </c>
      <c r="B44" s="331" t="str">
        <f>+IF(MAYO!B44=0,"",MAYO!B44)</f>
        <v>Vigencia Anterior</v>
      </c>
      <c r="C44" s="204">
        <f>+ENERO!C44</f>
        <v>287170800</v>
      </c>
      <c r="D44" s="205">
        <f>MAYO!D44+JUNIO!P44</f>
        <v>0</v>
      </c>
      <c r="E44" s="205">
        <f>MAYO!E44+JUNIO!Q44</f>
        <v>0</v>
      </c>
      <c r="F44" s="205">
        <f>SUM(C44:E44)</f>
        <v>287170800</v>
      </c>
      <c r="G44" s="205">
        <f>MAYO!I44</f>
        <v>140182316</v>
      </c>
      <c r="H44" s="208">
        <v>-83414730</v>
      </c>
      <c r="I44" s="205">
        <f>SUM(G44:H44)</f>
        <v>56767586</v>
      </c>
      <c r="J44" s="205">
        <f>MAYO!L44</f>
        <v>140182316</v>
      </c>
      <c r="K44" s="208">
        <v>-83414730</v>
      </c>
      <c r="L44" s="205">
        <f>SUM(J44:K44)</f>
        <v>56767586</v>
      </c>
      <c r="M44" s="205">
        <f>F44-I44</f>
        <v>230403214</v>
      </c>
      <c r="N44" s="206">
        <f>F44-L44</f>
        <v>230403214</v>
      </c>
      <c r="O44" s="67"/>
      <c r="P44" s="204">
        <v>0</v>
      </c>
      <c r="Q44" s="210">
        <v>0</v>
      </c>
      <c r="R44" s="101"/>
      <c r="S44" s="266">
        <f>+IF(MAYO!S44=0,"",MAYO!S44)</f>
        <v>1010301</v>
      </c>
      <c r="T44" s="267" t="str">
        <f>+IF(MAYO!T44=0,"",MAYO!T44)</f>
        <v>Contribuciones - SGP - Aportes Patronales - Cuenta Maestra</v>
      </c>
      <c r="U44" s="373">
        <f t="shared" ref="U44:AJ44" si="50">SUM(U45:U48)</f>
        <v>0</v>
      </c>
      <c r="V44" s="220">
        <f t="shared" si="50"/>
        <v>0</v>
      </c>
      <c r="W44" s="220">
        <f t="shared" si="50"/>
        <v>0</v>
      </c>
      <c r="X44" s="271">
        <f t="shared" si="50"/>
        <v>0</v>
      </c>
      <c r="Y44" s="270">
        <f t="shared" si="50"/>
        <v>0</v>
      </c>
      <c r="Z44" s="300">
        <f t="shared" si="50"/>
        <v>0</v>
      </c>
      <c r="AA44" s="271">
        <f t="shared" si="50"/>
        <v>0</v>
      </c>
      <c r="AB44" s="270">
        <f t="shared" si="50"/>
        <v>0</v>
      </c>
      <c r="AC44" s="300">
        <f t="shared" si="50"/>
        <v>0</v>
      </c>
      <c r="AD44" s="271">
        <f t="shared" si="50"/>
        <v>0</v>
      </c>
      <c r="AE44" s="270">
        <f t="shared" si="50"/>
        <v>0</v>
      </c>
      <c r="AF44" s="300">
        <f t="shared" si="50"/>
        <v>0</v>
      </c>
      <c r="AG44" s="271">
        <f t="shared" si="50"/>
        <v>0</v>
      </c>
      <c r="AH44" s="270">
        <f t="shared" si="50"/>
        <v>0</v>
      </c>
      <c r="AI44" s="220">
        <f t="shared" si="50"/>
        <v>0</v>
      </c>
      <c r="AJ44" s="269">
        <f t="shared" si="50"/>
        <v>0</v>
      </c>
      <c r="AK44" s="101"/>
      <c r="AL44" s="301">
        <f>SUM(AL45:AL48)</f>
        <v>0</v>
      </c>
      <c r="AM44" s="302">
        <f>SUM(AM45:AM48)</f>
        <v>0</v>
      </c>
      <c r="AN44" s="101"/>
      <c r="AO44" s="67"/>
      <c r="AP44" s="67"/>
      <c r="AQ44" s="67"/>
      <c r="AR44" s="67"/>
      <c r="AS44" s="67"/>
      <c r="AT44" s="67"/>
      <c r="AU44" s="67"/>
      <c r="AV44" s="67"/>
      <c r="AW44" s="67"/>
      <c r="AX44" s="67"/>
      <c r="AY44" s="67"/>
      <c r="AZ44" s="67"/>
      <c r="BA44" s="67"/>
      <c r="BB44" s="336"/>
      <c r="BC44" s="336"/>
      <c r="BD44" s="336"/>
      <c r="BE44" s="336"/>
      <c r="BF44" s="67"/>
      <c r="BG44" s="67"/>
      <c r="BH44" s="67"/>
      <c r="BI44" s="67"/>
      <c r="BJ44" s="67"/>
      <c r="BK44" s="67"/>
      <c r="BL44" s="67"/>
      <c r="BM44" s="67"/>
      <c r="BN44" s="67"/>
      <c r="BO44" s="67"/>
      <c r="BP44" s="67"/>
      <c r="BQ44" s="67"/>
    </row>
    <row r="45" spans="1:69" ht="24.75" customHeight="1">
      <c r="A45" s="286" t="str">
        <f>+IF(MAYO!A45=0,"",MAYO!A45)</f>
        <v>1.1.02.05.001.09.02.04</v>
      </c>
      <c r="B45" s="319" t="str">
        <f>+IF(MAYO!B45=0,"",MAYO!B45)</f>
        <v>EVENTOS CATASTROFICOS Y ACCIDENTES DE TRANSITO</v>
      </c>
      <c r="C45" s="288">
        <f t="shared" ref="C45:N45" si="51">SUM(C46:C47)</f>
        <v>1301505717</v>
      </c>
      <c r="D45" s="320">
        <f t="shared" si="51"/>
        <v>0</v>
      </c>
      <c r="E45" s="320">
        <f t="shared" si="51"/>
        <v>0</v>
      </c>
      <c r="F45" s="320">
        <f t="shared" si="51"/>
        <v>1301505717</v>
      </c>
      <c r="G45" s="320">
        <f t="shared" si="51"/>
        <v>252328084</v>
      </c>
      <c r="H45" s="320">
        <f t="shared" si="51"/>
        <v>111218607</v>
      </c>
      <c r="I45" s="320">
        <f t="shared" si="51"/>
        <v>363546691</v>
      </c>
      <c r="J45" s="320">
        <f t="shared" si="51"/>
        <v>92324019</v>
      </c>
      <c r="K45" s="320">
        <f t="shared" si="51"/>
        <v>83538581</v>
      </c>
      <c r="L45" s="1173">
        <f t="shared" si="51"/>
        <v>175862600</v>
      </c>
      <c r="M45" s="320">
        <f t="shared" si="51"/>
        <v>937959026</v>
      </c>
      <c r="N45" s="289">
        <f t="shared" si="51"/>
        <v>1125643117</v>
      </c>
      <c r="O45" s="67"/>
      <c r="P45" s="288">
        <f>SUM(P46:P47)</f>
        <v>0</v>
      </c>
      <c r="Q45" s="289">
        <f>SUM(Q46:Q47)</f>
        <v>0</v>
      </c>
      <c r="R45" s="101"/>
      <c r="S45" s="311" t="str">
        <f>+IF(MAYO!S45=0,"",MAYO!S45)</f>
        <v>1010301-1</v>
      </c>
      <c r="T45" s="312" t="str">
        <f>+IF(MAYO!T45=0,"",MAYO!T45)</f>
        <v>E.P.S. - Aportes cuenta maestra</v>
      </c>
      <c r="U45" s="373">
        <f>+ENERO!U45</f>
        <v>0</v>
      </c>
      <c r="V45" s="220">
        <f>MAYO!V45+JUNIO!AL45</f>
        <v>0</v>
      </c>
      <c r="W45" s="220">
        <f>MAYO!W45+JUNIO!AM45</f>
        <v>0</v>
      </c>
      <c r="X45" s="271">
        <f>SUM(U45:W45)</f>
        <v>0</v>
      </c>
      <c r="Y45" s="270">
        <f>MAYO!AA45</f>
        <v>0</v>
      </c>
      <c r="Z45" s="208">
        <v>0</v>
      </c>
      <c r="AA45" s="271">
        <f>SUM(Y45:Z45)</f>
        <v>0</v>
      </c>
      <c r="AB45" s="270">
        <f>MAYO!AD45</f>
        <v>0</v>
      </c>
      <c r="AC45" s="208">
        <v>0</v>
      </c>
      <c r="AD45" s="271">
        <f>SUM(AB45:AC45)</f>
        <v>0</v>
      </c>
      <c r="AE45" s="270">
        <f>MAYO!AG45</f>
        <v>0</v>
      </c>
      <c r="AF45" s="208">
        <v>0</v>
      </c>
      <c r="AG45" s="271">
        <f>SUM(AE45:AF45)</f>
        <v>0</v>
      </c>
      <c r="AH45" s="270">
        <f>X45-AA45</f>
        <v>0</v>
      </c>
      <c r="AI45" s="220">
        <f>X45-AD45</f>
        <v>0</v>
      </c>
      <c r="AJ45" s="269">
        <f>X45-AG45</f>
        <v>0</v>
      </c>
      <c r="AK45" s="101"/>
      <c r="AL45" s="204">
        <v>0</v>
      </c>
      <c r="AM45" s="210">
        <v>0</v>
      </c>
      <c r="AN45" s="101"/>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row>
    <row r="46" spans="1:69" ht="24.75" customHeight="1">
      <c r="A46" s="202" t="str">
        <f>+IF(MAYO!A46=0,"",MAYO!A46)</f>
        <v>1.1.02.05.001.09.02.04</v>
      </c>
      <c r="B46" s="331" t="str">
        <f>+CONCATENATE("Vigencia ",INSTRUCCIONES!$F$3)</f>
        <v>Vigencia 2025</v>
      </c>
      <c r="C46" s="204">
        <f>+ENERO!C46</f>
        <v>795758987</v>
      </c>
      <c r="D46" s="205">
        <f>MAYO!D46+JUNIO!P46</f>
        <v>0</v>
      </c>
      <c r="E46" s="205">
        <f>MAYO!E46+JUNIO!Q46</f>
        <v>0</v>
      </c>
      <c r="F46" s="205">
        <f>SUM(C46:E46)</f>
        <v>795758987</v>
      </c>
      <c r="G46" s="205">
        <f>MAYO!I46</f>
        <v>164219452</v>
      </c>
      <c r="H46" s="208">
        <v>27680026</v>
      </c>
      <c r="I46" s="1156">
        <f>SUM(G46:H46)</f>
        <v>191899478</v>
      </c>
      <c r="J46" s="205">
        <f>MAYO!L46</f>
        <v>4215387</v>
      </c>
      <c r="K46" s="208">
        <v>0</v>
      </c>
      <c r="L46" s="205">
        <f>SUM(J46:K46)</f>
        <v>4215387</v>
      </c>
      <c r="M46" s="205">
        <f>F46-I46</f>
        <v>603859509</v>
      </c>
      <c r="N46" s="206">
        <f>F46-L46</f>
        <v>791543600</v>
      </c>
      <c r="O46" s="67"/>
      <c r="P46" s="204">
        <v>0</v>
      </c>
      <c r="Q46" s="210">
        <v>0</v>
      </c>
      <c r="R46" s="101"/>
      <c r="S46" s="311" t="str">
        <f>+IF(MAYO!S46=0,"",MAYO!S46)</f>
        <v>1010301-2</v>
      </c>
      <c r="T46" s="312" t="str">
        <f>+IF(MAYO!T46=0,"",MAYO!T46)</f>
        <v>Fondos pensionales - Aportes cuenta maestra</v>
      </c>
      <c r="U46" s="373">
        <f>+ENERO!U46</f>
        <v>0</v>
      </c>
      <c r="V46" s="220">
        <f>MAYO!V46+JUNIO!AL46</f>
        <v>0</v>
      </c>
      <c r="W46" s="220">
        <f>MAYO!W46+JUNIO!AM46</f>
        <v>0</v>
      </c>
      <c r="X46" s="271">
        <f>SUM(U46:W46)</f>
        <v>0</v>
      </c>
      <c r="Y46" s="270">
        <f>MAYO!AA46</f>
        <v>0</v>
      </c>
      <c r="Z46" s="208">
        <v>0</v>
      </c>
      <c r="AA46" s="271">
        <f>SUM(Y46:Z46)</f>
        <v>0</v>
      </c>
      <c r="AB46" s="270">
        <f>MAYO!AD46</f>
        <v>0</v>
      </c>
      <c r="AC46" s="208">
        <v>0</v>
      </c>
      <c r="AD46" s="271">
        <f>SUM(AB46:AC46)</f>
        <v>0</v>
      </c>
      <c r="AE46" s="270">
        <f>MAYO!AG46</f>
        <v>0</v>
      </c>
      <c r="AF46" s="208">
        <v>0</v>
      </c>
      <c r="AG46" s="271">
        <f>SUM(AE46:AF46)</f>
        <v>0</v>
      </c>
      <c r="AH46" s="270">
        <f>X46-AA46</f>
        <v>0</v>
      </c>
      <c r="AI46" s="220">
        <f>X46-AD46</f>
        <v>0</v>
      </c>
      <c r="AJ46" s="269">
        <f>X46-AG46</f>
        <v>0</v>
      </c>
      <c r="AK46" s="101"/>
      <c r="AL46" s="204">
        <v>0</v>
      </c>
      <c r="AM46" s="210">
        <v>0</v>
      </c>
      <c r="AN46" s="101"/>
      <c r="AO46" s="376"/>
      <c r="AP46" s="372"/>
      <c r="AQ46" s="67"/>
      <c r="AR46" s="67"/>
      <c r="AS46" s="67"/>
      <c r="AT46" s="67"/>
      <c r="AU46" s="67"/>
      <c r="AV46" s="67"/>
      <c r="AW46" s="67"/>
      <c r="AX46" s="67"/>
      <c r="AY46" s="67"/>
      <c r="AZ46" s="67"/>
      <c r="BA46" s="67"/>
      <c r="BB46" s="336"/>
      <c r="BC46" s="336"/>
      <c r="BD46" s="336"/>
      <c r="BE46" s="336"/>
      <c r="BF46" s="67"/>
      <c r="BG46" s="67"/>
      <c r="BH46" s="67"/>
      <c r="BI46" s="67"/>
      <c r="BJ46" s="67"/>
      <c r="BK46" s="67"/>
      <c r="BL46" s="67"/>
      <c r="BM46" s="336"/>
      <c r="BN46" s="336"/>
      <c r="BO46" s="336"/>
      <c r="BP46" s="336"/>
      <c r="BQ46" s="336"/>
    </row>
    <row r="47" spans="1:69" ht="24.75" customHeight="1">
      <c r="A47" s="202" t="str">
        <f>+IF(MAYO!A47=0,"",MAYO!A47)</f>
        <v>1.1.02.05.001.09.02.04.99</v>
      </c>
      <c r="B47" s="331" t="str">
        <f>+IF(MAYO!B47=0,"",MAYO!B47)</f>
        <v>Vigencia Anterior</v>
      </c>
      <c r="C47" s="204">
        <f>+ENERO!C47</f>
        <v>505746730</v>
      </c>
      <c r="D47" s="205">
        <f>MAYO!D47+JUNIO!P47</f>
        <v>0</v>
      </c>
      <c r="E47" s="205">
        <f>MAYO!E47+JUNIO!Q47</f>
        <v>0</v>
      </c>
      <c r="F47" s="205">
        <f>SUM(C47:E47)</f>
        <v>505746730</v>
      </c>
      <c r="G47" s="205">
        <f>MAYO!I47</f>
        <v>88108632</v>
      </c>
      <c r="H47" s="208">
        <v>83538581</v>
      </c>
      <c r="I47" s="205">
        <f>SUM(G47:H47)</f>
        <v>171647213</v>
      </c>
      <c r="J47" s="205">
        <f>MAYO!L47</f>
        <v>88108632</v>
      </c>
      <c r="K47" s="208">
        <v>83538581</v>
      </c>
      <c r="L47" s="205">
        <f>SUM(J47:K47)</f>
        <v>171647213</v>
      </c>
      <c r="M47" s="205">
        <f>F47-I47</f>
        <v>334099517</v>
      </c>
      <c r="N47" s="206">
        <f>F47-L47</f>
        <v>334099517</v>
      </c>
      <c r="O47" s="67"/>
      <c r="P47" s="204">
        <v>0</v>
      </c>
      <c r="Q47" s="210">
        <v>0</v>
      </c>
      <c r="R47" s="101"/>
      <c r="S47" s="311" t="str">
        <f>+IF(MAYO!S47=0,"",MAYO!S47)</f>
        <v>1010301-3</v>
      </c>
      <c r="T47" s="312" t="str">
        <f>+IF(MAYO!T47=0,"",MAYO!T47)</f>
        <v>Fondos de cesantías - Aportes cuenta maestra</v>
      </c>
      <c r="U47" s="373">
        <f>+ENERO!U47</f>
        <v>0</v>
      </c>
      <c r="V47" s="220">
        <f>MAYO!V47+JUNIO!AL47</f>
        <v>0</v>
      </c>
      <c r="W47" s="220">
        <f>MAYO!W47+JUNIO!AM47</f>
        <v>0</v>
      </c>
      <c r="X47" s="271">
        <f>SUM(U47:W47)</f>
        <v>0</v>
      </c>
      <c r="Y47" s="270">
        <f>MAYO!AA47</f>
        <v>0</v>
      </c>
      <c r="Z47" s="208">
        <v>0</v>
      </c>
      <c r="AA47" s="271">
        <f>SUM(Y47:Z47)</f>
        <v>0</v>
      </c>
      <c r="AB47" s="270">
        <f>MAYO!AD47</f>
        <v>0</v>
      </c>
      <c r="AC47" s="208">
        <v>0</v>
      </c>
      <c r="AD47" s="271">
        <f>SUM(AB47:AC47)</f>
        <v>0</v>
      </c>
      <c r="AE47" s="270">
        <f>MAYO!AG47</f>
        <v>0</v>
      </c>
      <c r="AF47" s="208">
        <v>0</v>
      </c>
      <c r="AG47" s="271">
        <f>SUM(AE47:AF47)</f>
        <v>0</v>
      </c>
      <c r="AH47" s="270">
        <f>X47-AA47</f>
        <v>0</v>
      </c>
      <c r="AI47" s="220">
        <f>X47-AD47</f>
        <v>0</v>
      </c>
      <c r="AJ47" s="269">
        <f>X47-AG47</f>
        <v>0</v>
      </c>
      <c r="AK47" s="101"/>
      <c r="AL47" s="204">
        <v>0</v>
      </c>
      <c r="AM47" s="210">
        <v>0</v>
      </c>
      <c r="AN47" s="101"/>
      <c r="AO47" s="67"/>
      <c r="AP47" s="67"/>
      <c r="AQ47" s="67"/>
      <c r="AR47" s="67"/>
      <c r="AS47" s="67"/>
      <c r="AT47" s="67"/>
      <c r="AU47" s="67"/>
      <c r="AV47" s="67"/>
      <c r="AW47" s="67"/>
      <c r="AX47" s="67"/>
      <c r="AY47" s="67"/>
      <c r="AZ47" s="67"/>
      <c r="BA47" s="67"/>
      <c r="BB47" s="336"/>
      <c r="BC47" s="336"/>
      <c r="BD47" s="336"/>
      <c r="BE47" s="336"/>
      <c r="BF47" s="67"/>
      <c r="BG47" s="67"/>
      <c r="BH47" s="67"/>
      <c r="BI47" s="67"/>
      <c r="BJ47" s="67"/>
      <c r="BK47" s="67"/>
      <c r="BL47" s="67"/>
      <c r="BM47" s="67"/>
      <c r="BN47" s="67"/>
      <c r="BO47" s="67"/>
      <c r="BP47" s="67"/>
      <c r="BQ47" s="67"/>
    </row>
    <row r="48" spans="1:69" ht="24.75" customHeight="1">
      <c r="A48" s="286" t="str">
        <f>+IF(MAYO!A48=0,"",MAYO!A48)</f>
        <v>1.1.02.05.001.09.02.11</v>
      </c>
      <c r="B48" s="319" t="str">
        <f>+IF(MAYO!B48=0,"",MAYO!B48)</f>
        <v>Poblacion Especial</v>
      </c>
      <c r="C48" s="288">
        <f t="shared" ref="C48:N48" si="52">SUM(C49:C50)</f>
        <v>225672391</v>
      </c>
      <c r="D48" s="320">
        <f t="shared" si="52"/>
        <v>0</v>
      </c>
      <c r="E48" s="320">
        <f t="shared" si="52"/>
        <v>0</v>
      </c>
      <c r="F48" s="320">
        <f t="shared" si="52"/>
        <v>225672391</v>
      </c>
      <c r="G48" s="320">
        <f t="shared" si="52"/>
        <v>92251999</v>
      </c>
      <c r="H48" s="320">
        <f t="shared" si="52"/>
        <v>6497905</v>
      </c>
      <c r="I48" s="320">
        <f t="shared" si="52"/>
        <v>98749904</v>
      </c>
      <c r="J48" s="320">
        <f t="shared" si="52"/>
        <v>44481694</v>
      </c>
      <c r="K48" s="320">
        <f t="shared" si="52"/>
        <v>0</v>
      </c>
      <c r="L48" s="1173">
        <f t="shared" si="52"/>
        <v>44481694</v>
      </c>
      <c r="M48" s="320">
        <f t="shared" si="52"/>
        <v>126922487</v>
      </c>
      <c r="N48" s="289">
        <f t="shared" si="52"/>
        <v>181190697</v>
      </c>
      <c r="O48" s="67"/>
      <c r="P48" s="288">
        <f>SUM(P49:P50)</f>
        <v>0</v>
      </c>
      <c r="Q48" s="289">
        <f>SUM(Q49:Q50)</f>
        <v>0</v>
      </c>
      <c r="R48" s="101"/>
      <c r="S48" s="311" t="str">
        <f>+IF(MAYO!S48=0,"",MAYO!S48)</f>
        <v>1010301-4</v>
      </c>
      <c r="T48" s="312" t="str">
        <f>+IF(MAYO!T48=0,"",MAYO!T48)</f>
        <v>Riesgos laborales - Aportes cuenta maestra</v>
      </c>
      <c r="U48" s="373">
        <f>+ENERO!U48</f>
        <v>0</v>
      </c>
      <c r="V48" s="220">
        <f>MAYO!V48+JUNIO!AL48</f>
        <v>0</v>
      </c>
      <c r="W48" s="220">
        <f>MAYO!W48+JUNIO!AM48</f>
        <v>0</v>
      </c>
      <c r="X48" s="271">
        <f>SUM(U48:W48)</f>
        <v>0</v>
      </c>
      <c r="Y48" s="270">
        <f>MAYO!AA48</f>
        <v>0</v>
      </c>
      <c r="Z48" s="208">
        <v>0</v>
      </c>
      <c r="AA48" s="271">
        <f>SUM(Y48:Z48)</f>
        <v>0</v>
      </c>
      <c r="AB48" s="270">
        <f>MAYO!AD48</f>
        <v>0</v>
      </c>
      <c r="AC48" s="208">
        <v>0</v>
      </c>
      <c r="AD48" s="271">
        <f>SUM(AB48:AC48)</f>
        <v>0</v>
      </c>
      <c r="AE48" s="270">
        <f>MAYO!AG48</f>
        <v>0</v>
      </c>
      <c r="AF48" s="208">
        <v>0</v>
      </c>
      <c r="AG48" s="271">
        <f>SUM(AE48:AF48)</f>
        <v>0</v>
      </c>
      <c r="AH48" s="270">
        <f>X48-AA48</f>
        <v>0</v>
      </c>
      <c r="AI48" s="220">
        <f>X48-AD48</f>
        <v>0</v>
      </c>
      <c r="AJ48" s="269">
        <f>X48-AG48</f>
        <v>0</v>
      </c>
      <c r="AK48" s="101"/>
      <c r="AL48" s="204">
        <v>0</v>
      </c>
      <c r="AM48" s="210">
        <v>0</v>
      </c>
      <c r="AN48" s="101"/>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row>
    <row r="49" spans="1:39" ht="24.75" customHeight="1">
      <c r="A49" s="202" t="str">
        <f>+IF(MAYO!A49=0,"",MAYO!A49)</f>
        <v>1.1.02.05.001.09.02.11</v>
      </c>
      <c r="B49" s="331" t="str">
        <f>+CONCATENATE("Vigencia ",INSTRUCCIONES!$F$3)</f>
        <v>Vigencia 2025</v>
      </c>
      <c r="C49" s="204">
        <f>+ENERO!C49</f>
        <v>180672391</v>
      </c>
      <c r="D49" s="205">
        <f>MAYO!D49+JUNIO!P49</f>
        <v>0</v>
      </c>
      <c r="E49" s="205">
        <f>MAYO!E49+JUNIO!Q49</f>
        <v>0</v>
      </c>
      <c r="F49" s="205">
        <f>SUM(C49:E49)</f>
        <v>180672391</v>
      </c>
      <c r="G49" s="205">
        <f>MAYO!I49</f>
        <v>53049655</v>
      </c>
      <c r="H49" s="208">
        <v>6497905</v>
      </c>
      <c r="I49" s="1156">
        <f>SUM(G49:H49)</f>
        <v>59547560</v>
      </c>
      <c r="J49" s="205">
        <f>MAYO!L49</f>
        <v>5279350</v>
      </c>
      <c r="K49" s="208">
        <v>0</v>
      </c>
      <c r="L49" s="205">
        <f>SUM(J49:K49)</f>
        <v>5279350</v>
      </c>
      <c r="M49" s="205">
        <f>F49-I49</f>
        <v>121124831</v>
      </c>
      <c r="N49" s="206">
        <f>F49-L49</f>
        <v>175393041</v>
      </c>
      <c r="O49" s="67"/>
      <c r="P49" s="204">
        <v>0</v>
      </c>
      <c r="Q49" s="210">
        <v>0</v>
      </c>
      <c r="R49" s="101"/>
      <c r="S49" s="266">
        <f>+IF(MAYO!S49=0,"",MAYO!S49)</f>
        <v>1010302</v>
      </c>
      <c r="T49" s="267" t="str">
        <f>+IF(MAYO!T49=0,"",MAYO!T49)</f>
        <v>Contribuciones - Otros</v>
      </c>
      <c r="U49" s="373">
        <f t="shared" ref="U49:AJ49" si="53">SUM(U50:U54)</f>
        <v>2369058848.2960005</v>
      </c>
      <c r="V49" s="220">
        <f t="shared" si="53"/>
        <v>-30000000</v>
      </c>
      <c r="W49" s="220">
        <f t="shared" si="53"/>
        <v>0</v>
      </c>
      <c r="X49" s="271">
        <f t="shared" si="53"/>
        <v>2339058848.2960005</v>
      </c>
      <c r="Y49" s="270">
        <f t="shared" si="53"/>
        <v>668244484</v>
      </c>
      <c r="Z49" s="300">
        <f t="shared" si="53"/>
        <v>114720749</v>
      </c>
      <c r="AA49" s="271">
        <f t="shared" si="53"/>
        <v>782965233</v>
      </c>
      <c r="AB49" s="270">
        <f t="shared" si="53"/>
        <v>668244484</v>
      </c>
      <c r="AC49" s="300">
        <f t="shared" si="53"/>
        <v>114720749</v>
      </c>
      <c r="AD49" s="271">
        <f t="shared" si="53"/>
        <v>782965233</v>
      </c>
      <c r="AE49" s="270">
        <f t="shared" si="53"/>
        <v>668244484</v>
      </c>
      <c r="AF49" s="300">
        <f t="shared" si="53"/>
        <v>114720749</v>
      </c>
      <c r="AG49" s="271">
        <f t="shared" si="53"/>
        <v>782965233</v>
      </c>
      <c r="AH49" s="270">
        <f t="shared" si="53"/>
        <v>1556093615.2960002</v>
      </c>
      <c r="AI49" s="220">
        <f t="shared" si="53"/>
        <v>1556093615.2960002</v>
      </c>
      <c r="AJ49" s="269">
        <f t="shared" si="53"/>
        <v>1556093615.2960002</v>
      </c>
      <c r="AK49" s="101"/>
      <c r="AL49" s="301">
        <f>SUM(AL50:AL54)</f>
        <v>0</v>
      </c>
      <c r="AM49" s="302">
        <f>SUM(AM50:AM54)</f>
        <v>0</v>
      </c>
    </row>
    <row r="50" spans="1:39" ht="24.75" customHeight="1">
      <c r="A50" s="202" t="str">
        <f>+IF(MAYO!A50=0,"",MAYO!A50)</f>
        <v>1.1.02.05.001.09.02.11.99</v>
      </c>
      <c r="B50" s="331" t="str">
        <f>+IF(MAYO!B50=0,"",MAYO!B50)</f>
        <v>Vigencia Anterior</v>
      </c>
      <c r="C50" s="204">
        <f>+ENERO!C50</f>
        <v>45000000</v>
      </c>
      <c r="D50" s="205">
        <f>MAYO!D50+JUNIO!P50</f>
        <v>0</v>
      </c>
      <c r="E50" s="205">
        <f>MAYO!E50+JUNIO!Q50</f>
        <v>0</v>
      </c>
      <c r="F50" s="205">
        <f>SUM(C50:E50)</f>
        <v>45000000</v>
      </c>
      <c r="G50" s="205">
        <f>MAYO!I50</f>
        <v>39202344</v>
      </c>
      <c r="H50" s="208">
        <v>0</v>
      </c>
      <c r="I50" s="205">
        <f>SUM(G50:H50)</f>
        <v>39202344</v>
      </c>
      <c r="J50" s="205">
        <f>MAYO!L50</f>
        <v>39202344</v>
      </c>
      <c r="K50" s="208">
        <v>0</v>
      </c>
      <c r="L50" s="205">
        <f>SUM(J50:K50)</f>
        <v>39202344</v>
      </c>
      <c r="M50" s="205">
        <f>F50-I50</f>
        <v>5797656</v>
      </c>
      <c r="N50" s="206">
        <f>F50-L50</f>
        <v>5797656</v>
      </c>
      <c r="O50" s="67"/>
      <c r="P50" s="204">
        <v>0</v>
      </c>
      <c r="Q50" s="210">
        <v>0</v>
      </c>
      <c r="R50" s="101"/>
      <c r="S50" s="311" t="str">
        <f>+IF(MAYO!S50=0,"",MAYO!S50)</f>
        <v>2.1.1.01.02.002</v>
      </c>
      <c r="T50" s="312" t="str">
        <f>+IF(MAYO!T50=0,"",MAYO!T50)</f>
        <v>Aportes a E.P.S. - recursos propios</v>
      </c>
      <c r="U50" s="373">
        <f>+ENERO!U50</f>
        <v>555207343.50000024</v>
      </c>
      <c r="V50" s="220">
        <f>MAYO!V50+JUNIO!AL50</f>
        <v>0</v>
      </c>
      <c r="W50" s="220">
        <f>MAYO!W50+JUNIO!AM50</f>
        <v>0</v>
      </c>
      <c r="X50" s="271">
        <f t="shared" ref="X50:X55" si="54">SUM(U50:W50)</f>
        <v>555207343.50000024</v>
      </c>
      <c r="Y50" s="270">
        <f>MAYO!AA50</f>
        <v>193083100</v>
      </c>
      <c r="Z50" s="208">
        <v>37150800</v>
      </c>
      <c r="AA50" s="271">
        <f t="shared" ref="AA50:AA55" si="55">SUM(Y50:Z50)</f>
        <v>230233900</v>
      </c>
      <c r="AB50" s="270">
        <f>MAYO!AD50</f>
        <v>193083100</v>
      </c>
      <c r="AC50" s="208">
        <v>37150800</v>
      </c>
      <c r="AD50" s="271">
        <f t="shared" ref="AD50:AD55" si="56">SUM(AB50:AC50)</f>
        <v>230233900</v>
      </c>
      <c r="AE50" s="270">
        <f>MAYO!AG50</f>
        <v>193083100</v>
      </c>
      <c r="AF50" s="208">
        <v>37150800</v>
      </c>
      <c r="AG50" s="271">
        <f t="shared" ref="AG50:AG55" si="57">SUM(AE50:AF50)</f>
        <v>230233900</v>
      </c>
      <c r="AH50" s="270">
        <f t="shared" ref="AH50:AH55" si="58">X50-AA50</f>
        <v>324973443.50000024</v>
      </c>
      <c r="AI50" s="220">
        <f t="shared" ref="AI50:AI55" si="59">X50-AD50</f>
        <v>324973443.50000024</v>
      </c>
      <c r="AJ50" s="269">
        <f t="shared" ref="AJ50:AJ55" si="60">X50-AG50</f>
        <v>324973443.50000024</v>
      </c>
      <c r="AK50" s="101"/>
      <c r="AL50" s="204">
        <v>0</v>
      </c>
      <c r="AM50" s="210">
        <v>0</v>
      </c>
    </row>
    <row r="51" spans="1:39" ht="24.75" customHeight="1">
      <c r="A51" s="286" t="str">
        <f>+IF(MAYO!A51=0,"",MAYO!A51)</f>
        <v>1.1.02.05.001.09.02.16</v>
      </c>
      <c r="B51" s="319" t="str">
        <f>+IF(MAYO!B51=0,"",MAYO!B51)</f>
        <v>Fondo Nacional de la Salud personas privadas de la Libertad</v>
      </c>
      <c r="C51" s="288">
        <f t="shared" ref="C51:N51" si="61">SUM(C52:C53)</f>
        <v>168856</v>
      </c>
      <c r="D51" s="320">
        <f t="shared" si="61"/>
        <v>0</v>
      </c>
      <c r="E51" s="320">
        <f t="shared" si="61"/>
        <v>0</v>
      </c>
      <c r="F51" s="320">
        <f t="shared" si="61"/>
        <v>168856</v>
      </c>
      <c r="G51" s="320">
        <f t="shared" si="61"/>
        <v>14817965</v>
      </c>
      <c r="H51" s="320">
        <f t="shared" si="61"/>
        <v>0</v>
      </c>
      <c r="I51" s="320">
        <f t="shared" si="61"/>
        <v>14817965</v>
      </c>
      <c r="J51" s="320">
        <f t="shared" si="61"/>
        <v>0</v>
      </c>
      <c r="K51" s="320">
        <f t="shared" si="61"/>
        <v>0</v>
      </c>
      <c r="L51" s="320">
        <f t="shared" si="61"/>
        <v>0</v>
      </c>
      <c r="M51" s="320">
        <f t="shared" si="61"/>
        <v>-14649109</v>
      </c>
      <c r="N51" s="289">
        <f t="shared" si="61"/>
        <v>168856</v>
      </c>
      <c r="O51" s="67"/>
      <c r="P51" s="288">
        <f>SUM(P52:P53)</f>
        <v>0</v>
      </c>
      <c r="Q51" s="289">
        <f>SUM(Q52:Q53)</f>
        <v>0</v>
      </c>
      <c r="R51" s="101"/>
      <c r="S51" s="311" t="str">
        <f>+IF(MAYO!S51=0,"",MAYO!S51)</f>
        <v>2.1.1.01.02.001</v>
      </c>
      <c r="T51" s="312" t="str">
        <f>+IF(MAYO!T51=0,"",MAYO!T51)</f>
        <v>Aportes Fondos Pensionales - recursos propios</v>
      </c>
      <c r="U51" s="373">
        <f>+ENERO!U51</f>
        <v>783822132</v>
      </c>
      <c r="V51" s="220">
        <f>MAYO!V51+JUNIO!AL51</f>
        <v>0</v>
      </c>
      <c r="W51" s="220">
        <f>MAYO!W51+JUNIO!AM51</f>
        <v>0</v>
      </c>
      <c r="X51" s="271">
        <f t="shared" si="54"/>
        <v>783822132</v>
      </c>
      <c r="Y51" s="270">
        <f>MAYO!AA51</f>
        <v>274954100</v>
      </c>
      <c r="Z51" s="208">
        <v>52473900</v>
      </c>
      <c r="AA51" s="271">
        <f t="shared" si="55"/>
        <v>327428000</v>
      </c>
      <c r="AB51" s="270">
        <f>MAYO!AD51</f>
        <v>274954100</v>
      </c>
      <c r="AC51" s="208">
        <v>52473900</v>
      </c>
      <c r="AD51" s="271">
        <f t="shared" si="56"/>
        <v>327428000</v>
      </c>
      <c r="AE51" s="270">
        <f>MAYO!AG51</f>
        <v>274954100</v>
      </c>
      <c r="AF51" s="208">
        <v>52473900</v>
      </c>
      <c r="AG51" s="271">
        <f t="shared" si="57"/>
        <v>327428000</v>
      </c>
      <c r="AH51" s="270">
        <f t="shared" si="58"/>
        <v>456394132</v>
      </c>
      <c r="AI51" s="220">
        <f t="shared" si="59"/>
        <v>456394132</v>
      </c>
      <c r="AJ51" s="269">
        <f t="shared" si="60"/>
        <v>456394132</v>
      </c>
      <c r="AK51" s="101"/>
      <c r="AL51" s="204">
        <v>0</v>
      </c>
      <c r="AM51" s="210">
        <v>0</v>
      </c>
    </row>
    <row r="52" spans="1:39" ht="24.75" customHeight="1">
      <c r="A52" s="202" t="str">
        <f>+IF(MAYO!A52=0,"",MAYO!A52)</f>
        <v>1.1.02.05.001.09.02.16</v>
      </c>
      <c r="B52" s="331" t="str">
        <f>+CONCATENATE("Vigencia ",INSTRUCCIONES!$F$3)</f>
        <v>Vigencia 2025</v>
      </c>
      <c r="C52" s="204">
        <f>+ENERO!C52</f>
        <v>168856</v>
      </c>
      <c r="D52" s="205">
        <f>MAYO!D52+JUNIO!P52</f>
        <v>0</v>
      </c>
      <c r="E52" s="205">
        <f>MAYO!E52+JUNIO!Q52</f>
        <v>0</v>
      </c>
      <c r="F52" s="205">
        <f>SUM(C52:E52)</f>
        <v>168856</v>
      </c>
      <c r="G52" s="205">
        <f>MAYO!I52</f>
        <v>14817965</v>
      </c>
      <c r="H52" s="208">
        <v>0</v>
      </c>
      <c r="I52" s="1156">
        <f>SUM(G52:H52)</f>
        <v>14817965</v>
      </c>
      <c r="J52" s="205">
        <f>MAYO!L52</f>
        <v>0</v>
      </c>
      <c r="K52" s="208">
        <v>0</v>
      </c>
      <c r="L52" s="205">
        <f>SUM(J52:K52)</f>
        <v>0</v>
      </c>
      <c r="M52" s="205">
        <f>F52-I52</f>
        <v>-14649109</v>
      </c>
      <c r="N52" s="206">
        <f>F52-L52</f>
        <v>168856</v>
      </c>
      <c r="O52" s="67"/>
      <c r="P52" s="204">
        <v>0</v>
      </c>
      <c r="Q52" s="210">
        <v>0</v>
      </c>
      <c r="R52" s="101"/>
      <c r="S52" s="311" t="str">
        <f>+IF(MAYO!S52=0,"",MAYO!S52)</f>
        <v>2.1.1.01.02.003</v>
      </c>
      <c r="T52" s="312" t="str">
        <f>+IF(MAYO!T52=0,"",MAYO!T52)</f>
        <v>Aportes a Fondos de Cesantia - recursos propios</v>
      </c>
      <c r="U52" s="373">
        <f>+ENERO!U52</f>
        <v>609639436</v>
      </c>
      <c r="V52" s="220">
        <f>MAYO!V52+JUNIO!AL52</f>
        <v>-30000000</v>
      </c>
      <c r="W52" s="220">
        <f>MAYO!W52+JUNIO!AM52</f>
        <v>0</v>
      </c>
      <c r="X52" s="271">
        <f t="shared" si="54"/>
        <v>579639436</v>
      </c>
      <c r="Y52" s="270">
        <f>MAYO!AA52</f>
        <v>70191984</v>
      </c>
      <c r="Z52" s="208">
        <v>1605249</v>
      </c>
      <c r="AA52" s="271">
        <f t="shared" si="55"/>
        <v>71797233</v>
      </c>
      <c r="AB52" s="270">
        <f>MAYO!AD52</f>
        <v>70191984</v>
      </c>
      <c r="AC52" s="208">
        <v>1605249</v>
      </c>
      <c r="AD52" s="271">
        <f t="shared" si="56"/>
        <v>71797233</v>
      </c>
      <c r="AE52" s="270">
        <f>MAYO!AG52</f>
        <v>70191984</v>
      </c>
      <c r="AF52" s="208">
        <v>1605249</v>
      </c>
      <c r="AG52" s="271">
        <f t="shared" si="57"/>
        <v>71797233</v>
      </c>
      <c r="AH52" s="270">
        <f t="shared" si="58"/>
        <v>507842203</v>
      </c>
      <c r="AI52" s="220">
        <f t="shared" si="59"/>
        <v>507842203</v>
      </c>
      <c r="AJ52" s="269">
        <f t="shared" si="60"/>
        <v>507842203</v>
      </c>
      <c r="AK52" s="101"/>
      <c r="AL52" s="204">
        <v>0</v>
      </c>
      <c r="AM52" s="210">
        <v>0</v>
      </c>
    </row>
    <row r="53" spans="1:39" ht="24.75" customHeight="1">
      <c r="A53" s="202" t="str">
        <f>+IF(MAYO!A53=0,"",MAYO!A53)</f>
        <v>1.1.02.05.001.09.02.16.99</v>
      </c>
      <c r="B53" s="331" t="str">
        <f>+IF(MAYO!B53=0,"",MAYO!B53)</f>
        <v>Vigencia Anterior</v>
      </c>
      <c r="C53" s="204">
        <f>+ENERO!C53</f>
        <v>0</v>
      </c>
      <c r="D53" s="205">
        <f>MAYO!D53+JUNIO!P53</f>
        <v>0</v>
      </c>
      <c r="E53" s="205">
        <f>MAYO!E53+JUNIO!Q53</f>
        <v>0</v>
      </c>
      <c r="F53" s="205">
        <f>SUM(C53:E53)</f>
        <v>0</v>
      </c>
      <c r="G53" s="205">
        <f>MAYO!I53</f>
        <v>0</v>
      </c>
      <c r="H53" s="208">
        <v>0</v>
      </c>
      <c r="I53" s="205">
        <f>SUM(G53:H53)</f>
        <v>0</v>
      </c>
      <c r="J53" s="205">
        <f>MAYO!L53</f>
        <v>0</v>
      </c>
      <c r="K53" s="208">
        <v>0</v>
      </c>
      <c r="L53" s="205">
        <f>SUM(J53:K53)</f>
        <v>0</v>
      </c>
      <c r="M53" s="205">
        <f>F53-I53</f>
        <v>0</v>
      </c>
      <c r="N53" s="206">
        <f>F53-L53</f>
        <v>0</v>
      </c>
      <c r="O53" s="67"/>
      <c r="P53" s="204">
        <v>0</v>
      </c>
      <c r="Q53" s="210">
        <v>0</v>
      </c>
      <c r="R53" s="101"/>
      <c r="S53" s="311" t="str">
        <f>+IF(MAYO!S53=0,"",MAYO!S53)</f>
        <v>2.1.1.01.02.005</v>
      </c>
      <c r="T53" s="312" t="str">
        <f>+IF(MAYO!T53=0,"",MAYO!T53)</f>
        <v>Aporte a ARL. - recursos propios</v>
      </c>
      <c r="U53" s="373">
        <f>+ENERO!U53</f>
        <v>159115892.79599997</v>
      </c>
      <c r="V53" s="220">
        <f>MAYO!V53+JUNIO!AL53</f>
        <v>0</v>
      </c>
      <c r="W53" s="220">
        <f>MAYO!W53+JUNIO!AM53</f>
        <v>0</v>
      </c>
      <c r="X53" s="271">
        <f t="shared" si="54"/>
        <v>159115892.79599997</v>
      </c>
      <c r="Y53" s="270">
        <f>MAYO!AA53</f>
        <v>38722300</v>
      </c>
      <c r="Z53" s="208">
        <v>6595100</v>
      </c>
      <c r="AA53" s="271">
        <f t="shared" si="55"/>
        <v>45317400</v>
      </c>
      <c r="AB53" s="270">
        <f>MAYO!AD53</f>
        <v>38722300</v>
      </c>
      <c r="AC53" s="208">
        <v>6595100</v>
      </c>
      <c r="AD53" s="271">
        <f t="shared" si="56"/>
        <v>45317400</v>
      </c>
      <c r="AE53" s="270">
        <f>MAYO!AG53</f>
        <v>38722300</v>
      </c>
      <c r="AF53" s="208">
        <v>6595100</v>
      </c>
      <c r="AG53" s="271">
        <f t="shared" si="57"/>
        <v>45317400</v>
      </c>
      <c r="AH53" s="270">
        <f t="shared" si="58"/>
        <v>113798492.79599997</v>
      </c>
      <c r="AI53" s="220">
        <f t="shared" si="59"/>
        <v>113798492.79599997</v>
      </c>
      <c r="AJ53" s="269">
        <f t="shared" si="60"/>
        <v>113798492.79599997</v>
      </c>
      <c r="AK53" s="101"/>
      <c r="AL53" s="204">
        <v>0</v>
      </c>
      <c r="AM53" s="210">
        <v>0</v>
      </c>
    </row>
    <row r="54" spans="1:39" ht="24.75" customHeight="1">
      <c r="A54" s="286" t="str">
        <f>+IF(MAYO!A54=0,"",MAYO!A54)</f>
        <v>1.1.02.05.001.09.02.17</v>
      </c>
      <c r="B54" s="319" t="str">
        <f>+IF(MAYO!B54=0,"",MAYO!B54)</f>
        <v>EMPRESAS MEDICINA PREPAGADA</v>
      </c>
      <c r="C54" s="288">
        <f t="shared" ref="C54:N54" si="62">SUM(C55:C56)</f>
        <v>968592.84788797423</v>
      </c>
      <c r="D54" s="320">
        <f t="shared" si="62"/>
        <v>0</v>
      </c>
      <c r="E54" s="320">
        <f t="shared" si="62"/>
        <v>0</v>
      </c>
      <c r="F54" s="320">
        <f t="shared" si="62"/>
        <v>968592.84788797423</v>
      </c>
      <c r="G54" s="320">
        <f t="shared" si="62"/>
        <v>13073443</v>
      </c>
      <c r="H54" s="320">
        <f t="shared" si="62"/>
        <v>0</v>
      </c>
      <c r="I54" s="320">
        <f t="shared" si="62"/>
        <v>13073443</v>
      </c>
      <c r="J54" s="320">
        <f t="shared" si="62"/>
        <v>11142773</v>
      </c>
      <c r="K54" s="320">
        <f t="shared" si="62"/>
        <v>0</v>
      </c>
      <c r="L54" s="1173">
        <f t="shared" si="62"/>
        <v>11142773</v>
      </c>
      <c r="M54" s="320">
        <f t="shared" si="62"/>
        <v>-12104850.152112026</v>
      </c>
      <c r="N54" s="289">
        <f t="shared" si="62"/>
        <v>-10174180.152112026</v>
      </c>
      <c r="O54" s="67"/>
      <c r="P54" s="288">
        <f>SUM(P55:P56)</f>
        <v>0</v>
      </c>
      <c r="Q54" s="289">
        <f>SUM(Q55:Q56)</f>
        <v>0</v>
      </c>
      <c r="R54" s="101"/>
      <c r="S54" s="311" t="str">
        <f>+IF(MAYO!S54=0,"",MAYO!S54)</f>
        <v>2.1.1.01.02.004</v>
      </c>
      <c r="T54" s="312" t="str">
        <f>+IF(MAYO!T54=0,"",MAYO!T54)</f>
        <v>Aporte a Caja Compensación Familiar</v>
      </c>
      <c r="U54" s="373">
        <f>+ENERO!U54</f>
        <v>261274044</v>
      </c>
      <c r="V54" s="220">
        <f>MAYO!V54+JUNIO!AL54</f>
        <v>0</v>
      </c>
      <c r="W54" s="220">
        <f>MAYO!W54+JUNIO!AM54</f>
        <v>0</v>
      </c>
      <c r="X54" s="271">
        <f t="shared" si="54"/>
        <v>261274044</v>
      </c>
      <c r="Y54" s="270">
        <f>MAYO!AA54</f>
        <v>91293000</v>
      </c>
      <c r="Z54" s="208">
        <v>16895700</v>
      </c>
      <c r="AA54" s="271">
        <f t="shared" si="55"/>
        <v>108188700</v>
      </c>
      <c r="AB54" s="270">
        <f>MAYO!AD54</f>
        <v>91293000</v>
      </c>
      <c r="AC54" s="208">
        <v>16895700</v>
      </c>
      <c r="AD54" s="271">
        <f t="shared" si="56"/>
        <v>108188700</v>
      </c>
      <c r="AE54" s="270">
        <f>MAYO!AG54</f>
        <v>91293000</v>
      </c>
      <c r="AF54" s="208">
        <v>16895700</v>
      </c>
      <c r="AG54" s="271">
        <f t="shared" si="57"/>
        <v>108188700</v>
      </c>
      <c r="AH54" s="270">
        <f t="shared" si="58"/>
        <v>153085344</v>
      </c>
      <c r="AI54" s="220">
        <f t="shared" si="59"/>
        <v>153085344</v>
      </c>
      <c r="AJ54" s="269">
        <f t="shared" si="60"/>
        <v>153085344</v>
      </c>
      <c r="AK54" s="101"/>
      <c r="AL54" s="204">
        <v>0</v>
      </c>
      <c r="AM54" s="210">
        <v>0</v>
      </c>
    </row>
    <row r="55" spans="1:39" ht="24.75" customHeight="1">
      <c r="A55" s="202" t="str">
        <f>+IF(MAYO!A55=0,"",MAYO!A55)</f>
        <v>1.1.02.05.001.09.02.17</v>
      </c>
      <c r="B55" s="331" t="str">
        <f>+CONCATENATE("Vigencia ",INSTRUCCIONES!$F$3)</f>
        <v>Vigencia 2025</v>
      </c>
      <c r="C55" s="204">
        <f>+ENERO!C55</f>
        <v>968592.84788797423</v>
      </c>
      <c r="D55" s="205">
        <f>MAYO!D55+JUNIO!P55</f>
        <v>0</v>
      </c>
      <c r="E55" s="205">
        <f>MAYO!E55+JUNIO!Q55</f>
        <v>0</v>
      </c>
      <c r="F55" s="205">
        <f>SUM(C55:E55)</f>
        <v>968592.84788797423</v>
      </c>
      <c r="G55" s="205">
        <f>MAYO!I55</f>
        <v>2732534</v>
      </c>
      <c r="H55" s="208">
        <v>0</v>
      </c>
      <c r="I55" s="1156">
        <f>SUM(G55:H55)</f>
        <v>2732534</v>
      </c>
      <c r="J55" s="205">
        <f>MAYO!L55</f>
        <v>801864</v>
      </c>
      <c r="K55" s="208">
        <v>0</v>
      </c>
      <c r="L55" s="205">
        <f>SUM(J55:K55)</f>
        <v>801864</v>
      </c>
      <c r="M55" s="205">
        <f>F55-I55</f>
        <v>-1763941.1521120258</v>
      </c>
      <c r="N55" s="206">
        <f>F55-L55</f>
        <v>166728.84788797423</v>
      </c>
      <c r="O55" s="67"/>
      <c r="P55" s="204">
        <v>0</v>
      </c>
      <c r="Q55" s="210">
        <v>0</v>
      </c>
      <c r="R55" s="101" t="s">
        <v>688</v>
      </c>
      <c r="S55" s="266" t="str">
        <f>+IF(MAYO!S55=0,"",MAYO!S55)</f>
        <v>2.1.1.01.02.003.99</v>
      </c>
      <c r="T55" s="267" t="s">
        <v>196</v>
      </c>
      <c r="U55" s="373">
        <f>+ENERO!U55</f>
        <v>502141089.6665011</v>
      </c>
      <c r="V55" s="220">
        <f>MAYO!V55+JUNIO!AL55</f>
        <v>30000000</v>
      </c>
      <c r="W55" s="220">
        <f>MAYO!W55+JUNIO!AM55</f>
        <v>0</v>
      </c>
      <c r="X55" s="271">
        <f t="shared" si="54"/>
        <v>532141089.6665011</v>
      </c>
      <c r="Y55" s="270">
        <f>MAYO!AA55</f>
        <v>524307634</v>
      </c>
      <c r="Z55" s="208">
        <v>0</v>
      </c>
      <c r="AA55" s="271">
        <f t="shared" si="55"/>
        <v>524307634</v>
      </c>
      <c r="AB55" s="270">
        <f>MAYO!AD55</f>
        <v>524307634</v>
      </c>
      <c r="AC55" s="208">
        <v>0</v>
      </c>
      <c r="AD55" s="271">
        <f t="shared" si="56"/>
        <v>524307634</v>
      </c>
      <c r="AE55" s="270">
        <f>MAYO!AG55</f>
        <v>524307634</v>
      </c>
      <c r="AF55" s="208">
        <v>0</v>
      </c>
      <c r="AG55" s="271">
        <f t="shared" si="57"/>
        <v>524307634</v>
      </c>
      <c r="AH55" s="270">
        <f t="shared" si="58"/>
        <v>7833455.6665011048</v>
      </c>
      <c r="AI55" s="220">
        <f t="shared" si="59"/>
        <v>7833455.6665011048</v>
      </c>
      <c r="AJ55" s="269">
        <f t="shared" si="60"/>
        <v>7833455.6665011048</v>
      </c>
      <c r="AK55" s="101"/>
      <c r="AL55" s="204">
        <v>0</v>
      </c>
      <c r="AM55" s="210">
        <v>0</v>
      </c>
    </row>
    <row r="56" spans="1:39" ht="24.75" customHeight="1">
      <c r="A56" s="202" t="str">
        <f>+IF(MAYO!A56=0,"",MAYO!A56)</f>
        <v>1.1.02.05.001.09.02.17.99</v>
      </c>
      <c r="B56" s="331" t="str">
        <f>+IF(MAYO!B56=0,"",MAYO!B56)</f>
        <v>Vigencia Anterior</v>
      </c>
      <c r="C56" s="204">
        <f>+ENERO!C56</f>
        <v>0</v>
      </c>
      <c r="D56" s="205">
        <f>MAYO!D56+JUNIO!P56</f>
        <v>0</v>
      </c>
      <c r="E56" s="205">
        <f>MAYO!E56+JUNIO!Q56</f>
        <v>0</v>
      </c>
      <c r="F56" s="205">
        <f>SUM(C56:E56)</f>
        <v>0</v>
      </c>
      <c r="G56" s="205">
        <f>MAYO!I56</f>
        <v>10340909</v>
      </c>
      <c r="H56" s="208">
        <v>0</v>
      </c>
      <c r="I56" s="205">
        <f>SUM(G56:H56)</f>
        <v>10340909</v>
      </c>
      <c r="J56" s="205">
        <f>MAYO!L56</f>
        <v>10340909</v>
      </c>
      <c r="K56" s="208">
        <v>0</v>
      </c>
      <c r="L56" s="205">
        <f>SUM(J56:K56)</f>
        <v>10340909</v>
      </c>
      <c r="M56" s="205">
        <f>F56-I56</f>
        <v>-10340909</v>
      </c>
      <c r="N56" s="206">
        <f>F56-L56</f>
        <v>-10340909</v>
      </c>
      <c r="O56" s="67"/>
      <c r="P56" s="204">
        <v>0</v>
      </c>
      <c r="Q56" s="210">
        <v>0</v>
      </c>
      <c r="R56" s="101"/>
      <c r="S56" s="189">
        <f>+IF(MAYO!S56=0,"",MAYO!S56)</f>
        <v>10340904</v>
      </c>
      <c r="T56" s="488" t="str">
        <f>+IF(MAYO!T56=0,"",MAYO!T56)</f>
        <v/>
      </c>
      <c r="U56" s="191"/>
      <c r="V56" s="191"/>
      <c r="W56" s="191"/>
      <c r="X56" s="191"/>
      <c r="Y56" s="191"/>
      <c r="Z56" s="191"/>
      <c r="AA56" s="191"/>
      <c r="AB56" s="191"/>
      <c r="AC56" s="191"/>
      <c r="AD56" s="191"/>
      <c r="AE56" s="191"/>
      <c r="AF56" s="191"/>
      <c r="AG56" s="191"/>
      <c r="AH56" s="191"/>
      <c r="AI56" s="191"/>
      <c r="AJ56" s="192"/>
      <c r="AK56" s="216"/>
      <c r="AL56" s="370"/>
      <c r="AM56" s="371"/>
    </row>
    <row r="57" spans="1:39" ht="24.75" customHeight="1">
      <c r="A57" s="286" t="str">
        <f>+IF(MAYO!A57=0,"",MAYO!A57)</f>
        <v>1.1.02.05.001.09.02.09</v>
      </c>
      <c r="B57" s="319" t="str">
        <f>+IF(MAYO!B57=0,"",MAYO!B57)</f>
        <v>IPS PRIVADAS</v>
      </c>
      <c r="C57" s="288">
        <f t="shared" ref="C57:N57" si="63">SUM(C58:C59)</f>
        <v>8042608</v>
      </c>
      <c r="D57" s="320">
        <f t="shared" si="63"/>
        <v>0</v>
      </c>
      <c r="E57" s="320">
        <f t="shared" si="63"/>
        <v>0</v>
      </c>
      <c r="F57" s="320">
        <f t="shared" si="63"/>
        <v>8042608</v>
      </c>
      <c r="G57" s="320">
        <f t="shared" si="63"/>
        <v>0</v>
      </c>
      <c r="H57" s="320">
        <f t="shared" si="63"/>
        <v>0</v>
      </c>
      <c r="I57" s="320">
        <f t="shared" si="63"/>
        <v>0</v>
      </c>
      <c r="J57" s="320">
        <f t="shared" si="63"/>
        <v>0</v>
      </c>
      <c r="K57" s="320">
        <f t="shared" si="63"/>
        <v>0</v>
      </c>
      <c r="L57" s="320">
        <f t="shared" si="63"/>
        <v>0</v>
      </c>
      <c r="M57" s="320">
        <f t="shared" si="63"/>
        <v>8042608</v>
      </c>
      <c r="N57" s="289">
        <f t="shared" si="63"/>
        <v>8042608</v>
      </c>
      <c r="O57" s="67"/>
      <c r="P57" s="288">
        <f>SUM(P58:P59)</f>
        <v>0</v>
      </c>
      <c r="Q57" s="289">
        <f>SUM(Q58:Q59)</f>
        <v>0</v>
      </c>
      <c r="R57" s="101"/>
      <c r="S57" s="257">
        <f>+IF(MAYO!S57=0,"",MAYO!S57)</f>
        <v>1010400</v>
      </c>
      <c r="T57" s="546" t="str">
        <f>+IF(MAYO!T57=0,"",MAYO!T57)</f>
        <v>Contribuciones Inherentes nómina del Sector Publico</v>
      </c>
      <c r="U57" s="230">
        <f t="shared" ref="U57:AJ57" si="64">U58+U61</f>
        <v>326592555</v>
      </c>
      <c r="V57" s="231">
        <f t="shared" si="64"/>
        <v>0</v>
      </c>
      <c r="W57" s="231">
        <f t="shared" si="64"/>
        <v>0</v>
      </c>
      <c r="X57" s="234">
        <f t="shared" si="64"/>
        <v>326592555</v>
      </c>
      <c r="Y57" s="233">
        <f t="shared" si="64"/>
        <v>114136300</v>
      </c>
      <c r="Z57" s="231">
        <f t="shared" si="64"/>
        <v>21123700</v>
      </c>
      <c r="AA57" s="234">
        <f t="shared" si="64"/>
        <v>135260000</v>
      </c>
      <c r="AB57" s="233">
        <f t="shared" si="64"/>
        <v>114136300</v>
      </c>
      <c r="AC57" s="231">
        <f t="shared" si="64"/>
        <v>21123700</v>
      </c>
      <c r="AD57" s="234">
        <f t="shared" si="64"/>
        <v>135260000</v>
      </c>
      <c r="AE57" s="233">
        <f t="shared" si="64"/>
        <v>114136300</v>
      </c>
      <c r="AF57" s="231">
        <f t="shared" si="64"/>
        <v>21123700</v>
      </c>
      <c r="AG57" s="234">
        <f t="shared" si="64"/>
        <v>135260000</v>
      </c>
      <c r="AH57" s="233">
        <f t="shared" si="64"/>
        <v>191332555</v>
      </c>
      <c r="AI57" s="231">
        <f t="shared" si="64"/>
        <v>191332555</v>
      </c>
      <c r="AJ57" s="232">
        <f t="shared" si="64"/>
        <v>191332555</v>
      </c>
      <c r="AK57" s="101"/>
      <c r="AL57" s="233">
        <f>AL58+AL61</f>
        <v>0</v>
      </c>
      <c r="AM57" s="232">
        <f>AM58+AM61</f>
        <v>0</v>
      </c>
    </row>
    <row r="58" spans="1:39" ht="24.75" customHeight="1">
      <c r="A58" s="202" t="str">
        <f>+IF(MAYO!A58=0,"",MAYO!A58)</f>
        <v>1.1.02.05.001.09.02.09</v>
      </c>
      <c r="B58" s="331" t="str">
        <f>+CONCATENATE("Vigencia ",INSTRUCCIONES!$F$3)</f>
        <v>Vigencia 2025</v>
      </c>
      <c r="C58" s="204">
        <f>+ENERO!C58</f>
        <v>8042608</v>
      </c>
      <c r="D58" s="205">
        <f>MAYO!D58+JUNIO!P58</f>
        <v>0</v>
      </c>
      <c r="E58" s="205">
        <f>MAYO!E58+JUNIO!Q58</f>
        <v>0</v>
      </c>
      <c r="F58" s="205">
        <f>SUM(C58:E58)</f>
        <v>8042608</v>
      </c>
      <c r="G58" s="205">
        <f>MAYO!I58</f>
        <v>0</v>
      </c>
      <c r="H58" s="208">
        <v>0</v>
      </c>
      <c r="I58" s="205">
        <f>SUM(G58:H58)</f>
        <v>0</v>
      </c>
      <c r="J58" s="205">
        <f>MAYO!L58</f>
        <v>0</v>
      </c>
      <c r="K58" s="208">
        <v>0</v>
      </c>
      <c r="L58" s="205">
        <f>SUM(J58:K58)</f>
        <v>0</v>
      </c>
      <c r="M58" s="205">
        <f>F58-I58</f>
        <v>8042608</v>
      </c>
      <c r="N58" s="206">
        <f>F58-L58</f>
        <v>8042608</v>
      </c>
      <c r="O58" s="67"/>
      <c r="P58" s="204">
        <v>0</v>
      </c>
      <c r="Q58" s="210">
        <v>0</v>
      </c>
      <c r="R58" s="101"/>
      <c r="S58" s="266">
        <f>+IF(MAYO!S58=0,"",MAYO!S58)</f>
        <v>1010402</v>
      </c>
      <c r="T58" s="267" t="str">
        <f>+IF(MAYO!T58=0,"",MAYO!T58)</f>
        <v>Contribuciones - Otros</v>
      </c>
      <c r="U58" s="373">
        <f t="shared" ref="U58:AJ58" si="65">SUM(U59:U60)</f>
        <v>326592555</v>
      </c>
      <c r="V58" s="220">
        <f t="shared" si="65"/>
        <v>0</v>
      </c>
      <c r="W58" s="220">
        <f t="shared" si="65"/>
        <v>0</v>
      </c>
      <c r="X58" s="271">
        <f t="shared" si="65"/>
        <v>326592555</v>
      </c>
      <c r="Y58" s="270">
        <f t="shared" si="65"/>
        <v>114136300</v>
      </c>
      <c r="Z58" s="300">
        <f t="shared" si="65"/>
        <v>21123700</v>
      </c>
      <c r="AA58" s="271">
        <f t="shared" si="65"/>
        <v>135260000</v>
      </c>
      <c r="AB58" s="270">
        <f t="shared" si="65"/>
        <v>114136300</v>
      </c>
      <c r="AC58" s="300">
        <f t="shared" si="65"/>
        <v>21123700</v>
      </c>
      <c r="AD58" s="271">
        <f t="shared" si="65"/>
        <v>135260000</v>
      </c>
      <c r="AE58" s="270">
        <f t="shared" si="65"/>
        <v>114136300</v>
      </c>
      <c r="AF58" s="300">
        <f t="shared" si="65"/>
        <v>21123700</v>
      </c>
      <c r="AG58" s="271">
        <f t="shared" si="65"/>
        <v>135260000</v>
      </c>
      <c r="AH58" s="270">
        <f t="shared" si="65"/>
        <v>191332555</v>
      </c>
      <c r="AI58" s="220">
        <f t="shared" si="65"/>
        <v>191332555</v>
      </c>
      <c r="AJ58" s="269">
        <f t="shared" si="65"/>
        <v>191332555</v>
      </c>
      <c r="AK58" s="101"/>
      <c r="AL58" s="301">
        <f>SUM(AL59:AL60)</f>
        <v>0</v>
      </c>
      <c r="AM58" s="302">
        <f>SUM(AM59:AM60)</f>
        <v>0</v>
      </c>
    </row>
    <row r="59" spans="1:39" ht="24.75" customHeight="1">
      <c r="A59" s="202" t="str">
        <f>+IF(MAYO!A59=0,"",MAYO!A59)</f>
        <v>1.1.02.05.001.09.02.09.99</v>
      </c>
      <c r="B59" s="331" t="str">
        <f>+IF(MAYO!B59=0,"",MAYO!B59)</f>
        <v>Vigencia Anterior</v>
      </c>
      <c r="C59" s="204">
        <f>+ENERO!C59</f>
        <v>0</v>
      </c>
      <c r="D59" s="205">
        <f>MAYO!D59+JUNIO!P59</f>
        <v>0</v>
      </c>
      <c r="E59" s="205">
        <f>MAYO!E59+JUNIO!Q59</f>
        <v>0</v>
      </c>
      <c r="F59" s="205">
        <f>SUM(C59:E59)</f>
        <v>0</v>
      </c>
      <c r="G59" s="205">
        <f>MAYO!I59</f>
        <v>0</v>
      </c>
      <c r="H59" s="208">
        <v>0</v>
      </c>
      <c r="I59" s="205">
        <f>SUM(G59:H59)</f>
        <v>0</v>
      </c>
      <c r="J59" s="205">
        <f>MAYO!L59</f>
        <v>0</v>
      </c>
      <c r="K59" s="208">
        <v>0</v>
      </c>
      <c r="L59" s="205">
        <f>SUM(J59:K59)</f>
        <v>0</v>
      </c>
      <c r="M59" s="205">
        <f>F59-I59</f>
        <v>0</v>
      </c>
      <c r="N59" s="206">
        <f>F59-L59</f>
        <v>0</v>
      </c>
      <c r="O59" s="67"/>
      <c r="P59" s="204">
        <v>0</v>
      </c>
      <c r="Q59" s="210">
        <v>0</v>
      </c>
      <c r="R59" s="101"/>
      <c r="S59" s="311" t="str">
        <f>+IF(MAYO!S59=0,"",MAYO!S59)</f>
        <v>2.1.1.01.02.006</v>
      </c>
      <c r="T59" s="267" t="str">
        <f>+IF(MAYO!T59=0,"",MAYO!T59)</f>
        <v>I.C.B.F.</v>
      </c>
      <c r="U59" s="373">
        <f>+ENERO!U59</f>
        <v>195955533</v>
      </c>
      <c r="V59" s="220">
        <f>MAYO!V59+JUNIO!AL59</f>
        <v>0</v>
      </c>
      <c r="W59" s="220">
        <f>MAYO!W59+JUNIO!AM59</f>
        <v>0</v>
      </c>
      <c r="X59" s="271">
        <f>SUM(U59:W59)</f>
        <v>195955533</v>
      </c>
      <c r="Y59" s="270">
        <f>MAYO!AA59</f>
        <v>68472000</v>
      </c>
      <c r="Z59" s="208">
        <v>12672200</v>
      </c>
      <c r="AA59" s="271">
        <f>SUM(Y59:Z59)</f>
        <v>81144200</v>
      </c>
      <c r="AB59" s="270">
        <f>MAYO!AD59</f>
        <v>68472000</v>
      </c>
      <c r="AC59" s="208">
        <v>12672200</v>
      </c>
      <c r="AD59" s="271">
        <f>SUM(AB59:AC59)</f>
        <v>81144200</v>
      </c>
      <c r="AE59" s="270">
        <f>MAYO!AG59</f>
        <v>68472000</v>
      </c>
      <c r="AF59" s="208">
        <v>12672200</v>
      </c>
      <c r="AG59" s="271">
        <f>SUM(AE59:AF59)</f>
        <v>81144200</v>
      </c>
      <c r="AH59" s="270">
        <f>X59-AA59</f>
        <v>114811333</v>
      </c>
      <c r="AI59" s="220">
        <f>X59-AD59</f>
        <v>114811333</v>
      </c>
      <c r="AJ59" s="269">
        <f>X59-AG59</f>
        <v>114811333</v>
      </c>
      <c r="AK59" s="101"/>
      <c r="AL59" s="204">
        <v>0</v>
      </c>
      <c r="AM59" s="210">
        <v>0</v>
      </c>
    </row>
    <row r="60" spans="1:39" ht="24.75" customHeight="1">
      <c r="A60" s="286" t="str">
        <f>+IF(MAYO!A60=0,"",MAYO!A60)</f>
        <v>1.1.02.05.001.09.02.10</v>
      </c>
      <c r="B60" s="319" t="str">
        <f>+IF(MAYO!B60=0,"",MAYO!B60)</f>
        <v>IPS PUBLICAS</v>
      </c>
      <c r="C60" s="288">
        <f t="shared" ref="C60:N60" si="66">SUM(C61:C62)</f>
        <v>46623238</v>
      </c>
      <c r="D60" s="320">
        <f t="shared" si="66"/>
        <v>0</v>
      </c>
      <c r="E60" s="320">
        <f t="shared" si="66"/>
        <v>0</v>
      </c>
      <c r="F60" s="320">
        <f t="shared" si="66"/>
        <v>46623238</v>
      </c>
      <c r="G60" s="320">
        <f t="shared" si="66"/>
        <v>13393410</v>
      </c>
      <c r="H60" s="320">
        <f t="shared" si="66"/>
        <v>-111333</v>
      </c>
      <c r="I60" s="320">
        <f t="shared" si="66"/>
        <v>13282077</v>
      </c>
      <c r="J60" s="320">
        <f t="shared" si="66"/>
        <v>10766242</v>
      </c>
      <c r="K60" s="320">
        <f t="shared" si="66"/>
        <v>0</v>
      </c>
      <c r="L60" s="1173">
        <f t="shared" si="66"/>
        <v>10766242</v>
      </c>
      <c r="M60" s="320">
        <f t="shared" si="66"/>
        <v>33341161</v>
      </c>
      <c r="N60" s="289">
        <f t="shared" si="66"/>
        <v>35856996</v>
      </c>
      <c r="O60" s="67"/>
      <c r="P60" s="288">
        <f>SUM(P61:P62)</f>
        <v>0</v>
      </c>
      <c r="Q60" s="289">
        <f>SUM(Q61:Q62)</f>
        <v>0</v>
      </c>
      <c r="R60" s="101"/>
      <c r="S60" s="311" t="str">
        <f>+IF(MAYO!S60=0,"",MAYO!S60)</f>
        <v>2.1.1.01.02.007</v>
      </c>
      <c r="T60" s="267" t="str">
        <f>+IF(MAYO!T60=0,"",MAYO!T60)</f>
        <v>SENA</v>
      </c>
      <c r="U60" s="373">
        <f>+ENERO!U60</f>
        <v>130637022</v>
      </c>
      <c r="V60" s="220">
        <f>MAYO!V60+JUNIO!AL60</f>
        <v>0</v>
      </c>
      <c r="W60" s="220">
        <f>MAYO!W60+JUNIO!AM60</f>
        <v>0</v>
      </c>
      <c r="X60" s="271">
        <f>SUM(U60:W60)</f>
        <v>130637022</v>
      </c>
      <c r="Y60" s="270">
        <f>MAYO!AA60</f>
        <v>45664300</v>
      </c>
      <c r="Z60" s="208">
        <v>8451500</v>
      </c>
      <c r="AA60" s="271">
        <f>SUM(Y60:Z60)</f>
        <v>54115800</v>
      </c>
      <c r="AB60" s="270">
        <f>MAYO!AD60</f>
        <v>45664300</v>
      </c>
      <c r="AC60" s="208">
        <v>8451500</v>
      </c>
      <c r="AD60" s="271">
        <f>SUM(AB60:AC60)</f>
        <v>54115800</v>
      </c>
      <c r="AE60" s="270">
        <f>MAYO!AG60</f>
        <v>45664300</v>
      </c>
      <c r="AF60" s="208">
        <v>8451500</v>
      </c>
      <c r="AG60" s="271">
        <f>SUM(AE60:AF60)</f>
        <v>54115800</v>
      </c>
      <c r="AH60" s="270">
        <f>X60-AA60</f>
        <v>76521222</v>
      </c>
      <c r="AI60" s="220">
        <f>X60-AD60</f>
        <v>76521222</v>
      </c>
      <c r="AJ60" s="269">
        <f>X60-AG60</f>
        <v>76521222</v>
      </c>
      <c r="AK60" s="101"/>
      <c r="AL60" s="204">
        <v>0</v>
      </c>
      <c r="AM60" s="210">
        <v>0</v>
      </c>
    </row>
    <row r="61" spans="1:39" ht="24.75" customHeight="1">
      <c r="A61" s="202" t="str">
        <f>+IF(MAYO!A61=0,"",MAYO!A61)</f>
        <v>1.1.02.05.001.09.02.10</v>
      </c>
      <c r="B61" s="331" t="str">
        <f>+CONCATENATE("Vigencia ",INSTRUCCIONES!$F$3)</f>
        <v>Vigencia 2025</v>
      </c>
      <c r="C61" s="204">
        <f>+ENERO!C61</f>
        <v>46623238</v>
      </c>
      <c r="D61" s="205">
        <f>MAYO!D61+JUNIO!P61</f>
        <v>0</v>
      </c>
      <c r="E61" s="205">
        <f>MAYO!E61+JUNIO!Q61</f>
        <v>0</v>
      </c>
      <c r="F61" s="205">
        <f>SUM(C61:E61)</f>
        <v>46623238</v>
      </c>
      <c r="G61" s="205">
        <f>MAYO!I61</f>
        <v>3590549</v>
      </c>
      <c r="H61" s="208">
        <v>-111333</v>
      </c>
      <c r="I61" s="1156">
        <f>SUM(G61:H61)</f>
        <v>3479216</v>
      </c>
      <c r="J61" s="205">
        <f>MAYO!L61</f>
        <v>963381</v>
      </c>
      <c r="K61" s="208">
        <v>0</v>
      </c>
      <c r="L61" s="205">
        <f>SUM(J61:K61)</f>
        <v>963381</v>
      </c>
      <c r="M61" s="205">
        <f>F61-I61</f>
        <v>43144022</v>
      </c>
      <c r="N61" s="206">
        <f>F61-L61</f>
        <v>45659857</v>
      </c>
      <c r="O61" s="67"/>
      <c r="P61" s="204">
        <v>0</v>
      </c>
      <c r="Q61" s="210">
        <v>0</v>
      </c>
      <c r="R61" s="101" t="s">
        <v>688</v>
      </c>
      <c r="S61" s="266">
        <f>+IF(MAYO!S61=0,"",MAYO!S61)</f>
        <v>1010499</v>
      </c>
      <c r="T61" s="267" t="str">
        <f>+IF(MAYO!T61=0,"",MAYO!T61)</f>
        <v>Vigencias Anteriores</v>
      </c>
      <c r="U61" s="373">
        <f>+ENERO!U61</f>
        <v>0</v>
      </c>
      <c r="V61" s="220">
        <f>MAYO!V61+JUNIO!AL61</f>
        <v>0</v>
      </c>
      <c r="W61" s="220">
        <f>MAYO!W61+JUNIO!AM61</f>
        <v>0</v>
      </c>
      <c r="X61" s="271">
        <f>SUM(U61:W61)</f>
        <v>0</v>
      </c>
      <c r="Y61" s="270">
        <f>MAYO!AA61</f>
        <v>0</v>
      </c>
      <c r="Z61" s="208">
        <v>0</v>
      </c>
      <c r="AA61" s="271">
        <f>SUM(Y61:Z61)</f>
        <v>0</v>
      </c>
      <c r="AB61" s="270">
        <f>MAYO!AD61</f>
        <v>0</v>
      </c>
      <c r="AC61" s="208">
        <v>0</v>
      </c>
      <c r="AD61" s="271">
        <f>SUM(AB61:AC61)</f>
        <v>0</v>
      </c>
      <c r="AE61" s="270">
        <f>MAYO!AG61</f>
        <v>0</v>
      </c>
      <c r="AF61" s="208">
        <v>0</v>
      </c>
      <c r="AG61" s="271">
        <f>SUM(AE61:AF61)</f>
        <v>0</v>
      </c>
      <c r="AH61" s="270">
        <f>X61-AA61</f>
        <v>0</v>
      </c>
      <c r="AI61" s="220">
        <f>X61-AD61</f>
        <v>0</v>
      </c>
      <c r="AJ61" s="269">
        <f>X61-AG61</f>
        <v>0</v>
      </c>
      <c r="AK61" s="101"/>
      <c r="AL61" s="204">
        <v>0</v>
      </c>
      <c r="AM61" s="210">
        <v>0</v>
      </c>
    </row>
    <row r="62" spans="1:39" ht="24.75" customHeight="1">
      <c r="A62" s="202" t="str">
        <f>+IF(MAYO!A62=0,"",MAYO!A62)</f>
        <v>1.1.02.05.001.09.02.10.99</v>
      </c>
      <c r="B62" s="331" t="str">
        <f>+IF(MAYO!B62=0,"",MAYO!B62)</f>
        <v>Vigencia Anterior</v>
      </c>
      <c r="C62" s="204">
        <f>+ENERO!C62</f>
        <v>0</v>
      </c>
      <c r="D62" s="205">
        <f>MAYO!D62+JUNIO!P62</f>
        <v>0</v>
      </c>
      <c r="E62" s="205">
        <f>MAYO!E62+JUNIO!Q62</f>
        <v>0</v>
      </c>
      <c r="F62" s="205">
        <f>SUM(C62:E62)</f>
        <v>0</v>
      </c>
      <c r="G62" s="205">
        <f>MAYO!I62</f>
        <v>9802861</v>
      </c>
      <c r="H62" s="208">
        <v>0</v>
      </c>
      <c r="I62" s="205">
        <f>SUM(G62:H62)</f>
        <v>9802861</v>
      </c>
      <c r="J62" s="205">
        <f>MAYO!L62</f>
        <v>9802861</v>
      </c>
      <c r="K62" s="208">
        <v>0</v>
      </c>
      <c r="L62" s="205">
        <f>SUM(J62:K62)</f>
        <v>9802861</v>
      </c>
      <c r="M62" s="205">
        <f>F62-I62</f>
        <v>-9802861</v>
      </c>
      <c r="N62" s="206">
        <f>F62-L62</f>
        <v>-9802861</v>
      </c>
      <c r="O62" s="67"/>
      <c r="P62" s="204">
        <v>0</v>
      </c>
      <c r="Q62" s="210">
        <v>0</v>
      </c>
      <c r="R62" s="101"/>
      <c r="S62" s="189">
        <f>+IF(MAYO!S62=0,"",MAYO!S62)</f>
        <v>1174808</v>
      </c>
      <c r="T62" s="488" t="str">
        <f>+IF(MAYO!T62=0,"",MAYO!T62)</f>
        <v/>
      </c>
      <c r="U62" s="191"/>
      <c r="V62" s="191"/>
      <c r="W62" s="191"/>
      <c r="X62" s="191"/>
      <c r="Y62" s="191"/>
      <c r="Z62" s="191"/>
      <c r="AA62" s="191"/>
      <c r="AB62" s="191"/>
      <c r="AC62" s="191"/>
      <c r="AD62" s="191"/>
      <c r="AE62" s="191"/>
      <c r="AF62" s="191"/>
      <c r="AG62" s="191"/>
      <c r="AH62" s="191"/>
      <c r="AI62" s="191"/>
      <c r="AJ62" s="192"/>
      <c r="AK62" s="216"/>
      <c r="AL62" s="370"/>
      <c r="AM62" s="371"/>
    </row>
    <row r="63" spans="1:39" ht="24.75" customHeight="1">
      <c r="A63" s="286" t="str">
        <f>+IF(MAYO!A63=0,"",MAYO!A63)</f>
        <v>1.1.02.05.001.09.02.90.01</v>
      </c>
      <c r="B63" s="319" t="str">
        <f>+IF(MAYO!B63=0,"",MAYO!B63)</f>
        <v>COMPAÑIAS DE SEGUROS  - ACCIDENTES DE TRANSITO (SOAT)</v>
      </c>
      <c r="C63" s="288">
        <f t="shared" ref="C63:N63" si="67">SUM(C64:C65)</f>
        <v>2461795617.04175</v>
      </c>
      <c r="D63" s="320">
        <f t="shared" si="67"/>
        <v>0</v>
      </c>
      <c r="E63" s="320">
        <f t="shared" si="67"/>
        <v>0</v>
      </c>
      <c r="F63" s="320">
        <f t="shared" si="67"/>
        <v>2461795617.04175</v>
      </c>
      <c r="G63" s="320">
        <f t="shared" si="67"/>
        <v>1128573213</v>
      </c>
      <c r="H63" s="320">
        <f t="shared" si="67"/>
        <v>134693880</v>
      </c>
      <c r="I63" s="320">
        <f t="shared" si="67"/>
        <v>1263267093</v>
      </c>
      <c r="J63" s="320">
        <f t="shared" si="67"/>
        <v>646793884</v>
      </c>
      <c r="K63" s="320">
        <f t="shared" si="67"/>
        <v>64539015</v>
      </c>
      <c r="L63" s="1173">
        <f t="shared" si="67"/>
        <v>711332899</v>
      </c>
      <c r="M63" s="320">
        <f t="shared" si="67"/>
        <v>1198528524.04175</v>
      </c>
      <c r="N63" s="289">
        <f t="shared" si="67"/>
        <v>1750462718.04175</v>
      </c>
      <c r="O63" s="67"/>
      <c r="P63" s="288">
        <f>SUM(P64:P65)</f>
        <v>0</v>
      </c>
      <c r="Q63" s="289">
        <f>SUM(Q64:Q65)</f>
        <v>0</v>
      </c>
      <c r="R63" s="101"/>
      <c r="S63" s="228">
        <f>+IF(MAYO!S63=0,"",MAYO!S63)</f>
        <v>1020010</v>
      </c>
      <c r="T63" s="229" t="str">
        <f>+IF(MAYO!T63=0,"",MAYO!T63)</f>
        <v>Gastos de Operación</v>
      </c>
      <c r="U63" s="230">
        <f t="shared" ref="U63:AJ63" si="68">U65+U83+U90+U104</f>
        <v>64518803470</v>
      </c>
      <c r="V63" s="231">
        <f t="shared" si="68"/>
        <v>-2523000000</v>
      </c>
      <c r="W63" s="231">
        <f t="shared" si="68"/>
        <v>2928182761</v>
      </c>
      <c r="X63" s="234">
        <f t="shared" si="68"/>
        <v>64923986231</v>
      </c>
      <c r="Y63" s="233">
        <f t="shared" si="68"/>
        <v>47199584721</v>
      </c>
      <c r="Z63" s="231">
        <f t="shared" si="68"/>
        <v>0</v>
      </c>
      <c r="AA63" s="234">
        <f t="shared" si="68"/>
        <v>47199584721</v>
      </c>
      <c r="AB63" s="233">
        <f t="shared" si="68"/>
        <v>36727239287</v>
      </c>
      <c r="AC63" s="231">
        <f t="shared" si="68"/>
        <v>4753910587</v>
      </c>
      <c r="AD63" s="234">
        <f t="shared" si="68"/>
        <v>41481149874</v>
      </c>
      <c r="AE63" s="233">
        <f t="shared" si="68"/>
        <v>22394157368</v>
      </c>
      <c r="AF63" s="231">
        <f t="shared" si="68"/>
        <v>4763849176</v>
      </c>
      <c r="AG63" s="234">
        <f t="shared" si="68"/>
        <v>27158006544</v>
      </c>
      <c r="AH63" s="233">
        <f t="shared" si="68"/>
        <v>17724401510</v>
      </c>
      <c r="AI63" s="231">
        <f t="shared" si="68"/>
        <v>23442836357</v>
      </c>
      <c r="AJ63" s="232">
        <f t="shared" si="68"/>
        <v>37765979687</v>
      </c>
      <c r="AK63" s="101"/>
      <c r="AL63" s="233">
        <f>AL65+AL83+AL90+AL104</f>
        <v>-2450000000</v>
      </c>
      <c r="AM63" s="232">
        <f>AM65+AM83+AM90+AM104</f>
        <v>0</v>
      </c>
    </row>
    <row r="64" spans="1:39" ht="24.75" customHeight="1">
      <c r="A64" s="202" t="str">
        <f>+IF(MAYO!A64=0,"",MAYO!A64)</f>
        <v>1.1.02.05.001.09.02.90.01</v>
      </c>
      <c r="B64" s="331" t="str">
        <f>+CONCATENATE("Vigencia ",INSTRUCCIONES!$F$3)</f>
        <v>Vigencia 2025</v>
      </c>
      <c r="C64" s="204">
        <f>+ENERO!C64</f>
        <v>2137731076.9417498</v>
      </c>
      <c r="D64" s="205">
        <f>MAYO!D64+JUNIO!P64</f>
        <v>0</v>
      </c>
      <c r="E64" s="205">
        <f>MAYO!E64+JUNIO!Q64</f>
        <v>0</v>
      </c>
      <c r="F64" s="205">
        <f>SUM(C64:E64)</f>
        <v>2137731076.9417498</v>
      </c>
      <c r="G64" s="205">
        <f>MAYO!I64</f>
        <v>801217042</v>
      </c>
      <c r="H64" s="208">
        <v>133358318</v>
      </c>
      <c r="I64" s="1156">
        <f>SUM(G64:H64)</f>
        <v>934575360</v>
      </c>
      <c r="J64" s="205">
        <f>MAYO!L64</f>
        <v>319437713</v>
      </c>
      <c r="K64" s="208">
        <v>63203453</v>
      </c>
      <c r="L64" s="205">
        <f>SUM(J64:K64)</f>
        <v>382641166</v>
      </c>
      <c r="M64" s="205">
        <f>F64-I64</f>
        <v>1203155716.9417498</v>
      </c>
      <c r="N64" s="206">
        <f>F64-L64</f>
        <v>1755089910.9417498</v>
      </c>
      <c r="O64" s="67"/>
      <c r="P64" s="204">
        <v>0</v>
      </c>
      <c r="Q64" s="210">
        <v>0</v>
      </c>
      <c r="R64" s="101"/>
      <c r="S64" s="189">
        <f>+IF(MAYO!S64=0,"",MAYO!S64)</f>
        <v>2290826</v>
      </c>
      <c r="T64" s="488" t="str">
        <f>+IF(MAYO!T64=0,"",MAYO!T64)</f>
        <v/>
      </c>
      <c r="U64" s="191"/>
      <c r="V64" s="191"/>
      <c r="W64" s="191"/>
      <c r="X64" s="191"/>
      <c r="Y64" s="191"/>
      <c r="Z64" s="191"/>
      <c r="AA64" s="191"/>
      <c r="AB64" s="191"/>
      <c r="AC64" s="191"/>
      <c r="AD64" s="191"/>
      <c r="AE64" s="191"/>
      <c r="AF64" s="191"/>
      <c r="AG64" s="191"/>
      <c r="AH64" s="191"/>
      <c r="AI64" s="191"/>
      <c r="AJ64" s="192"/>
      <c r="AK64" s="101"/>
      <c r="AL64" s="249"/>
      <c r="AM64" s="250"/>
    </row>
    <row r="65" spans="1:39" ht="24.75" customHeight="1">
      <c r="A65" s="202" t="str">
        <f>+IF(MAYO!A65=0,"",MAYO!A65)</f>
        <v>1.1.02.05.001.09.02.90.01.99</v>
      </c>
      <c r="B65" s="331" t="str">
        <f>+IF(MAYO!B65=0,"",MAYO!B65)</f>
        <v>Vigencia Anterior</v>
      </c>
      <c r="C65" s="204">
        <f>+ENERO!C65</f>
        <v>324064540.10000002</v>
      </c>
      <c r="D65" s="205">
        <f>MAYO!D65+JUNIO!P65</f>
        <v>0</v>
      </c>
      <c r="E65" s="205">
        <f>MAYO!E65+JUNIO!Q65</f>
        <v>0</v>
      </c>
      <c r="F65" s="205">
        <f>SUM(C65:E65)</f>
        <v>324064540.10000002</v>
      </c>
      <c r="G65" s="205">
        <f>MAYO!I65</f>
        <v>327356171</v>
      </c>
      <c r="H65" s="208">
        <v>1335562</v>
      </c>
      <c r="I65" s="205">
        <f>SUM(G65:H65)</f>
        <v>328691733</v>
      </c>
      <c r="J65" s="205">
        <f>MAYO!L65</f>
        <v>327356171</v>
      </c>
      <c r="K65" s="208">
        <v>1335562</v>
      </c>
      <c r="L65" s="205">
        <f>SUM(J65:K65)</f>
        <v>328691733</v>
      </c>
      <c r="M65" s="205">
        <f>F65-I65</f>
        <v>-4627192.8999999762</v>
      </c>
      <c r="N65" s="206">
        <f>F65-L65</f>
        <v>-4627192.8999999762</v>
      </c>
      <c r="O65" s="67"/>
      <c r="P65" s="204">
        <v>0</v>
      </c>
      <c r="Q65" s="210">
        <v>0</v>
      </c>
      <c r="R65" s="101"/>
      <c r="S65" s="257" t="str">
        <f>+IF(MAYO!S65=0,"",MAYO!S65)</f>
        <v>2.1.1.01.01-1</v>
      </c>
      <c r="T65" s="546" t="str">
        <f>+IF(MAYO!T65=0,"",MAYO!T65)</f>
        <v>Servicios Personales Asociados a Nómina</v>
      </c>
      <c r="U65" s="230">
        <f t="shared" ref="U65:AJ65" si="69">SUM(U66:U69)+U81</f>
        <v>0</v>
      </c>
      <c r="V65" s="231">
        <f t="shared" si="69"/>
        <v>0</v>
      </c>
      <c r="W65" s="231">
        <f t="shared" si="69"/>
        <v>0</v>
      </c>
      <c r="X65" s="234">
        <f t="shared" si="69"/>
        <v>0</v>
      </c>
      <c r="Y65" s="233">
        <f t="shared" si="69"/>
        <v>0</v>
      </c>
      <c r="Z65" s="231">
        <f t="shared" si="69"/>
        <v>0</v>
      </c>
      <c r="AA65" s="234">
        <f t="shared" si="69"/>
        <v>0</v>
      </c>
      <c r="AB65" s="233">
        <f t="shared" si="69"/>
        <v>0</v>
      </c>
      <c r="AC65" s="231">
        <f t="shared" si="69"/>
        <v>0</v>
      </c>
      <c r="AD65" s="234">
        <f t="shared" si="69"/>
        <v>0</v>
      </c>
      <c r="AE65" s="233">
        <f t="shared" si="69"/>
        <v>0</v>
      </c>
      <c r="AF65" s="231">
        <f t="shared" si="69"/>
        <v>0</v>
      </c>
      <c r="AG65" s="234">
        <f t="shared" si="69"/>
        <v>0</v>
      </c>
      <c r="AH65" s="233">
        <f t="shared" si="69"/>
        <v>0</v>
      </c>
      <c r="AI65" s="231">
        <f t="shared" si="69"/>
        <v>0</v>
      </c>
      <c r="AJ65" s="232">
        <f t="shared" si="69"/>
        <v>0</v>
      </c>
      <c r="AK65" s="101"/>
      <c r="AL65" s="233">
        <f>SUM(AL66:AL69)+AL81</f>
        <v>0</v>
      </c>
      <c r="AM65" s="232">
        <f>SUM(AM66:AM69)+AM81</f>
        <v>0</v>
      </c>
    </row>
    <row r="66" spans="1:39" ht="24.75" customHeight="1">
      <c r="A66" s="286" t="str">
        <f>+IF(MAYO!A66=0,"",MAYO!A66)</f>
        <v>1.1.02.05.001.09.02.18.01</v>
      </c>
      <c r="B66" s="319" t="str">
        <f>+IF(MAYO!B66=0,"",MAYO!B66)</f>
        <v xml:space="preserve">COMPAÑIAS DE SEGUROS  - PLANES DE SALUD </v>
      </c>
      <c r="C66" s="288">
        <f t="shared" ref="C66:N66" si="70">SUM(C67:C68)</f>
        <v>185631948</v>
      </c>
      <c r="D66" s="320">
        <f t="shared" si="70"/>
        <v>0</v>
      </c>
      <c r="E66" s="320">
        <f t="shared" si="70"/>
        <v>0</v>
      </c>
      <c r="F66" s="320">
        <f t="shared" si="70"/>
        <v>185631948</v>
      </c>
      <c r="G66" s="320">
        <f t="shared" si="70"/>
        <v>63998271</v>
      </c>
      <c r="H66" s="320">
        <f t="shared" si="70"/>
        <v>12462298</v>
      </c>
      <c r="I66" s="320">
        <f t="shared" si="70"/>
        <v>76460569</v>
      </c>
      <c r="J66" s="320">
        <f t="shared" si="70"/>
        <v>15299238</v>
      </c>
      <c r="K66" s="320">
        <f t="shared" si="70"/>
        <v>946233</v>
      </c>
      <c r="L66" s="1173">
        <f t="shared" si="70"/>
        <v>16245471</v>
      </c>
      <c r="M66" s="320">
        <f t="shared" si="70"/>
        <v>109171379</v>
      </c>
      <c r="N66" s="289">
        <f t="shared" si="70"/>
        <v>169386477</v>
      </c>
      <c r="O66" s="67"/>
      <c r="P66" s="288">
        <f>SUM(P67:P68)</f>
        <v>0</v>
      </c>
      <c r="Q66" s="289">
        <f>SUM(Q67:Q68)</f>
        <v>0</v>
      </c>
      <c r="R66" s="101"/>
      <c r="S66" s="266" t="str">
        <f>+IF(MAYO!S66=0,"",MAYO!S66)</f>
        <v>2.1.1.01.01.001.01-1</v>
      </c>
      <c r="T66" s="267" t="str">
        <f>+IF(MAYO!T66=0,"",MAYO!T66)</f>
        <v>Sueldos del Personal de nómina</v>
      </c>
      <c r="U66" s="373">
        <f>+ENERO!U66</f>
        <v>0</v>
      </c>
      <c r="V66" s="220">
        <f>MAYO!V66+JUNIO!AL66</f>
        <v>0</v>
      </c>
      <c r="W66" s="220">
        <f>MAYO!W66+JUNIO!AM66</f>
        <v>0</v>
      </c>
      <c r="X66" s="271">
        <f>SUM(U66:W66)</f>
        <v>0</v>
      </c>
      <c r="Y66" s="270">
        <f>MAYO!AA66</f>
        <v>0</v>
      </c>
      <c r="Z66" s="208">
        <v>0</v>
      </c>
      <c r="AA66" s="271">
        <f>SUM(Y66:Z66)</f>
        <v>0</v>
      </c>
      <c r="AB66" s="270">
        <f>MAYO!AD66</f>
        <v>0</v>
      </c>
      <c r="AC66" s="208">
        <v>0</v>
      </c>
      <c r="AD66" s="271">
        <f>SUM(AB66:AC66)</f>
        <v>0</v>
      </c>
      <c r="AE66" s="270">
        <f>MAYO!AG66</f>
        <v>0</v>
      </c>
      <c r="AF66" s="208">
        <v>0</v>
      </c>
      <c r="AG66" s="271">
        <f>SUM(AE66:AF66)</f>
        <v>0</v>
      </c>
      <c r="AH66" s="270">
        <f>X66-AA66</f>
        <v>0</v>
      </c>
      <c r="AI66" s="220">
        <f>X66-AD66</f>
        <v>0</v>
      </c>
      <c r="AJ66" s="269">
        <f>X66-AG66</f>
        <v>0</v>
      </c>
      <c r="AK66" s="101"/>
      <c r="AL66" s="204">
        <v>0</v>
      </c>
      <c r="AM66" s="210">
        <v>0</v>
      </c>
    </row>
    <row r="67" spans="1:39" ht="24.75" customHeight="1">
      <c r="A67" s="202" t="str">
        <f>+IF(MAYO!A67=0,"",MAYO!A67)</f>
        <v>1.1.02.05.001.09.02.18.01</v>
      </c>
      <c r="B67" s="331" t="str">
        <f>+CONCATENATE("Vigencia ",INSTRUCCIONES!$F$3)</f>
        <v>Vigencia 2025</v>
      </c>
      <c r="C67" s="204">
        <f>+ENERO!C67</f>
        <v>111911928</v>
      </c>
      <c r="D67" s="205">
        <f>MAYO!D67+JUNIO!P67</f>
        <v>0</v>
      </c>
      <c r="E67" s="205">
        <f>MAYO!E67+JUNIO!Q67</f>
        <v>0</v>
      </c>
      <c r="F67" s="205">
        <f>SUM(C67:E67)</f>
        <v>111911928</v>
      </c>
      <c r="G67" s="205">
        <f>MAYO!I67</f>
        <v>52085426</v>
      </c>
      <c r="H67" s="208">
        <v>12462298</v>
      </c>
      <c r="I67" s="1156">
        <f>SUM(G67:H67)</f>
        <v>64547724</v>
      </c>
      <c r="J67" s="205">
        <f>MAYO!L67</f>
        <v>3386393</v>
      </c>
      <c r="K67" s="208">
        <v>946233</v>
      </c>
      <c r="L67" s="205">
        <f>SUM(J67:K67)</f>
        <v>4332626</v>
      </c>
      <c r="M67" s="205">
        <f>F67-I67</f>
        <v>47364204</v>
      </c>
      <c r="N67" s="206">
        <f>F67-L67</f>
        <v>107579302</v>
      </c>
      <c r="O67" s="67"/>
      <c r="P67" s="204">
        <v>0</v>
      </c>
      <c r="Q67" s="210">
        <v>0</v>
      </c>
      <c r="R67" s="101"/>
      <c r="S67" s="266" t="str">
        <f>+IF(MAYO!S67=0,"",MAYO!S67)</f>
        <v>2.1.1.01.01.001.02-1</v>
      </c>
      <c r="T67" s="267" t="str">
        <f>+IF(MAYO!T67=0,"",MAYO!T67)</f>
        <v>Horas Extras,Dominic.,Festivos y Rec. Nocturnos</v>
      </c>
      <c r="U67" s="373">
        <f>+ENERO!U67</f>
        <v>0</v>
      </c>
      <c r="V67" s="220">
        <f>MAYO!V67+JUNIO!AL67</f>
        <v>0</v>
      </c>
      <c r="W67" s="220">
        <f>MAYO!W67+JUNIO!AM67</f>
        <v>0</v>
      </c>
      <c r="X67" s="271">
        <f>SUM(U67:W67)</f>
        <v>0</v>
      </c>
      <c r="Y67" s="270">
        <f>MAYO!AA67</f>
        <v>0</v>
      </c>
      <c r="Z67" s="208">
        <v>0</v>
      </c>
      <c r="AA67" s="271">
        <f>SUM(Y67:Z67)</f>
        <v>0</v>
      </c>
      <c r="AB67" s="270">
        <f>MAYO!AD67</f>
        <v>0</v>
      </c>
      <c r="AC67" s="208">
        <v>0</v>
      </c>
      <c r="AD67" s="271">
        <f>SUM(AB67:AC67)</f>
        <v>0</v>
      </c>
      <c r="AE67" s="270">
        <f>MAYO!AG67</f>
        <v>0</v>
      </c>
      <c r="AF67" s="208">
        <v>0</v>
      </c>
      <c r="AG67" s="271">
        <f>SUM(AE67:AF67)</f>
        <v>0</v>
      </c>
      <c r="AH67" s="270">
        <f>X67-AA67</f>
        <v>0</v>
      </c>
      <c r="AI67" s="220">
        <f>X67-AD67</f>
        <v>0</v>
      </c>
      <c r="AJ67" s="269">
        <f>X67-AG67</f>
        <v>0</v>
      </c>
      <c r="AK67" s="101"/>
      <c r="AL67" s="204">
        <v>0</v>
      </c>
      <c r="AM67" s="210">
        <v>0</v>
      </c>
    </row>
    <row r="68" spans="1:39" ht="24.75" customHeight="1">
      <c r="A68" s="202" t="str">
        <f>+IF(MAYO!A68=0,"",MAYO!A68)</f>
        <v>1.1.02.05.001.09.02.18.01.99</v>
      </c>
      <c r="B68" s="331" t="str">
        <f>+IF(MAYO!B68=0,"",MAYO!B68)</f>
        <v>Vigencia Anterior</v>
      </c>
      <c r="C68" s="204">
        <f>+ENERO!C68</f>
        <v>73720020</v>
      </c>
      <c r="D68" s="205">
        <f>MAYO!D68+JUNIO!P68</f>
        <v>0</v>
      </c>
      <c r="E68" s="205">
        <f>MAYO!E68+JUNIO!Q68</f>
        <v>0</v>
      </c>
      <c r="F68" s="205">
        <f>SUM(C68:E68)</f>
        <v>73720020</v>
      </c>
      <c r="G68" s="205">
        <f>MAYO!I68</f>
        <v>11912845</v>
      </c>
      <c r="H68" s="208">
        <v>0</v>
      </c>
      <c r="I68" s="205">
        <f>SUM(G68:H68)</f>
        <v>11912845</v>
      </c>
      <c r="J68" s="205">
        <f>MAYO!L68</f>
        <v>11912845</v>
      </c>
      <c r="K68" s="208">
        <v>0</v>
      </c>
      <c r="L68" s="205">
        <f>SUM(J68:K68)</f>
        <v>11912845</v>
      </c>
      <c r="M68" s="205">
        <f>F68-I68</f>
        <v>61807175</v>
      </c>
      <c r="N68" s="206">
        <f>F68-L68</f>
        <v>61807175</v>
      </c>
      <c r="O68" s="67"/>
      <c r="P68" s="204">
        <v>0</v>
      </c>
      <c r="Q68" s="210">
        <v>0</v>
      </c>
      <c r="R68" s="101"/>
      <c r="S68" s="266">
        <f>+IF(MAYO!S68=0,"",MAYO!S68)</f>
        <v>1010103</v>
      </c>
      <c r="T68" s="267" t="str">
        <f>+IF(MAYO!T68=0,"",MAYO!T68)</f>
        <v>Prima Técnica</v>
      </c>
      <c r="U68" s="373">
        <f>+ENERO!U68</f>
        <v>0</v>
      </c>
      <c r="V68" s="220">
        <f>MAYO!V68+JUNIO!AL68</f>
        <v>0</v>
      </c>
      <c r="W68" s="220">
        <f>MAYO!W68+JUNIO!AM68</f>
        <v>0</v>
      </c>
      <c r="X68" s="271">
        <f>SUM(U68:W68)</f>
        <v>0</v>
      </c>
      <c r="Y68" s="270">
        <f>MAYO!AA68</f>
        <v>0</v>
      </c>
      <c r="Z68" s="208">
        <v>0</v>
      </c>
      <c r="AA68" s="271">
        <f>SUM(Y68:Z68)</f>
        <v>0</v>
      </c>
      <c r="AB68" s="270">
        <f>MAYO!AD68</f>
        <v>0</v>
      </c>
      <c r="AC68" s="208">
        <v>0</v>
      </c>
      <c r="AD68" s="271">
        <f>SUM(AB68:AC68)</f>
        <v>0</v>
      </c>
      <c r="AE68" s="270">
        <f>MAYO!AG68</f>
        <v>0</v>
      </c>
      <c r="AF68" s="208">
        <v>0</v>
      </c>
      <c r="AG68" s="271">
        <f>SUM(AE68:AF68)</f>
        <v>0</v>
      </c>
      <c r="AH68" s="270">
        <f>X68-AA68</f>
        <v>0</v>
      </c>
      <c r="AI68" s="220">
        <f>X68-AD68</f>
        <v>0</v>
      </c>
      <c r="AJ68" s="269">
        <f>X68-AG68</f>
        <v>0</v>
      </c>
      <c r="AK68" s="101"/>
      <c r="AL68" s="204">
        <v>0</v>
      </c>
      <c r="AM68" s="210">
        <v>0</v>
      </c>
    </row>
    <row r="69" spans="1:39" ht="24.75" customHeight="1">
      <c r="A69" s="286" t="str">
        <f>+IF(MAYO!A69=0,"",MAYO!A69)</f>
        <v>1.1.02.05.001.09.02.90.02</v>
      </c>
      <c r="B69" s="319" t="str">
        <f>+IF(MAYO!B69=0,"",MAYO!B69)</f>
        <v>ENTIDADES DE REGIMEN ESPECIAL (Magisterio, Fuerza Pca.)</v>
      </c>
      <c r="C69" s="288">
        <f t="shared" ref="C69:N69" si="71">SUM(C70:C71)</f>
        <v>1378696551</v>
      </c>
      <c r="D69" s="320">
        <f t="shared" si="71"/>
        <v>0</v>
      </c>
      <c r="E69" s="320">
        <f t="shared" si="71"/>
        <v>0</v>
      </c>
      <c r="F69" s="320">
        <f t="shared" si="71"/>
        <v>1378696551</v>
      </c>
      <c r="G69" s="320">
        <f t="shared" si="71"/>
        <v>1596866438</v>
      </c>
      <c r="H69" s="320">
        <f t="shared" si="71"/>
        <v>112265227</v>
      </c>
      <c r="I69" s="320">
        <f t="shared" si="71"/>
        <v>1709131665</v>
      </c>
      <c r="J69" s="320">
        <f t="shared" si="71"/>
        <v>785461558</v>
      </c>
      <c r="K69" s="320">
        <f t="shared" si="71"/>
        <v>101953201</v>
      </c>
      <c r="L69" s="1173">
        <f t="shared" si="71"/>
        <v>887414759</v>
      </c>
      <c r="M69" s="320">
        <f t="shared" si="71"/>
        <v>-330435114</v>
      </c>
      <c r="N69" s="289">
        <f t="shared" si="71"/>
        <v>491281792</v>
      </c>
      <c r="O69" s="67"/>
      <c r="P69" s="288">
        <f>SUM(P70:P71)</f>
        <v>0</v>
      </c>
      <c r="Q69" s="289">
        <f>SUM(Q70:Q71)</f>
        <v>0</v>
      </c>
      <c r="R69" s="101"/>
      <c r="S69" s="266">
        <f>+IF(MAYO!S69=0,"",MAYO!S69)</f>
        <v>1010104</v>
      </c>
      <c r="T69" s="267" t="str">
        <f>+IF(MAYO!T69=0,"",MAYO!T69)</f>
        <v>Otros</v>
      </c>
      <c r="U69" s="373">
        <f t="shared" ref="U69:AJ69" si="72">SUM(U70:U80)</f>
        <v>0</v>
      </c>
      <c r="V69" s="220">
        <f t="shared" si="72"/>
        <v>0</v>
      </c>
      <c r="W69" s="220">
        <f t="shared" si="72"/>
        <v>0</v>
      </c>
      <c r="X69" s="271">
        <f t="shared" si="72"/>
        <v>0</v>
      </c>
      <c r="Y69" s="270">
        <f t="shared" si="72"/>
        <v>0</v>
      </c>
      <c r="Z69" s="300">
        <f t="shared" si="72"/>
        <v>0</v>
      </c>
      <c r="AA69" s="271">
        <f t="shared" si="72"/>
        <v>0</v>
      </c>
      <c r="AB69" s="270">
        <f t="shared" si="72"/>
        <v>0</v>
      </c>
      <c r="AC69" s="300">
        <f t="shared" si="72"/>
        <v>0</v>
      </c>
      <c r="AD69" s="271">
        <f t="shared" si="72"/>
        <v>0</v>
      </c>
      <c r="AE69" s="270">
        <f t="shared" si="72"/>
        <v>0</v>
      </c>
      <c r="AF69" s="300">
        <f t="shared" si="72"/>
        <v>0</v>
      </c>
      <c r="AG69" s="271">
        <f t="shared" si="72"/>
        <v>0</v>
      </c>
      <c r="AH69" s="270">
        <f t="shared" si="72"/>
        <v>0</v>
      </c>
      <c r="AI69" s="220">
        <f t="shared" si="72"/>
        <v>0</v>
      </c>
      <c r="AJ69" s="269">
        <f t="shared" si="72"/>
        <v>0</v>
      </c>
      <c r="AK69" s="101"/>
      <c r="AL69" s="301">
        <f>SUM(AL70:AL80)</f>
        <v>0</v>
      </c>
      <c r="AM69" s="302">
        <f>SUM(AM70:AM80)</f>
        <v>0</v>
      </c>
    </row>
    <row r="70" spans="1:39" ht="24.75" customHeight="1">
      <c r="A70" s="202" t="str">
        <f>+IF(MAYO!A70=0,"",MAYO!A70)</f>
        <v>1.1.02.05.001.09.02.90.02</v>
      </c>
      <c r="B70" s="331" t="str">
        <f>+CONCATENATE("Vigencia ",INSTRUCCIONES!$F$3)</f>
        <v>Vigencia 2025</v>
      </c>
      <c r="C70" s="204">
        <f>+ENERO!C70</f>
        <v>898696551</v>
      </c>
      <c r="D70" s="205">
        <f>MAYO!D70+JUNIO!P70</f>
        <v>0</v>
      </c>
      <c r="E70" s="205">
        <f>MAYO!E70+JUNIO!Q70</f>
        <v>0</v>
      </c>
      <c r="F70" s="205">
        <f>SUM(C70:E70)</f>
        <v>898696551</v>
      </c>
      <c r="G70" s="205">
        <f>MAYO!I70</f>
        <v>823908002</v>
      </c>
      <c r="H70" s="208">
        <v>78847033</v>
      </c>
      <c r="I70" s="1156">
        <f>SUM(G70:H70)</f>
        <v>902755035</v>
      </c>
      <c r="J70" s="205">
        <f>MAYO!L70</f>
        <v>12503122</v>
      </c>
      <c r="K70" s="208">
        <v>68535007</v>
      </c>
      <c r="L70" s="205">
        <f>SUM(J70:K70)</f>
        <v>81038129</v>
      </c>
      <c r="M70" s="205">
        <f>F70-I70</f>
        <v>-4058484</v>
      </c>
      <c r="N70" s="206">
        <f>F70-L70</f>
        <v>817658422</v>
      </c>
      <c r="O70" s="67"/>
      <c r="P70" s="204">
        <v>0</v>
      </c>
      <c r="Q70" s="210">
        <v>0</v>
      </c>
      <c r="R70" s="101"/>
      <c r="S70" s="311" t="str">
        <f>+IF(MAYO!S70=0,"",MAYO!S70)</f>
        <v>2.1.1.01.01.001.08.01-1</v>
      </c>
      <c r="T70" s="312" t="str">
        <f>+IF(MAYO!T70=0,"",MAYO!T70)</f>
        <v xml:space="preserve">Prima de Navidad </v>
      </c>
      <c r="U70" s="373">
        <f>+ENERO!U70</f>
        <v>0</v>
      </c>
      <c r="V70" s="220">
        <f>MAYO!V70+JUNIO!AL70</f>
        <v>0</v>
      </c>
      <c r="W70" s="220">
        <f>MAYO!W70+JUNIO!AM70</f>
        <v>0</v>
      </c>
      <c r="X70" s="271">
        <f t="shared" ref="X70:X81" si="73">SUM(U70:W70)</f>
        <v>0</v>
      </c>
      <c r="Y70" s="270">
        <f>MAYO!AA70</f>
        <v>0</v>
      </c>
      <c r="Z70" s="208">
        <v>0</v>
      </c>
      <c r="AA70" s="271">
        <f t="shared" ref="AA70:AA81" si="74">SUM(Y70:Z70)</f>
        <v>0</v>
      </c>
      <c r="AB70" s="270">
        <f>MAYO!AD70</f>
        <v>0</v>
      </c>
      <c r="AC70" s="208">
        <v>0</v>
      </c>
      <c r="AD70" s="271">
        <f t="shared" ref="AD70:AD81" si="75">SUM(AB70:AC70)</f>
        <v>0</v>
      </c>
      <c r="AE70" s="270">
        <f>MAYO!AG70</f>
        <v>0</v>
      </c>
      <c r="AF70" s="208">
        <v>0</v>
      </c>
      <c r="AG70" s="271">
        <f t="shared" ref="AG70:AG81" si="76">SUM(AE70:AF70)</f>
        <v>0</v>
      </c>
      <c r="AH70" s="270">
        <f t="shared" ref="AH70:AH81" si="77">X70-AA70</f>
        <v>0</v>
      </c>
      <c r="AI70" s="220">
        <f t="shared" ref="AI70:AI81" si="78">X70-AD70</f>
        <v>0</v>
      </c>
      <c r="AJ70" s="269">
        <f t="shared" ref="AJ70:AJ81" si="79">X70-AG70</f>
        <v>0</v>
      </c>
      <c r="AK70" s="101"/>
      <c r="AL70" s="204">
        <v>0</v>
      </c>
      <c r="AM70" s="210">
        <v>0</v>
      </c>
    </row>
    <row r="71" spans="1:39" ht="24.75" customHeight="1">
      <c r="A71" s="202" t="str">
        <f>+IF(MAYO!A71=0,"",MAYO!A71)</f>
        <v>1.1.02.05.001.09.02.90.02.99</v>
      </c>
      <c r="B71" s="331" t="str">
        <f>+IF(MAYO!B71=0,"",MAYO!B71)</f>
        <v>Vigencia Anterior</v>
      </c>
      <c r="C71" s="204">
        <f>+ENERO!C71</f>
        <v>480000000</v>
      </c>
      <c r="D71" s="205">
        <f>MAYO!D71+JUNIO!P71</f>
        <v>0</v>
      </c>
      <c r="E71" s="205">
        <f>MAYO!E71+JUNIO!Q71</f>
        <v>0</v>
      </c>
      <c r="F71" s="205">
        <f>SUM(C71:E71)</f>
        <v>480000000</v>
      </c>
      <c r="G71" s="205">
        <f>MAYO!I71</f>
        <v>772958436</v>
      </c>
      <c r="H71" s="208">
        <v>33418194</v>
      </c>
      <c r="I71" s="205">
        <f>SUM(G71:H71)</f>
        <v>806376630</v>
      </c>
      <c r="J71" s="205">
        <f>MAYO!L71</f>
        <v>772958436</v>
      </c>
      <c r="K71" s="208">
        <v>33418194</v>
      </c>
      <c r="L71" s="205">
        <f>SUM(J71:K71)</f>
        <v>806376630</v>
      </c>
      <c r="M71" s="205">
        <f>F71-I71</f>
        <v>-326376630</v>
      </c>
      <c r="N71" s="206">
        <f>F71-L71</f>
        <v>-326376630</v>
      </c>
      <c r="O71" s="67"/>
      <c r="P71" s="204">
        <v>0</v>
      </c>
      <c r="Q71" s="210">
        <v>0</v>
      </c>
      <c r="R71" s="101"/>
      <c r="S71" s="311" t="str">
        <f>+IF(MAYO!S71=0,"",MAYO!S71)</f>
        <v>2.1.1.01.01.001.08.02-1</v>
      </c>
      <c r="T71" s="312" t="str">
        <f>+IF(MAYO!T71=0,"",MAYO!T71)</f>
        <v>Prima de Vacaciones</v>
      </c>
      <c r="U71" s="373">
        <f>+ENERO!U71</f>
        <v>0</v>
      </c>
      <c r="V71" s="220">
        <f>MAYO!V71+JUNIO!AL71</f>
        <v>0</v>
      </c>
      <c r="W71" s="220">
        <f>MAYO!W71+JUNIO!AM71</f>
        <v>0</v>
      </c>
      <c r="X71" s="271">
        <f t="shared" si="73"/>
        <v>0</v>
      </c>
      <c r="Y71" s="270">
        <f>MAYO!AA71</f>
        <v>0</v>
      </c>
      <c r="Z71" s="208">
        <v>0</v>
      </c>
      <c r="AA71" s="271">
        <f t="shared" si="74"/>
        <v>0</v>
      </c>
      <c r="AB71" s="270">
        <f>MAYO!AD71</f>
        <v>0</v>
      </c>
      <c r="AC71" s="208">
        <v>0</v>
      </c>
      <c r="AD71" s="271">
        <f t="shared" si="75"/>
        <v>0</v>
      </c>
      <c r="AE71" s="270">
        <f>MAYO!AG71</f>
        <v>0</v>
      </c>
      <c r="AF71" s="208">
        <v>0</v>
      </c>
      <c r="AG71" s="271">
        <f t="shared" si="76"/>
        <v>0</v>
      </c>
      <c r="AH71" s="270">
        <f t="shared" si="77"/>
        <v>0</v>
      </c>
      <c r="AI71" s="220">
        <f t="shared" si="78"/>
        <v>0</v>
      </c>
      <c r="AJ71" s="269">
        <f t="shared" si="79"/>
        <v>0</v>
      </c>
      <c r="AK71" s="101"/>
      <c r="AL71" s="204">
        <v>0</v>
      </c>
      <c r="AM71" s="210">
        <v>0</v>
      </c>
    </row>
    <row r="72" spans="1:39" ht="24.75" customHeight="1">
      <c r="A72" s="286" t="str">
        <f>+IF(MAYO!A72=0,"",MAYO!A72)</f>
        <v>1.1.02.05.001.09.02.06</v>
      </c>
      <c r="B72" s="319" t="str">
        <f>+IF(MAYO!B72=0,"",MAYO!B72)</f>
        <v>ADMINISTRADORAS DE RIESGOS LABORALES</v>
      </c>
      <c r="C72" s="288">
        <f t="shared" ref="C72:N72" si="80">SUM(C73:C74)</f>
        <v>374950682</v>
      </c>
      <c r="D72" s="320">
        <f t="shared" si="80"/>
        <v>0</v>
      </c>
      <c r="E72" s="320">
        <f t="shared" si="80"/>
        <v>0</v>
      </c>
      <c r="F72" s="320">
        <f t="shared" si="80"/>
        <v>374950682</v>
      </c>
      <c r="G72" s="320">
        <f t="shared" si="80"/>
        <v>185387576</v>
      </c>
      <c r="H72" s="320">
        <f t="shared" si="80"/>
        <v>27874998</v>
      </c>
      <c r="I72" s="320">
        <f t="shared" si="80"/>
        <v>213262574</v>
      </c>
      <c r="J72" s="320">
        <f t="shared" si="80"/>
        <v>135202599</v>
      </c>
      <c r="K72" s="320">
        <f t="shared" si="80"/>
        <v>29546862</v>
      </c>
      <c r="L72" s="1173">
        <f t="shared" si="80"/>
        <v>164749461</v>
      </c>
      <c r="M72" s="320">
        <f t="shared" si="80"/>
        <v>161688108</v>
      </c>
      <c r="N72" s="289">
        <f t="shared" si="80"/>
        <v>210201221</v>
      </c>
      <c r="O72" s="67"/>
      <c r="P72" s="288">
        <f>SUM(P73:P74)</f>
        <v>0</v>
      </c>
      <c r="Q72" s="289">
        <f>SUM(Q73:Q74)</f>
        <v>0</v>
      </c>
      <c r="R72" s="101"/>
      <c r="S72" s="311" t="str">
        <f>+IF(MAYO!S72=0,"",MAYO!S72)</f>
        <v>2.1.1.01.01.001.07-1</v>
      </c>
      <c r="T72" s="312" t="str">
        <f>+IF(MAYO!T72=0,"",MAYO!T72)</f>
        <v>Bonificación  por servicios prestados</v>
      </c>
      <c r="U72" s="373">
        <f>+ENERO!U72</f>
        <v>0</v>
      </c>
      <c r="V72" s="220">
        <f>MAYO!V72+JUNIO!AL72</f>
        <v>0</v>
      </c>
      <c r="W72" s="220">
        <f>MAYO!W72+JUNIO!AM72</f>
        <v>0</v>
      </c>
      <c r="X72" s="271">
        <f t="shared" si="73"/>
        <v>0</v>
      </c>
      <c r="Y72" s="270">
        <f>MAYO!AA72</f>
        <v>0</v>
      </c>
      <c r="Z72" s="208">
        <v>0</v>
      </c>
      <c r="AA72" s="271">
        <f t="shared" si="74"/>
        <v>0</v>
      </c>
      <c r="AB72" s="270">
        <f>MAYO!AD72</f>
        <v>0</v>
      </c>
      <c r="AC72" s="208">
        <v>0</v>
      </c>
      <c r="AD72" s="271">
        <f t="shared" si="75"/>
        <v>0</v>
      </c>
      <c r="AE72" s="270">
        <f>MAYO!AG72</f>
        <v>0</v>
      </c>
      <c r="AF72" s="208">
        <v>0</v>
      </c>
      <c r="AG72" s="271">
        <f t="shared" si="76"/>
        <v>0</v>
      </c>
      <c r="AH72" s="270">
        <f t="shared" si="77"/>
        <v>0</v>
      </c>
      <c r="AI72" s="220">
        <f t="shared" si="78"/>
        <v>0</v>
      </c>
      <c r="AJ72" s="269">
        <f t="shared" si="79"/>
        <v>0</v>
      </c>
      <c r="AK72" s="101"/>
      <c r="AL72" s="204">
        <v>0</v>
      </c>
      <c r="AM72" s="210">
        <v>0</v>
      </c>
    </row>
    <row r="73" spans="1:39" ht="24.75" customHeight="1">
      <c r="A73" s="202" t="str">
        <f>+IF(MAYO!A73=0,"",MAYO!A73)</f>
        <v>1.1.02.05.001.09.02.06</v>
      </c>
      <c r="B73" s="331" t="str">
        <f>+CONCATENATE("Vigencia ",INSTRUCCIONES!$F$3)</f>
        <v>Vigencia 2025</v>
      </c>
      <c r="C73" s="204">
        <f>+ENERO!C73</f>
        <v>337999834</v>
      </c>
      <c r="D73" s="205">
        <f>MAYO!D73+JUNIO!P73</f>
        <v>0</v>
      </c>
      <c r="E73" s="205">
        <f>MAYO!E73+JUNIO!Q73</f>
        <v>0</v>
      </c>
      <c r="F73" s="205">
        <f>SUM(C73:E73)</f>
        <v>337999834</v>
      </c>
      <c r="G73" s="205">
        <f>MAYO!I73</f>
        <v>128735184</v>
      </c>
      <c r="H73" s="208">
        <v>27874998</v>
      </c>
      <c r="I73" s="1156">
        <f>SUM(G73:H73)</f>
        <v>156610182</v>
      </c>
      <c r="J73" s="205">
        <f>MAYO!L73</f>
        <v>78550207</v>
      </c>
      <c r="K73" s="208">
        <v>29546862</v>
      </c>
      <c r="L73" s="205">
        <f>SUM(J73:K73)</f>
        <v>108097069</v>
      </c>
      <c r="M73" s="205">
        <f>F73-I73</f>
        <v>181389652</v>
      </c>
      <c r="N73" s="206">
        <f>F73-L73</f>
        <v>229902765</v>
      </c>
      <c r="O73" s="67"/>
      <c r="P73" s="204">
        <v>0</v>
      </c>
      <c r="Q73" s="210">
        <v>0</v>
      </c>
      <c r="R73" s="101"/>
      <c r="S73" s="311" t="str">
        <f>+IF(MAYO!S73=0,"",MAYO!S73)</f>
        <v>2.1.1.01.01.001.06-1</v>
      </c>
      <c r="T73" s="312" t="str">
        <f>+IF(MAYO!T73=0,"",MAYO!T73)</f>
        <v>Prima de Servicios</v>
      </c>
      <c r="U73" s="373">
        <f>+ENERO!U73</f>
        <v>0</v>
      </c>
      <c r="V73" s="220">
        <f>MAYO!V73+JUNIO!AL73</f>
        <v>0</v>
      </c>
      <c r="W73" s="220">
        <f>MAYO!W73+JUNIO!AM73</f>
        <v>0</v>
      </c>
      <c r="X73" s="271">
        <f t="shared" si="73"/>
        <v>0</v>
      </c>
      <c r="Y73" s="270">
        <f>MAYO!AA73</f>
        <v>0</v>
      </c>
      <c r="Z73" s="208">
        <v>0</v>
      </c>
      <c r="AA73" s="271">
        <f t="shared" si="74"/>
        <v>0</v>
      </c>
      <c r="AB73" s="270">
        <f>MAYO!AD73</f>
        <v>0</v>
      </c>
      <c r="AC73" s="208">
        <v>0</v>
      </c>
      <c r="AD73" s="271">
        <f t="shared" si="75"/>
        <v>0</v>
      </c>
      <c r="AE73" s="270">
        <f>MAYO!AG73</f>
        <v>0</v>
      </c>
      <c r="AF73" s="208">
        <v>0</v>
      </c>
      <c r="AG73" s="271">
        <f t="shared" si="76"/>
        <v>0</v>
      </c>
      <c r="AH73" s="270">
        <f t="shared" si="77"/>
        <v>0</v>
      </c>
      <c r="AI73" s="220">
        <f t="shared" si="78"/>
        <v>0</v>
      </c>
      <c r="AJ73" s="269">
        <f t="shared" si="79"/>
        <v>0</v>
      </c>
      <c r="AK73" s="101"/>
      <c r="AL73" s="204">
        <v>0</v>
      </c>
      <c r="AM73" s="210">
        <v>0</v>
      </c>
    </row>
    <row r="74" spans="1:39" ht="24.75" customHeight="1">
      <c r="A74" s="202" t="str">
        <f>+IF(MAYO!A74=0,"",MAYO!A74)</f>
        <v>1.1.02.05.001.09.02.06.99</v>
      </c>
      <c r="B74" s="331" t="str">
        <f>+IF(MAYO!B74=0,"",MAYO!B74)</f>
        <v>Vigencia Anterior</v>
      </c>
      <c r="C74" s="204">
        <f>+ENERO!C74</f>
        <v>36950848</v>
      </c>
      <c r="D74" s="205">
        <f>MAYO!D74+JUNIO!P74</f>
        <v>0</v>
      </c>
      <c r="E74" s="205">
        <f>MAYO!E74+JUNIO!Q74</f>
        <v>0</v>
      </c>
      <c r="F74" s="205">
        <f>SUM(C74:E74)</f>
        <v>36950848</v>
      </c>
      <c r="G74" s="205">
        <f>MAYO!I74</f>
        <v>56652392</v>
      </c>
      <c r="H74" s="208">
        <v>0</v>
      </c>
      <c r="I74" s="205">
        <f>SUM(G74:H74)</f>
        <v>56652392</v>
      </c>
      <c r="J74" s="205">
        <f>MAYO!L74</f>
        <v>56652392</v>
      </c>
      <c r="K74" s="208">
        <v>0</v>
      </c>
      <c r="L74" s="205">
        <f>SUM(J74:K74)</f>
        <v>56652392</v>
      </c>
      <c r="M74" s="205">
        <f>F74-I74</f>
        <v>-19701544</v>
      </c>
      <c r="N74" s="206">
        <f>F74-L74</f>
        <v>-19701544</v>
      </c>
      <c r="O74" s="67"/>
      <c r="P74" s="204">
        <v>0</v>
      </c>
      <c r="Q74" s="210">
        <v>0</v>
      </c>
      <c r="R74" s="101"/>
      <c r="S74" s="311" t="str">
        <f>+IF(MAYO!S74=0,"",MAYO!S74)</f>
        <v>1010104-5</v>
      </c>
      <c r="T74" s="312" t="str">
        <f>+IF(MAYO!T74=0,"",MAYO!T74)</f>
        <v>Bonificación Convencional</v>
      </c>
      <c r="U74" s="373">
        <f>+ENERO!U74</f>
        <v>0</v>
      </c>
      <c r="V74" s="220">
        <f>MAYO!V74+JUNIO!AL74</f>
        <v>0</v>
      </c>
      <c r="W74" s="220">
        <f>MAYO!W74+JUNIO!AM74</f>
        <v>0</v>
      </c>
      <c r="X74" s="271">
        <f t="shared" si="73"/>
        <v>0</v>
      </c>
      <c r="Y74" s="270">
        <f>MAYO!AA74</f>
        <v>0</v>
      </c>
      <c r="Z74" s="208">
        <v>0</v>
      </c>
      <c r="AA74" s="271">
        <f t="shared" si="74"/>
        <v>0</v>
      </c>
      <c r="AB74" s="270">
        <f>MAYO!AD74</f>
        <v>0</v>
      </c>
      <c r="AC74" s="208">
        <v>0</v>
      </c>
      <c r="AD74" s="271">
        <f t="shared" si="75"/>
        <v>0</v>
      </c>
      <c r="AE74" s="270">
        <f>MAYO!AG74</f>
        <v>0</v>
      </c>
      <c r="AF74" s="208">
        <v>0</v>
      </c>
      <c r="AG74" s="271">
        <f t="shared" si="76"/>
        <v>0</v>
      </c>
      <c r="AH74" s="270">
        <f t="shared" si="77"/>
        <v>0</v>
      </c>
      <c r="AI74" s="220">
        <f t="shared" si="78"/>
        <v>0</v>
      </c>
      <c r="AJ74" s="269">
        <f t="shared" si="79"/>
        <v>0</v>
      </c>
      <c r="AK74" s="101"/>
      <c r="AL74" s="204">
        <v>0</v>
      </c>
      <c r="AM74" s="210">
        <v>0</v>
      </c>
    </row>
    <row r="75" spans="1:39" ht="24.75" customHeight="1">
      <c r="A75" s="286" t="str">
        <f>+IF(MAYO!A75=0,"",MAYO!A75)</f>
        <v>1.1.02.05.001.09.02.07</v>
      </c>
      <c r="B75" s="319" t="str">
        <f>+IF(MAYO!B75=0,"",MAYO!B75)</f>
        <v>FUERZAS MILITARES</v>
      </c>
      <c r="C75" s="288">
        <f t="shared" ref="C75:N75" si="81">SUM(C76:C77)</f>
        <v>448721976</v>
      </c>
      <c r="D75" s="320">
        <f t="shared" si="81"/>
        <v>0</v>
      </c>
      <c r="E75" s="320">
        <f t="shared" si="81"/>
        <v>0</v>
      </c>
      <c r="F75" s="320">
        <f t="shared" si="81"/>
        <v>448721976</v>
      </c>
      <c r="G75" s="320">
        <f t="shared" si="81"/>
        <v>98154643</v>
      </c>
      <c r="H75" s="320">
        <f t="shared" si="81"/>
        <v>13178838</v>
      </c>
      <c r="I75" s="320">
        <f t="shared" si="81"/>
        <v>111333481</v>
      </c>
      <c r="J75" s="320">
        <f t="shared" si="81"/>
        <v>21577579</v>
      </c>
      <c r="K75" s="320">
        <f t="shared" si="81"/>
        <v>0</v>
      </c>
      <c r="L75" s="1173">
        <f t="shared" si="81"/>
        <v>21577579</v>
      </c>
      <c r="M75" s="320">
        <f t="shared" si="81"/>
        <v>337388495</v>
      </c>
      <c r="N75" s="289">
        <f t="shared" si="81"/>
        <v>427144397</v>
      </c>
      <c r="O75" s="67"/>
      <c r="P75" s="288">
        <f>SUM(P76:P77)</f>
        <v>0</v>
      </c>
      <c r="Q75" s="289">
        <f>SUM(Q76:Q77)</f>
        <v>0</v>
      </c>
      <c r="R75" s="101"/>
      <c r="S75" s="311" t="str">
        <f>+IF(MAYO!S75=0,"",MAYO!S75)</f>
        <v>2.1.1.01.01.001.05-1</v>
      </c>
      <c r="T75" s="312" t="str">
        <f>+IF(MAYO!T75=0,"",MAYO!T75)</f>
        <v>Auxilio de Transporte</v>
      </c>
      <c r="U75" s="373">
        <f>+ENERO!U75</f>
        <v>0</v>
      </c>
      <c r="V75" s="220">
        <f>MAYO!V75+JUNIO!AL75</f>
        <v>0</v>
      </c>
      <c r="W75" s="220">
        <f>MAYO!W75+JUNIO!AM75</f>
        <v>0</v>
      </c>
      <c r="X75" s="271">
        <f t="shared" si="73"/>
        <v>0</v>
      </c>
      <c r="Y75" s="270">
        <f>MAYO!AA75</f>
        <v>0</v>
      </c>
      <c r="Z75" s="208">
        <v>0</v>
      </c>
      <c r="AA75" s="271">
        <f t="shared" si="74"/>
        <v>0</v>
      </c>
      <c r="AB75" s="270">
        <f>MAYO!AD75</f>
        <v>0</v>
      </c>
      <c r="AC75" s="208">
        <v>0</v>
      </c>
      <c r="AD75" s="271">
        <f t="shared" si="75"/>
        <v>0</v>
      </c>
      <c r="AE75" s="270">
        <f>MAYO!AG75</f>
        <v>0</v>
      </c>
      <c r="AF75" s="208">
        <v>0</v>
      </c>
      <c r="AG75" s="271">
        <f t="shared" si="76"/>
        <v>0</v>
      </c>
      <c r="AH75" s="270">
        <f t="shared" si="77"/>
        <v>0</v>
      </c>
      <c r="AI75" s="220">
        <f t="shared" si="78"/>
        <v>0</v>
      </c>
      <c r="AJ75" s="269">
        <f t="shared" si="79"/>
        <v>0</v>
      </c>
      <c r="AK75" s="101"/>
      <c r="AL75" s="204">
        <v>0</v>
      </c>
      <c r="AM75" s="210">
        <v>0</v>
      </c>
    </row>
    <row r="76" spans="1:39" ht="24.75" customHeight="1">
      <c r="A76" s="202" t="str">
        <f>+IF(MAYO!A76=0,"",MAYO!A76)</f>
        <v>1.1.02.05.001.09.02.07</v>
      </c>
      <c r="B76" s="331" t="str">
        <f>+CONCATENATE("Vigencia ",INSTRUCCIONES!$F$3)</f>
        <v>Vigencia 2025</v>
      </c>
      <c r="C76" s="204">
        <f>+ENERO!C76</f>
        <v>341067989</v>
      </c>
      <c r="D76" s="205">
        <f>MAYO!D76+JUNIO!P76</f>
        <v>0</v>
      </c>
      <c r="E76" s="205">
        <f>MAYO!E76+JUNIO!Q76</f>
        <v>0</v>
      </c>
      <c r="F76" s="205">
        <f>SUM(C76:E76)</f>
        <v>341067989</v>
      </c>
      <c r="G76" s="205">
        <f>MAYO!I76</f>
        <v>76749364</v>
      </c>
      <c r="H76" s="208">
        <v>13178838</v>
      </c>
      <c r="I76" s="1156">
        <f>SUM(G76:H76)</f>
        <v>89928202</v>
      </c>
      <c r="J76" s="205">
        <f>MAYO!L76</f>
        <v>172300</v>
      </c>
      <c r="K76" s="208">
        <v>0</v>
      </c>
      <c r="L76" s="205">
        <f>SUM(J76:K76)</f>
        <v>172300</v>
      </c>
      <c r="M76" s="205">
        <f>F76-I76</f>
        <v>251139787</v>
      </c>
      <c r="N76" s="206">
        <f>F76-L76</f>
        <v>340895689</v>
      </c>
      <c r="O76" s="67"/>
      <c r="P76" s="204">
        <v>0</v>
      </c>
      <c r="Q76" s="210">
        <v>0</v>
      </c>
      <c r="R76" s="101"/>
      <c r="S76" s="311" t="str">
        <f>+IF(MAYO!S76=0,"",MAYO!S76)</f>
        <v>2.1.1.01.01.001.04-1</v>
      </c>
      <c r="T76" s="312" t="str">
        <f>+IF(MAYO!T76=0,"",MAYO!T76)</f>
        <v>Auxilio de Alimentación</v>
      </c>
      <c r="U76" s="373">
        <f>+ENERO!U76</f>
        <v>0</v>
      </c>
      <c r="V76" s="220">
        <f>MAYO!V76+JUNIO!AL76</f>
        <v>0</v>
      </c>
      <c r="W76" s="220">
        <f>MAYO!W76+JUNIO!AM76</f>
        <v>0</v>
      </c>
      <c r="X76" s="271">
        <f t="shared" si="73"/>
        <v>0</v>
      </c>
      <c r="Y76" s="270">
        <f>MAYO!AA76</f>
        <v>0</v>
      </c>
      <c r="Z76" s="208">
        <v>0</v>
      </c>
      <c r="AA76" s="271">
        <f t="shared" si="74"/>
        <v>0</v>
      </c>
      <c r="AB76" s="270">
        <f>MAYO!AD76</f>
        <v>0</v>
      </c>
      <c r="AC76" s="208">
        <v>0</v>
      </c>
      <c r="AD76" s="271">
        <f t="shared" si="75"/>
        <v>0</v>
      </c>
      <c r="AE76" s="270">
        <f>MAYO!AG76</f>
        <v>0</v>
      </c>
      <c r="AF76" s="208">
        <v>0</v>
      </c>
      <c r="AG76" s="271">
        <f t="shared" si="76"/>
        <v>0</v>
      </c>
      <c r="AH76" s="270">
        <f t="shared" si="77"/>
        <v>0</v>
      </c>
      <c r="AI76" s="220">
        <f t="shared" si="78"/>
        <v>0</v>
      </c>
      <c r="AJ76" s="269">
        <f t="shared" si="79"/>
        <v>0</v>
      </c>
      <c r="AK76" s="101"/>
      <c r="AL76" s="204">
        <v>0</v>
      </c>
      <c r="AM76" s="210">
        <v>0</v>
      </c>
    </row>
    <row r="77" spans="1:39" ht="24.75" customHeight="1">
      <c r="A77" s="202" t="str">
        <f>+IF(MAYO!A77=0,"",MAYO!A77)</f>
        <v>1.1.02.05.001.09.02.07.99</v>
      </c>
      <c r="B77" s="331" t="str">
        <f>+IF(MAYO!B77=0,"",MAYO!B77)</f>
        <v>Vigencia Anterior</v>
      </c>
      <c r="C77" s="204">
        <f>+ENERO!C77</f>
        <v>107653987</v>
      </c>
      <c r="D77" s="205">
        <f>MAYO!D77+JUNIO!P77</f>
        <v>0</v>
      </c>
      <c r="E77" s="205">
        <f>MAYO!E77+JUNIO!Q77</f>
        <v>0</v>
      </c>
      <c r="F77" s="205">
        <f>SUM(C77:E77)</f>
        <v>107653987</v>
      </c>
      <c r="G77" s="205">
        <f>MAYO!I77</f>
        <v>21405279</v>
      </c>
      <c r="H77" s="208">
        <v>0</v>
      </c>
      <c r="I77" s="205">
        <f>SUM(G77:H77)</f>
        <v>21405279</v>
      </c>
      <c r="J77" s="205">
        <f>MAYO!L77</f>
        <v>21405279</v>
      </c>
      <c r="K77" s="208"/>
      <c r="L77" s="205">
        <f>SUM(J77:K77)</f>
        <v>21405279</v>
      </c>
      <c r="M77" s="205">
        <f>F77-I77</f>
        <v>86248708</v>
      </c>
      <c r="N77" s="206">
        <f>F77-L77</f>
        <v>86248708</v>
      </c>
      <c r="O77" s="67"/>
      <c r="P77" s="204">
        <v>0</v>
      </c>
      <c r="Q77" s="210">
        <v>0</v>
      </c>
      <c r="R77" s="101"/>
      <c r="S77" s="311" t="str">
        <f>+IF(MAYO!S77=0,"",MAYO!S77)</f>
        <v>1010104-8</v>
      </c>
      <c r="T77" s="312" t="str">
        <f>+IF(MAYO!T77=0,"",MAYO!T77)</f>
        <v>Indemnizaciones por Vacaciones o Supresión de Cargos por Reestructuración</v>
      </c>
      <c r="U77" s="373">
        <f>+ENERO!U77</f>
        <v>0</v>
      </c>
      <c r="V77" s="220">
        <f>MAYO!V77+JUNIO!AL77</f>
        <v>0</v>
      </c>
      <c r="W77" s="220">
        <f>MAYO!W77+JUNIO!AM77</f>
        <v>0</v>
      </c>
      <c r="X77" s="271">
        <f t="shared" si="73"/>
        <v>0</v>
      </c>
      <c r="Y77" s="270">
        <f>MAYO!AA77</f>
        <v>0</v>
      </c>
      <c r="Z77" s="208">
        <v>0</v>
      </c>
      <c r="AA77" s="271">
        <f t="shared" si="74"/>
        <v>0</v>
      </c>
      <c r="AB77" s="270">
        <f>MAYO!AD77</f>
        <v>0</v>
      </c>
      <c r="AC77" s="208">
        <v>0</v>
      </c>
      <c r="AD77" s="271">
        <f t="shared" si="75"/>
        <v>0</v>
      </c>
      <c r="AE77" s="270">
        <f>MAYO!AG77</f>
        <v>0</v>
      </c>
      <c r="AF77" s="208">
        <v>0</v>
      </c>
      <c r="AG77" s="271">
        <f t="shared" si="76"/>
        <v>0</v>
      </c>
      <c r="AH77" s="270">
        <f t="shared" si="77"/>
        <v>0</v>
      </c>
      <c r="AI77" s="220">
        <f t="shared" si="78"/>
        <v>0</v>
      </c>
      <c r="AJ77" s="269">
        <f t="shared" si="79"/>
        <v>0</v>
      </c>
      <c r="AK77" s="101"/>
      <c r="AL77" s="204">
        <v>0</v>
      </c>
      <c r="AM77" s="210">
        <v>0</v>
      </c>
    </row>
    <row r="78" spans="1:39" ht="24.75" customHeight="1">
      <c r="A78" s="286" t="str">
        <f>+IF(MAYO!A78=0,"",MAYO!A78)</f>
        <v>1.1.02.05.001.09.02.13-1</v>
      </c>
      <c r="B78" s="319" t="str">
        <f>+IF(MAYO!B78=0,"",MAYO!B78)</f>
        <v>PARTICULARES   (Venta de Contado)</v>
      </c>
      <c r="C78" s="288">
        <f>SUM(C79:C80)</f>
        <v>681131551</v>
      </c>
      <c r="D78" s="320">
        <f>SUM(D79:D80)</f>
        <v>0</v>
      </c>
      <c r="E78" s="320">
        <f>SUM(E79:E80)</f>
        <v>0</v>
      </c>
      <c r="F78" s="320">
        <f>SUM(C78:E78)</f>
        <v>681131551</v>
      </c>
      <c r="G78" s="320">
        <f>SUM(G79:G80)</f>
        <v>189970800</v>
      </c>
      <c r="H78" s="320">
        <f>SUM(H79:H80)</f>
        <v>19187500</v>
      </c>
      <c r="I78" s="320">
        <f>SUM(G78:H78)</f>
        <v>209158300</v>
      </c>
      <c r="J78" s="320">
        <f>SUM(J79:J80)</f>
        <v>43104384</v>
      </c>
      <c r="K78" s="320">
        <f>SUM(K79:K80)</f>
        <v>11806666</v>
      </c>
      <c r="L78" s="320">
        <f>SUM(J78:K78)</f>
        <v>54911050</v>
      </c>
      <c r="M78" s="320">
        <f>F78-I78</f>
        <v>471973251</v>
      </c>
      <c r="N78" s="289">
        <f>F78-L78</f>
        <v>626220501</v>
      </c>
      <c r="O78" s="67"/>
      <c r="P78" s="288">
        <f>SUM(P79:P80)</f>
        <v>0</v>
      </c>
      <c r="Q78" s="289">
        <f>SUM(Q79:Q80)</f>
        <v>0</v>
      </c>
      <c r="R78" s="101"/>
      <c r="S78" s="311" t="str">
        <f>+IF(MAYO!S78=0,"",MAYO!S78)</f>
        <v>1010104-9</v>
      </c>
      <c r="T78" s="312" t="str">
        <f>+IF(MAYO!T78=0,"",MAYO!T78)</f>
        <v/>
      </c>
      <c r="U78" s="373">
        <f>+ENERO!U78</f>
        <v>0</v>
      </c>
      <c r="V78" s="220">
        <f>MAYO!V78+JUNIO!AL78</f>
        <v>0</v>
      </c>
      <c r="W78" s="220">
        <f>MAYO!W78+JUNIO!AM78</f>
        <v>0</v>
      </c>
      <c r="X78" s="271">
        <f t="shared" si="73"/>
        <v>0</v>
      </c>
      <c r="Y78" s="270">
        <f>MAYO!AA78</f>
        <v>0</v>
      </c>
      <c r="Z78" s="208">
        <v>0</v>
      </c>
      <c r="AA78" s="271">
        <f t="shared" si="74"/>
        <v>0</v>
      </c>
      <c r="AB78" s="270">
        <f>MAYO!AD78</f>
        <v>0</v>
      </c>
      <c r="AC78" s="208">
        <v>0</v>
      </c>
      <c r="AD78" s="271">
        <f t="shared" si="75"/>
        <v>0</v>
      </c>
      <c r="AE78" s="270">
        <f>MAYO!AG78</f>
        <v>0</v>
      </c>
      <c r="AF78" s="208">
        <v>0</v>
      </c>
      <c r="AG78" s="271">
        <f t="shared" si="76"/>
        <v>0</v>
      </c>
      <c r="AH78" s="270">
        <f t="shared" si="77"/>
        <v>0</v>
      </c>
      <c r="AI78" s="220">
        <f t="shared" si="78"/>
        <v>0</v>
      </c>
      <c r="AJ78" s="269">
        <f t="shared" si="79"/>
        <v>0</v>
      </c>
      <c r="AK78" s="101"/>
      <c r="AL78" s="204">
        <v>0</v>
      </c>
      <c r="AM78" s="210">
        <v>0</v>
      </c>
    </row>
    <row r="79" spans="1:39" ht="24.75" customHeight="1">
      <c r="A79" s="202" t="str">
        <f>+IF(MAYO!A79=0,"",MAYO!A79)</f>
        <v>1.1.02.05.001.09.02.13-1</v>
      </c>
      <c r="B79" s="331" t="str">
        <f>+CONCATENATE("Vigencia ",INSTRUCCIONES!$F$3)</f>
        <v>Vigencia 2025</v>
      </c>
      <c r="C79" s="204">
        <f>+ENERO!C79</f>
        <v>531131551</v>
      </c>
      <c r="D79" s="205">
        <f>MAYO!D79+JUNIO!P79</f>
        <v>0</v>
      </c>
      <c r="E79" s="205">
        <f>MAYO!E79+JUNIO!Q79</f>
        <v>0</v>
      </c>
      <c r="F79" s="205">
        <f>SUM(C79:E79)</f>
        <v>531131551</v>
      </c>
      <c r="G79" s="205">
        <f>MAYO!I79</f>
        <v>176815500</v>
      </c>
      <c r="H79" s="208">
        <v>16923200</v>
      </c>
      <c r="I79" s="1156">
        <f>SUM(G79:H79)</f>
        <v>193738700</v>
      </c>
      <c r="J79" s="205">
        <f>MAYO!L79</f>
        <v>29949084</v>
      </c>
      <c r="K79" s="208">
        <v>9542366</v>
      </c>
      <c r="L79" s="205">
        <f>SUM(J79:K79)</f>
        <v>39491450</v>
      </c>
      <c r="M79" s="205">
        <f>F79-I79</f>
        <v>337392851</v>
      </c>
      <c r="N79" s="206">
        <f>F79-L79</f>
        <v>491640101</v>
      </c>
      <c r="O79" s="67"/>
      <c r="P79" s="204">
        <v>0</v>
      </c>
      <c r="Q79" s="210">
        <v>0</v>
      </c>
      <c r="R79" s="101"/>
      <c r="S79" s="311" t="str">
        <f>+IF(MAYO!S79=0,"",MAYO!S79)</f>
        <v>2.1.1.01.03.001.03-1</v>
      </c>
      <c r="T79" s="312" t="str">
        <f>+IF(MAYO!T79=0,"",MAYO!T79)</f>
        <v>Bonificación Especial por Recreación</v>
      </c>
      <c r="U79" s="373">
        <f>+ENERO!U79</f>
        <v>0</v>
      </c>
      <c r="V79" s="220">
        <f>MAYO!V79+JUNIO!AL79</f>
        <v>0</v>
      </c>
      <c r="W79" s="220">
        <f>MAYO!W79+JUNIO!AM79</f>
        <v>0</v>
      </c>
      <c r="X79" s="271">
        <f t="shared" si="73"/>
        <v>0</v>
      </c>
      <c r="Y79" s="270">
        <f>MAYO!AA79</f>
        <v>0</v>
      </c>
      <c r="Z79" s="208">
        <v>0</v>
      </c>
      <c r="AA79" s="271">
        <f t="shared" si="74"/>
        <v>0</v>
      </c>
      <c r="AB79" s="270">
        <f>MAYO!AD79</f>
        <v>0</v>
      </c>
      <c r="AC79" s="208">
        <v>0</v>
      </c>
      <c r="AD79" s="271">
        <f t="shared" si="75"/>
        <v>0</v>
      </c>
      <c r="AE79" s="270">
        <f>MAYO!AG79</f>
        <v>0</v>
      </c>
      <c r="AF79" s="208">
        <v>0</v>
      </c>
      <c r="AG79" s="271">
        <f t="shared" si="76"/>
        <v>0</v>
      </c>
      <c r="AH79" s="270">
        <f t="shared" si="77"/>
        <v>0</v>
      </c>
      <c r="AI79" s="220">
        <f t="shared" si="78"/>
        <v>0</v>
      </c>
      <c r="AJ79" s="269">
        <f t="shared" si="79"/>
        <v>0</v>
      </c>
      <c r="AK79" s="101"/>
      <c r="AL79" s="204">
        <v>0</v>
      </c>
      <c r="AM79" s="210">
        <v>0</v>
      </c>
    </row>
    <row r="80" spans="1:39" ht="24.75" customHeight="1">
      <c r="A80" s="202" t="str">
        <f>+IF(MAYO!A80=0,"",MAYO!A80)</f>
        <v>1.1.02.05.001.09.02.13.99-1</v>
      </c>
      <c r="B80" s="331" t="str">
        <f>+IF(MAYO!B80=0,"",MAYO!B80)</f>
        <v>Vigencia Anterior</v>
      </c>
      <c r="C80" s="204">
        <f>+ENERO!C80</f>
        <v>150000000</v>
      </c>
      <c r="D80" s="205">
        <f>MAYO!D80+JUNIO!P80</f>
        <v>0</v>
      </c>
      <c r="E80" s="205">
        <f>MAYO!E80+JUNIO!Q80</f>
        <v>0</v>
      </c>
      <c r="F80" s="205">
        <f>SUM(C80:E80)</f>
        <v>150000000</v>
      </c>
      <c r="G80" s="205">
        <f>MAYO!I80</f>
        <v>13155300</v>
      </c>
      <c r="H80" s="208">
        <v>2264300</v>
      </c>
      <c r="I80" s="205">
        <f>SUM(G80:H80)</f>
        <v>15419600</v>
      </c>
      <c r="J80" s="205">
        <f>MAYO!L80</f>
        <v>13155300</v>
      </c>
      <c r="K80" s="208">
        <v>2264300</v>
      </c>
      <c r="L80" s="205">
        <f>SUM(J80:K80)</f>
        <v>15419600</v>
      </c>
      <c r="M80" s="205">
        <f>F80-I80</f>
        <v>134580400</v>
      </c>
      <c r="N80" s="206">
        <f>F80-L80</f>
        <v>134580400</v>
      </c>
      <c r="O80" s="67"/>
      <c r="P80" s="204">
        <v>0</v>
      </c>
      <c r="Q80" s="210">
        <v>0</v>
      </c>
      <c r="R80" s="101"/>
      <c r="S80" s="311" t="str">
        <f>+IF(MAYO!S80=0,"",MAYO!S80)</f>
        <v>2.1.1.01.03.001.01-1</v>
      </c>
      <c r="T80" s="312" t="str">
        <f>+IF(MAYO!T80=0,"",MAYO!T80)</f>
        <v>Vacaciones</v>
      </c>
      <c r="U80" s="373">
        <f>+ENERO!U80</f>
        <v>0</v>
      </c>
      <c r="V80" s="220">
        <f>MAYO!V80+JUNIO!AL80</f>
        <v>0</v>
      </c>
      <c r="W80" s="220">
        <f>MAYO!W80+JUNIO!AM80</f>
        <v>0</v>
      </c>
      <c r="X80" s="271">
        <f t="shared" si="73"/>
        <v>0</v>
      </c>
      <c r="Y80" s="270">
        <f>MAYO!AA80</f>
        <v>0</v>
      </c>
      <c r="Z80" s="208">
        <v>0</v>
      </c>
      <c r="AA80" s="271">
        <f t="shared" si="74"/>
        <v>0</v>
      </c>
      <c r="AB80" s="270">
        <f>MAYO!AD80</f>
        <v>0</v>
      </c>
      <c r="AC80" s="208">
        <v>0</v>
      </c>
      <c r="AD80" s="271">
        <f t="shared" si="75"/>
        <v>0</v>
      </c>
      <c r="AE80" s="270">
        <f>MAYO!AG80</f>
        <v>0</v>
      </c>
      <c r="AF80" s="208">
        <v>0</v>
      </c>
      <c r="AG80" s="271">
        <f t="shared" si="76"/>
        <v>0</v>
      </c>
      <c r="AH80" s="270">
        <f t="shared" si="77"/>
        <v>0</v>
      </c>
      <c r="AI80" s="220">
        <f t="shared" si="78"/>
        <v>0</v>
      </c>
      <c r="AJ80" s="269">
        <f t="shared" si="79"/>
        <v>0</v>
      </c>
      <c r="AK80" s="101"/>
      <c r="AL80" s="204">
        <v>0</v>
      </c>
      <c r="AM80" s="210">
        <v>0</v>
      </c>
    </row>
    <row r="81" spans="1:39" ht="24.75" customHeight="1">
      <c r="A81" s="286" t="str">
        <f>+IF(MAYO!A81=0,"",MAYO!A81)</f>
        <v>1.1.02.05.001.09.02.08</v>
      </c>
      <c r="B81" s="319" t="str">
        <f>+IF(MAYO!B81=0,"",MAYO!B81)</f>
        <v>POLICIA NACIONAL</v>
      </c>
      <c r="C81" s="288">
        <f>ENERO!C81</f>
        <v>386698320</v>
      </c>
      <c r="D81" s="320">
        <f t="shared" ref="D81:N81" si="82">SUM(D82:D83)</f>
        <v>0</v>
      </c>
      <c r="E81" s="320">
        <f t="shared" si="82"/>
        <v>0</v>
      </c>
      <c r="F81" s="320">
        <f t="shared" si="82"/>
        <v>386698320</v>
      </c>
      <c r="G81" s="320">
        <f t="shared" si="82"/>
        <v>163237238</v>
      </c>
      <c r="H81" s="320">
        <f t="shared" si="82"/>
        <v>23082126</v>
      </c>
      <c r="I81" s="320">
        <f t="shared" si="82"/>
        <v>186319364</v>
      </c>
      <c r="J81" s="320">
        <f t="shared" si="82"/>
        <v>126942254</v>
      </c>
      <c r="K81" s="320">
        <f t="shared" si="82"/>
        <v>0</v>
      </c>
      <c r="L81" s="1173">
        <f t="shared" si="82"/>
        <v>126942254</v>
      </c>
      <c r="M81" s="320">
        <f t="shared" si="82"/>
        <v>200378956</v>
      </c>
      <c r="N81" s="289">
        <f t="shared" si="82"/>
        <v>259756066</v>
      </c>
      <c r="O81" s="67"/>
      <c r="P81" s="288">
        <f>SUM(P82:P83)</f>
        <v>0</v>
      </c>
      <c r="Q81" s="289">
        <f>SUM(Q82:Q83)</f>
        <v>0</v>
      </c>
      <c r="R81" s="101" t="s">
        <v>688</v>
      </c>
      <c r="S81" s="266" t="str">
        <f>+IF(MAYO!S81=0,"",MAYO!S81)</f>
        <v>2.1.2.02.02.009.902.99</v>
      </c>
      <c r="T81" s="267" t="s">
        <v>196</v>
      </c>
      <c r="U81" s="373">
        <f>+ENERO!U81</f>
        <v>0</v>
      </c>
      <c r="V81" s="220">
        <f>MAYO!V81+JUNIO!AL81</f>
        <v>0</v>
      </c>
      <c r="W81" s="220">
        <f>MAYO!W81+JUNIO!AM81</f>
        <v>0</v>
      </c>
      <c r="X81" s="271">
        <f t="shared" si="73"/>
        <v>0</v>
      </c>
      <c r="Y81" s="270">
        <f>MAYO!AA81</f>
        <v>0</v>
      </c>
      <c r="Z81" s="208">
        <v>0</v>
      </c>
      <c r="AA81" s="271">
        <f t="shared" si="74"/>
        <v>0</v>
      </c>
      <c r="AB81" s="270">
        <f>MAYO!AD81</f>
        <v>0</v>
      </c>
      <c r="AC81" s="208">
        <v>0</v>
      </c>
      <c r="AD81" s="271">
        <f t="shared" si="75"/>
        <v>0</v>
      </c>
      <c r="AE81" s="270">
        <f>MAYO!AG81</f>
        <v>0</v>
      </c>
      <c r="AF81" s="208">
        <v>0</v>
      </c>
      <c r="AG81" s="271">
        <f t="shared" si="76"/>
        <v>0</v>
      </c>
      <c r="AH81" s="270">
        <f t="shared" si="77"/>
        <v>0</v>
      </c>
      <c r="AI81" s="220">
        <f t="shared" si="78"/>
        <v>0</v>
      </c>
      <c r="AJ81" s="269">
        <f t="shared" si="79"/>
        <v>0</v>
      </c>
      <c r="AK81" s="101"/>
      <c r="AL81" s="204">
        <v>0</v>
      </c>
      <c r="AM81" s="210">
        <v>0</v>
      </c>
    </row>
    <row r="82" spans="1:39" ht="24.75" customHeight="1">
      <c r="A82" s="202" t="str">
        <f>+IF(MAYO!A82=0,"",MAYO!A82)</f>
        <v>1.1.02.05.001.09.02.08</v>
      </c>
      <c r="B82" s="331" t="str">
        <f>+CONCATENATE("Vigencia ",INSTRUCCIONES!$F$3)</f>
        <v>Vigencia 2025</v>
      </c>
      <c r="C82" s="204">
        <f>+ENERO!C82</f>
        <v>376911385</v>
      </c>
      <c r="D82" s="205">
        <f>MAYO!D82+JUNIO!P82</f>
        <v>0</v>
      </c>
      <c r="E82" s="205">
        <f>MAYO!E82+JUNIO!Q82</f>
        <v>0</v>
      </c>
      <c r="F82" s="205">
        <f>SUM(C82:E82)</f>
        <v>376911385</v>
      </c>
      <c r="G82" s="205">
        <f>MAYO!I82</f>
        <v>106555105</v>
      </c>
      <c r="H82" s="208">
        <v>23082126</v>
      </c>
      <c r="I82" s="1156">
        <f>SUM(G82:H82)</f>
        <v>129637231</v>
      </c>
      <c r="J82" s="205">
        <f>MAYO!L82</f>
        <v>70260121</v>
      </c>
      <c r="K82" s="208">
        <v>0</v>
      </c>
      <c r="L82" s="205">
        <f>SUM(J82:K82)</f>
        <v>70260121</v>
      </c>
      <c r="M82" s="205">
        <f>F82-I82</f>
        <v>247274154</v>
      </c>
      <c r="N82" s="206">
        <f>F82-L82</f>
        <v>306651264</v>
      </c>
      <c r="O82" s="67"/>
      <c r="P82" s="204">
        <v>0</v>
      </c>
      <c r="Q82" s="210">
        <v>0</v>
      </c>
      <c r="R82" s="101"/>
      <c r="S82" s="189" t="str">
        <f>+IF(MAYO!S82=0,"",MAYO!S82)</f>
        <v/>
      </c>
      <c r="T82" s="488" t="str">
        <f>+IF(MAYO!T82=0,"",MAYO!T82)</f>
        <v/>
      </c>
      <c r="U82" s="191"/>
      <c r="V82" s="191"/>
      <c r="W82" s="191"/>
      <c r="X82" s="191"/>
      <c r="Y82" s="191"/>
      <c r="Z82" s="191"/>
      <c r="AA82" s="191"/>
      <c r="AB82" s="191"/>
      <c r="AC82" s="191"/>
      <c r="AD82" s="191"/>
      <c r="AE82" s="191"/>
      <c r="AF82" s="191"/>
      <c r="AG82" s="191"/>
      <c r="AH82" s="191"/>
      <c r="AI82" s="191"/>
      <c r="AJ82" s="192"/>
      <c r="AK82" s="101"/>
      <c r="AL82" s="370"/>
      <c r="AM82" s="371"/>
    </row>
    <row r="83" spans="1:39" ht="24.75" customHeight="1" thickBot="1">
      <c r="A83" s="202" t="str">
        <f>+IF(MAYO!A83=0,"",MAYO!A83)</f>
        <v>1.1.02.05.001.09.02.08,99</v>
      </c>
      <c r="B83" s="377" t="str">
        <f>+IF(MAYO!B83=0,"",MAYO!B83)</f>
        <v>Vigencia Anterior</v>
      </c>
      <c r="C83" s="242">
        <f>+ENERO!C83</f>
        <v>9786935</v>
      </c>
      <c r="D83" s="243">
        <f>MAYO!D83+JUNIO!P83</f>
        <v>0</v>
      </c>
      <c r="E83" s="243">
        <f>MAYO!E83+JUNIO!Q83</f>
        <v>0</v>
      </c>
      <c r="F83" s="243">
        <f>SUM(C83:E83)</f>
        <v>9786935</v>
      </c>
      <c r="G83" s="243">
        <f>MAYO!I83</f>
        <v>56682133</v>
      </c>
      <c r="H83" s="246">
        <v>0</v>
      </c>
      <c r="I83" s="243">
        <f>SUM(G83:H83)</f>
        <v>56682133</v>
      </c>
      <c r="J83" s="243">
        <f>MAYO!L83</f>
        <v>56682133</v>
      </c>
      <c r="K83" s="246">
        <v>0</v>
      </c>
      <c r="L83" s="243">
        <f>SUM(J83:K83)</f>
        <v>56682133</v>
      </c>
      <c r="M83" s="243">
        <f>F83-I83</f>
        <v>-46895198</v>
      </c>
      <c r="N83" s="244">
        <f>F83-L83</f>
        <v>-46895198</v>
      </c>
      <c r="O83" s="67"/>
      <c r="P83" s="204">
        <v>0</v>
      </c>
      <c r="Q83" s="210">
        <v>0</v>
      </c>
      <c r="R83" s="101"/>
      <c r="S83" s="257">
        <f>+IF(MAYO!S83=0,"",MAYO!S83)</f>
        <v>1020200</v>
      </c>
      <c r="T83" s="546" t="str">
        <f>+IF(MAYO!T83=0,"",MAYO!T83)</f>
        <v>Servicios Personales Indirectos</v>
      </c>
      <c r="U83" s="230">
        <f t="shared" ref="U83:AJ83" si="83">SUM(U84:U88)</f>
        <v>64518803470</v>
      </c>
      <c r="V83" s="231">
        <f t="shared" si="83"/>
        <v>-2523000000</v>
      </c>
      <c r="W83" s="231">
        <f t="shared" si="83"/>
        <v>2908182761</v>
      </c>
      <c r="X83" s="234">
        <f t="shared" si="83"/>
        <v>64903986231</v>
      </c>
      <c r="Y83" s="233">
        <f t="shared" si="83"/>
        <v>47181323150</v>
      </c>
      <c r="Z83" s="231">
        <f t="shared" si="83"/>
        <v>0</v>
      </c>
      <c r="AA83" s="234">
        <f t="shared" si="83"/>
        <v>47181323150</v>
      </c>
      <c r="AB83" s="233">
        <f t="shared" si="83"/>
        <v>36708977716</v>
      </c>
      <c r="AC83" s="231">
        <f t="shared" si="83"/>
        <v>4753910587</v>
      </c>
      <c r="AD83" s="234">
        <f t="shared" si="83"/>
        <v>41462888303</v>
      </c>
      <c r="AE83" s="233">
        <f t="shared" si="83"/>
        <v>22375895797</v>
      </c>
      <c r="AF83" s="231">
        <f t="shared" si="83"/>
        <v>4763849176</v>
      </c>
      <c r="AG83" s="234">
        <f t="shared" si="83"/>
        <v>27139744973</v>
      </c>
      <c r="AH83" s="233">
        <f t="shared" si="83"/>
        <v>17722663081</v>
      </c>
      <c r="AI83" s="231">
        <f t="shared" si="83"/>
        <v>23441097928</v>
      </c>
      <c r="AJ83" s="232">
        <f t="shared" si="83"/>
        <v>37764241258</v>
      </c>
      <c r="AK83" s="101"/>
      <c r="AL83" s="233">
        <f>SUM(AL84:AL88)</f>
        <v>-2450000000</v>
      </c>
      <c r="AM83" s="232">
        <f>SUM(AM84:AM88)</f>
        <v>0</v>
      </c>
    </row>
    <row r="84" spans="1:39" s="1210" customFormat="1" ht="24.75" customHeight="1" thickBot="1">
      <c r="A84" s="1230" t="str">
        <f>+IF(MAYO!A84=0,"",MAYO!A84)</f>
        <v/>
      </c>
      <c r="B84" s="1231" t="str">
        <f>+IF(MAYO!B84=0,"",MAYO!B84)</f>
        <v/>
      </c>
      <c r="C84" s="1208"/>
      <c r="D84" s="1208"/>
      <c r="E84" s="1208"/>
      <c r="F84" s="1208"/>
      <c r="G84" s="1208"/>
      <c r="H84" s="1208"/>
      <c r="I84" s="1208"/>
      <c r="J84" s="1208"/>
      <c r="K84" s="1208"/>
      <c r="L84" s="1208"/>
      <c r="M84" s="1208"/>
      <c r="N84" s="1232"/>
      <c r="O84" s="1233"/>
      <c r="P84" s="1234"/>
      <c r="Q84" s="1235"/>
      <c r="R84" s="1195"/>
      <c r="S84" s="1197" t="str">
        <f>+IF(MAYO!S84=0,"",MAYO!S84)</f>
        <v>2.1.2.02.02.009.902</v>
      </c>
      <c r="T84" s="1198" t="str">
        <f>+IF(MAYO!T84=0,"",MAYO!T84)</f>
        <v>Servicios Personales (Personal Asistencial)</v>
      </c>
      <c r="U84" s="1199">
        <f>+ENERO!U84</f>
        <v>55683487770</v>
      </c>
      <c r="V84" s="1200">
        <f>MAYO!V84+JUNIO!AL84</f>
        <v>-4585698533</v>
      </c>
      <c r="W84" s="1200">
        <f>MAYO!W84+JUNIO!AM84</f>
        <v>0</v>
      </c>
      <c r="X84" s="1201">
        <f>SUM(U84:W84)</f>
        <v>51097789237</v>
      </c>
      <c r="Y84" s="1202">
        <f>MAYO!AA84</f>
        <v>33377807700</v>
      </c>
      <c r="Z84" s="1194">
        <v>0</v>
      </c>
      <c r="AA84" s="1201">
        <f>SUM(Y84:Z84)</f>
        <v>33377807700</v>
      </c>
      <c r="AB84" s="1202">
        <f>MAYO!AD84</f>
        <v>22905462266</v>
      </c>
      <c r="AC84" s="1194">
        <v>4753910587</v>
      </c>
      <c r="AD84" s="1201">
        <f>SUM(AB84:AC84)</f>
        <v>27659372853</v>
      </c>
      <c r="AE84" s="1202">
        <f>MAYO!AG84</f>
        <v>8572380347</v>
      </c>
      <c r="AF84" s="1194">
        <v>4763849176</v>
      </c>
      <c r="AG84" s="1201">
        <f>SUM(AE84:AF84)</f>
        <v>13336229523</v>
      </c>
      <c r="AH84" s="1202">
        <f>X84-AA84</f>
        <v>17719981537</v>
      </c>
      <c r="AI84" s="1200">
        <f>X84-AD84</f>
        <v>23438416384</v>
      </c>
      <c r="AJ84" s="1204">
        <f>X84-AG84</f>
        <v>37761559714</v>
      </c>
      <c r="AK84" s="1195">
        <f t="shared" ref="AK84:AK87" si="84">+AA84</f>
        <v>33377807700</v>
      </c>
      <c r="AL84" s="1193">
        <v>0</v>
      </c>
      <c r="AM84" s="1196">
        <v>0</v>
      </c>
    </row>
    <row r="85" spans="1:39" s="1210" customFormat="1" ht="24.75" customHeight="1">
      <c r="A85" s="1236" t="str">
        <f>+IF(MAYO!A85=0,"",MAYO!A85)</f>
        <v>1.1.02.05.001.09.02.90</v>
      </c>
      <c r="B85" s="1237" t="str">
        <f>+IF(MAYO!B85=0,"",MAYO!B85)</f>
        <v>Otras Ventas de Servicios de Salud</v>
      </c>
      <c r="C85" s="1238">
        <f t="shared" ref="C85:N85" si="85">SUM(C86:C92)</f>
        <v>0</v>
      </c>
      <c r="D85" s="1239">
        <f t="shared" si="85"/>
        <v>0</v>
      </c>
      <c r="E85" s="1239">
        <f t="shared" si="85"/>
        <v>21574720366</v>
      </c>
      <c r="F85" s="1239">
        <f t="shared" si="85"/>
        <v>21574720366</v>
      </c>
      <c r="G85" s="1239">
        <f t="shared" si="85"/>
        <v>7759234661</v>
      </c>
      <c r="H85" s="1239">
        <f t="shared" si="85"/>
        <v>1613278570</v>
      </c>
      <c r="I85" s="1239">
        <f t="shared" si="85"/>
        <v>9372513231</v>
      </c>
      <c r="J85" s="1239">
        <f t="shared" si="85"/>
        <v>5226445681</v>
      </c>
      <c r="K85" s="1239">
        <f t="shared" si="85"/>
        <v>886923009</v>
      </c>
      <c r="L85" s="1239">
        <f t="shared" si="85"/>
        <v>6113368690</v>
      </c>
      <c r="M85" s="1239">
        <f t="shared" si="85"/>
        <v>12202207135</v>
      </c>
      <c r="N85" s="1240">
        <f t="shared" si="85"/>
        <v>15461351676</v>
      </c>
      <c r="O85" s="1208"/>
      <c r="P85" s="1241">
        <f>SUM(P86:P92)</f>
        <v>0</v>
      </c>
      <c r="Q85" s="1242">
        <f>SUM(Q86:Q92)</f>
        <v>0</v>
      </c>
      <c r="R85" s="1195"/>
      <c r="S85" s="1197" t="str">
        <f>+IF(MAYO!S85=0,"",MAYO!S85)</f>
        <v>1020200-2</v>
      </c>
      <c r="T85" s="1198" t="str">
        <f>+IF(MAYO!T85=0,"",MAYO!T85)</f>
        <v>Personal Supernumerario</v>
      </c>
      <c r="U85" s="1199">
        <f>+ENERO!U85</f>
        <v>0</v>
      </c>
      <c r="V85" s="1200">
        <f>MAYO!V85+JUNIO!AL85</f>
        <v>0</v>
      </c>
      <c r="W85" s="1200">
        <f>MAYO!W85+JUNIO!AM85</f>
        <v>0</v>
      </c>
      <c r="X85" s="1201">
        <f>SUM(U85:W85)</f>
        <v>0</v>
      </c>
      <c r="Y85" s="1202">
        <f>MAYO!AA85</f>
        <v>0</v>
      </c>
      <c r="Z85" s="1194"/>
      <c r="AA85" s="1201">
        <f>SUM(Y85:Z85)</f>
        <v>0</v>
      </c>
      <c r="AB85" s="1202">
        <f>MAYO!AD85</f>
        <v>0</v>
      </c>
      <c r="AC85" s="1194"/>
      <c r="AD85" s="1201">
        <f>SUM(AB85:AC85)</f>
        <v>0</v>
      </c>
      <c r="AE85" s="1202">
        <f>MAYO!AG85</f>
        <v>0</v>
      </c>
      <c r="AF85" s="1194"/>
      <c r="AG85" s="1201">
        <f>SUM(AE85:AF85)</f>
        <v>0</v>
      </c>
      <c r="AH85" s="1202">
        <f>X85-AA85</f>
        <v>0</v>
      </c>
      <c r="AI85" s="1200">
        <f>X85-AD85</f>
        <v>0</v>
      </c>
      <c r="AJ85" s="1204">
        <f>X85-AG85</f>
        <v>0</v>
      </c>
      <c r="AK85" s="1195">
        <f t="shared" si="84"/>
        <v>0</v>
      </c>
      <c r="AL85" s="1193">
        <v>0</v>
      </c>
      <c r="AM85" s="1196">
        <v>0</v>
      </c>
    </row>
    <row r="86" spans="1:39" s="1210" customFormat="1" ht="24.75" customHeight="1" thickBot="1">
      <c r="A86" s="1243" t="str">
        <f>+IF(MAYO!A86=0,"",MAYO!A86)</f>
        <v>1.1.02.05.001.09.02.90.05.99</v>
      </c>
      <c r="B86" s="1244" t="str">
        <f>+IF(MAYO!B86=0,"",MAYO!B86)</f>
        <v>Agendamiento y aplicación de la vacuna COVID 19(Res.166/2021) INSTITUCIONAL</v>
      </c>
      <c r="C86" s="1245">
        <f>+ENERO!C86</f>
        <v>0</v>
      </c>
      <c r="D86" s="1156">
        <f>MAYO!D86+JUNIO!P86</f>
        <v>0</v>
      </c>
      <c r="E86" s="1156">
        <f>MAYO!E86+JUNIO!Q86</f>
        <v>0</v>
      </c>
      <c r="F86" s="1156">
        <f t="shared" ref="F86:F92" si="86">SUM(C86:E86)</f>
        <v>0</v>
      </c>
      <c r="G86" s="1156">
        <f>MAYO!I86</f>
        <v>0</v>
      </c>
      <c r="H86" s="1229"/>
      <c r="I86" s="1156">
        <f t="shared" ref="I86:I92" si="87">SUM(G86:H86)</f>
        <v>0</v>
      </c>
      <c r="J86" s="1156">
        <f>MAYO!L86</f>
        <v>0</v>
      </c>
      <c r="K86" s="1194"/>
      <c r="L86" s="1156">
        <f t="shared" ref="L86:L92" si="88">SUM(J86:K86)</f>
        <v>0</v>
      </c>
      <c r="M86" s="1156">
        <f t="shared" ref="M86:M92" si="89">F86-I86</f>
        <v>0</v>
      </c>
      <c r="N86" s="979">
        <f t="shared" ref="N86:N92" si="90">F86-L86</f>
        <v>0</v>
      </c>
      <c r="O86" s="1208"/>
      <c r="P86" s="1193">
        <v>0</v>
      </c>
      <c r="Q86" s="1196">
        <v>0</v>
      </c>
      <c r="R86" s="1195"/>
      <c r="S86" s="1197" t="str">
        <f>+IF(MAYO!S86=0,"",MAYO!S86)</f>
        <v>1020200-3</v>
      </c>
      <c r="T86" s="1198" t="str">
        <f>+IF(MAYO!T86=0,"",MAYO!T86)</f>
        <v>Otros Honorarios</v>
      </c>
      <c r="U86" s="1199">
        <f>+ENERO!U86</f>
        <v>0</v>
      </c>
      <c r="V86" s="1200">
        <f>MAYO!V86+JUNIO!AL86</f>
        <v>0</v>
      </c>
      <c r="W86" s="1200">
        <f>MAYO!W86+JUNIO!AM86</f>
        <v>0</v>
      </c>
      <c r="X86" s="1201">
        <f>SUM(U86:W86)</f>
        <v>0</v>
      </c>
      <c r="Y86" s="1202">
        <f>MAYO!AA86</f>
        <v>0</v>
      </c>
      <c r="Z86" s="1194">
        <v>0</v>
      </c>
      <c r="AA86" s="1201">
        <f>SUM(Y86:Z86)</f>
        <v>0</v>
      </c>
      <c r="AB86" s="1202">
        <f>MAYO!AD86</f>
        <v>0</v>
      </c>
      <c r="AC86" s="1194"/>
      <c r="AD86" s="1201">
        <f>SUM(AB86:AC86)</f>
        <v>0</v>
      </c>
      <c r="AE86" s="1202">
        <f>MAYO!AG86</f>
        <v>0</v>
      </c>
      <c r="AF86" s="1194">
        <v>0</v>
      </c>
      <c r="AG86" s="1201">
        <f>SUM(AE86:AF86)</f>
        <v>0</v>
      </c>
      <c r="AH86" s="1202">
        <f>X86-AA86</f>
        <v>0</v>
      </c>
      <c r="AI86" s="1200">
        <f>X86-AD86</f>
        <v>0</v>
      </c>
      <c r="AJ86" s="1204">
        <f>X86-AG86</f>
        <v>0</v>
      </c>
      <c r="AK86" s="1195">
        <f t="shared" si="84"/>
        <v>0</v>
      </c>
      <c r="AL86" s="1193">
        <v>0</v>
      </c>
      <c r="AM86" s="1196">
        <v>0</v>
      </c>
    </row>
    <row r="87" spans="1:39" s="1210" customFormat="1" ht="24.75" customHeight="1">
      <c r="A87" s="1243">
        <f>+IF(MAYO!A87=0,"",MAYO!A87)</f>
        <v>1130202</v>
      </c>
      <c r="B87" s="1244">
        <f>+IF(MAYO!B87=0,"",MAYO!B87)</f>
        <v>1130202</v>
      </c>
      <c r="C87" s="1245">
        <f>+ENERO!C87</f>
        <v>0</v>
      </c>
      <c r="D87" s="1156">
        <f>MAYO!D87+JUNIO!P87</f>
        <v>0</v>
      </c>
      <c r="E87" s="1156">
        <f>MAYO!E87+JUNIO!Q87</f>
        <v>0</v>
      </c>
      <c r="F87" s="1156">
        <f t="shared" si="86"/>
        <v>0</v>
      </c>
      <c r="G87" s="1156">
        <f>MAYO!I87</f>
        <v>0</v>
      </c>
      <c r="H87" s="1194"/>
      <c r="I87" s="1156">
        <f t="shared" si="87"/>
        <v>0</v>
      </c>
      <c r="J87" s="1156">
        <f>MAYO!L87</f>
        <v>0</v>
      </c>
      <c r="K87" s="1194"/>
      <c r="L87" s="1156">
        <f t="shared" si="88"/>
        <v>0</v>
      </c>
      <c r="M87" s="1156">
        <f t="shared" si="89"/>
        <v>0</v>
      </c>
      <c r="N87" s="979">
        <f t="shared" si="90"/>
        <v>0</v>
      </c>
      <c r="O87" s="1208"/>
      <c r="P87" s="1193">
        <v>0</v>
      </c>
      <c r="Q87" s="1196">
        <v>0</v>
      </c>
      <c r="R87" s="1195"/>
      <c r="S87" s="1197" t="str">
        <f>+IF(MAYO!S87=0,"",MAYO!S87)</f>
        <v>1020200-4</v>
      </c>
      <c r="T87" s="1198" t="str">
        <f>+IF(MAYO!T87=0,"",MAYO!T87)</f>
        <v>Otros Honorarios</v>
      </c>
      <c r="U87" s="1199">
        <f>+ENERO!U87</f>
        <v>0</v>
      </c>
      <c r="V87" s="1200">
        <f>MAYO!V87+JUNIO!AL87</f>
        <v>0</v>
      </c>
      <c r="W87" s="1200">
        <f>MAYO!W87+JUNIO!AM87</f>
        <v>0</v>
      </c>
      <c r="X87" s="1201">
        <f>SUM(U87:W87)</f>
        <v>0</v>
      </c>
      <c r="Y87" s="1202">
        <f>MAYO!AA87</f>
        <v>0</v>
      </c>
      <c r="Z87" s="1194">
        <v>0</v>
      </c>
      <c r="AA87" s="1201">
        <f>SUM(Y87:Z87)</f>
        <v>0</v>
      </c>
      <c r="AB87" s="1202">
        <f>MAYO!AD87</f>
        <v>0</v>
      </c>
      <c r="AC87" s="1194">
        <v>0</v>
      </c>
      <c r="AD87" s="1201">
        <f>SUM(AB87:AC87)</f>
        <v>0</v>
      </c>
      <c r="AE87" s="1202">
        <f>MAYO!AG87</f>
        <v>0</v>
      </c>
      <c r="AF87" s="1194">
        <v>0</v>
      </c>
      <c r="AG87" s="1201">
        <f>SUM(AE87:AF87)</f>
        <v>0</v>
      </c>
      <c r="AH87" s="1202">
        <f>X87-AA87</f>
        <v>0</v>
      </c>
      <c r="AI87" s="1200">
        <f>X87-AD87</f>
        <v>0</v>
      </c>
      <c r="AJ87" s="1204">
        <f>X87-AG87</f>
        <v>0</v>
      </c>
      <c r="AK87" s="1195">
        <f t="shared" si="84"/>
        <v>0</v>
      </c>
      <c r="AL87" s="1193">
        <v>0</v>
      </c>
      <c r="AM87" s="1196">
        <v>0</v>
      </c>
    </row>
    <row r="88" spans="1:39" ht="24.75" customHeight="1">
      <c r="A88" s="386" t="str">
        <f>+IF(MAYO!A88=0,"",MAYO!A88)</f>
        <v>1.1.02.05.001.08</v>
      </c>
      <c r="B88" s="388" t="str">
        <f>+IF(MAYO!B88=0,"",MAYO!B88)</f>
        <v>Servicios Prestados a las empresas y servicios de produccion</v>
      </c>
      <c r="C88" s="268">
        <f>+ENERO!C88</f>
        <v>0</v>
      </c>
      <c r="D88" s="205">
        <f>MAYO!D88+JUNIO!P88</f>
        <v>0</v>
      </c>
      <c r="E88" s="205">
        <f>MAYO!E88+JUNIO!Q88</f>
        <v>2337265046</v>
      </c>
      <c r="F88" s="680">
        <f t="shared" si="86"/>
        <v>2337265046</v>
      </c>
      <c r="G88" s="205">
        <f>MAYO!I88</f>
        <v>1383079809</v>
      </c>
      <c r="H88" s="208">
        <f>653254378+488066740-187135881</f>
        <v>954185237</v>
      </c>
      <c r="I88" s="205">
        <f t="shared" si="87"/>
        <v>2337265046</v>
      </c>
      <c r="J88" s="205">
        <f>MAYO!L88</f>
        <v>1641910401</v>
      </c>
      <c r="K88" s="208">
        <v>636923019</v>
      </c>
      <c r="L88" s="205">
        <f t="shared" si="88"/>
        <v>2278833420</v>
      </c>
      <c r="M88" s="205">
        <f t="shared" si="89"/>
        <v>0</v>
      </c>
      <c r="N88" s="206">
        <f t="shared" si="90"/>
        <v>58431626</v>
      </c>
      <c r="O88" s="67"/>
      <c r="P88" s="204">
        <v>0</v>
      </c>
      <c r="Q88" s="210">
        <v>0</v>
      </c>
      <c r="R88" s="101" t="s">
        <v>688</v>
      </c>
      <c r="S88" s="266" t="str">
        <f>+IF(MAYO!S88=0,"",MAYO!S88)</f>
        <v>2.1.2.02.02.009.99.01</v>
      </c>
      <c r="T88" s="267" t="s">
        <v>196</v>
      </c>
      <c r="U88" s="373">
        <f>+ENERO!U88</f>
        <v>8835315700</v>
      </c>
      <c r="V88" s="220">
        <f>MAYO!V88+JUNIO!AL88</f>
        <v>2062698533</v>
      </c>
      <c r="W88" s="220">
        <f>MAYO!W88+JUNIO!AM88</f>
        <v>2908182761</v>
      </c>
      <c r="X88" s="271">
        <f>SUM(U88:W88)</f>
        <v>13806196994</v>
      </c>
      <c r="Y88" s="270">
        <f>MAYO!AA88</f>
        <v>13803515450</v>
      </c>
      <c r="Z88" s="208">
        <v>0</v>
      </c>
      <c r="AA88" s="271">
        <f>SUM(Y88:Z88)</f>
        <v>13803515450</v>
      </c>
      <c r="AB88" s="270">
        <f>MAYO!AD88</f>
        <v>13803515450</v>
      </c>
      <c r="AC88" s="208">
        <v>0</v>
      </c>
      <c r="AD88" s="271">
        <f>SUM(AB88:AC88)</f>
        <v>13803515450</v>
      </c>
      <c r="AE88" s="270">
        <f>MAYO!AG88</f>
        <v>13803515450</v>
      </c>
      <c r="AF88" s="208">
        <v>0</v>
      </c>
      <c r="AG88" s="271">
        <f>SUM(AE88:AF88)</f>
        <v>13803515450</v>
      </c>
      <c r="AH88" s="270">
        <f>X88-AA88</f>
        <v>2681544</v>
      </c>
      <c r="AI88" s="220">
        <f>X88-AD88</f>
        <v>2681544</v>
      </c>
      <c r="AJ88" s="269">
        <f>X88-AG88</f>
        <v>2681544</v>
      </c>
      <c r="AK88" s="101"/>
      <c r="AL88" s="204">
        <v>-2450000000</v>
      </c>
      <c r="AM88" s="210">
        <v>0</v>
      </c>
    </row>
    <row r="89" spans="1:39" ht="24.75" customHeight="1">
      <c r="A89" s="386" t="str">
        <f>+IF(MAYO!A89=0,"",MAYO!A89)</f>
        <v>1.1.02.05.001.09.02.90.04</v>
      </c>
      <c r="B89" s="388" t="str">
        <f>+IF(MAYO!B89=0,"",MAYO!B89)</f>
        <v>CONVENIOS CON EL DEPARTAMENTO LIGADOS A LA VENTA SERVICIOS</v>
      </c>
      <c r="C89" s="268">
        <f>+ENERO!C89</f>
        <v>0</v>
      </c>
      <c r="D89" s="205">
        <f>MAYO!D89+JUNIO!P89</f>
        <v>0</v>
      </c>
      <c r="E89" s="205">
        <f>MAYO!E89+JUNIO!Q89</f>
        <v>9574697797</v>
      </c>
      <c r="F89" s="205">
        <f t="shared" si="86"/>
        <v>9574697797</v>
      </c>
      <c r="G89" s="205">
        <f>MAYO!I89</f>
        <v>2100381532</v>
      </c>
      <c r="H89" s="208">
        <v>0</v>
      </c>
      <c r="I89" s="205">
        <f t="shared" si="87"/>
        <v>2100381532</v>
      </c>
      <c r="J89" s="205">
        <f>MAYO!L89</f>
        <v>2079377717</v>
      </c>
      <c r="K89" s="208"/>
      <c r="L89" s="205">
        <f t="shared" si="88"/>
        <v>2079377717</v>
      </c>
      <c r="M89" s="205">
        <f t="shared" si="89"/>
        <v>7474316265</v>
      </c>
      <c r="N89" s="206">
        <f t="shared" si="90"/>
        <v>7495320080</v>
      </c>
      <c r="O89" s="67"/>
      <c r="P89" s="204">
        <v>0</v>
      </c>
      <c r="Q89" s="210">
        <v>0</v>
      </c>
      <c r="R89" s="101"/>
      <c r="S89" s="189" t="str">
        <f>+IF(MAYO!S89=0,"",MAYO!S89)</f>
        <v/>
      </c>
      <c r="T89" s="488" t="str">
        <f>+IF(MAYO!T89=0,"",MAYO!T89)</f>
        <v/>
      </c>
      <c r="U89" s="191"/>
      <c r="V89" s="191"/>
      <c r="W89" s="191"/>
      <c r="X89" s="191"/>
      <c r="Y89" s="191"/>
      <c r="Z89" s="191"/>
      <c r="AA89" s="191"/>
      <c r="AB89" s="191"/>
      <c r="AC89" s="191"/>
      <c r="AD89" s="191"/>
      <c r="AE89" s="191"/>
      <c r="AF89" s="191"/>
      <c r="AG89" s="191"/>
      <c r="AH89" s="191"/>
      <c r="AI89" s="191"/>
      <c r="AJ89" s="192"/>
      <c r="AK89" s="101"/>
      <c r="AL89" s="370"/>
      <c r="AM89" s="371"/>
    </row>
    <row r="90" spans="1:39" ht="24.75" customHeight="1">
      <c r="A90" s="386" t="str">
        <f>+IF(MAYO!A90=0,"",MAYO!A90)</f>
        <v>1.1.02.05.001.09.02.18.03</v>
      </c>
      <c r="B90" s="388" t="str">
        <f>+IF(MAYO!B90=0,"",MAYO!B90)</f>
        <v xml:space="preserve">CONVENIOS CON EL MUNICIPIO LIGADOS A LA VENTA DE SERVICIOS </v>
      </c>
      <c r="C90" s="268">
        <f>+ENERO!C90</f>
        <v>0</v>
      </c>
      <c r="D90" s="205">
        <f>MAYO!D90+JUNIO!P90</f>
        <v>0</v>
      </c>
      <c r="E90" s="205">
        <f>MAYO!E90+JUNIO!Q90</f>
        <v>9662757523</v>
      </c>
      <c r="F90" s="205">
        <f t="shared" si="86"/>
        <v>9662757523</v>
      </c>
      <c r="G90" s="205">
        <f>MAYO!I90</f>
        <v>4275773320</v>
      </c>
      <c r="H90" s="208">
        <f>175760000+400000000+83333333</f>
        <v>659093333</v>
      </c>
      <c r="I90" s="205">
        <f t="shared" si="87"/>
        <v>4934866653</v>
      </c>
      <c r="J90" s="205">
        <f>MAYO!L90</f>
        <v>1505157563</v>
      </c>
      <c r="K90" s="208">
        <v>249999990</v>
      </c>
      <c r="L90" s="205">
        <f t="shared" si="88"/>
        <v>1755157553</v>
      </c>
      <c r="M90" s="205">
        <f t="shared" si="89"/>
        <v>4727890870</v>
      </c>
      <c r="N90" s="206">
        <f t="shared" si="90"/>
        <v>7907599970</v>
      </c>
      <c r="O90" s="67"/>
      <c r="P90" s="204">
        <v>0</v>
      </c>
      <c r="Q90" s="210">
        <v>0</v>
      </c>
      <c r="R90" s="389"/>
      <c r="S90" s="257">
        <f>+IF(MAYO!S90=0,"",MAYO!S90)</f>
        <v>1020300</v>
      </c>
      <c r="T90" s="546" t="str">
        <f>+IF(MAYO!T90=0,"",MAYO!T90)</f>
        <v>Contribuciones Inherentes nómina al Sector Privado</v>
      </c>
      <c r="U90" s="230">
        <f t="shared" ref="U90:AJ90" si="91">U91+U96+U102</f>
        <v>0</v>
      </c>
      <c r="V90" s="231">
        <f t="shared" si="91"/>
        <v>0</v>
      </c>
      <c r="W90" s="231">
        <f t="shared" si="91"/>
        <v>0</v>
      </c>
      <c r="X90" s="234">
        <f t="shared" si="91"/>
        <v>0</v>
      </c>
      <c r="Y90" s="233">
        <f t="shared" si="91"/>
        <v>0</v>
      </c>
      <c r="Z90" s="231">
        <f t="shared" si="91"/>
        <v>0</v>
      </c>
      <c r="AA90" s="234">
        <f t="shared" si="91"/>
        <v>0</v>
      </c>
      <c r="AB90" s="233">
        <f t="shared" si="91"/>
        <v>0</v>
      </c>
      <c r="AC90" s="231">
        <f t="shared" si="91"/>
        <v>0</v>
      </c>
      <c r="AD90" s="234">
        <f t="shared" si="91"/>
        <v>0</v>
      </c>
      <c r="AE90" s="233">
        <f t="shared" si="91"/>
        <v>0</v>
      </c>
      <c r="AF90" s="231">
        <f t="shared" si="91"/>
        <v>0</v>
      </c>
      <c r="AG90" s="234">
        <f t="shared" si="91"/>
        <v>0</v>
      </c>
      <c r="AH90" s="233">
        <f t="shared" si="91"/>
        <v>0</v>
      </c>
      <c r="AI90" s="231">
        <f t="shared" si="91"/>
        <v>0</v>
      </c>
      <c r="AJ90" s="232">
        <f t="shared" si="91"/>
        <v>0</v>
      </c>
      <c r="AK90" s="101"/>
      <c r="AL90" s="233">
        <f>AL91+AL96+AL102</f>
        <v>0</v>
      </c>
      <c r="AM90" s="232">
        <f>AM91+AM96+AM102</f>
        <v>0</v>
      </c>
    </row>
    <row r="91" spans="1:39" ht="24.75" customHeight="1">
      <c r="A91" s="386">
        <f>+IF(MAYO!A91=0,"",MAYO!A91)</f>
        <v>1130206</v>
      </c>
      <c r="B91" s="388" t="str">
        <f>+IF(MAYO!B91=0,"",MAYO!B91)</f>
        <v>OTROS CONVENIOS LIGADOS A LA VENTA DE SERVICIOS</v>
      </c>
      <c r="C91" s="268">
        <f>+ENERO!C91</f>
        <v>0</v>
      </c>
      <c r="D91" s="205">
        <f>MAYO!D91+JUNIO!P91</f>
        <v>0</v>
      </c>
      <c r="E91" s="205">
        <f>MAYO!E91+JUNIO!Q91</f>
        <v>0</v>
      </c>
      <c r="F91" s="205">
        <f t="shared" si="86"/>
        <v>0</v>
      </c>
      <c r="G91" s="205">
        <f>MAYO!I91</f>
        <v>0</v>
      </c>
      <c r="H91" s="208">
        <v>0</v>
      </c>
      <c r="I91" s="205">
        <f t="shared" si="87"/>
        <v>0</v>
      </c>
      <c r="J91" s="205">
        <f>MAYO!L91</f>
        <v>0</v>
      </c>
      <c r="K91" s="208">
        <v>0</v>
      </c>
      <c r="L91" s="205">
        <f t="shared" si="88"/>
        <v>0</v>
      </c>
      <c r="M91" s="205">
        <f t="shared" si="89"/>
        <v>0</v>
      </c>
      <c r="N91" s="206">
        <f t="shared" si="90"/>
        <v>0</v>
      </c>
      <c r="O91" s="67"/>
      <c r="P91" s="204">
        <v>0</v>
      </c>
      <c r="Q91" s="210">
        <v>0</v>
      </c>
      <c r="R91" s="389"/>
      <c r="S91" s="266">
        <f>+IF(MAYO!S91=0,"",MAYO!S91)</f>
        <v>1020301</v>
      </c>
      <c r="T91" s="267" t="str">
        <f>+IF(MAYO!T91=0,"",MAYO!T91)</f>
        <v>Contribuciones - SGP - Aportes Patronales - Cuenta Maestra</v>
      </c>
      <c r="U91" s="373">
        <f t="shared" ref="U91:AJ91" si="92">SUM(U92:U95)</f>
        <v>0</v>
      </c>
      <c r="V91" s="220">
        <f t="shared" si="92"/>
        <v>0</v>
      </c>
      <c r="W91" s="220">
        <f t="shared" si="92"/>
        <v>0</v>
      </c>
      <c r="X91" s="271">
        <f t="shared" si="92"/>
        <v>0</v>
      </c>
      <c r="Y91" s="270">
        <f t="shared" si="92"/>
        <v>0</v>
      </c>
      <c r="Z91" s="300">
        <f t="shared" si="92"/>
        <v>0</v>
      </c>
      <c r="AA91" s="271">
        <f t="shared" si="92"/>
        <v>0</v>
      </c>
      <c r="AB91" s="270">
        <f t="shared" si="92"/>
        <v>0</v>
      </c>
      <c r="AC91" s="300">
        <f t="shared" si="92"/>
        <v>0</v>
      </c>
      <c r="AD91" s="271">
        <f t="shared" si="92"/>
        <v>0</v>
      </c>
      <c r="AE91" s="270">
        <f t="shared" si="92"/>
        <v>0</v>
      </c>
      <c r="AF91" s="300">
        <f t="shared" si="92"/>
        <v>0</v>
      </c>
      <c r="AG91" s="271">
        <f t="shared" si="92"/>
        <v>0</v>
      </c>
      <c r="AH91" s="270">
        <f t="shared" si="92"/>
        <v>0</v>
      </c>
      <c r="AI91" s="220">
        <f t="shared" si="92"/>
        <v>0</v>
      </c>
      <c r="AJ91" s="269">
        <f t="shared" si="92"/>
        <v>0</v>
      </c>
      <c r="AK91" s="101"/>
      <c r="AL91" s="301">
        <f>SUM(AL92:AL95)</f>
        <v>0</v>
      </c>
      <c r="AM91" s="302">
        <f>SUM(AM92:AM95)</f>
        <v>0</v>
      </c>
    </row>
    <row r="92" spans="1:39" ht="24.75" customHeight="1" thickBot="1">
      <c r="A92" s="386" t="str">
        <f>+IF(MAYO!A92=0,"",MAYO!A92)</f>
        <v>1.1.02.05.001.09.02.90.05.99</v>
      </c>
      <c r="B92" s="390" t="str">
        <f>+IF(MAYO!B92=0,"",MAYO!B92)</f>
        <v>Vigencia Anterior de Otros Convenios de Salud Nacionales (vacunacion covid-19 agendamiento y aplicación)</v>
      </c>
      <c r="C92" s="391">
        <f>+ENERO!C92</f>
        <v>0</v>
      </c>
      <c r="D92" s="243">
        <f>MAYO!D92+JUNIO!P92</f>
        <v>0</v>
      </c>
      <c r="E92" s="243">
        <f>MAYO!E92+JUNIO!Q92</f>
        <v>0</v>
      </c>
      <c r="F92" s="243">
        <f t="shared" si="86"/>
        <v>0</v>
      </c>
      <c r="G92" s="243">
        <f>MAYO!I92</f>
        <v>0</v>
      </c>
      <c r="H92" s="246"/>
      <c r="I92" s="429">
        <f t="shared" si="87"/>
        <v>0</v>
      </c>
      <c r="J92" s="243">
        <f>MAYO!L92</f>
        <v>0</v>
      </c>
      <c r="K92" s="246">
        <v>0</v>
      </c>
      <c r="L92" s="429">
        <f t="shared" si="88"/>
        <v>0</v>
      </c>
      <c r="M92" s="243">
        <f t="shared" si="89"/>
        <v>0</v>
      </c>
      <c r="N92" s="244">
        <f t="shared" si="90"/>
        <v>0</v>
      </c>
      <c r="O92" s="67"/>
      <c r="P92" s="204">
        <v>0</v>
      </c>
      <c r="Q92" s="210">
        <v>0</v>
      </c>
      <c r="R92" s="389"/>
      <c r="S92" s="311" t="str">
        <f>+IF(MAYO!S92=0,"",MAYO!S92)</f>
        <v>1020301-1</v>
      </c>
      <c r="T92" s="312" t="str">
        <f>+IF(MAYO!T92=0,"",MAYO!T92)</f>
        <v>E.P.S. - Aportes cuenta maestra</v>
      </c>
      <c r="U92" s="373">
        <f>+ENERO!U92</f>
        <v>0</v>
      </c>
      <c r="V92" s="220">
        <f>MAYO!V92+JUNIO!AL92</f>
        <v>0</v>
      </c>
      <c r="W92" s="220">
        <f>MAYO!W92+JUNIO!AM92</f>
        <v>0</v>
      </c>
      <c r="X92" s="271">
        <f>SUM(U92:W92)</f>
        <v>0</v>
      </c>
      <c r="Y92" s="270">
        <f>MAYO!AA92</f>
        <v>0</v>
      </c>
      <c r="Z92" s="208">
        <v>0</v>
      </c>
      <c r="AA92" s="271">
        <f>SUM(Y92:Z92)</f>
        <v>0</v>
      </c>
      <c r="AB92" s="270">
        <f>MAYO!AD92</f>
        <v>0</v>
      </c>
      <c r="AC92" s="208">
        <v>0</v>
      </c>
      <c r="AD92" s="271">
        <f>SUM(AB92:AC92)</f>
        <v>0</v>
      </c>
      <c r="AE92" s="270">
        <f>MAYO!AG92</f>
        <v>0</v>
      </c>
      <c r="AF92" s="208">
        <v>0</v>
      </c>
      <c r="AG92" s="271">
        <f>SUM(AE92:AF92)</f>
        <v>0</v>
      </c>
      <c r="AH92" s="270">
        <f>X92-AA92</f>
        <v>0</v>
      </c>
      <c r="AI92" s="220">
        <f>X92-AD92</f>
        <v>0</v>
      </c>
      <c r="AJ92" s="269">
        <f>X92-AG92</f>
        <v>0</v>
      </c>
      <c r="AK92" s="101"/>
      <c r="AL92" s="204">
        <v>0</v>
      </c>
      <c r="AM92" s="210">
        <v>0</v>
      </c>
    </row>
    <row r="93" spans="1:39" ht="24.75" customHeight="1" thickBot="1">
      <c r="A93" s="378" t="str">
        <f>+IF(MAYO!A93=0,"",MAYO!A93)</f>
        <v/>
      </c>
      <c r="B93" s="379" t="str">
        <f>+IF(MAYO!B93=0,"",MAYO!B93)</f>
        <v/>
      </c>
      <c r="C93" s="67"/>
      <c r="D93" s="67"/>
      <c r="E93" s="67"/>
      <c r="F93" s="67"/>
      <c r="G93" s="67"/>
      <c r="H93" s="67"/>
      <c r="I93" s="67"/>
      <c r="J93" s="67"/>
      <c r="K93" s="67"/>
      <c r="L93" s="67"/>
      <c r="M93" s="67"/>
      <c r="N93" s="283"/>
      <c r="O93" s="369"/>
      <c r="P93" s="380"/>
      <c r="Q93" s="254"/>
      <c r="R93" s="389"/>
      <c r="S93" s="311" t="str">
        <f>+IF(MAYO!S93=0,"",MAYO!S93)</f>
        <v>1020301-2</v>
      </c>
      <c r="T93" s="312" t="str">
        <f>+IF(MAYO!T93=0,"",MAYO!T93)</f>
        <v>Fondos pensionales - Aportes cuenta maestra</v>
      </c>
      <c r="U93" s="373">
        <f>+ENERO!U93</f>
        <v>0</v>
      </c>
      <c r="V93" s="220">
        <f>MAYO!V93+JUNIO!AL93</f>
        <v>0</v>
      </c>
      <c r="W93" s="220">
        <f>MAYO!W93+JUNIO!AM93</f>
        <v>0</v>
      </c>
      <c r="X93" s="271">
        <f>SUM(U93:W93)</f>
        <v>0</v>
      </c>
      <c r="Y93" s="270">
        <f>MAYO!AA93</f>
        <v>0</v>
      </c>
      <c r="Z93" s="208">
        <v>0</v>
      </c>
      <c r="AA93" s="271">
        <f>SUM(Y93:Z93)</f>
        <v>0</v>
      </c>
      <c r="AB93" s="270">
        <f>MAYO!AD93</f>
        <v>0</v>
      </c>
      <c r="AC93" s="208">
        <v>0</v>
      </c>
      <c r="AD93" s="271">
        <f>SUM(AB93:AC93)</f>
        <v>0</v>
      </c>
      <c r="AE93" s="270">
        <f>MAYO!AG93</f>
        <v>0</v>
      </c>
      <c r="AF93" s="208">
        <v>0</v>
      </c>
      <c r="AG93" s="271">
        <f>SUM(AE93:AF93)</f>
        <v>0</v>
      </c>
      <c r="AH93" s="270">
        <f>X93-AA93</f>
        <v>0</v>
      </c>
      <c r="AI93" s="220">
        <f>X93-AD93</f>
        <v>0</v>
      </c>
      <c r="AJ93" s="269">
        <f>X93-AG93</f>
        <v>0</v>
      </c>
      <c r="AK93" s="101"/>
      <c r="AL93" s="204">
        <v>0</v>
      </c>
      <c r="AM93" s="210">
        <v>0</v>
      </c>
    </row>
    <row r="94" spans="1:39" ht="31.5" customHeight="1">
      <c r="A94" s="392" t="str">
        <f>+IF(MAYO!A94=0,"",MAYO!A94)</f>
        <v>1.1.02.06.006.06</v>
      </c>
      <c r="B94" s="393" t="str">
        <f>+IF(MAYO!B94=0,"",MAYO!B94)</f>
        <v>Aportes (No ligados a la venta de servicios de salud)</v>
      </c>
      <c r="C94" s="383">
        <f t="shared" ref="C94:N94" si="93">SUM(C95:C102)</f>
        <v>650000000</v>
      </c>
      <c r="D94" s="384">
        <f t="shared" si="93"/>
        <v>0</v>
      </c>
      <c r="E94" s="384">
        <f t="shared" si="93"/>
        <v>0</v>
      </c>
      <c r="F94" s="384">
        <f t="shared" si="93"/>
        <v>650000000</v>
      </c>
      <c r="G94" s="384">
        <f t="shared" si="93"/>
        <v>0</v>
      </c>
      <c r="H94" s="384">
        <f t="shared" si="93"/>
        <v>565171384</v>
      </c>
      <c r="I94" s="384">
        <f t="shared" si="93"/>
        <v>565171384</v>
      </c>
      <c r="J94" s="384">
        <f t="shared" si="93"/>
        <v>0</v>
      </c>
      <c r="K94" s="384">
        <f t="shared" si="93"/>
        <v>565171384</v>
      </c>
      <c r="L94" s="384">
        <f t="shared" si="93"/>
        <v>565171384</v>
      </c>
      <c r="M94" s="384">
        <f t="shared" si="93"/>
        <v>84828616</v>
      </c>
      <c r="N94" s="385">
        <f t="shared" si="93"/>
        <v>84828616</v>
      </c>
      <c r="O94" s="67"/>
      <c r="P94" s="288">
        <f>SUM(P95:P102)</f>
        <v>0</v>
      </c>
      <c r="Q94" s="289">
        <f>SUM(Q95:Q102)</f>
        <v>0</v>
      </c>
      <c r="R94" s="389"/>
      <c r="S94" s="311" t="str">
        <f>+IF(MAYO!S94=0,"",MAYO!S94)</f>
        <v>1020301-3</v>
      </c>
      <c r="T94" s="312" t="str">
        <f>+IF(MAYO!T94=0,"",MAYO!T94)</f>
        <v>Fondos de cesantías - Aportes cuenta maestra</v>
      </c>
      <c r="U94" s="373">
        <f>+ENERO!U94</f>
        <v>0</v>
      </c>
      <c r="V94" s="220">
        <f>MAYO!V94+JUNIO!AL94</f>
        <v>0</v>
      </c>
      <c r="W94" s="220">
        <f>MAYO!W94+JUNIO!AM94</f>
        <v>0</v>
      </c>
      <c r="X94" s="271">
        <f>SUM(U94:W94)</f>
        <v>0</v>
      </c>
      <c r="Y94" s="270">
        <f>MAYO!AA94</f>
        <v>0</v>
      </c>
      <c r="Z94" s="208">
        <v>0</v>
      </c>
      <c r="AA94" s="271">
        <f>SUM(Y94:Z94)</f>
        <v>0</v>
      </c>
      <c r="AB94" s="270">
        <f>MAYO!AD94</f>
        <v>0</v>
      </c>
      <c r="AC94" s="208">
        <v>0</v>
      </c>
      <c r="AD94" s="271">
        <f>SUM(AB94:AC94)</f>
        <v>0</v>
      </c>
      <c r="AE94" s="270">
        <f>MAYO!AG94</f>
        <v>0</v>
      </c>
      <c r="AF94" s="208">
        <v>0</v>
      </c>
      <c r="AG94" s="271">
        <f>SUM(AE94:AF94)</f>
        <v>0</v>
      </c>
      <c r="AH94" s="270">
        <f>X94-AA94</f>
        <v>0</v>
      </c>
      <c r="AI94" s="220">
        <f>X94-AD94</f>
        <v>0</v>
      </c>
      <c r="AJ94" s="269">
        <f>X94-AG94</f>
        <v>0</v>
      </c>
      <c r="AK94" s="101"/>
      <c r="AL94" s="204">
        <v>0</v>
      </c>
      <c r="AM94" s="210">
        <v>0</v>
      </c>
    </row>
    <row r="95" spans="1:39" ht="24.75" customHeight="1">
      <c r="A95" s="394" t="str">
        <f>+IF(MAYO!A95=0,"",MAYO!A95)</f>
        <v>1.2.08.06.002</v>
      </c>
      <c r="B95" s="397" t="str">
        <f>+IF(MAYO!B95=0,"",MAYO!B95)</f>
        <v>Condicionadas a la adquisicion de un activo</v>
      </c>
      <c r="C95" s="268">
        <f>+ENERO!C95</f>
        <v>0</v>
      </c>
      <c r="D95" s="205">
        <f>MAYO!D95+JUNIO!P95</f>
        <v>0</v>
      </c>
      <c r="E95" s="205">
        <f>MAYO!E95+JUNIO!Q95</f>
        <v>0</v>
      </c>
      <c r="F95" s="205">
        <f t="shared" ref="F95:F102" si="94">SUM(C95:E95)</f>
        <v>0</v>
      </c>
      <c r="G95" s="205">
        <f>MAYO!I95</f>
        <v>0</v>
      </c>
      <c r="H95" s="208">
        <v>0</v>
      </c>
      <c r="I95" s="205">
        <f t="shared" ref="I95:I102" si="95">SUM(G95:H95)</f>
        <v>0</v>
      </c>
      <c r="J95" s="205">
        <f>MAYO!L95</f>
        <v>0</v>
      </c>
      <c r="K95" s="208">
        <v>0</v>
      </c>
      <c r="L95" s="205">
        <f t="shared" ref="L95:L102" si="96">SUM(J95:K95)</f>
        <v>0</v>
      </c>
      <c r="M95" s="205">
        <f t="shared" ref="M95:M102" si="97">F95-I95</f>
        <v>0</v>
      </c>
      <c r="N95" s="206">
        <f t="shared" ref="N95:N102" si="98">F95-L95</f>
        <v>0</v>
      </c>
      <c r="O95" s="67"/>
      <c r="P95" s="204">
        <v>0</v>
      </c>
      <c r="Q95" s="210">
        <v>0</v>
      </c>
      <c r="R95" s="389"/>
      <c r="S95" s="311" t="str">
        <f>+IF(MAYO!S95=0,"",MAYO!S95)</f>
        <v>1020301-4</v>
      </c>
      <c r="T95" s="312" t="str">
        <f>+IF(MAYO!T95=0,"",MAYO!T95)</f>
        <v>Riesgos laborales - Aportes cuenta maestra</v>
      </c>
      <c r="U95" s="373">
        <f>+ENERO!U95</f>
        <v>0</v>
      </c>
      <c r="V95" s="220">
        <f>MAYO!V95+JUNIO!AL95</f>
        <v>0</v>
      </c>
      <c r="W95" s="220">
        <f>MAYO!W95+JUNIO!AM95</f>
        <v>0</v>
      </c>
      <c r="X95" s="271">
        <f>SUM(U95:W95)</f>
        <v>0</v>
      </c>
      <c r="Y95" s="270">
        <f>MAYO!AA95</f>
        <v>0</v>
      </c>
      <c r="Z95" s="208">
        <v>0</v>
      </c>
      <c r="AA95" s="271">
        <f>SUM(Y95:Z95)</f>
        <v>0</v>
      </c>
      <c r="AB95" s="270">
        <f>MAYO!AD95</f>
        <v>0</v>
      </c>
      <c r="AC95" s="208">
        <v>0</v>
      </c>
      <c r="AD95" s="271">
        <f>SUM(AB95:AC95)</f>
        <v>0</v>
      </c>
      <c r="AE95" s="270">
        <f>MAYO!AG95</f>
        <v>0</v>
      </c>
      <c r="AF95" s="208">
        <v>0</v>
      </c>
      <c r="AG95" s="271">
        <f>SUM(AE95:AF95)</f>
        <v>0</v>
      </c>
      <c r="AH95" s="270">
        <f>X95-AA95</f>
        <v>0</v>
      </c>
      <c r="AI95" s="220">
        <f>X95-AD95</f>
        <v>0</v>
      </c>
      <c r="AJ95" s="269">
        <f>X95-AG95</f>
        <v>0</v>
      </c>
      <c r="AK95" s="101"/>
      <c r="AL95" s="204">
        <v>0</v>
      </c>
      <c r="AM95" s="210">
        <v>0</v>
      </c>
    </row>
    <row r="96" spans="1:39" ht="24.75" customHeight="1">
      <c r="A96" s="394" t="str">
        <f>+IF(MAYO!A96=0,"",MAYO!A96)</f>
        <v>1.1.02.06.007.02.08</v>
      </c>
      <c r="B96" s="397" t="str">
        <f>+IF(MAYO!B96=0,"",MAYO!B96)</f>
        <v>Aportes del Departamento - Subsidio a la Oferta</v>
      </c>
      <c r="C96" s="268">
        <f>+ENERO!C96</f>
        <v>0</v>
      </c>
      <c r="D96" s="205">
        <f>MAYO!D96+JUNIO!P96</f>
        <v>0</v>
      </c>
      <c r="E96" s="205">
        <f>MAYO!E96+JUNIO!Q96</f>
        <v>0</v>
      </c>
      <c r="F96" s="205">
        <f t="shared" si="94"/>
        <v>0</v>
      </c>
      <c r="G96" s="205">
        <f>MAYO!I96</f>
        <v>0</v>
      </c>
      <c r="H96" s="208">
        <v>0</v>
      </c>
      <c r="I96" s="205">
        <f t="shared" si="95"/>
        <v>0</v>
      </c>
      <c r="J96" s="205">
        <f>MAYO!L96</f>
        <v>0</v>
      </c>
      <c r="K96" s="208">
        <v>0</v>
      </c>
      <c r="L96" s="205">
        <f t="shared" si="96"/>
        <v>0</v>
      </c>
      <c r="M96" s="205">
        <f t="shared" si="97"/>
        <v>0</v>
      </c>
      <c r="N96" s="206">
        <f t="shared" si="98"/>
        <v>0</v>
      </c>
      <c r="O96" s="67"/>
      <c r="P96" s="204">
        <v>0</v>
      </c>
      <c r="Q96" s="210">
        <v>0</v>
      </c>
      <c r="R96" s="389"/>
      <c r="S96" s="266">
        <f>+IF(MAYO!S96=0,"",MAYO!S96)</f>
        <v>1020302</v>
      </c>
      <c r="T96" s="267" t="str">
        <f>+IF(MAYO!T96=0,"",MAYO!T96)</f>
        <v>Contribuciones - Otros</v>
      </c>
      <c r="U96" s="373">
        <f t="shared" ref="U96:AJ96" si="99">SUM(U97:U101)</f>
        <v>0</v>
      </c>
      <c r="V96" s="220">
        <f t="shared" si="99"/>
        <v>0</v>
      </c>
      <c r="W96" s="220">
        <f t="shared" si="99"/>
        <v>0</v>
      </c>
      <c r="X96" s="271">
        <f t="shared" si="99"/>
        <v>0</v>
      </c>
      <c r="Y96" s="270">
        <f t="shared" si="99"/>
        <v>0</v>
      </c>
      <c r="Z96" s="300">
        <f t="shared" si="99"/>
        <v>0</v>
      </c>
      <c r="AA96" s="271">
        <f t="shared" si="99"/>
        <v>0</v>
      </c>
      <c r="AB96" s="270">
        <f t="shared" si="99"/>
        <v>0</v>
      </c>
      <c r="AC96" s="300">
        <f t="shared" si="99"/>
        <v>0</v>
      </c>
      <c r="AD96" s="271">
        <f t="shared" si="99"/>
        <v>0</v>
      </c>
      <c r="AE96" s="270">
        <f t="shared" si="99"/>
        <v>0</v>
      </c>
      <c r="AF96" s="300">
        <f t="shared" si="99"/>
        <v>0</v>
      </c>
      <c r="AG96" s="271">
        <f t="shared" si="99"/>
        <v>0</v>
      </c>
      <c r="AH96" s="270">
        <f t="shared" si="99"/>
        <v>0</v>
      </c>
      <c r="AI96" s="220">
        <f t="shared" si="99"/>
        <v>0</v>
      </c>
      <c r="AJ96" s="269">
        <f t="shared" si="99"/>
        <v>0</v>
      </c>
      <c r="AK96" s="389"/>
      <c r="AL96" s="395">
        <f>SUM(AL97:AL101)</f>
        <v>0</v>
      </c>
      <c r="AM96" s="396">
        <f>SUM(AM97:AM101)</f>
        <v>0</v>
      </c>
    </row>
    <row r="97" spans="1:39" ht="24.75" customHeight="1">
      <c r="A97" s="394" t="str">
        <f>+IF(MAYO!A97=0,"",MAYO!A97)</f>
        <v>1.1.02.06.007.02.08</v>
      </c>
      <c r="B97" s="397" t="str">
        <f>+IF(MAYO!B97=0,"",MAYO!B97)</f>
        <v>Aportes del Municipio para fortalecimiento</v>
      </c>
      <c r="C97" s="268">
        <f>+ENERO!C97</f>
        <v>0</v>
      </c>
      <c r="D97" s="205">
        <f>MAYO!D97+JUNIO!P97</f>
        <v>0</v>
      </c>
      <c r="E97" s="205">
        <f>MAYO!E97+JUNIO!Q97</f>
        <v>0</v>
      </c>
      <c r="F97" s="205">
        <f t="shared" si="94"/>
        <v>0</v>
      </c>
      <c r="G97" s="205">
        <f>MAYO!I97</f>
        <v>0</v>
      </c>
      <c r="H97" s="208">
        <v>0</v>
      </c>
      <c r="I97" s="205">
        <f t="shared" si="95"/>
        <v>0</v>
      </c>
      <c r="J97" s="205">
        <f>MAYO!L97</f>
        <v>0</v>
      </c>
      <c r="K97" s="208">
        <v>0</v>
      </c>
      <c r="L97" s="205">
        <f t="shared" si="96"/>
        <v>0</v>
      </c>
      <c r="M97" s="205">
        <f t="shared" si="97"/>
        <v>0</v>
      </c>
      <c r="N97" s="206">
        <f t="shared" si="98"/>
        <v>0</v>
      </c>
      <c r="O97" s="67"/>
      <c r="P97" s="204">
        <v>0</v>
      </c>
      <c r="Q97" s="210">
        <v>0</v>
      </c>
      <c r="R97" s="389"/>
      <c r="S97" s="311" t="str">
        <f>+IF(MAYO!S97=0,"",MAYO!S97)</f>
        <v>2.1.1.01.02.002-1</v>
      </c>
      <c r="T97" s="312" t="str">
        <f>+IF(MAYO!T97=0,"",MAYO!T97)</f>
        <v>Aportes a E.P.S. - recursos propios</v>
      </c>
      <c r="U97" s="373">
        <f>+ENERO!U97</f>
        <v>0</v>
      </c>
      <c r="V97" s="220">
        <f>MAYO!V97+JUNIO!AL97</f>
        <v>0</v>
      </c>
      <c r="W97" s="220">
        <f>MAYO!W97+JUNIO!AM97</f>
        <v>0</v>
      </c>
      <c r="X97" s="271">
        <f t="shared" ref="X97:X102" si="100">SUM(U97:W97)</f>
        <v>0</v>
      </c>
      <c r="Y97" s="270">
        <f>MAYO!AA97</f>
        <v>0</v>
      </c>
      <c r="Z97" s="208">
        <v>0</v>
      </c>
      <c r="AA97" s="271">
        <f t="shared" ref="AA97:AA102" si="101">SUM(Y97:Z97)</f>
        <v>0</v>
      </c>
      <c r="AB97" s="270">
        <f>MAYO!AD97</f>
        <v>0</v>
      </c>
      <c r="AC97" s="208">
        <v>0</v>
      </c>
      <c r="AD97" s="271">
        <f t="shared" ref="AD97:AD102" si="102">SUM(AB97:AC97)</f>
        <v>0</v>
      </c>
      <c r="AE97" s="270">
        <f>MAYO!AG97</f>
        <v>0</v>
      </c>
      <c r="AF97" s="208">
        <v>0</v>
      </c>
      <c r="AG97" s="271">
        <f t="shared" ref="AG97:AG102" si="103">SUM(AE97:AF97)</f>
        <v>0</v>
      </c>
      <c r="AH97" s="270">
        <f t="shared" ref="AH97:AH102" si="104">X97-AA97</f>
        <v>0</v>
      </c>
      <c r="AI97" s="220">
        <f t="shared" ref="AI97:AI102" si="105">X97-AD97</f>
        <v>0</v>
      </c>
      <c r="AJ97" s="269">
        <f t="shared" ref="AJ97:AJ102" si="106">X97-AG97</f>
        <v>0</v>
      </c>
      <c r="AK97" s="389"/>
      <c r="AL97" s="204">
        <v>0</v>
      </c>
      <c r="AM97" s="210">
        <v>0</v>
      </c>
    </row>
    <row r="98" spans="1:39" ht="24.75" customHeight="1">
      <c r="A98" s="394" t="str">
        <f>+IF(MAYO!A98=0,"",MAYO!A98)</f>
        <v>1.1.02.06.007.02.08</v>
      </c>
      <c r="B98" s="397" t="str">
        <f>+IF(MAYO!B98=0,"",MAYO!B98)</f>
        <v>Transferencias para las Empresas Sociales del Estado</v>
      </c>
      <c r="C98" s="268">
        <f>+ENERO!C98</f>
        <v>0</v>
      </c>
      <c r="D98" s="205">
        <f>MAYO!D98+JUNIO!P98</f>
        <v>0</v>
      </c>
      <c r="E98" s="205">
        <f>MAYO!E98+JUNIO!Q98</f>
        <v>0</v>
      </c>
      <c r="F98" s="205">
        <f t="shared" si="94"/>
        <v>0</v>
      </c>
      <c r="G98" s="205">
        <f>MAYO!I98</f>
        <v>0</v>
      </c>
      <c r="H98" s="208">
        <v>0</v>
      </c>
      <c r="I98" s="205">
        <f t="shared" si="95"/>
        <v>0</v>
      </c>
      <c r="J98" s="205">
        <f>MAYO!L98</f>
        <v>0</v>
      </c>
      <c r="K98" s="208">
        <v>0</v>
      </c>
      <c r="L98" s="205">
        <f t="shared" si="96"/>
        <v>0</v>
      </c>
      <c r="M98" s="205">
        <f t="shared" si="97"/>
        <v>0</v>
      </c>
      <c r="N98" s="206">
        <f t="shared" si="98"/>
        <v>0</v>
      </c>
      <c r="O98" s="67"/>
      <c r="P98" s="204">
        <v>0</v>
      </c>
      <c r="Q98" s="210">
        <v>0</v>
      </c>
      <c r="R98" s="389"/>
      <c r="S98" s="311" t="str">
        <f>+IF(MAYO!S98=0,"",MAYO!S98)</f>
        <v>2.1.1.01.02.001-1</v>
      </c>
      <c r="T98" s="312" t="str">
        <f>+IF(MAYO!T98=0,"",MAYO!T98)</f>
        <v>Aportes Fondos Pensionales - recursos propios</v>
      </c>
      <c r="U98" s="373">
        <f>+ENERO!U98</f>
        <v>0</v>
      </c>
      <c r="V98" s="220">
        <f>MAYO!V98+JUNIO!AL98</f>
        <v>0</v>
      </c>
      <c r="W98" s="220">
        <f>MAYO!W98+JUNIO!AM98</f>
        <v>0</v>
      </c>
      <c r="X98" s="271">
        <f t="shared" si="100"/>
        <v>0</v>
      </c>
      <c r="Y98" s="270">
        <f>MAYO!AA98</f>
        <v>0</v>
      </c>
      <c r="Z98" s="208">
        <v>0</v>
      </c>
      <c r="AA98" s="271">
        <f t="shared" si="101"/>
        <v>0</v>
      </c>
      <c r="AB98" s="270">
        <f>MAYO!AD98</f>
        <v>0</v>
      </c>
      <c r="AC98" s="208">
        <v>0</v>
      </c>
      <c r="AD98" s="271">
        <f t="shared" si="102"/>
        <v>0</v>
      </c>
      <c r="AE98" s="270">
        <f>MAYO!AG98</f>
        <v>0</v>
      </c>
      <c r="AF98" s="208">
        <v>0</v>
      </c>
      <c r="AG98" s="271">
        <f t="shared" si="103"/>
        <v>0</v>
      </c>
      <c r="AH98" s="270">
        <f t="shared" si="104"/>
        <v>0</v>
      </c>
      <c r="AI98" s="220">
        <f t="shared" si="105"/>
        <v>0</v>
      </c>
      <c r="AJ98" s="269">
        <f t="shared" si="106"/>
        <v>0</v>
      </c>
      <c r="AK98" s="389"/>
      <c r="AL98" s="204">
        <v>0</v>
      </c>
      <c r="AM98" s="210">
        <v>0</v>
      </c>
    </row>
    <row r="99" spans="1:39" ht="24.75" customHeight="1">
      <c r="A99" s="394" t="str">
        <f>+IF(MAYO!A99=0,"",MAYO!A99)</f>
        <v>11303-5</v>
      </c>
      <c r="B99" s="397" t="str">
        <f>+IF(MAYO!B99=0,"",MAYO!B99)</f>
        <v>RECURSOS PARA PROGRAMA DE SANEAMIENTO FINANCIERO</v>
      </c>
      <c r="C99" s="268">
        <f>+ENERO!C99</f>
        <v>0</v>
      </c>
      <c r="D99" s="205">
        <f>MAYO!D99+JUNIO!P99</f>
        <v>0</v>
      </c>
      <c r="E99" s="205">
        <f>MAYO!E99+JUNIO!Q99</f>
        <v>0</v>
      </c>
      <c r="F99" s="205">
        <f t="shared" si="94"/>
        <v>0</v>
      </c>
      <c r="G99" s="205">
        <f>MAYO!I99</f>
        <v>0</v>
      </c>
      <c r="H99" s="208">
        <v>0</v>
      </c>
      <c r="I99" s="205">
        <f t="shared" si="95"/>
        <v>0</v>
      </c>
      <c r="J99" s="205">
        <f>MAYO!L99</f>
        <v>0</v>
      </c>
      <c r="K99" s="208">
        <v>0</v>
      </c>
      <c r="L99" s="205">
        <f t="shared" si="96"/>
        <v>0</v>
      </c>
      <c r="M99" s="205">
        <f t="shared" si="97"/>
        <v>0</v>
      </c>
      <c r="N99" s="206">
        <f t="shared" si="98"/>
        <v>0</v>
      </c>
      <c r="O99" s="67"/>
      <c r="P99" s="204">
        <v>0</v>
      </c>
      <c r="Q99" s="210">
        <v>0</v>
      </c>
      <c r="R99" s="389"/>
      <c r="S99" s="311" t="str">
        <f>+IF(MAYO!S99=0,"",MAYO!S99)</f>
        <v>2.1.1.01.02.003-1</v>
      </c>
      <c r="T99" s="312" t="str">
        <f>+IF(MAYO!T99=0,"",MAYO!T99)</f>
        <v>Aportes a Fondos de Cesantia - recursos propios</v>
      </c>
      <c r="U99" s="373">
        <f>+ENERO!U99</f>
        <v>0</v>
      </c>
      <c r="V99" s="220">
        <f>MAYO!V99+JUNIO!AL99</f>
        <v>0</v>
      </c>
      <c r="W99" s="220">
        <f>MAYO!W99+JUNIO!AM99</f>
        <v>0</v>
      </c>
      <c r="X99" s="271">
        <f t="shared" si="100"/>
        <v>0</v>
      </c>
      <c r="Y99" s="270">
        <f>MAYO!AA99</f>
        <v>0</v>
      </c>
      <c r="Z99" s="208">
        <v>0</v>
      </c>
      <c r="AA99" s="271">
        <f t="shared" si="101"/>
        <v>0</v>
      </c>
      <c r="AB99" s="270">
        <f>MAYO!AD99</f>
        <v>0</v>
      </c>
      <c r="AC99" s="208">
        <v>0</v>
      </c>
      <c r="AD99" s="271">
        <f t="shared" si="102"/>
        <v>0</v>
      </c>
      <c r="AE99" s="270">
        <f>MAYO!AG99</f>
        <v>0</v>
      </c>
      <c r="AF99" s="208">
        <v>0</v>
      </c>
      <c r="AG99" s="271">
        <f t="shared" si="103"/>
        <v>0</v>
      </c>
      <c r="AH99" s="270">
        <f t="shared" si="104"/>
        <v>0</v>
      </c>
      <c r="AI99" s="220">
        <f t="shared" si="105"/>
        <v>0</v>
      </c>
      <c r="AJ99" s="269">
        <f t="shared" si="106"/>
        <v>0</v>
      </c>
      <c r="AK99" s="389"/>
      <c r="AL99" s="204">
        <v>0</v>
      </c>
      <c r="AM99" s="210">
        <v>0</v>
      </c>
    </row>
    <row r="100" spans="1:39" ht="24.75" customHeight="1">
      <c r="A100" s="394" t="str">
        <f>+IF(MAYO!A100=0,"",MAYO!A100)</f>
        <v>1.1.02.06.006.07</v>
      </c>
      <c r="B100" s="397" t="str">
        <f>+IF(MAYO!B100=0,"",MAYO!B100)</f>
        <v>ESTAMPILLA PROHOSPITALES</v>
      </c>
      <c r="C100" s="268">
        <f>+ENERO!C100</f>
        <v>650000000</v>
      </c>
      <c r="D100" s="205">
        <f>MAYO!D100+JUNIO!P100</f>
        <v>0</v>
      </c>
      <c r="E100" s="205">
        <f>MAYO!E100+JUNIO!Q100</f>
        <v>0</v>
      </c>
      <c r="F100" s="205">
        <f t="shared" si="94"/>
        <v>650000000</v>
      </c>
      <c r="G100" s="205">
        <f>MAYO!I100</f>
        <v>0</v>
      </c>
      <c r="H100" s="208">
        <v>565171384</v>
      </c>
      <c r="I100" s="205">
        <f t="shared" si="95"/>
        <v>565171384</v>
      </c>
      <c r="J100" s="205">
        <f>MAYO!L100</f>
        <v>0</v>
      </c>
      <c r="K100" s="208">
        <v>565171384</v>
      </c>
      <c r="L100" s="205">
        <f t="shared" si="96"/>
        <v>565171384</v>
      </c>
      <c r="M100" s="205">
        <f t="shared" si="97"/>
        <v>84828616</v>
      </c>
      <c r="N100" s="206">
        <f t="shared" si="98"/>
        <v>84828616</v>
      </c>
      <c r="O100" s="67"/>
      <c r="P100" s="204">
        <v>0</v>
      </c>
      <c r="Q100" s="210">
        <v>0</v>
      </c>
      <c r="R100" s="101"/>
      <c r="S100" s="311" t="str">
        <f>+IF(MAYO!S100=0,"",MAYO!S100)</f>
        <v>2.1.1.01.02.005-1</v>
      </c>
      <c r="T100" s="312" t="str">
        <f>+IF(MAYO!T100=0,"",MAYO!T100)</f>
        <v>Aporte a ARL. - recursos propios</v>
      </c>
      <c r="U100" s="373">
        <f>+ENERO!U100</f>
        <v>0</v>
      </c>
      <c r="V100" s="220">
        <f>MAYO!V100+JUNIO!AL100</f>
        <v>0</v>
      </c>
      <c r="W100" s="220">
        <f>MAYO!W100+JUNIO!AM100</f>
        <v>0</v>
      </c>
      <c r="X100" s="271">
        <f t="shared" si="100"/>
        <v>0</v>
      </c>
      <c r="Y100" s="270">
        <f>MAYO!AA100</f>
        <v>0</v>
      </c>
      <c r="Z100" s="208">
        <v>0</v>
      </c>
      <c r="AA100" s="271">
        <f t="shared" si="101"/>
        <v>0</v>
      </c>
      <c r="AB100" s="270">
        <f>MAYO!AD100</f>
        <v>0</v>
      </c>
      <c r="AC100" s="208">
        <v>0</v>
      </c>
      <c r="AD100" s="271">
        <f t="shared" si="102"/>
        <v>0</v>
      </c>
      <c r="AE100" s="270">
        <f>MAYO!AG100</f>
        <v>0</v>
      </c>
      <c r="AF100" s="208">
        <v>0</v>
      </c>
      <c r="AG100" s="271">
        <f t="shared" si="103"/>
        <v>0</v>
      </c>
      <c r="AH100" s="270">
        <f t="shared" si="104"/>
        <v>0</v>
      </c>
      <c r="AI100" s="220">
        <f t="shared" si="105"/>
        <v>0</v>
      </c>
      <c r="AJ100" s="269">
        <f t="shared" si="106"/>
        <v>0</v>
      </c>
      <c r="AK100" s="389"/>
      <c r="AL100" s="204">
        <v>0</v>
      </c>
      <c r="AM100" s="210">
        <v>0</v>
      </c>
    </row>
    <row r="101" spans="1:39" ht="24.75" customHeight="1">
      <c r="A101" s="394" t="str">
        <f>+IF(MAYO!A101=0,"",MAYO!A101)</f>
        <v>11303-7</v>
      </c>
      <c r="B101" s="397" t="str">
        <f>+IF(MAYO!B101=0,"",MAYO!B101)</f>
        <v>SUBSIDIO A LA OFERTA (ART. 2.4.2.6 DECRETO 268 DE 2020)</v>
      </c>
      <c r="C101" s="268">
        <f>+ENERO!C101</f>
        <v>0</v>
      </c>
      <c r="D101" s="205">
        <f>MAYO!D101+JUNIO!P101</f>
        <v>0</v>
      </c>
      <c r="E101" s="205">
        <f>MAYO!E101+JUNIO!Q101</f>
        <v>0</v>
      </c>
      <c r="F101" s="205">
        <f t="shared" si="94"/>
        <v>0</v>
      </c>
      <c r="G101" s="205">
        <f>MAYO!I101</f>
        <v>0</v>
      </c>
      <c r="H101" s="208">
        <v>0</v>
      </c>
      <c r="I101" s="205">
        <f t="shared" si="95"/>
        <v>0</v>
      </c>
      <c r="J101" s="205">
        <f>MAYO!L101</f>
        <v>0</v>
      </c>
      <c r="K101" s="208">
        <v>0</v>
      </c>
      <c r="L101" s="205">
        <f t="shared" si="96"/>
        <v>0</v>
      </c>
      <c r="M101" s="205">
        <f t="shared" si="97"/>
        <v>0</v>
      </c>
      <c r="N101" s="206">
        <f t="shared" si="98"/>
        <v>0</v>
      </c>
      <c r="O101" s="67"/>
      <c r="P101" s="204">
        <v>0</v>
      </c>
      <c r="Q101" s="210">
        <v>0</v>
      </c>
      <c r="R101" s="101"/>
      <c r="S101" s="311" t="str">
        <f>+IF(MAYO!S101=0,"",MAYO!S101)</f>
        <v>2.1.1.01.02.004-1</v>
      </c>
      <c r="T101" s="312" t="str">
        <f>+IF(MAYO!T101=0,"",MAYO!T101)</f>
        <v>Aporte a Caja Compensación Familiar</v>
      </c>
      <c r="U101" s="373">
        <f>+ENERO!U101</f>
        <v>0</v>
      </c>
      <c r="V101" s="220">
        <f>MAYO!V101+JUNIO!AL101</f>
        <v>0</v>
      </c>
      <c r="W101" s="220">
        <f>MAYO!W101+JUNIO!AM101</f>
        <v>0</v>
      </c>
      <c r="X101" s="271">
        <f t="shared" si="100"/>
        <v>0</v>
      </c>
      <c r="Y101" s="270">
        <f>MAYO!AA101</f>
        <v>0</v>
      </c>
      <c r="Z101" s="208">
        <v>0</v>
      </c>
      <c r="AA101" s="271">
        <f t="shared" si="101"/>
        <v>0</v>
      </c>
      <c r="AB101" s="270">
        <f>MAYO!AD101</f>
        <v>0</v>
      </c>
      <c r="AC101" s="208">
        <v>0</v>
      </c>
      <c r="AD101" s="271">
        <f t="shared" si="102"/>
        <v>0</v>
      </c>
      <c r="AE101" s="270">
        <f>MAYO!AG101</f>
        <v>0</v>
      </c>
      <c r="AF101" s="208">
        <v>0</v>
      </c>
      <c r="AG101" s="271">
        <f t="shared" si="103"/>
        <v>0</v>
      </c>
      <c r="AH101" s="270">
        <f t="shared" si="104"/>
        <v>0</v>
      </c>
      <c r="AI101" s="220">
        <f t="shared" si="105"/>
        <v>0</v>
      </c>
      <c r="AJ101" s="269">
        <f t="shared" si="106"/>
        <v>0</v>
      </c>
      <c r="AK101" s="389"/>
      <c r="AL101" s="204">
        <v>0</v>
      </c>
      <c r="AM101" s="210">
        <v>0</v>
      </c>
    </row>
    <row r="102" spans="1:39" ht="24.75" customHeight="1" thickBot="1">
      <c r="A102" s="394" t="str">
        <f>+IF(MAYO!A102=0,"",MAYO!A102)</f>
        <v>1.1.02.06.006.07.99</v>
      </c>
      <c r="B102" s="390" t="str">
        <f>+IF(MAYO!B102=0,"",MAYO!B102)</f>
        <v>Vigencia Anterior estampilla</v>
      </c>
      <c r="C102" s="391">
        <f>+ENERO!C102</f>
        <v>0</v>
      </c>
      <c r="D102" s="243">
        <f>MAYO!D102+JUNIO!P102</f>
        <v>0</v>
      </c>
      <c r="E102" s="243">
        <f>MAYO!E102+JUNIO!Q102</f>
        <v>0</v>
      </c>
      <c r="F102" s="243">
        <f t="shared" si="94"/>
        <v>0</v>
      </c>
      <c r="G102" s="243">
        <f>MAYO!I102</f>
        <v>0</v>
      </c>
      <c r="H102" s="246">
        <v>0</v>
      </c>
      <c r="I102" s="243">
        <f t="shared" si="95"/>
        <v>0</v>
      </c>
      <c r="J102" s="243">
        <f>MAYO!L102</f>
        <v>0</v>
      </c>
      <c r="K102" s="246">
        <v>0</v>
      </c>
      <c r="L102" s="243">
        <f t="shared" si="96"/>
        <v>0</v>
      </c>
      <c r="M102" s="243">
        <f t="shared" si="97"/>
        <v>0</v>
      </c>
      <c r="N102" s="244">
        <f t="shared" si="98"/>
        <v>0</v>
      </c>
      <c r="O102" s="67"/>
      <c r="P102" s="204">
        <v>0</v>
      </c>
      <c r="Q102" s="210">
        <v>0</v>
      </c>
      <c r="R102" s="101" t="s">
        <v>688</v>
      </c>
      <c r="S102" s="266">
        <f>+IF(MAYO!S102=0,"",MAYO!S102)</f>
        <v>1020399</v>
      </c>
      <c r="T102" s="267" t="str">
        <f>+IF(MAYO!T102=0,"",MAYO!T102)</f>
        <v>Vigencias Anteriores</v>
      </c>
      <c r="U102" s="373">
        <f>+ENERO!U102</f>
        <v>0</v>
      </c>
      <c r="V102" s="220">
        <f>MAYO!V102+JUNIO!AL102</f>
        <v>0</v>
      </c>
      <c r="W102" s="220">
        <f>MAYO!W102+JUNIO!AM102</f>
        <v>0</v>
      </c>
      <c r="X102" s="271">
        <f t="shared" si="100"/>
        <v>0</v>
      </c>
      <c r="Y102" s="270">
        <f>MAYO!AA102</f>
        <v>0</v>
      </c>
      <c r="Z102" s="208">
        <v>0</v>
      </c>
      <c r="AA102" s="271">
        <f t="shared" si="101"/>
        <v>0</v>
      </c>
      <c r="AB102" s="270">
        <f>MAYO!AD102</f>
        <v>0</v>
      </c>
      <c r="AC102" s="208">
        <v>0</v>
      </c>
      <c r="AD102" s="271">
        <f t="shared" si="102"/>
        <v>0</v>
      </c>
      <c r="AE102" s="270">
        <f>MAYO!AG102</f>
        <v>0</v>
      </c>
      <c r="AF102" s="208">
        <v>0</v>
      </c>
      <c r="AG102" s="271">
        <f t="shared" si="103"/>
        <v>0</v>
      </c>
      <c r="AH102" s="270">
        <f t="shared" si="104"/>
        <v>0</v>
      </c>
      <c r="AI102" s="220">
        <f t="shared" si="105"/>
        <v>0</v>
      </c>
      <c r="AJ102" s="269">
        <f t="shared" si="106"/>
        <v>0</v>
      </c>
      <c r="AK102" s="101"/>
      <c r="AL102" s="204">
        <v>0</v>
      </c>
      <c r="AM102" s="210">
        <v>0</v>
      </c>
    </row>
    <row r="103" spans="1:39" ht="24.75" customHeight="1" thickBot="1">
      <c r="A103" s="398" t="str">
        <f>+IF(MAYO!A103=0,"",MAYO!A103)</f>
        <v/>
      </c>
      <c r="B103" s="399" t="str">
        <f>+IF(MAYO!B103=0,"",MAYO!B103)</f>
        <v/>
      </c>
      <c r="C103" s="400"/>
      <c r="D103" s="400"/>
      <c r="E103" s="400"/>
      <c r="F103" s="400"/>
      <c r="G103" s="400"/>
      <c r="H103" s="400"/>
      <c r="I103" s="400"/>
      <c r="J103" s="400"/>
      <c r="K103" s="400"/>
      <c r="L103" s="400"/>
      <c r="M103" s="400"/>
      <c r="N103" s="401"/>
      <c r="O103" s="67"/>
      <c r="P103" s="402"/>
      <c r="Q103" s="401"/>
      <c r="R103" s="101"/>
      <c r="S103" s="189" t="str">
        <f>+IF(MAYO!S103=0,"",MAYO!S103)</f>
        <v/>
      </c>
      <c r="T103" s="488" t="str">
        <f>+IF(MAYO!T103=0,"",MAYO!T103)</f>
        <v/>
      </c>
      <c r="U103" s="191"/>
      <c r="V103" s="191"/>
      <c r="W103" s="191"/>
      <c r="X103" s="191"/>
      <c r="Y103" s="191"/>
      <c r="Z103" s="191"/>
      <c r="AA103" s="191"/>
      <c r="AB103" s="191"/>
      <c r="AC103" s="191"/>
      <c r="AD103" s="191"/>
      <c r="AE103" s="191"/>
      <c r="AF103" s="191"/>
      <c r="AG103" s="191"/>
      <c r="AH103" s="191"/>
      <c r="AI103" s="191"/>
      <c r="AJ103" s="192"/>
      <c r="AK103" s="101"/>
      <c r="AL103" s="370"/>
      <c r="AM103" s="371"/>
    </row>
    <row r="104" spans="1:39" ht="24.75" customHeight="1">
      <c r="A104" s="392">
        <f>+IF(MAYO!A104=0,"",MAYO!A104)</f>
        <v>11304</v>
      </c>
      <c r="B104" s="393" t="str">
        <f>+IF(MAYO!B104=0,"",MAYO!B104)</f>
        <v>Otros ingresos corrientes</v>
      </c>
      <c r="C104" s="383">
        <f t="shared" ref="C104:N104" si="107">SUM(C105:C111)</f>
        <v>235000000</v>
      </c>
      <c r="D104" s="384">
        <f t="shared" si="107"/>
        <v>0</v>
      </c>
      <c r="E104" s="384">
        <f t="shared" si="107"/>
        <v>46961679</v>
      </c>
      <c r="F104" s="384">
        <f t="shared" si="107"/>
        <v>281961679</v>
      </c>
      <c r="G104" s="384">
        <f t="shared" si="107"/>
        <v>179444848</v>
      </c>
      <c r="H104" s="384">
        <f t="shared" si="107"/>
        <v>34617320</v>
      </c>
      <c r="I104" s="384">
        <f t="shared" si="107"/>
        <v>214062168</v>
      </c>
      <c r="J104" s="384">
        <f t="shared" si="107"/>
        <v>173911609</v>
      </c>
      <c r="K104" s="384">
        <f t="shared" si="107"/>
        <v>10299668</v>
      </c>
      <c r="L104" s="384">
        <f t="shared" si="107"/>
        <v>184211277</v>
      </c>
      <c r="M104" s="384">
        <f t="shared" si="107"/>
        <v>67899511</v>
      </c>
      <c r="N104" s="385">
        <f t="shared" si="107"/>
        <v>97750402</v>
      </c>
      <c r="O104" s="67"/>
      <c r="P104" s="288">
        <f>SUM(P105:P111)</f>
        <v>0</v>
      </c>
      <c r="Q104" s="289">
        <f>SUM(Q105:Q111)</f>
        <v>0</v>
      </c>
      <c r="R104" s="101"/>
      <c r="S104" s="257">
        <f>+IF(MAYO!S104=0,"",MAYO!S104)</f>
        <v>1020400</v>
      </c>
      <c r="T104" s="546" t="str">
        <f>+IF(MAYO!T104=0,"",MAYO!T104)</f>
        <v>Contribuciones Inherentes nómina del Sector Publico</v>
      </c>
      <c r="U104" s="230">
        <f t="shared" ref="U104:AJ104" si="108">U105+U108</f>
        <v>0</v>
      </c>
      <c r="V104" s="231">
        <f t="shared" si="108"/>
        <v>0</v>
      </c>
      <c r="W104" s="231">
        <f t="shared" si="108"/>
        <v>20000000</v>
      </c>
      <c r="X104" s="234">
        <f t="shared" si="108"/>
        <v>20000000</v>
      </c>
      <c r="Y104" s="233">
        <f t="shared" si="108"/>
        <v>18261571</v>
      </c>
      <c r="Z104" s="231">
        <f t="shared" si="108"/>
        <v>0</v>
      </c>
      <c r="AA104" s="234">
        <f t="shared" si="108"/>
        <v>18261571</v>
      </c>
      <c r="AB104" s="233">
        <f t="shared" si="108"/>
        <v>18261571</v>
      </c>
      <c r="AC104" s="231">
        <f t="shared" si="108"/>
        <v>0</v>
      </c>
      <c r="AD104" s="234">
        <f t="shared" si="108"/>
        <v>18261571</v>
      </c>
      <c r="AE104" s="233">
        <f t="shared" si="108"/>
        <v>18261571</v>
      </c>
      <c r="AF104" s="231">
        <f t="shared" si="108"/>
        <v>0</v>
      </c>
      <c r="AG104" s="234">
        <f t="shared" si="108"/>
        <v>18261571</v>
      </c>
      <c r="AH104" s="233">
        <f t="shared" si="108"/>
        <v>1738429</v>
      </c>
      <c r="AI104" s="231">
        <f t="shared" si="108"/>
        <v>1738429</v>
      </c>
      <c r="AJ104" s="232">
        <f t="shared" si="108"/>
        <v>1738429</v>
      </c>
      <c r="AK104" s="101"/>
      <c r="AL104" s="232">
        <f>AL105+AL108</f>
        <v>0</v>
      </c>
      <c r="AM104" s="232">
        <f>AM105+AM108</f>
        <v>0</v>
      </c>
    </row>
    <row r="105" spans="1:39" ht="24.75" customHeight="1">
      <c r="A105" s="394" t="str">
        <f>+IF(MAYO!A105=0,"",MAYO!A105)</f>
        <v>1.1.02.05.002.07</v>
      </c>
      <c r="B105" s="397" t="str">
        <f>+IF(MAYO!B105=0,"",MAYO!B105)</f>
        <v>Servicios financieros y servicios conexos, servicios inmobiliarios y servicios de leasing (ARRENDAMIENTOS)</v>
      </c>
      <c r="C105" s="268">
        <f>+ENERO!C105</f>
        <v>235000000</v>
      </c>
      <c r="D105" s="205">
        <f>MAYO!D105+JUNIO!P105</f>
        <v>0</v>
      </c>
      <c r="E105" s="205">
        <f>MAYO!E105+JUNIO!Q105</f>
        <v>0</v>
      </c>
      <c r="F105" s="205">
        <f t="shared" ref="F105:F111" si="109">SUM(C105:E105)</f>
        <v>235000000</v>
      </c>
      <c r="G105" s="205">
        <f>MAYO!I105</f>
        <v>130166005</v>
      </c>
      <c r="H105" s="208">
        <v>30699098</v>
      </c>
      <c r="I105" s="205">
        <f t="shared" ref="I105:I111" si="110">SUM(G105:H105)</f>
        <v>160865103</v>
      </c>
      <c r="J105" s="205">
        <f>MAYO!L105</f>
        <v>124632766</v>
      </c>
      <c r="K105" s="208">
        <v>10299668</v>
      </c>
      <c r="L105" s="205">
        <f t="shared" ref="L105:L111" si="111">SUM(J105:K105)</f>
        <v>134932434</v>
      </c>
      <c r="M105" s="205">
        <f t="shared" ref="M105:M111" si="112">F105-I105</f>
        <v>74134897</v>
      </c>
      <c r="N105" s="206">
        <f t="shared" ref="N105:N111" si="113">F105-L105</f>
        <v>100067566</v>
      </c>
      <c r="O105" s="67"/>
      <c r="P105" s="204">
        <v>0</v>
      </c>
      <c r="Q105" s="210">
        <v>0</v>
      </c>
      <c r="R105" s="101"/>
      <c r="S105" s="266">
        <f>+IF(MAYO!S105=0,"",MAYO!S105)</f>
        <v>1020402</v>
      </c>
      <c r="T105" s="267" t="str">
        <f>+IF(MAYO!T105=0,"",MAYO!T105)</f>
        <v>Contribuciones - Otros</v>
      </c>
      <c r="U105" s="373">
        <f t="shared" ref="U105:AJ105" si="114">SUM(U106:U107)</f>
        <v>0</v>
      </c>
      <c r="V105" s="220">
        <f t="shared" si="114"/>
        <v>0</v>
      </c>
      <c r="W105" s="220">
        <f t="shared" si="114"/>
        <v>0</v>
      </c>
      <c r="X105" s="271">
        <f t="shared" si="114"/>
        <v>0</v>
      </c>
      <c r="Y105" s="270">
        <f t="shared" si="114"/>
        <v>0</v>
      </c>
      <c r="Z105" s="300">
        <f t="shared" si="114"/>
        <v>0</v>
      </c>
      <c r="AA105" s="271">
        <f t="shared" si="114"/>
        <v>0</v>
      </c>
      <c r="AB105" s="270">
        <f t="shared" si="114"/>
        <v>0</v>
      </c>
      <c r="AC105" s="300">
        <f t="shared" si="114"/>
        <v>0</v>
      </c>
      <c r="AD105" s="271">
        <f t="shared" si="114"/>
        <v>0</v>
      </c>
      <c r="AE105" s="270">
        <f t="shared" si="114"/>
        <v>0</v>
      </c>
      <c r="AF105" s="300">
        <f t="shared" si="114"/>
        <v>0</v>
      </c>
      <c r="AG105" s="271">
        <f t="shared" si="114"/>
        <v>0</v>
      </c>
      <c r="AH105" s="270">
        <f t="shared" si="114"/>
        <v>0</v>
      </c>
      <c r="AI105" s="220">
        <f t="shared" si="114"/>
        <v>0</v>
      </c>
      <c r="AJ105" s="269">
        <f t="shared" si="114"/>
        <v>0</v>
      </c>
      <c r="AK105" s="216"/>
      <c r="AL105" s="301">
        <f>SUM(AL106:AL107)</f>
        <v>0</v>
      </c>
      <c r="AM105" s="302">
        <f>SUM(AM106:AM107)</f>
        <v>0</v>
      </c>
    </row>
    <row r="106" spans="1:39" ht="24.75" customHeight="1">
      <c r="A106" s="394">
        <f>+IF(MAYO!A106=0,"",MAYO!A106)</f>
        <v>1020402</v>
      </c>
      <c r="B106" s="403" t="str">
        <f>+IF(MAYO!B106=0,"",MAYO!B106)</f>
        <v/>
      </c>
      <c r="C106" s="268">
        <f>+ENERO!C106</f>
        <v>0</v>
      </c>
      <c r="D106" s="205">
        <f>MAYO!D106+JUNIO!P106</f>
        <v>0</v>
      </c>
      <c r="E106" s="205">
        <f>MAYO!E106+JUNIO!Q106</f>
        <v>0</v>
      </c>
      <c r="F106" s="205">
        <f t="shared" si="109"/>
        <v>0</v>
      </c>
      <c r="G106" s="205">
        <f>MAYO!I106</f>
        <v>0</v>
      </c>
      <c r="H106" s="208"/>
      <c r="I106" s="205">
        <f t="shared" si="110"/>
        <v>0</v>
      </c>
      <c r="J106" s="205">
        <f>MAYO!L106</f>
        <v>0</v>
      </c>
      <c r="K106" s="208"/>
      <c r="L106" s="205">
        <f t="shared" si="111"/>
        <v>0</v>
      </c>
      <c r="M106" s="205">
        <f t="shared" si="112"/>
        <v>0</v>
      </c>
      <c r="N106" s="206">
        <f t="shared" si="113"/>
        <v>0</v>
      </c>
      <c r="O106" s="67"/>
      <c r="P106" s="204">
        <v>0</v>
      </c>
      <c r="Q106" s="210">
        <v>0</v>
      </c>
      <c r="R106" s="101"/>
      <c r="S106" s="311" t="str">
        <f>+IF(MAYO!S106=0,"",MAYO!S106)</f>
        <v>2.1.1.01.02.007-1</v>
      </c>
      <c r="T106" s="267" t="str">
        <f>+IF(MAYO!T106=0,"",MAYO!T106)</f>
        <v>S.E.N.A.</v>
      </c>
      <c r="U106" s="373">
        <f>+ENERO!U106</f>
        <v>0</v>
      </c>
      <c r="V106" s="220">
        <f>MAYO!V106+JUNIO!AL106</f>
        <v>0</v>
      </c>
      <c r="W106" s="220">
        <f>MAYO!W106+JUNIO!AM106</f>
        <v>0</v>
      </c>
      <c r="X106" s="271">
        <f>SUM(U106:W106)</f>
        <v>0</v>
      </c>
      <c r="Y106" s="270">
        <f>MAYO!AA106</f>
        <v>0</v>
      </c>
      <c r="Z106" s="208">
        <v>0</v>
      </c>
      <c r="AA106" s="271">
        <f>SUM(Y106:Z106)</f>
        <v>0</v>
      </c>
      <c r="AB106" s="270">
        <f>MAYO!AD106</f>
        <v>0</v>
      </c>
      <c r="AC106" s="208">
        <v>0</v>
      </c>
      <c r="AD106" s="271">
        <f>SUM(AB106:AC106)</f>
        <v>0</v>
      </c>
      <c r="AE106" s="270">
        <f>MAYO!AG106</f>
        <v>0</v>
      </c>
      <c r="AF106" s="208">
        <v>0</v>
      </c>
      <c r="AG106" s="271">
        <f>SUM(AE106:AF106)</f>
        <v>0</v>
      </c>
      <c r="AH106" s="270">
        <f>X106-AA106</f>
        <v>0</v>
      </c>
      <c r="AI106" s="220">
        <f>X106-AD106</f>
        <v>0</v>
      </c>
      <c r="AJ106" s="269">
        <f>X106-AG106</f>
        <v>0</v>
      </c>
      <c r="AK106" s="101"/>
      <c r="AL106" s="204">
        <v>0</v>
      </c>
      <c r="AM106" s="210">
        <v>0</v>
      </c>
    </row>
    <row r="107" spans="1:39" ht="24.75" customHeight="1">
      <c r="A107" s="394" t="str">
        <f>+IF(MAYO!A107=0,"",MAYO!A107)</f>
        <v/>
      </c>
      <c r="B107" s="397" t="str">
        <f>+IF(MAYO!B107=0,"",MAYO!B107)</f>
        <v/>
      </c>
      <c r="C107" s="268">
        <f>+ENERO!C107</f>
        <v>0</v>
      </c>
      <c r="D107" s="205">
        <f>MAYO!D107+JUNIO!P107</f>
        <v>0</v>
      </c>
      <c r="E107" s="205">
        <f>MAYO!E107+JUNIO!Q107</f>
        <v>0</v>
      </c>
      <c r="F107" s="205">
        <f t="shared" si="109"/>
        <v>0</v>
      </c>
      <c r="G107" s="205">
        <f>MAYO!I107</f>
        <v>0</v>
      </c>
      <c r="H107" s="208"/>
      <c r="I107" s="205">
        <f t="shared" si="110"/>
        <v>0</v>
      </c>
      <c r="J107" s="205">
        <f>MAYO!L107</f>
        <v>0</v>
      </c>
      <c r="K107" s="208"/>
      <c r="L107" s="205">
        <f t="shared" si="111"/>
        <v>0</v>
      </c>
      <c r="M107" s="205">
        <f t="shared" si="112"/>
        <v>0</v>
      </c>
      <c r="N107" s="206">
        <f t="shared" si="113"/>
        <v>0</v>
      </c>
      <c r="O107" s="67"/>
      <c r="P107" s="204">
        <v>0</v>
      </c>
      <c r="Q107" s="210">
        <v>0</v>
      </c>
      <c r="R107" s="101"/>
      <c r="S107" s="311" t="str">
        <f>+IF(MAYO!S107=0,"",MAYO!S107)</f>
        <v>2.1.1.01.02.006-1</v>
      </c>
      <c r="T107" s="267" t="str">
        <f>+IF(MAYO!T107=0,"",MAYO!T107)</f>
        <v>I.C.B.F.</v>
      </c>
      <c r="U107" s="373">
        <f>+ENERO!U107</f>
        <v>0</v>
      </c>
      <c r="V107" s="220">
        <f>MAYO!V107+JUNIO!AL107</f>
        <v>0</v>
      </c>
      <c r="W107" s="220">
        <f>MAYO!W107+JUNIO!AM107</f>
        <v>0</v>
      </c>
      <c r="X107" s="271">
        <f>SUM(U107:W107)</f>
        <v>0</v>
      </c>
      <c r="Y107" s="270">
        <f>MAYO!AA107</f>
        <v>0</v>
      </c>
      <c r="Z107" s="208">
        <v>0</v>
      </c>
      <c r="AA107" s="271">
        <f>SUM(Y107:Z107)</f>
        <v>0</v>
      </c>
      <c r="AB107" s="270">
        <f>MAYO!AD107</f>
        <v>0</v>
      </c>
      <c r="AC107" s="208">
        <v>0</v>
      </c>
      <c r="AD107" s="271">
        <f>SUM(AB107:AC107)</f>
        <v>0</v>
      </c>
      <c r="AE107" s="270">
        <f>MAYO!AG107</f>
        <v>0</v>
      </c>
      <c r="AF107" s="208">
        <v>0</v>
      </c>
      <c r="AG107" s="271">
        <f>SUM(AE107:AF107)</f>
        <v>0</v>
      </c>
      <c r="AH107" s="270">
        <f>X107-AA107</f>
        <v>0</v>
      </c>
      <c r="AI107" s="220">
        <f>X107-AD107</f>
        <v>0</v>
      </c>
      <c r="AJ107" s="269">
        <f>X107-AG107</f>
        <v>0</v>
      </c>
      <c r="AK107" s="101"/>
      <c r="AL107" s="204">
        <v>0</v>
      </c>
      <c r="AM107" s="210">
        <v>0</v>
      </c>
    </row>
    <row r="108" spans="1:39" ht="24.75" customHeight="1">
      <c r="A108" s="394" t="str">
        <f>+IF(MAYO!A108=0,"",MAYO!A108)</f>
        <v/>
      </c>
      <c r="B108" s="397" t="str">
        <f>+IF(MAYO!B108=0,"",MAYO!B108)</f>
        <v/>
      </c>
      <c r="C108" s="268">
        <f>+ENERO!C108</f>
        <v>0</v>
      </c>
      <c r="D108" s="205">
        <f>MAYO!D108+JUNIO!P108</f>
        <v>0</v>
      </c>
      <c r="E108" s="205">
        <f>MAYO!E108+JUNIO!Q108</f>
        <v>0</v>
      </c>
      <c r="F108" s="205">
        <f t="shared" si="109"/>
        <v>0</v>
      </c>
      <c r="G108" s="205">
        <f>MAYO!I108</f>
        <v>0</v>
      </c>
      <c r="H108" s="208"/>
      <c r="I108" s="205">
        <f t="shared" si="110"/>
        <v>0</v>
      </c>
      <c r="J108" s="205">
        <f>MAYO!L108</f>
        <v>0</v>
      </c>
      <c r="K108" s="208"/>
      <c r="L108" s="205">
        <f t="shared" si="111"/>
        <v>0</v>
      </c>
      <c r="M108" s="205">
        <f t="shared" si="112"/>
        <v>0</v>
      </c>
      <c r="N108" s="206">
        <f t="shared" si="113"/>
        <v>0</v>
      </c>
      <c r="O108" s="67"/>
      <c r="P108" s="204">
        <v>0</v>
      </c>
      <c r="Q108" s="210">
        <v>0</v>
      </c>
      <c r="R108" s="101" t="s">
        <v>688</v>
      </c>
      <c r="S108" s="266" t="str">
        <f>+IF(MAYO!S108=0,"",MAYO!S108)</f>
        <v>2.1.2.02.02.008.99.04</v>
      </c>
      <c r="T108" s="267" t="str">
        <f>+IF(MAYO!T108=0,"",MAYO!T108)</f>
        <v>Vigencias Anteriores Servicios personales administrativos</v>
      </c>
      <c r="U108" s="373">
        <f>+ENERO!U108</f>
        <v>0</v>
      </c>
      <c r="V108" s="220">
        <f>MAYO!V108+JUNIO!AL108</f>
        <v>0</v>
      </c>
      <c r="W108" s="220">
        <f>MAYO!W108+JUNIO!AM108</f>
        <v>20000000</v>
      </c>
      <c r="X108" s="271">
        <f>SUM(U108:W108)</f>
        <v>20000000</v>
      </c>
      <c r="Y108" s="270">
        <f>MAYO!AA108</f>
        <v>18261571</v>
      </c>
      <c r="Z108" s="208">
        <v>0</v>
      </c>
      <c r="AA108" s="271">
        <f>SUM(Y108:Z108)</f>
        <v>18261571</v>
      </c>
      <c r="AB108" s="270">
        <f>MAYO!AD108</f>
        <v>18261571</v>
      </c>
      <c r="AC108" s="208">
        <v>0</v>
      </c>
      <c r="AD108" s="271">
        <f>SUM(AB108:AC108)</f>
        <v>18261571</v>
      </c>
      <c r="AE108" s="270">
        <f>MAYO!AG108</f>
        <v>18261571</v>
      </c>
      <c r="AF108" s="208">
        <v>0</v>
      </c>
      <c r="AG108" s="271">
        <f>SUM(AE108:AF108)</f>
        <v>18261571</v>
      </c>
      <c r="AH108" s="270">
        <f>X108-AA108</f>
        <v>1738429</v>
      </c>
      <c r="AI108" s="220">
        <f>X108-AD108</f>
        <v>1738429</v>
      </c>
      <c r="AJ108" s="269">
        <f>X108-AG108</f>
        <v>1738429</v>
      </c>
      <c r="AK108" s="101"/>
      <c r="AL108" s="204">
        <v>0</v>
      </c>
      <c r="AM108" s="210">
        <v>0</v>
      </c>
    </row>
    <row r="109" spans="1:39" ht="24.75" customHeight="1">
      <c r="A109" s="394" t="str">
        <f>+IF(MAYO!A109=0,"",MAYO!A109)</f>
        <v>1.1.02.05.002.08</v>
      </c>
      <c r="B109" s="397" t="str">
        <f>+IF(MAYO!B109=0,"",MAYO!B109)</f>
        <v>Servicios prestados a las empresas y servicios de producción(APROVECHAMIENTOS)</v>
      </c>
      <c r="C109" s="268">
        <f>+ENERO!C109</f>
        <v>0</v>
      </c>
      <c r="D109" s="205">
        <f>MAYO!D109+JUNIO!P109</f>
        <v>0</v>
      </c>
      <c r="E109" s="205">
        <f>MAYO!E109+JUNIO!Q109</f>
        <v>27224890</v>
      </c>
      <c r="F109" s="205">
        <f t="shared" si="109"/>
        <v>27224890</v>
      </c>
      <c r="G109" s="205">
        <f>MAYO!I109</f>
        <v>29542054</v>
      </c>
      <c r="H109" s="208">
        <v>3918222</v>
      </c>
      <c r="I109" s="205">
        <f t="shared" si="110"/>
        <v>33460276</v>
      </c>
      <c r="J109" s="205">
        <f>MAYO!L109</f>
        <v>29542054</v>
      </c>
      <c r="K109" s="208"/>
      <c r="L109" s="205">
        <f t="shared" si="111"/>
        <v>29542054</v>
      </c>
      <c r="M109" s="205">
        <f t="shared" si="112"/>
        <v>-6235386</v>
      </c>
      <c r="N109" s="206">
        <f t="shared" si="113"/>
        <v>-2317164</v>
      </c>
      <c r="O109" s="67"/>
      <c r="P109" s="204">
        <v>0</v>
      </c>
      <c r="Q109" s="210">
        <v>0</v>
      </c>
      <c r="R109" s="101"/>
      <c r="S109" s="189">
        <f>+IF(MAYO!S109=0,"",MAYO!S109)</f>
        <v>23625024</v>
      </c>
      <c r="T109" s="488" t="str">
        <f>+IF(MAYO!T109=0,"",MAYO!T109)</f>
        <v/>
      </c>
      <c r="U109" s="191"/>
      <c r="V109" s="191"/>
      <c r="W109" s="191"/>
      <c r="X109" s="191"/>
      <c r="Y109" s="191"/>
      <c r="Z109" s="191"/>
      <c r="AA109" s="191"/>
      <c r="AB109" s="191"/>
      <c r="AC109" s="191"/>
      <c r="AD109" s="191"/>
      <c r="AE109" s="191"/>
      <c r="AF109" s="191"/>
      <c r="AG109" s="191"/>
      <c r="AH109" s="191"/>
      <c r="AI109" s="191"/>
      <c r="AJ109" s="192"/>
      <c r="AK109" s="216"/>
      <c r="AL109" s="370"/>
      <c r="AM109" s="371"/>
    </row>
    <row r="110" spans="1:39" ht="24.75" customHeight="1">
      <c r="A110" s="394" t="str">
        <f>+IF(MAYO!A110=0,"",MAYO!A110)</f>
        <v>1.1.02.05.002.09</v>
      </c>
      <c r="B110" s="397" t="str">
        <f>+IF(MAYO!B110=0,"",MAYO!B110)</f>
        <v>Convenio Docencia Servicio</v>
      </c>
      <c r="C110" s="268">
        <f>+ENERO!C110</f>
        <v>0</v>
      </c>
      <c r="D110" s="205">
        <f>MAYO!D110+JUNIO!P110</f>
        <v>0</v>
      </c>
      <c r="E110" s="205">
        <f>MAYO!E110+JUNIO!Q110</f>
        <v>0</v>
      </c>
      <c r="F110" s="205">
        <f t="shared" si="109"/>
        <v>0</v>
      </c>
      <c r="G110" s="205">
        <f>MAYO!I110</f>
        <v>0</v>
      </c>
      <c r="H110" s="208">
        <v>0</v>
      </c>
      <c r="I110" s="205">
        <f t="shared" si="110"/>
        <v>0</v>
      </c>
      <c r="J110" s="205">
        <f>MAYO!L110</f>
        <v>0</v>
      </c>
      <c r="K110" s="208">
        <v>0</v>
      </c>
      <c r="L110" s="205">
        <f t="shared" si="111"/>
        <v>0</v>
      </c>
      <c r="M110" s="205">
        <f t="shared" si="112"/>
        <v>0</v>
      </c>
      <c r="N110" s="206">
        <f t="shared" si="113"/>
        <v>0</v>
      </c>
      <c r="O110" s="67"/>
      <c r="P110" s="204">
        <v>0</v>
      </c>
      <c r="Q110" s="210">
        <v>0</v>
      </c>
      <c r="R110" s="101"/>
      <c r="S110" s="228">
        <f>+IF(MAYO!S110=0,"",MAYO!S110)</f>
        <v>2000000</v>
      </c>
      <c r="T110" s="404" t="str">
        <f>+IF(MAYO!T110=0,"",MAYO!T110)</f>
        <v>GASTOS GENERALES</v>
      </c>
      <c r="U110" s="405">
        <f t="shared" ref="U110:AM110" si="115">U112+U145</f>
        <v>21968169670.620834</v>
      </c>
      <c r="V110" s="406">
        <f t="shared" si="115"/>
        <v>-530062130</v>
      </c>
      <c r="W110" s="406">
        <f t="shared" si="115"/>
        <v>628694736</v>
      </c>
      <c r="X110" s="407">
        <f t="shared" si="115"/>
        <v>22066802276.620834</v>
      </c>
      <c r="Y110" s="217">
        <f t="shared" si="115"/>
        <v>10830500575</v>
      </c>
      <c r="Z110" s="406">
        <f t="shared" si="115"/>
        <v>1043866232</v>
      </c>
      <c r="AA110" s="407">
        <f t="shared" si="115"/>
        <v>11874366807</v>
      </c>
      <c r="AB110" s="217">
        <f t="shared" si="115"/>
        <v>7413507530</v>
      </c>
      <c r="AC110" s="406">
        <f t="shared" si="115"/>
        <v>1289879448</v>
      </c>
      <c r="AD110" s="407">
        <f t="shared" si="115"/>
        <v>8703386978</v>
      </c>
      <c r="AE110" s="217">
        <f t="shared" si="115"/>
        <v>5288306096</v>
      </c>
      <c r="AF110" s="406">
        <f t="shared" si="115"/>
        <v>982203732</v>
      </c>
      <c r="AG110" s="407">
        <f t="shared" si="115"/>
        <v>6270509828</v>
      </c>
      <c r="AH110" s="217">
        <f t="shared" si="115"/>
        <v>10192435469.620832</v>
      </c>
      <c r="AI110" s="406">
        <f t="shared" si="115"/>
        <v>13363415298.620832</v>
      </c>
      <c r="AJ110" s="218">
        <f t="shared" si="115"/>
        <v>15796292448.620832</v>
      </c>
      <c r="AK110" s="216"/>
      <c r="AL110" s="218">
        <f t="shared" si="115"/>
        <v>150000000</v>
      </c>
      <c r="AM110" s="218">
        <f t="shared" si="115"/>
        <v>0</v>
      </c>
    </row>
    <row r="111" spans="1:39" ht="24.75" customHeight="1" thickBot="1">
      <c r="A111" s="394" t="str">
        <f>+IF(MAYO!A111=0,"",MAYO!A111)</f>
        <v>1.1.02.05.002.07.99</v>
      </c>
      <c r="B111" s="408" t="str">
        <f>+IF(MAYO!B111=0,"",MAYO!B111)</f>
        <v>Vigencia anterior Servicios financieros y servicios conexos, servicios inmobiliarios y servicios de leasing (ARRENDAMIENTOS)</v>
      </c>
      <c r="C111" s="391">
        <f>+ENERO!C111</f>
        <v>0</v>
      </c>
      <c r="D111" s="243">
        <f>MAYO!D111+JUNIO!P111</f>
        <v>0</v>
      </c>
      <c r="E111" s="243">
        <f>MAYO!E111+JUNIO!Q111</f>
        <v>19736789</v>
      </c>
      <c r="F111" s="243">
        <f t="shared" si="109"/>
        <v>19736789</v>
      </c>
      <c r="G111" s="243">
        <f>MAYO!I111</f>
        <v>19736789</v>
      </c>
      <c r="H111" s="246"/>
      <c r="I111" s="243">
        <f t="shared" si="110"/>
        <v>19736789</v>
      </c>
      <c r="J111" s="243">
        <f>MAYO!L111</f>
        <v>19736789</v>
      </c>
      <c r="K111" s="246"/>
      <c r="L111" s="243">
        <f t="shared" si="111"/>
        <v>19736789</v>
      </c>
      <c r="M111" s="243">
        <f t="shared" si="112"/>
        <v>0</v>
      </c>
      <c r="N111" s="244">
        <f t="shared" si="113"/>
        <v>0</v>
      </c>
      <c r="O111" s="67"/>
      <c r="P111" s="204">
        <v>0</v>
      </c>
      <c r="Q111" s="210">
        <v>0</v>
      </c>
      <c r="R111" s="101"/>
      <c r="S111" s="189">
        <f>+IF(MAYO!S111=0,"",MAYO!S111)</f>
        <v>18355520</v>
      </c>
      <c r="T111" s="488" t="str">
        <f>+IF(MAYO!T111=0,"",MAYO!T111)</f>
        <v/>
      </c>
      <c r="U111" s="191"/>
      <c r="V111" s="191"/>
      <c r="W111" s="191"/>
      <c r="X111" s="191"/>
      <c r="Y111" s="191"/>
      <c r="Z111" s="191"/>
      <c r="AA111" s="191"/>
      <c r="AB111" s="191"/>
      <c r="AC111" s="191"/>
      <c r="AD111" s="191"/>
      <c r="AE111" s="191"/>
      <c r="AF111" s="191"/>
      <c r="AG111" s="191"/>
      <c r="AH111" s="191"/>
      <c r="AI111" s="191"/>
      <c r="AJ111" s="192"/>
      <c r="AK111" s="101"/>
      <c r="AL111" s="194"/>
      <c r="AM111" s="195"/>
    </row>
    <row r="112" spans="1:39" ht="24.75" customHeight="1" thickBot="1">
      <c r="A112" s="398">
        <f>+IF(MAYO!A112=0,"",MAYO!A112)</f>
        <v>18355520</v>
      </c>
      <c r="B112" s="399">
        <f>+IF(MAYO!B112=0,"",MAYO!B112)</f>
        <v>18355520</v>
      </c>
      <c r="C112" s="400"/>
      <c r="D112" s="400"/>
      <c r="E112" s="400"/>
      <c r="F112" s="400"/>
      <c r="G112" s="400"/>
      <c r="H112" s="400"/>
      <c r="I112" s="400"/>
      <c r="J112" s="400"/>
      <c r="K112" s="400"/>
      <c r="L112" s="400"/>
      <c r="M112" s="400"/>
      <c r="N112" s="401"/>
      <c r="O112" s="67"/>
      <c r="P112" s="402"/>
      <c r="Q112" s="401"/>
      <c r="R112" s="101"/>
      <c r="S112" s="228">
        <f>+IF(MAYO!S112=0,"",MAYO!S112)</f>
        <v>2010000</v>
      </c>
      <c r="T112" s="229" t="str">
        <f>+IF(MAYO!T112=0,"",MAYO!T112)</f>
        <v>Gastos de Administración</v>
      </c>
      <c r="U112" s="230">
        <f t="shared" ref="U112:AJ112" si="116">U114+U123+U141</f>
        <v>10075238362.444445</v>
      </c>
      <c r="V112" s="231">
        <f t="shared" si="116"/>
        <v>-725062130</v>
      </c>
      <c r="W112" s="231">
        <f t="shared" si="116"/>
        <v>169879991</v>
      </c>
      <c r="X112" s="234">
        <f t="shared" si="116"/>
        <v>9520056223.4444447</v>
      </c>
      <c r="Y112" s="233">
        <f t="shared" si="116"/>
        <v>6135424116</v>
      </c>
      <c r="Z112" s="231">
        <f t="shared" si="116"/>
        <v>359996635</v>
      </c>
      <c r="AA112" s="234">
        <f t="shared" si="116"/>
        <v>6495420751</v>
      </c>
      <c r="AB112" s="233">
        <f t="shared" si="116"/>
        <v>4131716953</v>
      </c>
      <c r="AC112" s="231">
        <f t="shared" si="116"/>
        <v>629203273</v>
      </c>
      <c r="AD112" s="234">
        <f t="shared" si="116"/>
        <v>4760920226</v>
      </c>
      <c r="AE112" s="233">
        <f t="shared" si="116"/>
        <v>3406182053</v>
      </c>
      <c r="AF112" s="231">
        <f t="shared" si="116"/>
        <v>559322803</v>
      </c>
      <c r="AG112" s="234">
        <f t="shared" si="116"/>
        <v>3965504856</v>
      </c>
      <c r="AH112" s="233">
        <f t="shared" si="116"/>
        <v>3024635472.4444442</v>
      </c>
      <c r="AI112" s="231">
        <f t="shared" si="116"/>
        <v>4759135997.4444447</v>
      </c>
      <c r="AJ112" s="232">
        <f t="shared" si="116"/>
        <v>5554551367.4444447</v>
      </c>
      <c r="AK112" s="101"/>
      <c r="AL112" s="233">
        <f>AL114+AL123+AL141</f>
        <v>-45000000</v>
      </c>
      <c r="AM112" s="232">
        <f>AM114+AM123+AM141</f>
        <v>0</v>
      </c>
    </row>
    <row r="113" spans="1:39" ht="24.75" customHeight="1" thickBot="1">
      <c r="A113" s="123">
        <f>+IF(MAYO!A113=0,"",MAYO!A113)</f>
        <v>2000</v>
      </c>
      <c r="B113" s="265" t="str">
        <f>+IF(MAYO!B113=0,"",MAYO!B113)</f>
        <v>INGRESOS DE CAPITAL</v>
      </c>
      <c r="C113" s="409">
        <f t="shared" ref="C113:N113" si="117">SUM(C115:C124)</f>
        <v>0</v>
      </c>
      <c r="D113" s="410">
        <f t="shared" si="117"/>
        <v>0</v>
      </c>
      <c r="E113" s="410">
        <f t="shared" si="117"/>
        <v>0</v>
      </c>
      <c r="F113" s="410">
        <f t="shared" si="117"/>
        <v>0</v>
      </c>
      <c r="G113" s="410">
        <f t="shared" si="117"/>
        <v>0</v>
      </c>
      <c r="H113" s="410">
        <f t="shared" si="117"/>
        <v>0</v>
      </c>
      <c r="I113" s="410">
        <f t="shared" si="117"/>
        <v>0</v>
      </c>
      <c r="J113" s="410">
        <f t="shared" si="117"/>
        <v>0</v>
      </c>
      <c r="K113" s="410">
        <f t="shared" si="117"/>
        <v>0</v>
      </c>
      <c r="L113" s="410">
        <f t="shared" si="117"/>
        <v>0</v>
      </c>
      <c r="M113" s="410">
        <f t="shared" si="117"/>
        <v>0</v>
      </c>
      <c r="N113" s="411">
        <f t="shared" si="117"/>
        <v>0</v>
      </c>
      <c r="O113" s="369"/>
      <c r="P113" s="171">
        <f>SUM(P115:P124)</f>
        <v>0</v>
      </c>
      <c r="Q113" s="173">
        <f>SUM(Q115:Q124)</f>
        <v>0</v>
      </c>
      <c r="R113" s="101"/>
      <c r="S113" s="189">
        <f>+IF(MAYO!S113=0,"",MAYO!S113)</f>
        <v>2000</v>
      </c>
      <c r="T113" s="488" t="str">
        <f>+IF(MAYO!T113=0,"",MAYO!T113)</f>
        <v/>
      </c>
      <c r="U113" s="191"/>
      <c r="V113" s="191"/>
      <c r="W113" s="191"/>
      <c r="X113" s="191"/>
      <c r="Y113" s="191"/>
      <c r="Z113" s="191"/>
      <c r="AA113" s="191"/>
      <c r="AB113" s="191"/>
      <c r="AC113" s="191"/>
      <c r="AD113" s="191"/>
      <c r="AE113" s="191"/>
      <c r="AF113" s="191"/>
      <c r="AG113" s="191"/>
      <c r="AH113" s="191"/>
      <c r="AI113" s="191"/>
      <c r="AJ113" s="192"/>
      <c r="AK113" s="101"/>
      <c r="AL113" s="194"/>
      <c r="AM113" s="195"/>
    </row>
    <row r="114" spans="1:39" ht="24.75" customHeight="1" thickBot="1">
      <c r="A114" s="398">
        <f>+IF(MAYO!A114=0,"",MAYO!A114)</f>
        <v>2000</v>
      </c>
      <c r="B114" s="399">
        <f>+IF(MAYO!B114=0,"",MAYO!B114)</f>
        <v>2000</v>
      </c>
      <c r="C114" s="400"/>
      <c r="D114" s="400"/>
      <c r="E114" s="400"/>
      <c r="F114" s="400"/>
      <c r="G114" s="400"/>
      <c r="H114" s="400"/>
      <c r="I114" s="400"/>
      <c r="J114" s="400"/>
      <c r="K114" s="400"/>
      <c r="L114" s="400"/>
      <c r="M114" s="400"/>
      <c r="N114" s="401"/>
      <c r="O114" s="67"/>
      <c r="P114" s="402"/>
      <c r="Q114" s="401"/>
      <c r="R114" s="101"/>
      <c r="S114" s="257">
        <f>+IF(MAYO!S114=0,"",MAYO!S114)</f>
        <v>2010100</v>
      </c>
      <c r="T114" s="546" t="str">
        <f>+IF(MAYO!T114=0,"",MAYO!T114)</f>
        <v>Adquisición de bienes</v>
      </c>
      <c r="U114" s="230">
        <f t="shared" ref="U114:AJ114" si="118">SUM(U115:U121)</f>
        <v>1246863273.1666665</v>
      </c>
      <c r="V114" s="231">
        <f t="shared" si="118"/>
        <v>0</v>
      </c>
      <c r="W114" s="231">
        <f t="shared" si="118"/>
        <v>0</v>
      </c>
      <c r="X114" s="234">
        <f t="shared" si="118"/>
        <v>1246863273.1666665</v>
      </c>
      <c r="Y114" s="233">
        <f t="shared" si="118"/>
        <v>349034319</v>
      </c>
      <c r="Z114" s="231">
        <f t="shared" si="118"/>
        <v>20415846</v>
      </c>
      <c r="AA114" s="234">
        <f t="shared" si="118"/>
        <v>369450165</v>
      </c>
      <c r="AB114" s="233">
        <f t="shared" si="118"/>
        <v>281893872</v>
      </c>
      <c r="AC114" s="231">
        <f t="shared" si="118"/>
        <v>23202367</v>
      </c>
      <c r="AD114" s="234">
        <f t="shared" si="118"/>
        <v>305096239</v>
      </c>
      <c r="AE114" s="233">
        <f t="shared" si="118"/>
        <v>196416173</v>
      </c>
      <c r="AF114" s="231">
        <f t="shared" si="118"/>
        <v>34578937</v>
      </c>
      <c r="AG114" s="234">
        <f t="shared" si="118"/>
        <v>230995110</v>
      </c>
      <c r="AH114" s="233">
        <f t="shared" si="118"/>
        <v>877413108.16666663</v>
      </c>
      <c r="AI114" s="231">
        <f t="shared" si="118"/>
        <v>941767034.16666663</v>
      </c>
      <c r="AJ114" s="232">
        <f t="shared" si="118"/>
        <v>1015868163.1666666</v>
      </c>
      <c r="AK114" s="101"/>
      <c r="AL114" s="232">
        <f>SUM(AL115:AL121)</f>
        <v>0</v>
      </c>
      <c r="AM114" s="232">
        <f>SUM(AM115:AM121)</f>
        <v>0</v>
      </c>
    </row>
    <row r="115" spans="1:39" ht="24.75" customHeight="1">
      <c r="A115" s="412">
        <f>+IF(MAYO!A115=0,"",MAYO!A115)</f>
        <v>2100</v>
      </c>
      <c r="B115" s="387" t="str">
        <f>+IF(MAYO!B115=0,"",MAYO!B115)</f>
        <v>CREDITO INTERNO</v>
      </c>
      <c r="C115" s="204">
        <f>+ENERO!C115</f>
        <v>0</v>
      </c>
      <c r="D115" s="413">
        <f>MAYO!D115+JUNIO!P115</f>
        <v>0</v>
      </c>
      <c r="E115" s="413">
        <f>MAYO!E115+JUNIO!Q115</f>
        <v>0</v>
      </c>
      <c r="F115" s="414">
        <f t="shared" ref="F115:F124" si="119">SUM(C115:E115)</f>
        <v>0</v>
      </c>
      <c r="G115" s="415">
        <f>MAYO!I115</f>
        <v>0</v>
      </c>
      <c r="H115" s="208">
        <v>0</v>
      </c>
      <c r="I115" s="414">
        <f t="shared" ref="I115:I124" si="120">SUM(G115:H115)</f>
        <v>0</v>
      </c>
      <c r="J115" s="415">
        <f>MAYO!L115</f>
        <v>0</v>
      </c>
      <c r="K115" s="208">
        <v>0</v>
      </c>
      <c r="L115" s="416">
        <f t="shared" ref="L115:L124" si="121">SUM(J115:K115)</f>
        <v>0</v>
      </c>
      <c r="M115" s="417">
        <f t="shared" ref="M115:M124" si="122">F115-I115</f>
        <v>0</v>
      </c>
      <c r="N115" s="416">
        <f t="shared" ref="N115:N124" si="123">F115-L115</f>
        <v>0</v>
      </c>
      <c r="O115" s="369"/>
      <c r="P115" s="204">
        <v>0</v>
      </c>
      <c r="Q115" s="210">
        <v>0</v>
      </c>
      <c r="R115" s="101"/>
      <c r="S115" s="266" t="str">
        <f>+IF(MAYO!S115=0,"",MAYO!S115)</f>
        <v>2.1.2.02.01.003.302</v>
      </c>
      <c r="T115" s="267" t="str">
        <f>+IF(MAYO!T115=0,"",MAYO!T115)</f>
        <v>Papeleria</v>
      </c>
      <c r="U115" s="373">
        <f>+ENERO!U115</f>
        <v>252782338.5</v>
      </c>
      <c r="V115" s="220">
        <f>MAYO!V115+JUNIO!AL115</f>
        <v>0</v>
      </c>
      <c r="W115" s="220">
        <f>MAYO!W115+JUNIO!AM115</f>
        <v>0</v>
      </c>
      <c r="X115" s="271">
        <f t="shared" ref="X115:X121" si="124">SUM(U115:W115)</f>
        <v>252782338.5</v>
      </c>
      <c r="Y115" s="270">
        <f>MAYO!AA115</f>
        <v>115323413</v>
      </c>
      <c r="Z115" s="208">
        <v>20415846</v>
      </c>
      <c r="AA115" s="271">
        <f t="shared" ref="AA115:AA121" si="125">SUM(Y115:Z115)</f>
        <v>135739259</v>
      </c>
      <c r="AB115" s="270">
        <f>MAYO!AD115</f>
        <v>91719767</v>
      </c>
      <c r="AC115" s="208">
        <v>20066164</v>
      </c>
      <c r="AD115" s="271">
        <f t="shared" ref="AD115:AD121" si="126">SUM(AB115:AC115)</f>
        <v>111785931</v>
      </c>
      <c r="AE115" s="270">
        <f>MAYO!AG115</f>
        <v>7815484</v>
      </c>
      <c r="AF115" s="208">
        <v>34578937</v>
      </c>
      <c r="AG115" s="271">
        <f t="shared" ref="AG115:AG121" si="127">SUM(AE115:AF115)</f>
        <v>42394421</v>
      </c>
      <c r="AH115" s="270">
        <f t="shared" ref="AH115:AH121" si="128">X115-AA115</f>
        <v>117043079.5</v>
      </c>
      <c r="AI115" s="220">
        <f t="shared" ref="AI115:AI121" si="129">X115-AD115</f>
        <v>140996407.5</v>
      </c>
      <c r="AJ115" s="269">
        <f t="shared" ref="AJ115:AJ121" si="130">X115-AG115</f>
        <v>210387917.5</v>
      </c>
      <c r="AK115" s="101"/>
      <c r="AL115" s="204">
        <v>0</v>
      </c>
      <c r="AM115" s="210">
        <v>0</v>
      </c>
    </row>
    <row r="116" spans="1:39" ht="24.75" customHeight="1">
      <c r="A116" s="412" t="str">
        <f>+IF(MAYO!A116=0,"",MAYO!A116)</f>
        <v>2100-1</v>
      </c>
      <c r="B116" s="388" t="str">
        <f>+IF(MAYO!B116=0,"",MAYO!B116)</f>
        <v>Vigencia Anterior</v>
      </c>
      <c r="C116" s="204">
        <f>+ENERO!C116</f>
        <v>0</v>
      </c>
      <c r="D116" s="413">
        <f>MAYO!D116+JUNIO!P116</f>
        <v>0</v>
      </c>
      <c r="E116" s="413">
        <f>MAYO!E116+JUNIO!Q116</f>
        <v>0</v>
      </c>
      <c r="F116" s="414">
        <f t="shared" si="119"/>
        <v>0</v>
      </c>
      <c r="G116" s="415">
        <f>MAYO!I116</f>
        <v>0</v>
      </c>
      <c r="H116" s="208">
        <v>0</v>
      </c>
      <c r="I116" s="414">
        <f t="shared" si="120"/>
        <v>0</v>
      </c>
      <c r="J116" s="415">
        <f>MAYO!L116</f>
        <v>0</v>
      </c>
      <c r="K116" s="208">
        <v>0</v>
      </c>
      <c r="L116" s="416">
        <f t="shared" si="121"/>
        <v>0</v>
      </c>
      <c r="M116" s="417">
        <f t="shared" si="122"/>
        <v>0</v>
      </c>
      <c r="N116" s="416">
        <f t="shared" si="123"/>
        <v>0</v>
      </c>
      <c r="O116" s="369"/>
      <c r="P116" s="204">
        <v>0</v>
      </c>
      <c r="Q116" s="210">
        <v>0</v>
      </c>
      <c r="R116" s="101"/>
      <c r="S116" s="266" t="str">
        <f>+IF(MAYO!S116=0,"",MAYO!S116)</f>
        <v>2.1.2.02.01.003.301</v>
      </c>
      <c r="T116" s="267" t="str">
        <f>+IF(MAYO!T116=0,"",MAYO!T116)</f>
        <v>Combustible</v>
      </c>
      <c r="U116" s="373">
        <f>+ENERO!U116</f>
        <v>77916666.666666657</v>
      </c>
      <c r="V116" s="220">
        <f>MAYO!V116+JUNIO!AL116</f>
        <v>0</v>
      </c>
      <c r="W116" s="220">
        <f>MAYO!W116+JUNIO!AM116</f>
        <v>0</v>
      </c>
      <c r="X116" s="271">
        <f t="shared" si="124"/>
        <v>77916666.666666657</v>
      </c>
      <c r="Y116" s="270">
        <f>MAYO!AA116</f>
        <v>60000000</v>
      </c>
      <c r="Z116" s="208">
        <v>0</v>
      </c>
      <c r="AA116" s="271">
        <f t="shared" si="125"/>
        <v>60000000</v>
      </c>
      <c r="AB116" s="270">
        <f>MAYO!AD116</f>
        <v>16463199</v>
      </c>
      <c r="AC116" s="208">
        <v>3136203</v>
      </c>
      <c r="AD116" s="271">
        <f t="shared" si="126"/>
        <v>19599402</v>
      </c>
      <c r="AE116" s="270">
        <f>MAYO!AG116</f>
        <v>14889783</v>
      </c>
      <c r="AF116" s="208">
        <v>0</v>
      </c>
      <c r="AG116" s="271">
        <f t="shared" si="127"/>
        <v>14889783</v>
      </c>
      <c r="AH116" s="270">
        <f t="shared" si="128"/>
        <v>17916666.666666657</v>
      </c>
      <c r="AI116" s="220">
        <f t="shared" si="129"/>
        <v>58317264.666666657</v>
      </c>
      <c r="AJ116" s="269">
        <f t="shared" si="130"/>
        <v>63026883.666666657</v>
      </c>
      <c r="AK116" s="101"/>
      <c r="AL116" s="204">
        <v>0</v>
      </c>
      <c r="AM116" s="210">
        <v>0</v>
      </c>
    </row>
    <row r="117" spans="1:39" ht="24.75" customHeight="1">
      <c r="A117" s="412">
        <f>+IF(MAYO!A117=0,"",MAYO!A117)</f>
        <v>2200</v>
      </c>
      <c r="B117" s="387" t="str">
        <f>+IF(MAYO!B117=0,"",MAYO!B117)</f>
        <v>CREDITO EXTERNO</v>
      </c>
      <c r="C117" s="204">
        <f>+ENERO!C117</f>
        <v>0</v>
      </c>
      <c r="D117" s="413">
        <f>MAYO!D117+JUNIO!P117</f>
        <v>0</v>
      </c>
      <c r="E117" s="413">
        <f>MAYO!E117+JUNIO!Q117</f>
        <v>0</v>
      </c>
      <c r="F117" s="414">
        <f t="shared" si="119"/>
        <v>0</v>
      </c>
      <c r="G117" s="415">
        <f>MAYO!I117</f>
        <v>0</v>
      </c>
      <c r="H117" s="208">
        <v>0</v>
      </c>
      <c r="I117" s="414">
        <f t="shared" si="120"/>
        <v>0</v>
      </c>
      <c r="J117" s="415">
        <f>MAYO!L117</f>
        <v>0</v>
      </c>
      <c r="K117" s="208">
        <v>0</v>
      </c>
      <c r="L117" s="416">
        <f t="shared" si="121"/>
        <v>0</v>
      </c>
      <c r="M117" s="417">
        <f t="shared" si="122"/>
        <v>0</v>
      </c>
      <c r="N117" s="416">
        <f t="shared" si="123"/>
        <v>0</v>
      </c>
      <c r="O117" s="369"/>
      <c r="P117" s="204">
        <v>0</v>
      </c>
      <c r="Q117" s="210">
        <v>0</v>
      </c>
      <c r="R117" s="101"/>
      <c r="S117" s="266" t="str">
        <f>+IF(MAYO!S117=0,"",MAYO!S117)</f>
        <v>2.1.3.07.02.031</v>
      </c>
      <c r="T117" s="267" t="str">
        <f>+IF(MAYO!T117=0,"",MAYO!T117)</f>
        <v>Programa de Salud Ocupacional</v>
      </c>
      <c r="U117" s="373">
        <f>+ENERO!U117</f>
        <v>20000000</v>
      </c>
      <c r="V117" s="220">
        <f>MAYO!V117+JUNIO!AL117</f>
        <v>0</v>
      </c>
      <c r="W117" s="220">
        <f>MAYO!W117+JUNIO!AM117</f>
        <v>0</v>
      </c>
      <c r="X117" s="271">
        <f t="shared" si="124"/>
        <v>20000000</v>
      </c>
      <c r="Y117" s="270">
        <f>MAYO!AA117</f>
        <v>0</v>
      </c>
      <c r="Z117" s="208">
        <v>0</v>
      </c>
      <c r="AA117" s="271">
        <f t="shared" si="125"/>
        <v>0</v>
      </c>
      <c r="AB117" s="270">
        <f>MAYO!AD117</f>
        <v>0</v>
      </c>
      <c r="AC117" s="208">
        <v>0</v>
      </c>
      <c r="AD117" s="271">
        <f t="shared" si="126"/>
        <v>0</v>
      </c>
      <c r="AE117" s="270">
        <f>MAYO!AG117</f>
        <v>0</v>
      </c>
      <c r="AF117" s="208">
        <v>0</v>
      </c>
      <c r="AG117" s="271">
        <f t="shared" si="127"/>
        <v>0</v>
      </c>
      <c r="AH117" s="270">
        <f t="shared" si="128"/>
        <v>20000000</v>
      </c>
      <c r="AI117" s="220">
        <f t="shared" si="129"/>
        <v>20000000</v>
      </c>
      <c r="AJ117" s="269">
        <f t="shared" si="130"/>
        <v>20000000</v>
      </c>
      <c r="AK117" s="101"/>
      <c r="AL117" s="204">
        <v>0</v>
      </c>
      <c r="AM117" s="210">
        <v>0</v>
      </c>
    </row>
    <row r="118" spans="1:39" ht="24.75" customHeight="1">
      <c r="A118" s="412" t="str">
        <f>+IF(MAYO!A118=0,"",MAYO!A118)</f>
        <v>2200-1</v>
      </c>
      <c r="B118" s="388" t="str">
        <f>+IF(MAYO!B118=0,"",MAYO!B118)</f>
        <v>Vigencia Anterior</v>
      </c>
      <c r="C118" s="204">
        <f>+ENERO!C118</f>
        <v>0</v>
      </c>
      <c r="D118" s="413">
        <f>MAYO!D118+JUNIO!P118</f>
        <v>0</v>
      </c>
      <c r="E118" s="413">
        <f>MAYO!E118+JUNIO!Q118</f>
        <v>0</v>
      </c>
      <c r="F118" s="414">
        <f t="shared" si="119"/>
        <v>0</v>
      </c>
      <c r="G118" s="415">
        <f>MAYO!I118</f>
        <v>0</v>
      </c>
      <c r="H118" s="208">
        <v>0</v>
      </c>
      <c r="I118" s="414">
        <f t="shared" si="120"/>
        <v>0</v>
      </c>
      <c r="J118" s="415">
        <f>MAYO!L118</f>
        <v>0</v>
      </c>
      <c r="K118" s="208">
        <v>0</v>
      </c>
      <c r="L118" s="416">
        <f t="shared" si="121"/>
        <v>0</v>
      </c>
      <c r="M118" s="417">
        <f t="shared" si="122"/>
        <v>0</v>
      </c>
      <c r="N118" s="416">
        <f t="shared" si="123"/>
        <v>0</v>
      </c>
      <c r="O118" s="369"/>
      <c r="P118" s="204">
        <v>0</v>
      </c>
      <c r="Q118" s="210">
        <v>0</v>
      </c>
      <c r="R118" s="101"/>
      <c r="S118" s="266" t="str">
        <f>+IF(MAYO!S118=0,"",MAYO!S118)</f>
        <v>2.1.2.02.01.003.307</v>
      </c>
      <c r="T118" s="267" t="str">
        <f>+IF(MAYO!T118=0,"",MAYO!T118)</f>
        <v>Mantenimiento - Bienes Ambiental y Sanitaria</v>
      </c>
      <c r="U118" s="373">
        <f>+ENERO!U118</f>
        <v>15180000</v>
      </c>
      <c r="V118" s="220">
        <f>MAYO!V118+JUNIO!AL118</f>
        <v>0</v>
      </c>
      <c r="W118" s="220">
        <f>MAYO!W118+JUNIO!AM118</f>
        <v>0</v>
      </c>
      <c r="X118" s="271">
        <f t="shared" si="124"/>
        <v>15180000</v>
      </c>
      <c r="Y118" s="270">
        <f>MAYO!AA118</f>
        <v>0</v>
      </c>
      <c r="Z118" s="208">
        <v>0</v>
      </c>
      <c r="AA118" s="271">
        <f t="shared" si="125"/>
        <v>0</v>
      </c>
      <c r="AB118" s="270">
        <f>MAYO!AD118</f>
        <v>0</v>
      </c>
      <c r="AC118" s="208">
        <v>0</v>
      </c>
      <c r="AD118" s="271">
        <f t="shared" si="126"/>
        <v>0</v>
      </c>
      <c r="AE118" s="270">
        <f>MAYO!AG118</f>
        <v>0</v>
      </c>
      <c r="AF118" s="208">
        <v>0</v>
      </c>
      <c r="AG118" s="271">
        <f t="shared" si="127"/>
        <v>0</v>
      </c>
      <c r="AH118" s="270">
        <f t="shared" si="128"/>
        <v>15180000</v>
      </c>
      <c r="AI118" s="220">
        <f t="shared" si="129"/>
        <v>15180000</v>
      </c>
      <c r="AJ118" s="269">
        <f t="shared" si="130"/>
        <v>15180000</v>
      </c>
      <c r="AK118" s="101"/>
      <c r="AL118" s="204">
        <v>0</v>
      </c>
      <c r="AM118" s="210">
        <v>0</v>
      </c>
    </row>
    <row r="119" spans="1:39" ht="24.75" customHeight="1">
      <c r="A119" s="412" t="str">
        <f>+IF(MAYO!A119=0,"",MAYO!A119)</f>
        <v>1.2.05.02</v>
      </c>
      <c r="B119" s="387" t="str">
        <f>+IF(MAYO!B119=0,"",MAYO!B119)</f>
        <v>Depositos (RENDIMIENTOS FINANCIEROS)</v>
      </c>
      <c r="C119" s="204">
        <f>+ENERO!C119</f>
        <v>0</v>
      </c>
      <c r="D119" s="413">
        <f>MAYO!D119+JUNIO!P119</f>
        <v>0</v>
      </c>
      <c r="E119" s="413">
        <f>MAYO!E119+JUNIO!Q119</f>
        <v>0</v>
      </c>
      <c r="F119" s="414">
        <f t="shared" si="119"/>
        <v>0</v>
      </c>
      <c r="G119" s="207">
        <f>MAYO!I119</f>
        <v>0</v>
      </c>
      <c r="H119" s="208">
        <v>0</v>
      </c>
      <c r="I119" s="419">
        <f t="shared" si="120"/>
        <v>0</v>
      </c>
      <c r="J119" s="207">
        <f>MAYO!L119</f>
        <v>0</v>
      </c>
      <c r="K119" s="208">
        <v>0</v>
      </c>
      <c r="L119" s="206">
        <f t="shared" si="121"/>
        <v>0</v>
      </c>
      <c r="M119" s="420">
        <f t="shared" si="122"/>
        <v>0</v>
      </c>
      <c r="N119" s="206">
        <f t="shared" si="123"/>
        <v>0</v>
      </c>
      <c r="O119" s="369"/>
      <c r="P119" s="204">
        <v>0</v>
      </c>
      <c r="Q119" s="210">
        <v>0</v>
      </c>
      <c r="R119" s="101"/>
      <c r="S119" s="266" t="str">
        <f>+IF(MAYO!S119=0,"",MAYO!S119)</f>
        <v>2.1.2.02.01.003.305</v>
      </c>
      <c r="T119" s="267" t="str">
        <f>+IF(MAYO!T119=0,"",MAYO!T119)</f>
        <v>Mantenimiento -  Partes, accesorios, herramientas</v>
      </c>
      <c r="U119" s="373">
        <f>+ENERO!U119</f>
        <v>0</v>
      </c>
      <c r="V119" s="220">
        <f>MAYO!V119+JUNIO!AL119</f>
        <v>0</v>
      </c>
      <c r="W119" s="220">
        <f>MAYO!W119+JUNIO!AM119</f>
        <v>0</v>
      </c>
      <c r="X119" s="271">
        <f t="shared" si="124"/>
        <v>0</v>
      </c>
      <c r="Y119" s="270">
        <f>MAYO!AA119</f>
        <v>0</v>
      </c>
      <c r="Z119" s="208">
        <v>0</v>
      </c>
      <c r="AA119" s="271">
        <f t="shared" si="125"/>
        <v>0</v>
      </c>
      <c r="AB119" s="270">
        <f>MAYO!AD119</f>
        <v>0</v>
      </c>
      <c r="AC119" s="208">
        <v>0</v>
      </c>
      <c r="AD119" s="271">
        <f t="shared" si="126"/>
        <v>0</v>
      </c>
      <c r="AE119" s="270">
        <f>MAYO!AG119</f>
        <v>0</v>
      </c>
      <c r="AF119" s="208">
        <v>0</v>
      </c>
      <c r="AG119" s="271">
        <f t="shared" si="127"/>
        <v>0</v>
      </c>
      <c r="AH119" s="270">
        <f t="shared" si="128"/>
        <v>0</v>
      </c>
      <c r="AI119" s="220">
        <f t="shared" si="129"/>
        <v>0</v>
      </c>
      <c r="AJ119" s="269">
        <f t="shared" si="130"/>
        <v>0</v>
      </c>
      <c r="AK119" s="101"/>
      <c r="AL119" s="204">
        <v>0</v>
      </c>
      <c r="AM119" s="210">
        <v>0</v>
      </c>
    </row>
    <row r="120" spans="1:39" ht="24.75" customHeight="1">
      <c r="A120" s="421">
        <f>+IF(MAYO!A120=0,"",MAYO!A120)</f>
        <v>2400</v>
      </c>
      <c r="B120" s="388" t="str">
        <f>+IF(MAYO!B120=0,"",MAYO!B120)</f>
        <v>VENTA DE ACTIVOS</v>
      </c>
      <c r="C120" s="204">
        <f>+ENERO!C120</f>
        <v>0</v>
      </c>
      <c r="D120" s="413">
        <f>MAYO!D120+JUNIO!P120</f>
        <v>0</v>
      </c>
      <c r="E120" s="413">
        <f>MAYO!E120+JUNIO!Q120</f>
        <v>0</v>
      </c>
      <c r="F120" s="414">
        <f t="shared" si="119"/>
        <v>0</v>
      </c>
      <c r="G120" s="207">
        <f>MAYO!I120</f>
        <v>0</v>
      </c>
      <c r="H120" s="208">
        <v>0</v>
      </c>
      <c r="I120" s="419">
        <f t="shared" si="120"/>
        <v>0</v>
      </c>
      <c r="J120" s="207">
        <f>MAYO!L120</f>
        <v>0</v>
      </c>
      <c r="K120" s="208">
        <v>0</v>
      </c>
      <c r="L120" s="206">
        <f t="shared" si="121"/>
        <v>0</v>
      </c>
      <c r="M120" s="420">
        <f t="shared" si="122"/>
        <v>0</v>
      </c>
      <c r="N120" s="206">
        <f t="shared" si="123"/>
        <v>0</v>
      </c>
      <c r="O120" s="67"/>
      <c r="P120" s="204">
        <v>0</v>
      </c>
      <c r="Q120" s="210">
        <v>0</v>
      </c>
      <c r="R120" s="101"/>
      <c r="S120" s="266" t="str">
        <f>+IF(MAYO!S120=0,"",MAYO!S120)</f>
        <v>2.1.2.02.01.003.308</v>
      </c>
      <c r="T120" s="267" t="str">
        <f>+IF(MAYO!T120=0,"",MAYO!T120)</f>
        <v>Mantenimiento - Bienes Adecuaciones locativas</v>
      </c>
      <c r="U120" s="373">
        <f>+ENERO!U120</f>
        <v>704984268</v>
      </c>
      <c r="V120" s="220">
        <f>MAYO!V120+JUNIO!AL120</f>
        <v>0</v>
      </c>
      <c r="W120" s="220">
        <f>MAYO!W120+JUNIO!AM120</f>
        <v>0</v>
      </c>
      <c r="X120" s="271">
        <f t="shared" si="124"/>
        <v>704984268</v>
      </c>
      <c r="Y120" s="270">
        <f>MAYO!AA120</f>
        <v>0</v>
      </c>
      <c r="Z120" s="208">
        <v>0</v>
      </c>
      <c r="AA120" s="271">
        <f t="shared" si="125"/>
        <v>0</v>
      </c>
      <c r="AB120" s="270">
        <f>MAYO!AD120</f>
        <v>0</v>
      </c>
      <c r="AC120" s="208">
        <v>0</v>
      </c>
      <c r="AD120" s="271">
        <f t="shared" si="126"/>
        <v>0</v>
      </c>
      <c r="AE120" s="270">
        <f>MAYO!AG120</f>
        <v>0</v>
      </c>
      <c r="AF120" s="208">
        <v>0</v>
      </c>
      <c r="AG120" s="271">
        <f t="shared" si="127"/>
        <v>0</v>
      </c>
      <c r="AH120" s="270">
        <f t="shared" si="128"/>
        <v>704984268</v>
      </c>
      <c r="AI120" s="220">
        <f t="shared" si="129"/>
        <v>704984268</v>
      </c>
      <c r="AJ120" s="269">
        <f t="shared" si="130"/>
        <v>704984268</v>
      </c>
      <c r="AK120" s="101"/>
      <c r="AL120" s="204">
        <v>0</v>
      </c>
      <c r="AM120" s="210">
        <v>0</v>
      </c>
    </row>
    <row r="121" spans="1:39" ht="24.75" customHeight="1">
      <c r="A121" s="421">
        <f>+IF(MAYO!A121=0,"",MAYO!A121)</f>
        <v>2500</v>
      </c>
      <c r="B121" s="388" t="str">
        <f>+IF(MAYO!B121=0,"",MAYO!B121)</f>
        <v>DONACIONES</v>
      </c>
      <c r="C121" s="204">
        <f>+ENERO!C121</f>
        <v>0</v>
      </c>
      <c r="D121" s="413">
        <f>MAYO!D121+JUNIO!P121</f>
        <v>0</v>
      </c>
      <c r="E121" s="413">
        <f>MAYO!E121+JUNIO!Q121</f>
        <v>0</v>
      </c>
      <c r="F121" s="414">
        <f t="shared" si="119"/>
        <v>0</v>
      </c>
      <c r="G121" s="207">
        <f>MAYO!I121</f>
        <v>0</v>
      </c>
      <c r="H121" s="208">
        <v>0</v>
      </c>
      <c r="I121" s="419">
        <f t="shared" si="120"/>
        <v>0</v>
      </c>
      <c r="J121" s="207">
        <f>MAYO!L121</f>
        <v>0</v>
      </c>
      <c r="K121" s="208">
        <v>0</v>
      </c>
      <c r="L121" s="206">
        <f t="shared" si="121"/>
        <v>0</v>
      </c>
      <c r="M121" s="420">
        <f t="shared" si="122"/>
        <v>0</v>
      </c>
      <c r="N121" s="206">
        <f t="shared" si="123"/>
        <v>0</v>
      </c>
      <c r="O121" s="67"/>
      <c r="P121" s="204">
        <v>0</v>
      </c>
      <c r="Q121" s="210">
        <v>0</v>
      </c>
      <c r="R121" s="101" t="s">
        <v>688</v>
      </c>
      <c r="S121" s="266" t="str">
        <f>+IF(MAYO!S121=0,"",MAYO!S121)</f>
        <v>2.1.2.02.02.008.99.02</v>
      </c>
      <c r="T121" s="267" t="s">
        <v>196</v>
      </c>
      <c r="U121" s="373">
        <f>+ENERO!U121</f>
        <v>176000000</v>
      </c>
      <c r="V121" s="220">
        <f>MAYO!V121+JUNIO!AL121</f>
        <v>0</v>
      </c>
      <c r="W121" s="220">
        <f>MAYO!W121+JUNIO!AM121</f>
        <v>0</v>
      </c>
      <c r="X121" s="271">
        <f t="shared" si="124"/>
        <v>176000000</v>
      </c>
      <c r="Y121" s="270">
        <f>MAYO!AA121</f>
        <v>173710906</v>
      </c>
      <c r="Z121" s="208">
        <v>0</v>
      </c>
      <c r="AA121" s="271">
        <f t="shared" si="125"/>
        <v>173710906</v>
      </c>
      <c r="AB121" s="270">
        <f>MAYO!AD121</f>
        <v>173710906</v>
      </c>
      <c r="AC121" s="208">
        <v>0</v>
      </c>
      <c r="AD121" s="271">
        <f t="shared" si="126"/>
        <v>173710906</v>
      </c>
      <c r="AE121" s="270">
        <f>MAYO!AG121</f>
        <v>173710906</v>
      </c>
      <c r="AF121" s="208">
        <v>0</v>
      </c>
      <c r="AG121" s="271">
        <f t="shared" si="127"/>
        <v>173710906</v>
      </c>
      <c r="AH121" s="270">
        <f t="shared" si="128"/>
        <v>2289094</v>
      </c>
      <c r="AI121" s="220">
        <f t="shared" si="129"/>
        <v>2289094</v>
      </c>
      <c r="AJ121" s="269">
        <f t="shared" si="130"/>
        <v>2289094</v>
      </c>
      <c r="AK121" s="101"/>
      <c r="AL121" s="204">
        <v>0</v>
      </c>
      <c r="AM121" s="210">
        <v>0</v>
      </c>
    </row>
    <row r="122" spans="1:39" ht="24.75" customHeight="1">
      <c r="A122" s="421">
        <f>+IF(MAYO!A122=0,"",MAYO!A122)</f>
        <v>2600</v>
      </c>
      <c r="B122" s="388" t="str">
        <f>+IF(MAYO!B122=0,"",MAYO!B122)</f>
        <v>RECUPERACIÓN DE CARTERA (AÑO 2023 Y ANTERIORES)</v>
      </c>
      <c r="C122" s="204">
        <f>+ENERO!C122</f>
        <v>0</v>
      </c>
      <c r="D122" s="413">
        <f>MAYO!D122+JUNIO!P122</f>
        <v>0</v>
      </c>
      <c r="E122" s="413">
        <f>MAYO!E122+JUNIO!Q122</f>
        <v>0</v>
      </c>
      <c r="F122" s="414">
        <f t="shared" si="119"/>
        <v>0</v>
      </c>
      <c r="G122" s="207">
        <f>MAYO!I122</f>
        <v>0</v>
      </c>
      <c r="H122" s="208">
        <v>0</v>
      </c>
      <c r="I122" s="419">
        <f t="shared" si="120"/>
        <v>0</v>
      </c>
      <c r="J122" s="207">
        <f>MAYO!L122</f>
        <v>0</v>
      </c>
      <c r="K122" s="208">
        <v>0</v>
      </c>
      <c r="L122" s="206">
        <f t="shared" si="121"/>
        <v>0</v>
      </c>
      <c r="M122" s="420">
        <f t="shared" si="122"/>
        <v>0</v>
      </c>
      <c r="N122" s="206">
        <f t="shared" si="123"/>
        <v>0</v>
      </c>
      <c r="O122" s="67"/>
      <c r="P122" s="204">
        <v>0</v>
      </c>
      <c r="Q122" s="210">
        <v>0</v>
      </c>
      <c r="R122" s="101"/>
      <c r="S122" s="189" t="str">
        <f>+IF(MAYO!S122=0,"",MAYO!S122)</f>
        <v/>
      </c>
      <c r="T122" s="488" t="str">
        <f>+IF(MAYO!T122=0,"",MAYO!T122)</f>
        <v/>
      </c>
      <c r="U122" s="191"/>
      <c r="V122" s="191"/>
      <c r="W122" s="191"/>
      <c r="X122" s="191"/>
      <c r="Y122" s="191"/>
      <c r="Z122" s="191"/>
      <c r="AA122" s="191"/>
      <c r="AB122" s="191"/>
      <c r="AC122" s="191"/>
      <c r="AD122" s="191"/>
      <c r="AE122" s="191"/>
      <c r="AF122" s="191"/>
      <c r="AG122" s="191"/>
      <c r="AH122" s="191"/>
      <c r="AI122" s="191"/>
      <c r="AJ122" s="192"/>
      <c r="AK122" s="101"/>
      <c r="AL122" s="370"/>
      <c r="AM122" s="371"/>
    </row>
    <row r="123" spans="1:39" ht="24.75" customHeight="1">
      <c r="A123" s="421">
        <f>+IF(MAYO!A123=0,"",MAYO!A123)</f>
        <v>2700</v>
      </c>
      <c r="B123" s="388" t="str">
        <f>+IF(MAYO!B123=0,"",MAYO!B123)</f>
        <v>OTROS INGRESOS DE CAPITAL</v>
      </c>
      <c r="C123" s="204">
        <f>+ENERO!C123</f>
        <v>0</v>
      </c>
      <c r="D123" s="413">
        <f>MAYO!D123+JUNIO!P123</f>
        <v>0</v>
      </c>
      <c r="E123" s="413">
        <f>MAYO!E123+JUNIO!Q123</f>
        <v>0</v>
      </c>
      <c r="F123" s="414">
        <f t="shared" si="119"/>
        <v>0</v>
      </c>
      <c r="G123" s="207">
        <f>MAYO!I123</f>
        <v>0</v>
      </c>
      <c r="H123" s="208">
        <v>0</v>
      </c>
      <c r="I123" s="419">
        <f t="shared" si="120"/>
        <v>0</v>
      </c>
      <c r="J123" s="207">
        <f>MAYO!L123</f>
        <v>0</v>
      </c>
      <c r="K123" s="208">
        <v>0</v>
      </c>
      <c r="L123" s="206">
        <f t="shared" si="121"/>
        <v>0</v>
      </c>
      <c r="M123" s="420">
        <f t="shared" si="122"/>
        <v>0</v>
      </c>
      <c r="N123" s="206">
        <f t="shared" si="123"/>
        <v>0</v>
      </c>
      <c r="O123" s="67"/>
      <c r="P123" s="204">
        <v>0</v>
      </c>
      <c r="Q123" s="210">
        <v>0</v>
      </c>
      <c r="R123" s="101"/>
      <c r="S123" s="257">
        <f>+IF(MAYO!S123=0,"",MAYO!S123)</f>
        <v>2010200</v>
      </c>
      <c r="T123" s="546" t="str">
        <f>+IF(MAYO!T123=0,"",MAYO!T123)</f>
        <v>Adquisición de Servicios</v>
      </c>
      <c r="U123" s="230">
        <f t="shared" ref="U123:AJ123" si="131">SUM(U124:U139)</f>
        <v>8280375089.2777777</v>
      </c>
      <c r="V123" s="231">
        <f t="shared" si="131"/>
        <v>-725062130</v>
      </c>
      <c r="W123" s="231">
        <f t="shared" si="131"/>
        <v>169879991</v>
      </c>
      <c r="X123" s="234">
        <f t="shared" si="131"/>
        <v>7725192950.2777777</v>
      </c>
      <c r="Y123" s="233">
        <f t="shared" si="131"/>
        <v>5617548784</v>
      </c>
      <c r="Z123" s="231">
        <f t="shared" si="131"/>
        <v>287822439</v>
      </c>
      <c r="AA123" s="234">
        <f t="shared" si="131"/>
        <v>5905371223</v>
      </c>
      <c r="AB123" s="233">
        <f t="shared" si="131"/>
        <v>3680982068</v>
      </c>
      <c r="AC123" s="231">
        <f t="shared" si="131"/>
        <v>554242556</v>
      </c>
      <c r="AD123" s="234">
        <f t="shared" si="131"/>
        <v>4235224624</v>
      </c>
      <c r="AE123" s="233">
        <f t="shared" si="131"/>
        <v>3040924867</v>
      </c>
      <c r="AF123" s="231">
        <f t="shared" si="131"/>
        <v>524743866</v>
      </c>
      <c r="AG123" s="234">
        <f t="shared" si="131"/>
        <v>3565668733</v>
      </c>
      <c r="AH123" s="233">
        <f t="shared" si="131"/>
        <v>1819821727.2777774</v>
      </c>
      <c r="AI123" s="231">
        <f t="shared" si="131"/>
        <v>3489968326.2777777</v>
      </c>
      <c r="AJ123" s="232">
        <f t="shared" si="131"/>
        <v>4159524217.2777777</v>
      </c>
      <c r="AK123" s="101"/>
      <c r="AL123" s="233">
        <f>SUM(AL124:AL139)</f>
        <v>-45000000</v>
      </c>
      <c r="AM123" s="232">
        <f>SUM(AM124:AM139)</f>
        <v>0</v>
      </c>
    </row>
    <row r="124" spans="1:39" ht="24.75" customHeight="1" thickBot="1">
      <c r="A124" s="428">
        <f>+IF(MAYO!A124=0,"",MAYO!A124)</f>
        <v>2800</v>
      </c>
      <c r="B124" s="390" t="str">
        <f>+IF(MAYO!B124=0,"",MAYO!B124)</f>
        <v/>
      </c>
      <c r="C124" s="242">
        <f>+ENERO!C124</f>
        <v>0</v>
      </c>
      <c r="D124" s="429">
        <f>MAYO!D124+JUNIO!P124</f>
        <v>0</v>
      </c>
      <c r="E124" s="429">
        <f>MAYO!E124+JUNIO!Q124</f>
        <v>0</v>
      </c>
      <c r="F124" s="430">
        <f t="shared" si="119"/>
        <v>0</v>
      </c>
      <c r="G124" s="245">
        <f>MAYO!I124</f>
        <v>0</v>
      </c>
      <c r="H124" s="246">
        <v>0</v>
      </c>
      <c r="I124" s="431">
        <f t="shared" si="120"/>
        <v>0</v>
      </c>
      <c r="J124" s="245">
        <f>MAYO!L124</f>
        <v>0</v>
      </c>
      <c r="K124" s="246">
        <v>0</v>
      </c>
      <c r="L124" s="244">
        <f t="shared" si="121"/>
        <v>0</v>
      </c>
      <c r="M124" s="432">
        <f t="shared" si="122"/>
        <v>0</v>
      </c>
      <c r="N124" s="244">
        <f t="shared" si="123"/>
        <v>0</v>
      </c>
      <c r="O124" s="67"/>
      <c r="P124" s="242">
        <v>0</v>
      </c>
      <c r="Q124" s="248">
        <v>0</v>
      </c>
      <c r="R124" s="101"/>
      <c r="S124" s="266" t="str">
        <f>+IF(MAYO!S124=0,"",MAYO!S124)</f>
        <v>2.1.2.02.02.007.702</v>
      </c>
      <c r="T124" s="267" t="str">
        <f>+IF(MAYO!T124=0,"",MAYO!T124)</f>
        <v>Seguros</v>
      </c>
      <c r="U124" s="373">
        <f>+ENERO!U124</f>
        <v>1040000000</v>
      </c>
      <c r="V124" s="220">
        <f>MAYO!V124+JUNIO!AL124</f>
        <v>-70000000</v>
      </c>
      <c r="W124" s="220">
        <f>MAYO!W124+JUNIO!AM124</f>
        <v>0</v>
      </c>
      <c r="X124" s="271">
        <f t="shared" ref="X124:X139" si="132">SUM(U124:W124)</f>
        <v>970000000</v>
      </c>
      <c r="Y124" s="270">
        <f>MAYO!AA124</f>
        <v>879444632</v>
      </c>
      <c r="Z124" s="208">
        <v>0</v>
      </c>
      <c r="AA124" s="271">
        <f t="shared" ref="AA124:AA139" si="133">SUM(Y124:Z124)</f>
        <v>879444632</v>
      </c>
      <c r="AB124" s="270">
        <f>MAYO!AD124</f>
        <v>879444174</v>
      </c>
      <c r="AC124" s="208">
        <v>0</v>
      </c>
      <c r="AD124" s="271">
        <f t="shared" ref="AD124:AD139" si="134">SUM(AB124:AC124)</f>
        <v>879444174</v>
      </c>
      <c r="AE124" s="270">
        <f>MAYO!AG124</f>
        <v>872588389</v>
      </c>
      <c r="AF124" s="208">
        <v>5370879</v>
      </c>
      <c r="AG124" s="271">
        <f t="shared" ref="AG124:AG139" si="135">SUM(AE124:AF124)</f>
        <v>877959268</v>
      </c>
      <c r="AH124" s="270">
        <f t="shared" ref="AH124:AH139" si="136">X124-AA124</f>
        <v>90555368</v>
      </c>
      <c r="AI124" s="220">
        <f t="shared" ref="AI124:AI139" si="137">X124-AD124</f>
        <v>90555826</v>
      </c>
      <c r="AJ124" s="269">
        <f t="shared" ref="AJ124:AJ139" si="138">X124-AG124</f>
        <v>92040732</v>
      </c>
      <c r="AK124" s="101"/>
      <c r="AL124" s="204">
        <v>-70000000</v>
      </c>
      <c r="AM124" s="210">
        <v>0</v>
      </c>
    </row>
    <row r="125" spans="1:39" ht="24.75" customHeight="1" thickBot="1">
      <c r="A125" s="398"/>
      <c r="B125" s="399"/>
      <c r="C125" s="400"/>
      <c r="D125" s="400"/>
      <c r="E125" s="400"/>
      <c r="F125" s="400"/>
      <c r="G125" s="400"/>
      <c r="H125" s="400"/>
      <c r="I125" s="400"/>
      <c r="J125" s="400"/>
      <c r="K125" s="400"/>
      <c r="L125" s="400"/>
      <c r="M125" s="400"/>
      <c r="N125" s="401"/>
      <c r="O125" s="67"/>
      <c r="P125" s="402"/>
      <c r="Q125" s="401"/>
      <c r="R125" s="101"/>
      <c r="S125" s="266" t="str">
        <f>+IF(MAYO!S125=0,"",MAYO!S125)</f>
        <v>2.1.2.02.02.007.703</v>
      </c>
      <c r="T125" s="267" t="str">
        <f>+IF(MAYO!T125=0,"",MAYO!T125)</f>
        <v>Arrendamientos</v>
      </c>
      <c r="U125" s="373">
        <f>+ENERO!U125</f>
        <v>75000000</v>
      </c>
      <c r="V125" s="220">
        <f>MAYO!V125+JUNIO!AL125</f>
        <v>10000000</v>
      </c>
      <c r="W125" s="220">
        <f>MAYO!W125+JUNIO!AM125</f>
        <v>0</v>
      </c>
      <c r="X125" s="271">
        <f t="shared" si="132"/>
        <v>85000000</v>
      </c>
      <c r="Y125" s="270">
        <f>MAYO!AA125</f>
        <v>80000000</v>
      </c>
      <c r="Z125" s="208">
        <v>0</v>
      </c>
      <c r="AA125" s="271">
        <f t="shared" si="133"/>
        <v>80000000</v>
      </c>
      <c r="AB125" s="270">
        <f>MAYO!AD125</f>
        <v>20000000</v>
      </c>
      <c r="AC125" s="208">
        <v>20000000</v>
      </c>
      <c r="AD125" s="271">
        <f t="shared" si="134"/>
        <v>40000000</v>
      </c>
      <c r="AE125" s="270">
        <f>MAYO!AG125</f>
        <v>20000000</v>
      </c>
      <c r="AF125" s="208">
        <v>0</v>
      </c>
      <c r="AG125" s="271">
        <f t="shared" si="135"/>
        <v>20000000</v>
      </c>
      <c r="AH125" s="270">
        <f t="shared" si="136"/>
        <v>5000000</v>
      </c>
      <c r="AI125" s="220">
        <f t="shared" si="137"/>
        <v>45000000</v>
      </c>
      <c r="AJ125" s="269">
        <f t="shared" si="138"/>
        <v>65000000</v>
      </c>
      <c r="AK125" s="101"/>
      <c r="AL125" s="204">
        <v>0</v>
      </c>
      <c r="AM125" s="210">
        <v>0</v>
      </c>
    </row>
    <row r="126" spans="1:39" ht="24.75" customHeight="1" thickBot="1">
      <c r="A126" s="433" t="s">
        <v>278</v>
      </c>
      <c r="B126" s="434"/>
      <c r="C126" s="435">
        <f t="shared" ref="C126:N126" si="139">C8-C128</f>
        <v>138960268668.37653</v>
      </c>
      <c r="D126" s="435">
        <f t="shared" si="139"/>
        <v>0</v>
      </c>
      <c r="E126" s="435">
        <f t="shared" si="139"/>
        <v>22781422521</v>
      </c>
      <c r="F126" s="435">
        <f t="shared" si="139"/>
        <v>161741691189.37653</v>
      </c>
      <c r="G126" s="435">
        <f t="shared" si="139"/>
        <v>72717770689</v>
      </c>
      <c r="H126" s="435">
        <f t="shared" si="139"/>
        <v>14919035681</v>
      </c>
      <c r="I126" s="435">
        <f t="shared" si="139"/>
        <v>87617069581</v>
      </c>
      <c r="J126" s="435">
        <f t="shared" si="139"/>
        <v>24050744368</v>
      </c>
      <c r="K126" s="435">
        <f t="shared" si="139"/>
        <v>8425267740</v>
      </c>
      <c r="L126" s="435">
        <f t="shared" si="139"/>
        <v>32456275319</v>
      </c>
      <c r="M126" s="435">
        <f t="shared" si="139"/>
        <v>74124621608.376511</v>
      </c>
      <c r="N126" s="436">
        <f t="shared" si="139"/>
        <v>129285415870.37653</v>
      </c>
      <c r="O126" s="67"/>
      <c r="P126" s="437">
        <f>P8-P128</f>
        <v>0</v>
      </c>
      <c r="Q126" s="438">
        <f>Q8-Q128</f>
        <v>0</v>
      </c>
      <c r="R126" s="101"/>
      <c r="S126" s="266" t="str">
        <f>+IF(MAYO!S126=0,"",MAYO!S126)</f>
        <v>2.1.2.02.02.008.801</v>
      </c>
      <c r="T126" s="267" t="str">
        <f>+IF(MAYO!T126=0,"",MAYO!T126)</f>
        <v>Servicios Publicos (energia, Gas, Agua, Internet, Telefonia Fija y Movil)</v>
      </c>
      <c r="U126" s="373">
        <f>+ENERO!U126</f>
        <v>2804022659</v>
      </c>
      <c r="V126" s="220">
        <f>MAYO!V126+JUNIO!AL126</f>
        <v>-180000000</v>
      </c>
      <c r="W126" s="220">
        <f>MAYO!W126+JUNIO!AM126</f>
        <v>0</v>
      </c>
      <c r="X126" s="271">
        <f t="shared" si="132"/>
        <v>2624022659</v>
      </c>
      <c r="Y126" s="270">
        <f>MAYO!AA126</f>
        <v>1190544467</v>
      </c>
      <c r="Z126" s="208">
        <v>277659779</v>
      </c>
      <c r="AA126" s="271">
        <f t="shared" si="133"/>
        <v>1468204246</v>
      </c>
      <c r="AB126" s="270">
        <f>MAYO!AD126</f>
        <v>1174552121</v>
      </c>
      <c r="AC126" s="208">
        <v>283242725</v>
      </c>
      <c r="AD126" s="271">
        <f t="shared" si="134"/>
        <v>1457794846</v>
      </c>
      <c r="AE126" s="270">
        <f>MAYO!AG126</f>
        <v>1111252611</v>
      </c>
      <c r="AF126" s="208">
        <v>276833225</v>
      </c>
      <c r="AG126" s="271">
        <f t="shared" si="135"/>
        <v>1388085836</v>
      </c>
      <c r="AH126" s="270">
        <f t="shared" si="136"/>
        <v>1155818413</v>
      </c>
      <c r="AI126" s="220">
        <f t="shared" si="137"/>
        <v>1166227813</v>
      </c>
      <c r="AJ126" s="269">
        <f t="shared" si="138"/>
        <v>1235936823</v>
      </c>
      <c r="AK126" s="101"/>
      <c r="AL126" s="204">
        <v>0</v>
      </c>
      <c r="AM126" s="210">
        <v>0</v>
      </c>
    </row>
    <row r="127" spans="1:39" ht="24.75" customHeight="1" thickBot="1">
      <c r="A127" s="556"/>
      <c r="B127" s="399"/>
      <c r="C127" s="400"/>
      <c r="D127" s="400"/>
      <c r="E127" s="400"/>
      <c r="F127" s="400"/>
      <c r="G127" s="400"/>
      <c r="H127" s="400"/>
      <c r="I127" s="400"/>
      <c r="J127" s="400"/>
      <c r="K127" s="400"/>
      <c r="L127" s="400"/>
      <c r="M127" s="400"/>
      <c r="N127" s="401"/>
      <c r="O127" s="67"/>
      <c r="P127" s="402"/>
      <c r="Q127" s="401"/>
      <c r="R127" s="101"/>
      <c r="S127" s="266" t="str">
        <f>+IF(MAYO!S127=0,"",MAYO!S127)</f>
        <v>2.1.2.02.02.006.603</v>
      </c>
      <c r="T127" s="267" t="str">
        <f>+IF(MAYO!T127=0,"",MAYO!T127)</f>
        <v>Comunicaciones y Transportes</v>
      </c>
      <c r="U127" s="373">
        <f>+ENERO!U127</f>
        <v>341244561.11111116</v>
      </c>
      <c r="V127" s="220">
        <f>MAYO!V127+JUNIO!AL127</f>
        <v>0</v>
      </c>
      <c r="W127" s="220">
        <f>MAYO!W127+JUNIO!AM127</f>
        <v>0</v>
      </c>
      <c r="X127" s="271">
        <f t="shared" si="132"/>
        <v>341244561.11111116</v>
      </c>
      <c r="Y127" s="270">
        <f>MAYO!AA127</f>
        <v>213566450</v>
      </c>
      <c r="Z127" s="208">
        <v>176050</v>
      </c>
      <c r="AA127" s="271">
        <f t="shared" si="133"/>
        <v>213742500</v>
      </c>
      <c r="AB127" s="270">
        <f>MAYO!AD127</f>
        <v>73066034</v>
      </c>
      <c r="AC127" s="208">
        <v>23219505</v>
      </c>
      <c r="AD127" s="271">
        <f t="shared" si="134"/>
        <v>96285539</v>
      </c>
      <c r="AE127" s="270">
        <f>MAYO!AG127</f>
        <v>47639304</v>
      </c>
      <c r="AF127" s="208">
        <v>11794172</v>
      </c>
      <c r="AG127" s="271">
        <f t="shared" si="135"/>
        <v>59433476</v>
      </c>
      <c r="AH127" s="270">
        <f t="shared" si="136"/>
        <v>127502061.11111116</v>
      </c>
      <c r="AI127" s="220">
        <f t="shared" si="137"/>
        <v>244959022.11111116</v>
      </c>
      <c r="AJ127" s="269">
        <f t="shared" si="138"/>
        <v>281811085.11111116</v>
      </c>
      <c r="AK127" s="101"/>
      <c r="AL127" s="204">
        <v>0</v>
      </c>
      <c r="AM127" s="210">
        <v>0</v>
      </c>
    </row>
    <row r="128" spans="1:39" ht="24.75" customHeight="1" thickBot="1">
      <c r="A128" s="439" t="s">
        <v>280</v>
      </c>
      <c r="B128" s="440"/>
      <c r="C128" s="876">
        <f>SUM(C124+C111+C102+C92+C83+C80+C77+C74+C71+C68+C65+C62+C59+C56+C53+C50+C47+C44+C37+C34+C31+C27+C24)</f>
        <v>19182884469.099998</v>
      </c>
      <c r="D128" s="876">
        <f>SUMIF($B8:$B$122,$B$24,D8:D122)+D122</f>
        <v>0</v>
      </c>
      <c r="E128" s="876">
        <f>SUM(E124+E111+E102+E92+E83+E80+E77+E74+E71+E68+E65+E62+E59+E56+E53+E50+E47+E44+E37+E34+E31+E27+E24)</f>
        <v>6880957871</v>
      </c>
      <c r="F128" s="876">
        <f>SUM(F124+F111+F102+F92+F83+F80+F77+F74+F71+F68+F65+F62+F59+F56+F53+F50+F47+F44+F37+F34+F31+F27+F24)</f>
        <v>26063842340.099998</v>
      </c>
      <c r="G128" s="876">
        <f>SUMIF($B8:$B$122,$B$24,G8:G122)+G122</f>
        <v>38280737577</v>
      </c>
      <c r="H128" s="876">
        <f>SUM(H124+H111+H102+H92+H83+H80+H77+H74+H71+H68+H65+H62+H59+H56+H53+H50+H47+H44+H37+H34+H31+H27+H24)</f>
        <v>5354349048</v>
      </c>
      <c r="I128" s="876">
        <f>SUM(I124+I111+I102+I92+I83+I80+I77+I74+I71+I68+I65+I62+I59+I56+I53+I50+I47+I44+I37+I34+I31+I27+I24)</f>
        <v>43654823414</v>
      </c>
      <c r="J128" s="876">
        <f>SUMIF($B8:$B$122,$B$24,J8:J122)+J1211</f>
        <v>38280737577</v>
      </c>
      <c r="K128" s="876">
        <f>SUM(K124+K111+K102+K92+K83+K80+K77+K74+K71+K68+K65+K62+K59+K56+K53+K50+K47+K44+K37+K34+K31+K27+K24)</f>
        <v>5354349048</v>
      </c>
      <c r="L128" s="876">
        <f>SUM(L124+L111+L102+L92+L83+L80+L77+L74+L71+L68+L65+L62+L59+L56+L53+L50+L47+L44+L37+L34+L31+L27+L24)</f>
        <v>43654823414</v>
      </c>
      <c r="M128" s="876">
        <f>SUMIF($B8:$B$122,$B$24,M8:M122)+M12</f>
        <v>-17590981073.900002</v>
      </c>
      <c r="N128" s="442">
        <f>SUMIF($B8:$B$122,$B$24,N8:N122)+N122</f>
        <v>-17590981073.900002</v>
      </c>
      <c r="O128" s="369"/>
      <c r="P128" s="441">
        <f>SUMIF($B8:$B$122,$B$24,P8:P122)+P122</f>
        <v>0</v>
      </c>
      <c r="Q128" s="443">
        <f>SUMIF($B8:$B$122,$B$24,Q8:Q122)+Q122</f>
        <v>0</v>
      </c>
      <c r="R128" s="101"/>
      <c r="S128" s="266" t="str">
        <f>+IF(MAYO!S128=0,"",MAYO!S128)</f>
        <v>2.1.2.02.02.006.604</v>
      </c>
      <c r="T128" s="267" t="str">
        <f>+IF(MAYO!T128=0,"",MAYO!T128)</f>
        <v>Impresos y Publicaciones</v>
      </c>
      <c r="U128" s="373">
        <f>+ENERO!U128</f>
        <v>327220927.08333331</v>
      </c>
      <c r="V128" s="220">
        <f>MAYO!V128+JUNIO!AL128</f>
        <v>25000000</v>
      </c>
      <c r="W128" s="220">
        <f>MAYO!W128+JUNIO!AM128</f>
        <v>0</v>
      </c>
      <c r="X128" s="271">
        <f t="shared" si="132"/>
        <v>352220927.08333331</v>
      </c>
      <c r="Y128" s="270">
        <f>MAYO!AA128</f>
        <v>250783205</v>
      </c>
      <c r="Z128" s="208">
        <v>0</v>
      </c>
      <c r="AA128" s="271">
        <f t="shared" si="133"/>
        <v>250783205</v>
      </c>
      <c r="AB128" s="270">
        <f>MAYO!AD128</f>
        <v>158352649</v>
      </c>
      <c r="AC128" s="208">
        <v>36495796</v>
      </c>
      <c r="AD128" s="271">
        <f t="shared" si="134"/>
        <v>194848445</v>
      </c>
      <c r="AE128" s="270">
        <f>MAYO!AG128</f>
        <v>21950100</v>
      </c>
      <c r="AF128" s="208">
        <v>39461060</v>
      </c>
      <c r="AG128" s="271">
        <f t="shared" si="135"/>
        <v>61411160</v>
      </c>
      <c r="AH128" s="270">
        <f t="shared" si="136"/>
        <v>101437722.08333331</v>
      </c>
      <c r="AI128" s="220">
        <f t="shared" si="137"/>
        <v>157372482.08333331</v>
      </c>
      <c r="AJ128" s="269">
        <f t="shared" si="138"/>
        <v>290809767.08333331</v>
      </c>
      <c r="AK128" s="101"/>
      <c r="AL128" s="204">
        <v>25000000</v>
      </c>
      <c r="AM128" s="210">
        <v>0</v>
      </c>
    </row>
    <row r="129" spans="1:39" ht="24.75" customHeight="1" thickBot="1">
      <c r="A129" s="556"/>
      <c r="B129" s="399"/>
      <c r="C129" s="400"/>
      <c r="D129" s="400"/>
      <c r="E129" s="400"/>
      <c r="F129" s="400"/>
      <c r="G129" s="400"/>
      <c r="H129" s="400"/>
      <c r="I129" s="400"/>
      <c r="J129" s="400"/>
      <c r="K129" s="400"/>
      <c r="L129" s="400"/>
      <c r="M129" s="400"/>
      <c r="N129" s="401"/>
      <c r="O129" s="67"/>
      <c r="P129" s="402"/>
      <c r="Q129" s="401"/>
      <c r="R129" s="101"/>
      <c r="S129" s="266" t="str">
        <f>+IF(MAYO!S129=0,"",MAYO!S129)</f>
        <v>2.1.2.02.02.009.905</v>
      </c>
      <c r="T129" s="267" t="str">
        <f>+IF(MAYO!T129=0,"",MAYO!T129)</f>
        <v>Servicios de Capacitacion</v>
      </c>
      <c r="U129" s="373">
        <f>+ENERO!U129</f>
        <v>41029431.25</v>
      </c>
      <c r="V129" s="220">
        <f>MAYO!V129+JUNIO!AL129</f>
        <v>0</v>
      </c>
      <c r="W129" s="220">
        <f>MAYO!W129+JUNIO!AM129</f>
        <v>0</v>
      </c>
      <c r="X129" s="271">
        <f t="shared" si="132"/>
        <v>41029431.25</v>
      </c>
      <c r="Y129" s="270">
        <f>MAYO!AA129</f>
        <v>0</v>
      </c>
      <c r="Z129" s="208">
        <v>8356972</v>
      </c>
      <c r="AA129" s="271">
        <f t="shared" si="133"/>
        <v>8356972</v>
      </c>
      <c r="AB129" s="270">
        <f>MAYO!AD129</f>
        <v>0</v>
      </c>
      <c r="AC129" s="208">
        <v>0</v>
      </c>
      <c r="AD129" s="271">
        <f t="shared" si="134"/>
        <v>0</v>
      </c>
      <c r="AE129" s="270">
        <f>MAYO!AG129</f>
        <v>0</v>
      </c>
      <c r="AF129" s="208">
        <v>0</v>
      </c>
      <c r="AG129" s="271">
        <f t="shared" si="135"/>
        <v>0</v>
      </c>
      <c r="AH129" s="270">
        <f t="shared" si="136"/>
        <v>32672459.25</v>
      </c>
      <c r="AI129" s="220">
        <f t="shared" si="137"/>
        <v>41029431.25</v>
      </c>
      <c r="AJ129" s="269">
        <f t="shared" si="138"/>
        <v>41029431.25</v>
      </c>
      <c r="AK129" s="101"/>
      <c r="AL129" s="204">
        <v>0</v>
      </c>
      <c r="AM129" s="210">
        <v>0</v>
      </c>
    </row>
    <row r="130" spans="1:39" ht="24.75" customHeight="1" thickBot="1">
      <c r="A130" s="444" t="s">
        <v>282</v>
      </c>
      <c r="B130" s="445"/>
      <c r="C130" s="446">
        <f t="shared" ref="C130:N130" si="140">C128+C126</f>
        <v>158143153137.47653</v>
      </c>
      <c r="D130" s="447">
        <f t="shared" si="140"/>
        <v>0</v>
      </c>
      <c r="E130" s="447">
        <f t="shared" si="140"/>
        <v>29662380392</v>
      </c>
      <c r="F130" s="448">
        <f t="shared" si="140"/>
        <v>187805533529.47653</v>
      </c>
      <c r="G130" s="446">
        <f t="shared" si="140"/>
        <v>110998508266</v>
      </c>
      <c r="H130" s="447">
        <f t="shared" si="140"/>
        <v>20273384729</v>
      </c>
      <c r="I130" s="448">
        <f t="shared" si="140"/>
        <v>131271892995</v>
      </c>
      <c r="J130" s="446">
        <f t="shared" si="140"/>
        <v>62331481945</v>
      </c>
      <c r="K130" s="447">
        <f t="shared" si="140"/>
        <v>13779616788</v>
      </c>
      <c r="L130" s="448">
        <f t="shared" si="140"/>
        <v>76111098733</v>
      </c>
      <c r="M130" s="446">
        <f t="shared" si="140"/>
        <v>56533640534.476509</v>
      </c>
      <c r="N130" s="448">
        <f t="shared" si="140"/>
        <v>111694434796.47653</v>
      </c>
      <c r="O130" s="67"/>
      <c r="P130" s="437">
        <f>P128+P126</f>
        <v>0</v>
      </c>
      <c r="Q130" s="438">
        <f>Q128+Q126</f>
        <v>0</v>
      </c>
      <c r="R130" s="101"/>
      <c r="S130" s="266" t="str">
        <f>+IF(MAYO!S130=0,"",MAYO!S130)</f>
        <v>2.1.2.02.02.008.804</v>
      </c>
      <c r="T130" s="267" t="str">
        <f>+IF(MAYO!T130=0,"",MAYO!T130)</f>
        <v xml:space="preserve">Vigilancia </v>
      </c>
      <c r="U130" s="373">
        <f>+ENERO!U130</f>
        <v>2929064955.833333</v>
      </c>
      <c r="V130" s="220">
        <f>MAYO!V130+JUNIO!AL130</f>
        <v>-556000000</v>
      </c>
      <c r="W130" s="220">
        <f>MAYO!W130+JUNIO!AM130</f>
        <v>0</v>
      </c>
      <c r="X130" s="271">
        <f t="shared" si="132"/>
        <v>2373064955.833333</v>
      </c>
      <c r="Y130" s="270">
        <f>MAYO!AA130</f>
        <v>2320627096</v>
      </c>
      <c r="Z130" s="208">
        <v>0</v>
      </c>
      <c r="AA130" s="271">
        <f t="shared" si="133"/>
        <v>2320627096</v>
      </c>
      <c r="AB130" s="270">
        <f>MAYO!AD130</f>
        <v>765171029</v>
      </c>
      <c r="AC130" s="208">
        <v>191284530</v>
      </c>
      <c r="AD130" s="271">
        <f t="shared" si="134"/>
        <v>956455559</v>
      </c>
      <c r="AE130" s="270">
        <f>MAYO!AG130</f>
        <v>573886499</v>
      </c>
      <c r="AF130" s="208">
        <v>191284530</v>
      </c>
      <c r="AG130" s="271">
        <f t="shared" si="135"/>
        <v>765171029</v>
      </c>
      <c r="AH130" s="270">
        <f t="shared" si="136"/>
        <v>52437859.833333015</v>
      </c>
      <c r="AI130" s="220">
        <f t="shared" si="137"/>
        <v>1416609396.833333</v>
      </c>
      <c r="AJ130" s="269">
        <f t="shared" si="138"/>
        <v>1607893926.833333</v>
      </c>
      <c r="AK130" s="101"/>
      <c r="AL130" s="204">
        <v>0</v>
      </c>
      <c r="AM130" s="210">
        <v>0</v>
      </c>
    </row>
    <row r="131" spans="1:39" ht="24.75" customHeight="1">
      <c r="A131" s="542"/>
      <c r="B131" s="453"/>
      <c r="C131" s="67"/>
      <c r="D131" s="67"/>
      <c r="E131" s="67"/>
      <c r="F131" s="67"/>
      <c r="G131" s="67"/>
      <c r="H131" s="67"/>
      <c r="I131" s="67"/>
      <c r="J131" s="67"/>
      <c r="K131" s="67"/>
      <c r="L131" s="67"/>
      <c r="M131" s="67"/>
      <c r="N131" s="101"/>
      <c r="O131" s="67"/>
      <c r="P131" s="67"/>
      <c r="Q131" s="67"/>
      <c r="R131" s="101"/>
      <c r="S131" s="266" t="str">
        <f>+IF(MAYO!S131=0,"",MAYO!S131)</f>
        <v>2.1.2.02.02.009.908</v>
      </c>
      <c r="T131" s="267" t="str">
        <f>+IF(MAYO!T131=0,"",MAYO!T131)</f>
        <v>Bienestar Social</v>
      </c>
      <c r="U131" s="373">
        <f>+ENERO!U131</f>
        <v>326592555</v>
      </c>
      <c r="V131" s="220">
        <f>MAYO!V131+JUNIO!AL131</f>
        <v>45937870</v>
      </c>
      <c r="W131" s="220">
        <f>MAYO!W131+JUNIO!AM131</f>
        <v>169879991</v>
      </c>
      <c r="X131" s="271">
        <f t="shared" si="132"/>
        <v>542410416</v>
      </c>
      <c r="Y131" s="270">
        <f>MAYO!AA131</f>
        <v>446681876</v>
      </c>
      <c r="Z131" s="208">
        <v>1629638</v>
      </c>
      <c r="AA131" s="271">
        <f t="shared" si="133"/>
        <v>448311514</v>
      </c>
      <c r="AB131" s="270">
        <f>MAYO!AD131</f>
        <v>374495003</v>
      </c>
      <c r="AC131" s="208">
        <v>0</v>
      </c>
      <c r="AD131" s="271">
        <f t="shared" si="134"/>
        <v>374495003</v>
      </c>
      <c r="AE131" s="270">
        <f>MAYO!AG131</f>
        <v>157706906</v>
      </c>
      <c r="AF131" s="208">
        <v>0</v>
      </c>
      <c r="AG131" s="271">
        <f t="shared" si="135"/>
        <v>157706906</v>
      </c>
      <c r="AH131" s="270">
        <f t="shared" si="136"/>
        <v>94098902</v>
      </c>
      <c r="AI131" s="220">
        <f t="shared" si="137"/>
        <v>167915413</v>
      </c>
      <c r="AJ131" s="269">
        <f t="shared" si="138"/>
        <v>384703510</v>
      </c>
      <c r="AK131" s="101"/>
      <c r="AL131" s="204">
        <v>0</v>
      </c>
      <c r="AM131" s="210">
        <v>0</v>
      </c>
    </row>
    <row r="132" spans="1:39" ht="24.75" customHeight="1">
      <c r="A132" s="542"/>
      <c r="B132" s="453"/>
      <c r="C132" s="67"/>
      <c r="D132" s="67"/>
      <c r="E132" s="67"/>
      <c r="F132" s="67"/>
      <c r="G132" s="67"/>
      <c r="H132" s="67"/>
      <c r="I132" s="67"/>
      <c r="J132" s="67"/>
      <c r="K132" s="67"/>
      <c r="L132" s="67"/>
      <c r="M132" s="67"/>
      <c r="N132" s="101"/>
      <c r="O132" s="67"/>
      <c r="P132" s="67"/>
      <c r="Q132" s="67"/>
      <c r="R132" s="101"/>
      <c r="S132" s="266" t="str">
        <f>+IF(MAYO!S132=0,"",MAYO!S132)</f>
        <v>2.1.2.02.02.010</v>
      </c>
      <c r="T132" s="267" t="str">
        <f>+IF(MAYO!T132=0,"",MAYO!T132)</f>
        <v>Viáticos de los funcionarios en comisión</v>
      </c>
      <c r="U132" s="373">
        <f>+ENERO!U132</f>
        <v>3000000</v>
      </c>
      <c r="V132" s="220">
        <f>MAYO!V132+JUNIO!AL132</f>
        <v>0</v>
      </c>
      <c r="W132" s="220">
        <f>MAYO!W132+JUNIO!AM132</f>
        <v>0</v>
      </c>
      <c r="X132" s="271">
        <f t="shared" si="132"/>
        <v>3000000</v>
      </c>
      <c r="Y132" s="270">
        <f>MAYO!AA132</f>
        <v>1456623</v>
      </c>
      <c r="Z132" s="208">
        <v>0</v>
      </c>
      <c r="AA132" s="271">
        <f t="shared" si="133"/>
        <v>1456623</v>
      </c>
      <c r="AB132" s="270">
        <f>MAYO!AD132</f>
        <v>1456623</v>
      </c>
      <c r="AC132" s="208">
        <v>0</v>
      </c>
      <c r="AD132" s="271">
        <f t="shared" si="134"/>
        <v>1456623</v>
      </c>
      <c r="AE132" s="270">
        <f>MAYO!AG132</f>
        <v>1456623</v>
      </c>
      <c r="AF132" s="208">
        <v>0</v>
      </c>
      <c r="AG132" s="271">
        <f t="shared" si="135"/>
        <v>1456623</v>
      </c>
      <c r="AH132" s="270">
        <f t="shared" si="136"/>
        <v>1543377</v>
      </c>
      <c r="AI132" s="220">
        <f t="shared" si="137"/>
        <v>1543377</v>
      </c>
      <c r="AJ132" s="269">
        <f t="shared" si="138"/>
        <v>1543377</v>
      </c>
      <c r="AK132" s="101"/>
      <c r="AL132" s="204">
        <v>0</v>
      </c>
      <c r="AM132" s="210">
        <v>0</v>
      </c>
    </row>
    <row r="133" spans="1:39" ht="24.75" customHeight="1">
      <c r="A133" s="542"/>
      <c r="B133" s="453"/>
      <c r="C133" s="67"/>
      <c r="D133" s="67"/>
      <c r="E133" s="67"/>
      <c r="F133" s="67"/>
      <c r="G133" s="67"/>
      <c r="H133" s="67"/>
      <c r="I133" s="67"/>
      <c r="J133" s="67"/>
      <c r="K133" s="67"/>
      <c r="L133" s="67"/>
      <c r="M133" s="67"/>
      <c r="N133" s="101"/>
      <c r="O133" s="67"/>
      <c r="P133" s="67"/>
      <c r="Q133" s="67"/>
      <c r="R133" s="101"/>
      <c r="S133" s="266" t="str">
        <f>+IF(MAYO!S133=0,"",MAYO!S133)</f>
        <v>2.1.2.02.02.009.903</v>
      </c>
      <c r="T133" s="267" t="str">
        <f>+IF(MAYO!T133=0,"",MAYO!T133)</f>
        <v>Servicios prestados por IPS</v>
      </c>
      <c r="U133" s="373">
        <f>+ENERO!U133</f>
        <v>5000000</v>
      </c>
      <c r="V133" s="220">
        <f>MAYO!V133+JUNIO!AL133</f>
        <v>0</v>
      </c>
      <c r="W133" s="220">
        <f>MAYO!W133+JUNIO!AM133</f>
        <v>0</v>
      </c>
      <c r="X133" s="271">
        <f t="shared" si="132"/>
        <v>5000000</v>
      </c>
      <c r="Y133" s="270">
        <f>MAYO!AA133</f>
        <v>0</v>
      </c>
      <c r="Z133" s="208">
        <v>0</v>
      </c>
      <c r="AA133" s="271">
        <f t="shared" si="133"/>
        <v>0</v>
      </c>
      <c r="AB133" s="270">
        <f>MAYO!AD133</f>
        <v>0</v>
      </c>
      <c r="AC133" s="208">
        <v>0</v>
      </c>
      <c r="AD133" s="271">
        <f t="shared" si="134"/>
        <v>0</v>
      </c>
      <c r="AE133" s="270">
        <f>MAYO!AG133</f>
        <v>0</v>
      </c>
      <c r="AF133" s="208">
        <v>0</v>
      </c>
      <c r="AG133" s="271">
        <f t="shared" si="135"/>
        <v>0</v>
      </c>
      <c r="AH133" s="270">
        <f t="shared" si="136"/>
        <v>5000000</v>
      </c>
      <c r="AI133" s="220">
        <f t="shared" si="137"/>
        <v>5000000</v>
      </c>
      <c r="AJ133" s="269">
        <f t="shared" si="138"/>
        <v>5000000</v>
      </c>
      <c r="AK133" s="101"/>
      <c r="AL133" s="204">
        <v>0</v>
      </c>
      <c r="AM133" s="210">
        <v>0</v>
      </c>
    </row>
    <row r="134" spans="1:39" ht="24.75" customHeight="1">
      <c r="A134" s="542"/>
      <c r="B134" s="453"/>
      <c r="C134" s="67"/>
      <c r="D134" s="67"/>
      <c r="E134" s="67"/>
      <c r="F134" s="67"/>
      <c r="G134" s="67"/>
      <c r="H134" s="67"/>
      <c r="I134" s="67"/>
      <c r="J134" s="67"/>
      <c r="K134" s="67"/>
      <c r="L134" s="67"/>
      <c r="M134" s="67"/>
      <c r="N134" s="101"/>
      <c r="O134" s="67"/>
      <c r="P134" s="67"/>
      <c r="Q134" s="67"/>
      <c r="R134" s="101"/>
      <c r="S134" s="266" t="str">
        <f>+IF(MAYO!S134=0,"",MAYO!S134)</f>
        <v>2010200-11</v>
      </c>
      <c r="T134" s="267" t="str">
        <f>+IF(MAYO!T134=0,"",MAYO!T134)</f>
        <v>Gastos Bancarios</v>
      </c>
      <c r="U134" s="373">
        <f>+ENERO!U134</f>
        <v>0</v>
      </c>
      <c r="V134" s="220">
        <f>MAYO!V134+JUNIO!AL134</f>
        <v>0</v>
      </c>
      <c r="W134" s="220">
        <f>MAYO!W134+JUNIO!AM134</f>
        <v>0</v>
      </c>
      <c r="X134" s="271">
        <f t="shared" si="132"/>
        <v>0</v>
      </c>
      <c r="Y134" s="270">
        <f>MAYO!AA134</f>
        <v>0</v>
      </c>
      <c r="Z134" s="208">
        <v>0</v>
      </c>
      <c r="AA134" s="271">
        <f t="shared" si="133"/>
        <v>0</v>
      </c>
      <c r="AB134" s="270">
        <f>MAYO!AD134</f>
        <v>0</v>
      </c>
      <c r="AC134" s="208">
        <v>0</v>
      </c>
      <c r="AD134" s="271">
        <f t="shared" si="134"/>
        <v>0</v>
      </c>
      <c r="AE134" s="270">
        <f>MAYO!AG134</f>
        <v>0</v>
      </c>
      <c r="AF134" s="208">
        <v>0</v>
      </c>
      <c r="AG134" s="271">
        <f t="shared" si="135"/>
        <v>0</v>
      </c>
      <c r="AH134" s="270">
        <f t="shared" si="136"/>
        <v>0</v>
      </c>
      <c r="AI134" s="220">
        <f t="shared" si="137"/>
        <v>0</v>
      </c>
      <c r="AJ134" s="269">
        <f t="shared" si="138"/>
        <v>0</v>
      </c>
      <c r="AK134" s="101"/>
      <c r="AL134" s="204">
        <v>0</v>
      </c>
      <c r="AM134" s="210">
        <v>0</v>
      </c>
    </row>
    <row r="135" spans="1:39" ht="24.75" customHeight="1">
      <c r="A135" s="542"/>
      <c r="B135" s="453"/>
      <c r="C135" s="67"/>
      <c r="D135" s="67"/>
      <c r="E135" s="67"/>
      <c r="F135" s="67"/>
      <c r="G135" s="67"/>
      <c r="H135" s="67"/>
      <c r="I135" s="67"/>
      <c r="J135" s="67"/>
      <c r="K135" s="67"/>
      <c r="L135" s="67"/>
      <c r="M135" s="67"/>
      <c r="N135" s="101"/>
      <c r="O135" s="67"/>
      <c r="P135" s="67"/>
      <c r="Q135" s="67"/>
      <c r="R135" s="101"/>
      <c r="S135" s="266" t="str">
        <f>+IF(MAYO!S135=0,"",MAYO!S135)</f>
        <v>2.1.2.02.02.009.909</v>
      </c>
      <c r="T135" s="267" t="str">
        <f>+IF(MAYO!T135=0,"",MAYO!T135)</f>
        <v>Convenio Docencia Servicios</v>
      </c>
      <c r="U135" s="373">
        <f>+ENERO!U135</f>
        <v>20000000</v>
      </c>
      <c r="V135" s="220">
        <f>MAYO!V135+JUNIO!AL135</f>
        <v>0</v>
      </c>
      <c r="W135" s="220">
        <f>MAYO!W135+JUNIO!AM135</f>
        <v>0</v>
      </c>
      <c r="X135" s="271">
        <f t="shared" si="132"/>
        <v>20000000</v>
      </c>
      <c r="Y135" s="270">
        <f>MAYO!AA135</f>
        <v>0</v>
      </c>
      <c r="Z135" s="208">
        <v>0</v>
      </c>
      <c r="AA135" s="271">
        <f t="shared" si="133"/>
        <v>0</v>
      </c>
      <c r="AB135" s="270">
        <f>MAYO!AD135</f>
        <v>0</v>
      </c>
      <c r="AC135" s="208">
        <v>0</v>
      </c>
      <c r="AD135" s="271">
        <f t="shared" si="134"/>
        <v>0</v>
      </c>
      <c r="AE135" s="270">
        <f>MAYO!AG135</f>
        <v>0</v>
      </c>
      <c r="AF135" s="208">
        <v>0</v>
      </c>
      <c r="AG135" s="271">
        <f t="shared" si="135"/>
        <v>0</v>
      </c>
      <c r="AH135" s="270">
        <f t="shared" si="136"/>
        <v>20000000</v>
      </c>
      <c r="AI135" s="220">
        <f t="shared" si="137"/>
        <v>20000000</v>
      </c>
      <c r="AJ135" s="269">
        <f t="shared" si="138"/>
        <v>20000000</v>
      </c>
      <c r="AK135" s="101"/>
      <c r="AL135" s="204">
        <v>0</v>
      </c>
      <c r="AM135" s="210">
        <v>0</v>
      </c>
    </row>
    <row r="136" spans="1:39" ht="24.75" customHeight="1">
      <c r="A136" s="542"/>
      <c r="B136" s="453"/>
      <c r="C136" s="67"/>
      <c r="D136" s="67"/>
      <c r="E136" s="67"/>
      <c r="F136" s="67"/>
      <c r="G136" s="67"/>
      <c r="H136" s="67"/>
      <c r="I136" s="67"/>
      <c r="J136" s="67"/>
      <c r="K136" s="67"/>
      <c r="L136" s="67"/>
      <c r="M136" s="67"/>
      <c r="N136" s="101"/>
      <c r="O136" s="67"/>
      <c r="P136" s="67"/>
      <c r="Q136" s="67"/>
      <c r="R136" s="101"/>
      <c r="S136" s="266" t="str">
        <f>+IF(MAYO!S136=0,"",MAYO!S136)</f>
        <v>2.1.2.02.02.008.809</v>
      </c>
      <c r="T136" s="267" t="str">
        <f>+IF(MAYO!T136=0,"",MAYO!T136)</f>
        <v>Publicidad</v>
      </c>
      <c r="U136" s="373">
        <f>+ENERO!U136</f>
        <v>0</v>
      </c>
      <c r="V136" s="220">
        <f>MAYO!V136+JUNIO!AL136</f>
        <v>0</v>
      </c>
      <c r="W136" s="220">
        <f>MAYO!W136+JUNIO!AM136</f>
        <v>0</v>
      </c>
      <c r="X136" s="271">
        <f t="shared" si="132"/>
        <v>0</v>
      </c>
      <c r="Y136" s="270">
        <f>MAYO!AA136</f>
        <v>0</v>
      </c>
      <c r="Z136" s="208">
        <v>0</v>
      </c>
      <c r="AA136" s="271">
        <f t="shared" si="133"/>
        <v>0</v>
      </c>
      <c r="AB136" s="270">
        <f>MAYO!AD136</f>
        <v>0</v>
      </c>
      <c r="AC136" s="208">
        <v>0</v>
      </c>
      <c r="AD136" s="271">
        <f t="shared" si="134"/>
        <v>0</v>
      </c>
      <c r="AE136" s="270">
        <f>MAYO!AG136</f>
        <v>0</v>
      </c>
      <c r="AF136" s="208">
        <v>0</v>
      </c>
      <c r="AG136" s="271">
        <f t="shared" si="135"/>
        <v>0</v>
      </c>
      <c r="AH136" s="270">
        <f t="shared" si="136"/>
        <v>0</v>
      </c>
      <c r="AI136" s="220">
        <f t="shared" si="137"/>
        <v>0</v>
      </c>
      <c r="AJ136" s="269">
        <f t="shared" si="138"/>
        <v>0</v>
      </c>
      <c r="AK136" s="101"/>
      <c r="AL136" s="204">
        <v>0</v>
      </c>
      <c r="AM136" s="210">
        <v>0</v>
      </c>
    </row>
    <row r="137" spans="1:39" ht="24.75" customHeight="1">
      <c r="A137" s="542"/>
      <c r="B137" s="453"/>
      <c r="C137" s="67"/>
      <c r="D137" s="67"/>
      <c r="E137" s="67"/>
      <c r="F137" s="67"/>
      <c r="G137" s="67"/>
      <c r="H137" s="67"/>
      <c r="I137" s="67"/>
      <c r="J137" s="67"/>
      <c r="K137" s="67"/>
      <c r="L137" s="67"/>
      <c r="M137" s="67"/>
      <c r="N137" s="101"/>
      <c r="O137" s="67"/>
      <c r="P137" s="67"/>
      <c r="Q137" s="67"/>
      <c r="R137" s="101"/>
      <c r="S137" s="266" t="str">
        <f>+IF(MAYO!S137=0,"",MAYO!S137)</f>
        <v/>
      </c>
      <c r="T137" s="267" t="str">
        <f>+IF(MAYO!T137=0,"",MAYO!T137)</f>
        <v/>
      </c>
      <c r="U137" s="373">
        <f>+ENERO!U137</f>
        <v>0</v>
      </c>
      <c r="V137" s="220">
        <f>MAYO!V137+JUNIO!AL137</f>
        <v>0</v>
      </c>
      <c r="W137" s="220">
        <f>MAYO!W137+JUNIO!AM137</f>
        <v>0</v>
      </c>
      <c r="X137" s="271">
        <f t="shared" si="132"/>
        <v>0</v>
      </c>
      <c r="Y137" s="270">
        <f>MAYO!AA137</f>
        <v>0</v>
      </c>
      <c r="Z137" s="208">
        <v>0</v>
      </c>
      <c r="AA137" s="271">
        <f t="shared" si="133"/>
        <v>0</v>
      </c>
      <c r="AB137" s="270">
        <f>MAYO!AD137</f>
        <v>0</v>
      </c>
      <c r="AC137" s="208">
        <v>0</v>
      </c>
      <c r="AD137" s="271">
        <f t="shared" si="134"/>
        <v>0</v>
      </c>
      <c r="AE137" s="270">
        <f>MAYO!AG137</f>
        <v>0</v>
      </c>
      <c r="AF137" s="208">
        <v>0</v>
      </c>
      <c r="AG137" s="271">
        <f t="shared" si="135"/>
        <v>0</v>
      </c>
      <c r="AH137" s="270">
        <f t="shared" si="136"/>
        <v>0</v>
      </c>
      <c r="AI137" s="220">
        <f t="shared" si="137"/>
        <v>0</v>
      </c>
      <c r="AJ137" s="269">
        <f t="shared" si="138"/>
        <v>0</v>
      </c>
      <c r="AK137" s="101"/>
      <c r="AL137" s="204">
        <v>0</v>
      </c>
      <c r="AM137" s="210">
        <v>0</v>
      </c>
    </row>
    <row r="138" spans="1:39" ht="24.75" customHeight="1">
      <c r="A138" s="542"/>
      <c r="B138" s="453"/>
      <c r="C138" s="67"/>
      <c r="D138" s="67"/>
      <c r="E138" s="67"/>
      <c r="F138" s="67"/>
      <c r="G138" s="67"/>
      <c r="H138" s="67"/>
      <c r="I138" s="67"/>
      <c r="J138" s="67"/>
      <c r="K138" s="67"/>
      <c r="L138" s="67"/>
      <c r="M138" s="67"/>
      <c r="N138" s="101"/>
      <c r="O138" s="67"/>
      <c r="P138" s="67"/>
      <c r="Q138" s="67"/>
      <c r="R138" s="101"/>
      <c r="S138" s="266" t="str">
        <f>+IF(MAYO!S138=0,"",MAYO!S138)</f>
        <v/>
      </c>
      <c r="T138" s="267" t="str">
        <f>+IF(MAYO!T138=0,"",MAYO!T138)</f>
        <v/>
      </c>
      <c r="U138" s="373">
        <f>+ENERO!U138</f>
        <v>0</v>
      </c>
      <c r="V138" s="220">
        <f>MAYO!V138+JUNIO!AL138</f>
        <v>0</v>
      </c>
      <c r="W138" s="220">
        <f>MAYO!W138+JUNIO!AM138</f>
        <v>0</v>
      </c>
      <c r="X138" s="271">
        <f t="shared" si="132"/>
        <v>0</v>
      </c>
      <c r="Y138" s="270">
        <f>MAYO!AA138</f>
        <v>0</v>
      </c>
      <c r="Z138" s="208">
        <v>0</v>
      </c>
      <c r="AA138" s="271">
        <f t="shared" si="133"/>
        <v>0</v>
      </c>
      <c r="AB138" s="270">
        <f>MAYO!AD138</f>
        <v>0</v>
      </c>
      <c r="AC138" s="208">
        <v>0</v>
      </c>
      <c r="AD138" s="271">
        <f t="shared" si="134"/>
        <v>0</v>
      </c>
      <c r="AE138" s="270">
        <f>MAYO!AG138</f>
        <v>0</v>
      </c>
      <c r="AF138" s="208">
        <v>0</v>
      </c>
      <c r="AG138" s="271">
        <f t="shared" si="135"/>
        <v>0</v>
      </c>
      <c r="AH138" s="270">
        <f t="shared" si="136"/>
        <v>0</v>
      </c>
      <c r="AI138" s="220">
        <f t="shared" si="137"/>
        <v>0</v>
      </c>
      <c r="AJ138" s="269">
        <f t="shared" si="138"/>
        <v>0</v>
      </c>
      <c r="AK138" s="101"/>
      <c r="AL138" s="204">
        <v>0</v>
      </c>
      <c r="AM138" s="210">
        <v>0</v>
      </c>
    </row>
    <row r="139" spans="1:39" ht="24.75" customHeight="1">
      <c r="A139" s="542"/>
      <c r="B139" s="453"/>
      <c r="C139" s="67"/>
      <c r="D139" s="67"/>
      <c r="E139" s="67"/>
      <c r="F139" s="67"/>
      <c r="G139" s="67"/>
      <c r="H139" s="67"/>
      <c r="I139" s="67"/>
      <c r="J139" s="67"/>
      <c r="K139" s="67"/>
      <c r="L139" s="67"/>
      <c r="M139" s="67"/>
      <c r="N139" s="101"/>
      <c r="O139" s="67"/>
      <c r="P139" s="67"/>
      <c r="Q139" s="67"/>
      <c r="R139" s="101" t="s">
        <v>688</v>
      </c>
      <c r="S139" s="266" t="str">
        <f>+IF(MAYO!S139=0,"",MAYO!S139)</f>
        <v>2.1.2.02.02.008.99.01</v>
      </c>
      <c r="T139" s="267" t="s">
        <v>196</v>
      </c>
      <c r="U139" s="373">
        <f>+ENERO!U139</f>
        <v>368200000</v>
      </c>
      <c r="V139" s="220">
        <f>MAYO!V139+JUNIO!AL139</f>
        <v>0</v>
      </c>
      <c r="W139" s="220">
        <f>MAYO!W139+JUNIO!AM139</f>
        <v>0</v>
      </c>
      <c r="X139" s="271">
        <f t="shared" si="132"/>
        <v>368200000</v>
      </c>
      <c r="Y139" s="270">
        <f>MAYO!AA139</f>
        <v>234444435</v>
      </c>
      <c r="Z139" s="208">
        <v>0</v>
      </c>
      <c r="AA139" s="271">
        <f t="shared" si="133"/>
        <v>234444435</v>
      </c>
      <c r="AB139" s="270">
        <f>MAYO!AD139</f>
        <v>234444435</v>
      </c>
      <c r="AC139" s="208">
        <v>0</v>
      </c>
      <c r="AD139" s="271">
        <f t="shared" si="134"/>
        <v>234444435</v>
      </c>
      <c r="AE139" s="270">
        <f>MAYO!AG139</f>
        <v>234444435</v>
      </c>
      <c r="AF139" s="208">
        <v>0</v>
      </c>
      <c r="AG139" s="271">
        <f t="shared" si="135"/>
        <v>234444435</v>
      </c>
      <c r="AH139" s="270">
        <f t="shared" si="136"/>
        <v>133755565</v>
      </c>
      <c r="AI139" s="220">
        <f t="shared" si="137"/>
        <v>133755565</v>
      </c>
      <c r="AJ139" s="269">
        <f t="shared" si="138"/>
        <v>133755565</v>
      </c>
      <c r="AK139" s="101"/>
      <c r="AL139" s="204">
        <v>0</v>
      </c>
      <c r="AM139" s="210">
        <v>0</v>
      </c>
    </row>
    <row r="140" spans="1:39" ht="24.75" customHeight="1">
      <c r="A140" s="542"/>
      <c r="B140" s="453"/>
      <c r="C140" s="67"/>
      <c r="D140" s="67"/>
      <c r="E140" s="67"/>
      <c r="F140" s="67"/>
      <c r="G140" s="67"/>
      <c r="H140" s="67"/>
      <c r="I140" s="67"/>
      <c r="J140" s="67"/>
      <c r="K140" s="67"/>
      <c r="L140" s="67"/>
      <c r="M140" s="67"/>
      <c r="N140" s="101"/>
      <c r="O140" s="67"/>
      <c r="P140" s="67"/>
      <c r="Q140" s="67"/>
      <c r="R140" s="101"/>
      <c r="S140" s="189">
        <f>+IF(MAYO!S140=0,"",MAYO!S140)</f>
        <v>233459072</v>
      </c>
      <c r="T140" s="488" t="str">
        <f>+IF(MAYO!T140=0,"",MAYO!T140)</f>
        <v/>
      </c>
      <c r="U140" s="191"/>
      <c r="V140" s="191"/>
      <c r="W140" s="191"/>
      <c r="X140" s="191"/>
      <c r="Y140" s="191"/>
      <c r="Z140" s="191"/>
      <c r="AA140" s="191"/>
      <c r="AB140" s="191"/>
      <c r="AC140" s="191"/>
      <c r="AD140" s="191"/>
      <c r="AE140" s="191"/>
      <c r="AF140" s="191"/>
      <c r="AG140" s="191"/>
      <c r="AH140" s="191"/>
      <c r="AI140" s="191"/>
      <c r="AJ140" s="192"/>
      <c r="AK140" s="216"/>
      <c r="AL140" s="370"/>
      <c r="AM140" s="371"/>
    </row>
    <row r="141" spans="1:39" ht="24.75" customHeight="1">
      <c r="A141" s="542"/>
      <c r="B141" s="453"/>
      <c r="C141" s="67"/>
      <c r="D141" s="67"/>
      <c r="E141" s="67"/>
      <c r="F141" s="67"/>
      <c r="G141" s="67"/>
      <c r="H141" s="67"/>
      <c r="I141" s="67"/>
      <c r="J141" s="67"/>
      <c r="K141" s="67"/>
      <c r="L141" s="67"/>
      <c r="M141" s="67"/>
      <c r="N141" s="101"/>
      <c r="O141" s="67"/>
      <c r="P141" s="67"/>
      <c r="Q141" s="67"/>
      <c r="R141" s="101"/>
      <c r="S141" s="257" t="str">
        <f>+IF(MAYO!S141=0,"",MAYO!S141)</f>
        <v>2.1.8.01</v>
      </c>
      <c r="T141" s="546" t="str">
        <f>+IF(MAYO!T141=0,"",MAYO!T141)</f>
        <v>Impuestos y Multas</v>
      </c>
      <c r="U141" s="230">
        <f t="shared" ref="U141:AJ141" si="141">U142+U143</f>
        <v>548000000</v>
      </c>
      <c r="V141" s="231">
        <f t="shared" si="141"/>
        <v>0</v>
      </c>
      <c r="W141" s="231">
        <f t="shared" si="141"/>
        <v>0</v>
      </c>
      <c r="X141" s="234">
        <f t="shared" si="141"/>
        <v>548000000</v>
      </c>
      <c r="Y141" s="233">
        <f t="shared" si="141"/>
        <v>168841013</v>
      </c>
      <c r="Z141" s="231">
        <f t="shared" si="141"/>
        <v>51758350</v>
      </c>
      <c r="AA141" s="234">
        <f t="shared" si="141"/>
        <v>220599363</v>
      </c>
      <c r="AB141" s="233">
        <f t="shared" si="141"/>
        <v>168841013</v>
      </c>
      <c r="AC141" s="231">
        <f t="shared" si="141"/>
        <v>51758350</v>
      </c>
      <c r="AD141" s="234">
        <f t="shared" si="141"/>
        <v>220599363</v>
      </c>
      <c r="AE141" s="233">
        <f t="shared" si="141"/>
        <v>168841013</v>
      </c>
      <c r="AF141" s="231">
        <f t="shared" si="141"/>
        <v>0</v>
      </c>
      <c r="AG141" s="234">
        <f t="shared" si="141"/>
        <v>168841013</v>
      </c>
      <c r="AH141" s="233">
        <f t="shared" si="141"/>
        <v>327400637</v>
      </c>
      <c r="AI141" s="231">
        <f t="shared" si="141"/>
        <v>327400637</v>
      </c>
      <c r="AJ141" s="232">
        <f t="shared" si="141"/>
        <v>379158987</v>
      </c>
      <c r="AK141" s="216"/>
      <c r="AL141" s="233">
        <f>AL142+AL143</f>
        <v>0</v>
      </c>
      <c r="AM141" s="232">
        <f>AM142+AM143</f>
        <v>0</v>
      </c>
    </row>
    <row r="142" spans="1:39" ht="24.75" customHeight="1">
      <c r="A142" s="542"/>
      <c r="B142" s="453"/>
      <c r="C142" s="67"/>
      <c r="D142" s="67"/>
      <c r="E142" s="67"/>
      <c r="F142" s="67"/>
      <c r="G142" s="67"/>
      <c r="H142" s="67"/>
      <c r="I142" s="67"/>
      <c r="J142" s="67"/>
      <c r="K142" s="67"/>
      <c r="L142" s="67"/>
      <c r="M142" s="67"/>
      <c r="N142" s="101"/>
      <c r="O142" s="67"/>
      <c r="P142" s="67"/>
      <c r="Q142" s="67"/>
      <c r="R142" s="101"/>
      <c r="S142" s="266" t="str">
        <f>+IF(MAYO!S142=0,"",MAYO!S142)</f>
        <v>2.1.8.01.52</v>
      </c>
      <c r="T142" s="267" t="str">
        <f>+IF(MAYO!T142=0,"",MAYO!T142)</f>
        <v>IMPUESTO PREDIAL UNIFICADO</v>
      </c>
      <c r="U142" s="373">
        <f>+ENERO!U142</f>
        <v>148000000</v>
      </c>
      <c r="V142" s="220">
        <f>MAYO!V142+JUNIO!AL142</f>
        <v>0</v>
      </c>
      <c r="W142" s="220">
        <f>MAYO!W142+JUNIO!AM142</f>
        <v>0</v>
      </c>
      <c r="X142" s="271">
        <f>SUM(U142:W142)</f>
        <v>148000000</v>
      </c>
      <c r="Y142" s="270">
        <f>MAYO!AA142</f>
        <v>51758350</v>
      </c>
      <c r="Z142" s="208">
        <v>51758350</v>
      </c>
      <c r="AA142" s="271">
        <f>SUM(Y142:Z142)</f>
        <v>103516700</v>
      </c>
      <c r="AB142" s="270">
        <f>MAYO!AD142</f>
        <v>51758350</v>
      </c>
      <c r="AC142" s="208">
        <v>51758350</v>
      </c>
      <c r="AD142" s="271">
        <f>SUM(AB142:AC142)</f>
        <v>103516700</v>
      </c>
      <c r="AE142" s="270">
        <f>MAYO!AG142</f>
        <v>51758350</v>
      </c>
      <c r="AF142" s="208">
        <v>0</v>
      </c>
      <c r="AG142" s="270">
        <f>SUM(AE142:AF142)</f>
        <v>51758350</v>
      </c>
      <c r="AH142" s="270">
        <f>X142-AA142</f>
        <v>44483300</v>
      </c>
      <c r="AI142" s="220">
        <f>X142-AD142</f>
        <v>44483300</v>
      </c>
      <c r="AJ142" s="269">
        <f>X142-AG142</f>
        <v>96241650</v>
      </c>
      <c r="AK142" s="101"/>
      <c r="AL142" s="204">
        <v>0</v>
      </c>
      <c r="AM142" s="210">
        <v>0</v>
      </c>
    </row>
    <row r="143" spans="1:39" ht="24.75" customHeight="1">
      <c r="A143" s="542"/>
      <c r="B143" s="453"/>
      <c r="C143" s="67"/>
      <c r="D143" s="67"/>
      <c r="E143" s="67"/>
      <c r="F143" s="67"/>
      <c r="G143" s="67"/>
      <c r="H143" s="67"/>
      <c r="I143" s="67"/>
      <c r="J143" s="67"/>
      <c r="K143" s="67"/>
      <c r="L143" s="67"/>
      <c r="M143" s="67"/>
      <c r="N143" s="101"/>
      <c r="O143" s="67"/>
      <c r="P143" s="67"/>
      <c r="Q143" s="67"/>
      <c r="R143" s="101" t="s">
        <v>688</v>
      </c>
      <c r="S143" s="266" t="str">
        <f>+IF(MAYO!S143=0,"",MAYO!S143)</f>
        <v>2.1.8.01.54</v>
      </c>
      <c r="T143" s="267" t="str">
        <f>+IF(MAYO!T143=0,"",MAYO!T143)</f>
        <v>Impuesto de Industria y comercio</v>
      </c>
      <c r="U143" s="373">
        <f>+ENERO!U143</f>
        <v>400000000</v>
      </c>
      <c r="V143" s="220">
        <f>MAYO!V143+JUNIO!AL143</f>
        <v>0</v>
      </c>
      <c r="W143" s="220">
        <f>MAYO!W143+JUNIO!AM143</f>
        <v>0</v>
      </c>
      <c r="X143" s="271">
        <f>SUM(U143:W143)</f>
        <v>400000000</v>
      </c>
      <c r="Y143" s="270">
        <f>MAYO!AA143</f>
        <v>117082663</v>
      </c>
      <c r="Z143" s="208">
        <v>0</v>
      </c>
      <c r="AA143" s="271">
        <f>SUM(Y143:Z143)</f>
        <v>117082663</v>
      </c>
      <c r="AB143" s="270">
        <f>MAYO!AD143</f>
        <v>117082663</v>
      </c>
      <c r="AC143" s="208"/>
      <c r="AD143" s="271">
        <f>SUM(AB143:AC143)</f>
        <v>117082663</v>
      </c>
      <c r="AE143" s="270">
        <f>MAYO!AG143</f>
        <v>117082663</v>
      </c>
      <c r="AF143" s="208">
        <v>0</v>
      </c>
      <c r="AG143" s="271">
        <f>SUM(AE143:AF143)</f>
        <v>117082663</v>
      </c>
      <c r="AH143" s="270">
        <f>X143-AA143</f>
        <v>282917337</v>
      </c>
      <c r="AI143" s="220">
        <f>X143-AD143</f>
        <v>282917337</v>
      </c>
      <c r="AJ143" s="269">
        <f>X143-AG143</f>
        <v>282917337</v>
      </c>
      <c r="AK143" s="101"/>
      <c r="AL143" s="204">
        <v>0</v>
      </c>
      <c r="AM143" s="210">
        <v>0</v>
      </c>
    </row>
    <row r="144" spans="1:39" ht="24.75" customHeight="1">
      <c r="A144" s="542"/>
      <c r="B144" s="453"/>
      <c r="C144" s="67"/>
      <c r="D144" s="67"/>
      <c r="E144" s="67"/>
      <c r="F144" s="67"/>
      <c r="G144" s="67"/>
      <c r="H144" s="67"/>
      <c r="I144" s="67"/>
      <c r="J144" s="67"/>
      <c r="K144" s="67"/>
      <c r="L144" s="67"/>
      <c r="M144" s="67"/>
      <c r="N144" s="101"/>
      <c r="O144" s="67"/>
      <c r="P144" s="67"/>
      <c r="Q144" s="67"/>
      <c r="R144" s="101"/>
      <c r="S144" s="189">
        <f>+IF(MAYO!S144=0,"",MAYO!S144)</f>
        <v>8880056</v>
      </c>
      <c r="T144" s="488" t="str">
        <f>+IF(MAYO!T144=0,"",MAYO!T144)</f>
        <v/>
      </c>
      <c r="U144" s="191"/>
      <c r="V144" s="191"/>
      <c r="W144" s="191"/>
      <c r="X144" s="191"/>
      <c r="Y144" s="191"/>
      <c r="Z144" s="191"/>
      <c r="AA144" s="191"/>
      <c r="AB144" s="191"/>
      <c r="AC144" s="191"/>
      <c r="AD144" s="191"/>
      <c r="AE144" s="191"/>
      <c r="AF144" s="191"/>
      <c r="AG144" s="191"/>
      <c r="AH144" s="191"/>
      <c r="AI144" s="191"/>
      <c r="AJ144" s="192"/>
      <c r="AK144" s="101"/>
      <c r="AL144" s="370"/>
      <c r="AM144" s="371"/>
    </row>
    <row r="145" spans="16:39" ht="24.75" customHeight="1">
      <c r="P145" s="67"/>
      <c r="Q145" s="67"/>
      <c r="R145" s="101"/>
      <c r="S145" s="228">
        <f>+IF(MAYO!S145=0,"",MAYO!S145)</f>
        <v>2020010</v>
      </c>
      <c r="T145" s="229" t="str">
        <f>+IF(MAYO!T145=0,"",MAYO!T145)</f>
        <v>Gastos de Operación</v>
      </c>
      <c r="U145" s="230">
        <f t="shared" ref="U145:AM145" si="142">U147+U155</f>
        <v>11892931308.176388</v>
      </c>
      <c r="V145" s="231">
        <f t="shared" si="142"/>
        <v>195000000</v>
      </c>
      <c r="W145" s="231">
        <f t="shared" si="142"/>
        <v>458814745</v>
      </c>
      <c r="X145" s="234">
        <f t="shared" si="142"/>
        <v>12546746053.176388</v>
      </c>
      <c r="Y145" s="233">
        <f t="shared" si="142"/>
        <v>4695076459</v>
      </c>
      <c r="Z145" s="231">
        <f t="shared" si="142"/>
        <v>683869597</v>
      </c>
      <c r="AA145" s="234">
        <f t="shared" si="142"/>
        <v>5378946056</v>
      </c>
      <c r="AB145" s="233">
        <f t="shared" si="142"/>
        <v>3281790577</v>
      </c>
      <c r="AC145" s="231">
        <f t="shared" si="142"/>
        <v>660676175</v>
      </c>
      <c r="AD145" s="234">
        <f t="shared" si="142"/>
        <v>3942466752</v>
      </c>
      <c r="AE145" s="233">
        <f t="shared" si="142"/>
        <v>1882124043</v>
      </c>
      <c r="AF145" s="231">
        <f t="shared" si="142"/>
        <v>422880929</v>
      </c>
      <c r="AG145" s="234">
        <f t="shared" si="142"/>
        <v>2305004972</v>
      </c>
      <c r="AH145" s="233">
        <f t="shared" si="142"/>
        <v>7167799997.1763887</v>
      </c>
      <c r="AI145" s="231">
        <f t="shared" si="142"/>
        <v>8604279301.1763878</v>
      </c>
      <c r="AJ145" s="232">
        <f t="shared" si="142"/>
        <v>10241741081.176388</v>
      </c>
      <c r="AK145" s="216"/>
      <c r="AL145" s="232">
        <f t="shared" si="142"/>
        <v>195000000</v>
      </c>
      <c r="AM145" s="232">
        <f t="shared" si="142"/>
        <v>0</v>
      </c>
    </row>
    <row r="146" spans="16:39" ht="24.75" customHeight="1">
      <c r="P146" s="67"/>
      <c r="Q146" s="67"/>
      <c r="R146" s="101"/>
      <c r="S146" s="311">
        <f>+IF(MAYO!S146=0,"",MAYO!S146)</f>
        <v>2020010</v>
      </c>
      <c r="T146" s="312" t="str">
        <f>+IF(MAYO!T146=0,"",MAYO!T146)</f>
        <v/>
      </c>
      <c r="U146" s="299"/>
      <c r="V146" s="220"/>
      <c r="W146" s="220"/>
      <c r="X146" s="271"/>
      <c r="Y146" s="270"/>
      <c r="Z146" s="220"/>
      <c r="AA146" s="271"/>
      <c r="AB146" s="270"/>
      <c r="AC146" s="220"/>
      <c r="AD146" s="271"/>
      <c r="AE146" s="270"/>
      <c r="AF146" s="220"/>
      <c r="AG146" s="271"/>
      <c r="AH146" s="270"/>
      <c r="AI146" s="220"/>
      <c r="AJ146" s="269"/>
      <c r="AK146" s="101"/>
      <c r="AL146" s="370"/>
      <c r="AM146" s="371"/>
    </row>
    <row r="147" spans="16:39" ht="24.75" customHeight="1">
      <c r="P147" s="67"/>
      <c r="Q147" s="67"/>
      <c r="R147" s="101"/>
      <c r="S147" s="257" t="str">
        <f>+IF(MAYO!S147=0,"",MAYO!S147)</f>
        <v>2.1.2</v>
      </c>
      <c r="T147" s="546" t="str">
        <f>+IF(MAYO!T147=0,"",MAYO!T147)</f>
        <v>Adquisición de bienes</v>
      </c>
      <c r="U147" s="230">
        <f t="shared" ref="U147:AJ147" si="143">SUM(U148:U149)+U153</f>
        <v>3776193053.9541664</v>
      </c>
      <c r="V147" s="231">
        <f t="shared" si="143"/>
        <v>195000000</v>
      </c>
      <c r="W147" s="231">
        <f t="shared" si="143"/>
        <v>300000000</v>
      </c>
      <c r="X147" s="234">
        <f t="shared" si="143"/>
        <v>4271193053.9541664</v>
      </c>
      <c r="Y147" s="233">
        <f t="shared" si="143"/>
        <v>1759209673</v>
      </c>
      <c r="Z147" s="231">
        <f t="shared" si="143"/>
        <v>142699396</v>
      </c>
      <c r="AA147" s="234">
        <f t="shared" si="143"/>
        <v>1901909069</v>
      </c>
      <c r="AB147" s="233">
        <f t="shared" si="143"/>
        <v>1350104077</v>
      </c>
      <c r="AC147" s="231">
        <f t="shared" si="143"/>
        <v>367706152</v>
      </c>
      <c r="AD147" s="234">
        <f t="shared" si="143"/>
        <v>1717810229</v>
      </c>
      <c r="AE147" s="233">
        <f t="shared" si="143"/>
        <v>692235859</v>
      </c>
      <c r="AF147" s="231">
        <f t="shared" si="143"/>
        <v>218703233</v>
      </c>
      <c r="AG147" s="234">
        <f t="shared" si="143"/>
        <v>910939092</v>
      </c>
      <c r="AH147" s="233">
        <f t="shared" si="143"/>
        <v>2369283984.9541664</v>
      </c>
      <c r="AI147" s="231">
        <f t="shared" si="143"/>
        <v>2553382824.9541664</v>
      </c>
      <c r="AJ147" s="232">
        <f t="shared" si="143"/>
        <v>3360253961.9541664</v>
      </c>
      <c r="AK147" s="101"/>
      <c r="AL147" s="233">
        <f>SUM(AL148:AL149)+AL153</f>
        <v>195000000</v>
      </c>
      <c r="AM147" s="232">
        <f>SUM(AM148:AM149)+AM153</f>
        <v>0</v>
      </c>
    </row>
    <row r="148" spans="16:39" ht="24.75" customHeight="1">
      <c r="P148" s="67"/>
      <c r="Q148" s="67"/>
      <c r="R148" s="101"/>
      <c r="S148" s="266" t="str">
        <f>+IF(MAYO!S148=0,"",MAYO!S148)</f>
        <v>2.1.2.02.01.003.305</v>
      </c>
      <c r="T148" s="267" t="str">
        <f>+IF(MAYO!T148=0,"",MAYO!T148)</f>
        <v>Mantenimiento -  Partes, accesorios, herramientas</v>
      </c>
      <c r="U148" s="373">
        <f>+ENERO!U148</f>
        <v>2090969100</v>
      </c>
      <c r="V148" s="220">
        <f>MAYO!V148+JUNIO!AL148</f>
        <v>0</v>
      </c>
      <c r="W148" s="220">
        <f>MAYO!W148+JUNIO!AM148</f>
        <v>0</v>
      </c>
      <c r="X148" s="271">
        <f>SUM(U148:W148)</f>
        <v>2090969100</v>
      </c>
      <c r="Y148" s="270">
        <f>MAYO!AA148</f>
        <v>567688843</v>
      </c>
      <c r="Z148" s="208">
        <v>43712265</v>
      </c>
      <c r="AA148" s="271">
        <f>SUM(Y148:Z148)</f>
        <v>611401108</v>
      </c>
      <c r="AB148" s="270">
        <f>MAYO!AD148</f>
        <v>435888192</v>
      </c>
      <c r="AC148" s="208">
        <v>102396606</v>
      </c>
      <c r="AD148" s="271">
        <f>SUM(AB148:AC148)</f>
        <v>538284798</v>
      </c>
      <c r="AE148" s="270">
        <f>MAYO!AG148</f>
        <v>132688171</v>
      </c>
      <c r="AF148" s="208">
        <v>90842379</v>
      </c>
      <c r="AG148" s="271">
        <f>SUM(AE148:AF148)</f>
        <v>223530550</v>
      </c>
      <c r="AH148" s="270">
        <f>X148-AA148</f>
        <v>1479567992</v>
      </c>
      <c r="AI148" s="220">
        <f>X148-AD148</f>
        <v>1552684302</v>
      </c>
      <c r="AJ148" s="269">
        <f>X148-AG148</f>
        <v>1867438550</v>
      </c>
      <c r="AK148" s="101"/>
      <c r="AL148" s="204">
        <v>0</v>
      </c>
      <c r="AM148" s="210">
        <v>0</v>
      </c>
    </row>
    <row r="149" spans="16:39" ht="24.75" customHeight="1">
      <c r="P149" s="67"/>
      <c r="Q149" s="67"/>
      <c r="R149" s="101"/>
      <c r="S149" s="266">
        <f>+IF(MAYO!S149=0,"",MAYO!S149)</f>
        <v>2020102</v>
      </c>
      <c r="T149" s="267" t="str">
        <f>+IF(MAYO!T149=0,"",MAYO!T149)</f>
        <v>Otros</v>
      </c>
      <c r="U149" s="373">
        <f t="shared" ref="U149:AJ149" si="144">SUM(U150:U152)</f>
        <v>1232308696.9541667</v>
      </c>
      <c r="V149" s="220">
        <f t="shared" si="144"/>
        <v>195000000</v>
      </c>
      <c r="W149" s="220">
        <f t="shared" si="144"/>
        <v>0</v>
      </c>
      <c r="X149" s="271">
        <f t="shared" si="144"/>
        <v>1427308696.9541667</v>
      </c>
      <c r="Y149" s="270">
        <f t="shared" si="144"/>
        <v>753329558</v>
      </c>
      <c r="Z149" s="300">
        <f t="shared" si="144"/>
        <v>98982323</v>
      </c>
      <c r="AA149" s="271">
        <f t="shared" si="144"/>
        <v>852311881</v>
      </c>
      <c r="AB149" s="270">
        <f t="shared" si="144"/>
        <v>476024613</v>
      </c>
      <c r="AC149" s="300">
        <f t="shared" si="144"/>
        <v>265304738</v>
      </c>
      <c r="AD149" s="271">
        <f t="shared" si="144"/>
        <v>741329351</v>
      </c>
      <c r="AE149" s="270">
        <f t="shared" si="144"/>
        <v>121356416</v>
      </c>
      <c r="AF149" s="300">
        <f t="shared" si="144"/>
        <v>127856046</v>
      </c>
      <c r="AG149" s="271">
        <f t="shared" si="144"/>
        <v>249212462</v>
      </c>
      <c r="AH149" s="270">
        <f t="shared" si="144"/>
        <v>574996815.95416665</v>
      </c>
      <c r="AI149" s="220">
        <f t="shared" si="144"/>
        <v>685979345.95416665</v>
      </c>
      <c r="AJ149" s="269">
        <f t="shared" si="144"/>
        <v>1178096234.9541667</v>
      </c>
      <c r="AK149" s="101"/>
      <c r="AL149" s="233">
        <f>SUM(AL150:AL152)</f>
        <v>195000000</v>
      </c>
      <c r="AM149" s="302">
        <f>SUM(AM150:AM152)</f>
        <v>0</v>
      </c>
    </row>
    <row r="150" spans="16:39" ht="24.75" customHeight="1">
      <c r="P150" s="67"/>
      <c r="Q150" s="67"/>
      <c r="R150" s="101"/>
      <c r="S150" s="311" t="str">
        <f>+IF(MAYO!S150=0,"",MAYO!S150)</f>
        <v>2.1.2.02.01.002,001</v>
      </c>
      <c r="T150" s="267" t="str">
        <f>+IF(MAYO!T150=0,"",MAYO!T150)</f>
        <v>Roperia</v>
      </c>
      <c r="U150" s="373">
        <f>+ENERO!U150</f>
        <v>300724825</v>
      </c>
      <c r="V150" s="220">
        <f>MAYO!V150+JUNIO!AL150</f>
        <v>0</v>
      </c>
      <c r="W150" s="220">
        <f>MAYO!W150+JUNIO!AM150</f>
        <v>0</v>
      </c>
      <c r="X150" s="271">
        <f>SUM(U150:W150)</f>
        <v>300724825</v>
      </c>
      <c r="Y150" s="270">
        <f>MAYO!AA150</f>
        <v>177455180</v>
      </c>
      <c r="Z150" s="208">
        <v>6723500</v>
      </c>
      <c r="AA150" s="271">
        <f>SUM(Y150:Z150)</f>
        <v>184178680</v>
      </c>
      <c r="AB150" s="270">
        <f>MAYO!AD150</f>
        <v>0</v>
      </c>
      <c r="AC150" s="208">
        <v>184178680</v>
      </c>
      <c r="AD150" s="271">
        <f>SUM(AB150:AC150)</f>
        <v>184178680</v>
      </c>
      <c r="AE150" s="270">
        <f>MAYO!AG150</f>
        <v>0</v>
      </c>
      <c r="AF150" s="208">
        <v>0</v>
      </c>
      <c r="AG150" s="271">
        <f>SUM(AE150:AF150)</f>
        <v>0</v>
      </c>
      <c r="AH150" s="270">
        <f>X150-AA150</f>
        <v>116546145</v>
      </c>
      <c r="AI150" s="220">
        <f>X150-AD150</f>
        <v>116546145</v>
      </c>
      <c r="AJ150" s="269">
        <f>X150-AG150</f>
        <v>300724825</v>
      </c>
      <c r="AK150" s="101"/>
      <c r="AL150" s="204">
        <v>0</v>
      </c>
      <c r="AM150" s="210">
        <v>0</v>
      </c>
    </row>
    <row r="151" spans="16:39" ht="24.75" customHeight="1">
      <c r="P151" s="67"/>
      <c r="Q151" s="67"/>
      <c r="R151" s="101"/>
      <c r="S151" s="311" t="str">
        <f>+IF(MAYO!S151=0,"",MAYO!S151)</f>
        <v>2.1.2.02.01.003.303</v>
      </c>
      <c r="T151" s="267" t="str">
        <f>+IF(MAYO!T151=0,"",MAYO!T151)</f>
        <v>Elementos de Aseo</v>
      </c>
      <c r="U151" s="373">
        <f>+ENERO!U151</f>
        <v>684513688.9375</v>
      </c>
      <c r="V151" s="220">
        <f>MAYO!V151+JUNIO!AL151</f>
        <v>0</v>
      </c>
      <c r="W151" s="220">
        <f>MAYO!W151+JUNIO!AM151</f>
        <v>0</v>
      </c>
      <c r="X151" s="271">
        <f>SUM(U151:W151)</f>
        <v>684513688.9375</v>
      </c>
      <c r="Y151" s="270">
        <f>MAYO!AA151</f>
        <v>347840427</v>
      </c>
      <c r="Z151" s="208">
        <v>74773010</v>
      </c>
      <c r="AA151" s="271">
        <f>SUM(Y151:Z151)</f>
        <v>422613437</v>
      </c>
      <c r="AB151" s="270">
        <f>MAYO!AD151</f>
        <v>280300684</v>
      </c>
      <c r="AC151" s="208">
        <v>66477962</v>
      </c>
      <c r="AD151" s="271">
        <f>SUM(AB151:AC151)</f>
        <v>346778646</v>
      </c>
      <c r="AE151" s="270">
        <f>MAYO!AG151</f>
        <v>69632952</v>
      </c>
      <c r="AF151" s="208">
        <v>79838606</v>
      </c>
      <c r="AG151" s="271">
        <f>SUM(AE151:AF151)</f>
        <v>149471558</v>
      </c>
      <c r="AH151" s="270">
        <f>X151-AA151</f>
        <v>261900251.9375</v>
      </c>
      <c r="AI151" s="220">
        <f>X151-AD151</f>
        <v>337735042.9375</v>
      </c>
      <c r="AJ151" s="269">
        <f>X151-AG151</f>
        <v>535042130.9375</v>
      </c>
      <c r="AK151" s="101"/>
      <c r="AL151" s="204">
        <v>0</v>
      </c>
      <c r="AM151" s="210">
        <v>0</v>
      </c>
    </row>
    <row r="152" spans="16:39" ht="24.75" customHeight="1">
      <c r="P152" s="67"/>
      <c r="Q152" s="67"/>
      <c r="R152" s="101"/>
      <c r="S152" s="311" t="str">
        <f>+IF(MAYO!S152=0,"",MAYO!S152)</f>
        <v>2.1.2.02.01.003.304</v>
      </c>
      <c r="T152" s="267" t="str">
        <f>+IF(MAYO!T152=0,"",MAYO!T152)</f>
        <v xml:space="preserve">Insumos hospitalarios </v>
      </c>
      <c r="U152" s="373">
        <f>+ENERO!U152</f>
        <v>247070183.01666665</v>
      </c>
      <c r="V152" s="220">
        <f>MAYO!V152+JUNIO!AL152</f>
        <v>195000000</v>
      </c>
      <c r="W152" s="220">
        <f>MAYO!W152+JUNIO!AM152</f>
        <v>0</v>
      </c>
      <c r="X152" s="271">
        <f>SUM(U152:W152)</f>
        <v>442070183.01666665</v>
      </c>
      <c r="Y152" s="270">
        <f>MAYO!AA152</f>
        <v>228033951</v>
      </c>
      <c r="Z152" s="208">
        <v>17485813</v>
      </c>
      <c r="AA152" s="271">
        <f>SUM(Y152:Z152)</f>
        <v>245519764</v>
      </c>
      <c r="AB152" s="270">
        <f>MAYO!AD152</f>
        <v>195723929</v>
      </c>
      <c r="AC152" s="208">
        <v>14648096</v>
      </c>
      <c r="AD152" s="271">
        <f>SUM(AB152:AC152)</f>
        <v>210372025</v>
      </c>
      <c r="AE152" s="270">
        <f>MAYO!AG152</f>
        <v>51723464</v>
      </c>
      <c r="AF152" s="208">
        <v>48017440</v>
      </c>
      <c r="AG152" s="271">
        <f>SUM(AE152:AF152)</f>
        <v>99740904</v>
      </c>
      <c r="AH152" s="270">
        <f>X152-AA152</f>
        <v>196550419.01666665</v>
      </c>
      <c r="AI152" s="220">
        <f>X152-AD152</f>
        <v>231698158.01666665</v>
      </c>
      <c r="AJ152" s="269">
        <f>X152-AG152</f>
        <v>342329279.01666665</v>
      </c>
      <c r="AK152" s="101"/>
      <c r="AL152" s="204">
        <v>195000000</v>
      </c>
      <c r="AM152" s="210">
        <v>0</v>
      </c>
    </row>
    <row r="153" spans="16:39" ht="24.75" customHeight="1">
      <c r="P153" s="67"/>
      <c r="Q153" s="67"/>
      <c r="R153" s="101" t="s">
        <v>688</v>
      </c>
      <c r="S153" s="266" t="str">
        <f>+IF(MAYO!S153=0,"",MAYO!S153)</f>
        <v>2.1.2.02.01.003.99</v>
      </c>
      <c r="T153" s="267" t="s">
        <v>196</v>
      </c>
      <c r="U153" s="373">
        <f>+ENERO!U153</f>
        <v>452915257</v>
      </c>
      <c r="V153" s="220">
        <f>MAYO!V153+JUNIO!AL153</f>
        <v>0</v>
      </c>
      <c r="W153" s="220">
        <f>MAYO!W153+JUNIO!AM153</f>
        <v>300000000</v>
      </c>
      <c r="X153" s="271">
        <f>SUM(U153:W153)</f>
        <v>752915257</v>
      </c>
      <c r="Y153" s="270">
        <f>MAYO!AA153</f>
        <v>438191272</v>
      </c>
      <c r="Z153" s="208">
        <v>4808</v>
      </c>
      <c r="AA153" s="271">
        <f>SUM(Y153:Z153)</f>
        <v>438196080</v>
      </c>
      <c r="AB153" s="270">
        <f>MAYO!AD153</f>
        <v>438191272</v>
      </c>
      <c r="AC153" s="208">
        <v>4808</v>
      </c>
      <c r="AD153" s="271">
        <f>SUM(AB153:AC153)</f>
        <v>438196080</v>
      </c>
      <c r="AE153" s="270">
        <f>MAYO!AG153</f>
        <v>438191272</v>
      </c>
      <c r="AF153" s="208">
        <v>4808</v>
      </c>
      <c r="AG153" s="271">
        <f>SUM(AE153:AF153)</f>
        <v>438196080</v>
      </c>
      <c r="AH153" s="270">
        <f>X153-AA153</f>
        <v>314719177</v>
      </c>
      <c r="AI153" s="220">
        <f>X153-AD153</f>
        <v>314719177</v>
      </c>
      <c r="AJ153" s="269">
        <f>X153-AG153</f>
        <v>314719177</v>
      </c>
      <c r="AK153" s="101"/>
      <c r="AL153" s="204">
        <v>0</v>
      </c>
      <c r="AM153" s="210">
        <v>0</v>
      </c>
    </row>
    <row r="154" spans="16:39" ht="24.75" customHeight="1">
      <c r="P154" s="67"/>
      <c r="Q154" s="67"/>
      <c r="R154" s="101"/>
      <c r="S154" s="189">
        <f>+IF(MAYO!S154=0,"",MAYO!S154)</f>
        <v>203715328</v>
      </c>
      <c r="T154" s="488" t="str">
        <f>+IF(MAYO!T154=0,"",MAYO!T154)</f>
        <v/>
      </c>
      <c r="U154" s="191"/>
      <c r="V154" s="191"/>
      <c r="W154" s="191"/>
      <c r="X154" s="191"/>
      <c r="Y154" s="191"/>
      <c r="Z154" s="191"/>
      <c r="AA154" s="191"/>
      <c r="AB154" s="191"/>
      <c r="AC154" s="191"/>
      <c r="AD154" s="191"/>
      <c r="AE154" s="191"/>
      <c r="AF154" s="191"/>
      <c r="AG154" s="191"/>
      <c r="AH154" s="191"/>
      <c r="AI154" s="191"/>
      <c r="AJ154" s="192"/>
      <c r="AK154" s="101"/>
      <c r="AL154" s="370"/>
      <c r="AM154" s="371"/>
    </row>
    <row r="155" spans="16:39" ht="24.75" customHeight="1">
      <c r="P155" s="67"/>
      <c r="Q155" s="67"/>
      <c r="R155" s="101"/>
      <c r="S155" s="257" t="str">
        <f>+IF(MAYO!S155=0,"",MAYO!S155)</f>
        <v>2.1.2.02.02</v>
      </c>
      <c r="T155" s="546" t="str">
        <f>+IF(MAYO!T155=0,"",MAYO!T155)</f>
        <v>Adquisición de Servicios</v>
      </c>
      <c r="U155" s="230">
        <f>SUM(U156:U157)</f>
        <v>8116738254.2222223</v>
      </c>
      <c r="V155" s="230">
        <f t="shared" ref="V155:AJ155" si="145">SUM(V156:V157)</f>
        <v>0</v>
      </c>
      <c r="W155" s="230">
        <f t="shared" si="145"/>
        <v>158814745</v>
      </c>
      <c r="X155" s="230">
        <f t="shared" si="145"/>
        <v>8275552999.2222223</v>
      </c>
      <c r="Y155" s="230">
        <f t="shared" si="145"/>
        <v>2935866786</v>
      </c>
      <c r="Z155" s="230">
        <f t="shared" si="145"/>
        <v>541170201</v>
      </c>
      <c r="AA155" s="230">
        <f t="shared" si="145"/>
        <v>3477036987</v>
      </c>
      <c r="AB155" s="230">
        <f t="shared" si="145"/>
        <v>1931686500</v>
      </c>
      <c r="AC155" s="230">
        <f t="shared" si="145"/>
        <v>292970023</v>
      </c>
      <c r="AD155" s="230">
        <f t="shared" si="145"/>
        <v>2224656523</v>
      </c>
      <c r="AE155" s="230">
        <f t="shared" si="145"/>
        <v>1189888184</v>
      </c>
      <c r="AF155" s="230">
        <f t="shared" si="145"/>
        <v>204177696</v>
      </c>
      <c r="AG155" s="230">
        <f t="shared" si="145"/>
        <v>1394065880</v>
      </c>
      <c r="AH155" s="230">
        <f t="shared" si="145"/>
        <v>4798516012.2222223</v>
      </c>
      <c r="AI155" s="230">
        <f t="shared" si="145"/>
        <v>6050896476.2222223</v>
      </c>
      <c r="AJ155" s="230">
        <f t="shared" si="145"/>
        <v>6881487119.2222223</v>
      </c>
      <c r="AK155" s="101"/>
      <c r="AL155" s="233">
        <f>SUM(AL156:AL157)</f>
        <v>0</v>
      </c>
      <c r="AM155" s="233">
        <f>SUM(AM156:AM157)</f>
        <v>0</v>
      </c>
    </row>
    <row r="156" spans="16:39" ht="24.75" customHeight="1">
      <c r="P156" s="101"/>
      <c r="Q156" s="101"/>
      <c r="R156" s="101"/>
      <c r="S156" s="266" t="str">
        <f>+IF(MAYO!S156=0,"",MAYO!S156)</f>
        <v>2.1.2.02.01.003.306</v>
      </c>
      <c r="T156" s="267" t="str">
        <f>+IF(MAYO!T156=0,"",MAYO!T156)</f>
        <v>Mantenimiento - Bienes sistemas</v>
      </c>
      <c r="U156" s="373">
        <f>+ENERO!U156</f>
        <v>17133955</v>
      </c>
      <c r="V156" s="220">
        <f>MAYO!V156+JUNIO!AL156</f>
        <v>0</v>
      </c>
      <c r="W156" s="220">
        <f>MAYO!W156+JUNIO!AM156</f>
        <v>0</v>
      </c>
      <c r="X156" s="271">
        <f>SUM(U156:W156)</f>
        <v>17133955</v>
      </c>
      <c r="Y156" s="270">
        <f>MAYO!AA156</f>
        <v>15819256</v>
      </c>
      <c r="Z156" s="208">
        <v>0</v>
      </c>
      <c r="AA156" s="271">
        <f>SUM(Y156:Z156)</f>
        <v>15819256</v>
      </c>
      <c r="AB156" s="270">
        <f>MAYO!AD156</f>
        <v>10574474</v>
      </c>
      <c r="AC156" s="208">
        <v>0</v>
      </c>
      <c r="AD156" s="271">
        <f>SUM(AB156:AC156)</f>
        <v>10574474</v>
      </c>
      <c r="AE156" s="270">
        <f>MAYO!AG156</f>
        <v>1541970</v>
      </c>
      <c r="AF156" s="208">
        <v>9032504</v>
      </c>
      <c r="AG156" s="271">
        <f>SUM(AE156:AF156)</f>
        <v>10574474</v>
      </c>
      <c r="AH156" s="270">
        <f>X156-AA156</f>
        <v>1314699</v>
      </c>
      <c r="AI156" s="220">
        <f>X156-AD156</f>
        <v>6559481</v>
      </c>
      <c r="AJ156" s="269">
        <f>X156-AG156</f>
        <v>6559481</v>
      </c>
      <c r="AK156" s="101"/>
      <c r="AL156" s="204">
        <v>0</v>
      </c>
      <c r="AM156" s="210">
        <v>0</v>
      </c>
    </row>
    <row r="157" spans="16:39" ht="24.75" customHeight="1">
      <c r="P157" s="101"/>
      <c r="Q157" s="101"/>
      <c r="R157" s="101"/>
      <c r="S157" s="266">
        <f>+IF(MAYO!S157=0,"",MAYO!S157)</f>
        <v>2020202</v>
      </c>
      <c r="T157" s="267" t="str">
        <f>+IF(MAYO!T157=0,"",MAYO!T157)</f>
        <v>Otros</v>
      </c>
      <c r="U157" s="373">
        <f t="shared" ref="U157:AJ157" si="146">SUM(U158:U166)</f>
        <v>8099604299.2222223</v>
      </c>
      <c r="V157" s="220">
        <f t="shared" si="146"/>
        <v>0</v>
      </c>
      <c r="W157" s="220">
        <f t="shared" si="146"/>
        <v>158814745</v>
      </c>
      <c r="X157" s="271">
        <f t="shared" si="146"/>
        <v>8258419044.2222223</v>
      </c>
      <c r="Y157" s="270">
        <f t="shared" si="146"/>
        <v>2920047530</v>
      </c>
      <c r="Z157" s="300">
        <f t="shared" si="146"/>
        <v>541170201</v>
      </c>
      <c r="AA157" s="271">
        <f t="shared" si="146"/>
        <v>3461217731</v>
      </c>
      <c r="AB157" s="270">
        <f t="shared" si="146"/>
        <v>1921112026</v>
      </c>
      <c r="AC157" s="300">
        <f t="shared" si="146"/>
        <v>292970023</v>
      </c>
      <c r="AD157" s="271">
        <f t="shared" si="146"/>
        <v>2214082049</v>
      </c>
      <c r="AE157" s="270">
        <f t="shared" si="146"/>
        <v>1188346214</v>
      </c>
      <c r="AF157" s="300">
        <f t="shared" si="146"/>
        <v>195145192</v>
      </c>
      <c r="AG157" s="271">
        <f t="shared" si="146"/>
        <v>1383491406</v>
      </c>
      <c r="AH157" s="270">
        <f t="shared" si="146"/>
        <v>4797201313.2222223</v>
      </c>
      <c r="AI157" s="220">
        <f t="shared" si="146"/>
        <v>6044336995.2222223</v>
      </c>
      <c r="AJ157" s="269">
        <f t="shared" si="146"/>
        <v>6874927638.2222223</v>
      </c>
      <c r="AK157" s="216"/>
      <c r="AL157" s="269">
        <f>SUM(AL158:AL166)</f>
        <v>0</v>
      </c>
      <c r="AM157" s="269">
        <f>SUM(AM158:AM166)</f>
        <v>0</v>
      </c>
    </row>
    <row r="158" spans="16:39" ht="24.75" customHeight="1">
      <c r="P158" s="101"/>
      <c r="Q158" s="101"/>
      <c r="R158" s="101"/>
      <c r="S158" s="311" t="s">
        <v>609</v>
      </c>
      <c r="T158" s="312" t="s">
        <v>709</v>
      </c>
      <c r="U158" s="373">
        <f>+ENERO!U158</f>
        <v>0</v>
      </c>
      <c r="V158" s="220">
        <f>MAYO!V158+JUNIO!AL158</f>
        <v>0</v>
      </c>
      <c r="W158" s="220">
        <f>MAYO!W158+JUNIO!AM158</f>
        <v>0</v>
      </c>
      <c r="X158" s="271">
        <f t="shared" ref="X158:X166" si="147">SUM(U158:W158)</f>
        <v>0</v>
      </c>
      <c r="Y158" s="270">
        <f>MAYO!AA158</f>
        <v>0</v>
      </c>
      <c r="Z158" s="208">
        <v>0</v>
      </c>
      <c r="AA158" s="271">
        <f t="shared" ref="AA158:AA166" si="148">SUM(Y158:Z158)</f>
        <v>0</v>
      </c>
      <c r="AB158" s="270">
        <f>MAYO!AD158</f>
        <v>0</v>
      </c>
      <c r="AC158" s="208">
        <v>0</v>
      </c>
      <c r="AD158" s="271">
        <f t="shared" ref="AD158:AD166" si="149">SUM(AB158:AC158)</f>
        <v>0</v>
      </c>
      <c r="AE158" s="270">
        <f>MAYO!AG158</f>
        <v>0</v>
      </c>
      <c r="AF158" s="208">
        <v>0</v>
      </c>
      <c r="AG158" s="271">
        <f t="shared" ref="AG158:AG166" si="150">SUM(AE158:AF158)</f>
        <v>0</v>
      </c>
      <c r="AH158" s="270">
        <f t="shared" ref="AH158:AH166" si="151">X158-AA158</f>
        <v>0</v>
      </c>
      <c r="AI158" s="220">
        <f t="shared" ref="AI158:AI166" si="152">X158-AD158</f>
        <v>0</v>
      </c>
      <c r="AJ158" s="269">
        <f t="shared" ref="AJ158:AJ166" si="153">X158-AG158</f>
        <v>0</v>
      </c>
      <c r="AK158" s="101"/>
      <c r="AL158" s="204">
        <v>0</v>
      </c>
      <c r="AM158" s="210">
        <v>0</v>
      </c>
    </row>
    <row r="159" spans="16:39" ht="24.75" customHeight="1">
      <c r="P159" s="101"/>
      <c r="Q159" s="101"/>
      <c r="R159" s="101"/>
      <c r="S159" s="311" t="s">
        <v>714</v>
      </c>
      <c r="T159" s="312" t="s">
        <v>713</v>
      </c>
      <c r="U159" s="373">
        <f>+ENERO!U159</f>
        <v>476117296</v>
      </c>
      <c r="V159" s="220">
        <f>MAYO!V159+JUNIO!AL159</f>
        <v>0</v>
      </c>
      <c r="W159" s="220">
        <f>MAYO!W159+JUNIO!AM159</f>
        <v>0</v>
      </c>
      <c r="X159" s="271">
        <f t="shared" si="147"/>
        <v>476117296</v>
      </c>
      <c r="Y159" s="270">
        <f>MAYO!AA159</f>
        <v>8737248</v>
      </c>
      <c r="Z159" s="208">
        <v>25723783</v>
      </c>
      <c r="AA159" s="271">
        <f t="shared" si="148"/>
        <v>34461031</v>
      </c>
      <c r="AB159" s="270">
        <f>MAYO!AD159</f>
        <v>4165066</v>
      </c>
      <c r="AC159" s="208">
        <v>206004</v>
      </c>
      <c r="AD159" s="271">
        <f t="shared" si="149"/>
        <v>4371070</v>
      </c>
      <c r="AE159" s="270">
        <f>MAYO!AG159</f>
        <v>2571248</v>
      </c>
      <c r="AF159" s="208">
        <v>856570</v>
      </c>
      <c r="AG159" s="271">
        <f t="shared" si="150"/>
        <v>3427818</v>
      </c>
      <c r="AH159" s="270">
        <f t="shared" si="151"/>
        <v>441656265</v>
      </c>
      <c r="AI159" s="220">
        <f t="shared" si="152"/>
        <v>471746226</v>
      </c>
      <c r="AJ159" s="269">
        <f t="shared" si="153"/>
        <v>472689478</v>
      </c>
      <c r="AK159" s="101"/>
      <c r="AL159" s="204">
        <v>0</v>
      </c>
      <c r="AM159" s="210">
        <v>0</v>
      </c>
    </row>
    <row r="160" spans="16:39" ht="24.75" customHeight="1">
      <c r="P160" s="101"/>
      <c r="Q160" s="101"/>
      <c r="R160" s="101"/>
      <c r="S160" s="311" t="s">
        <v>605</v>
      </c>
      <c r="T160" s="312" t="s">
        <v>710</v>
      </c>
      <c r="U160" s="373">
        <f>+ENERO!U160</f>
        <v>415609981</v>
      </c>
      <c r="V160" s="220">
        <f>MAYO!V160+JUNIO!AL160</f>
        <v>0</v>
      </c>
      <c r="W160" s="220">
        <f>MAYO!W160+JUNIO!AM160</f>
        <v>0</v>
      </c>
      <c r="X160" s="271">
        <f t="shared" si="147"/>
        <v>415609981</v>
      </c>
      <c r="Y160" s="270">
        <f>MAYO!AA160</f>
        <v>181207871</v>
      </c>
      <c r="Z160" s="208">
        <v>0</v>
      </c>
      <c r="AA160" s="271">
        <f t="shared" si="148"/>
        <v>181207871</v>
      </c>
      <c r="AB160" s="270">
        <f>MAYO!AD160</f>
        <v>117104512</v>
      </c>
      <c r="AC160" s="208">
        <v>27096660</v>
      </c>
      <c r="AD160" s="271">
        <f t="shared" si="149"/>
        <v>144201172</v>
      </c>
      <c r="AE160" s="270">
        <f>MAYO!AG160</f>
        <v>16590810</v>
      </c>
      <c r="AF160" s="208">
        <v>20226620</v>
      </c>
      <c r="AG160" s="271">
        <f t="shared" si="150"/>
        <v>36817430</v>
      </c>
      <c r="AH160" s="270">
        <f t="shared" si="151"/>
        <v>234402110</v>
      </c>
      <c r="AI160" s="220">
        <f t="shared" si="152"/>
        <v>271408809</v>
      </c>
      <c r="AJ160" s="269">
        <f t="shared" si="153"/>
        <v>378792551</v>
      </c>
      <c r="AK160" s="101"/>
      <c r="AL160" s="204">
        <v>0</v>
      </c>
      <c r="AM160" s="210">
        <v>0</v>
      </c>
    </row>
    <row r="161" spans="16:39" ht="24.75" customHeight="1">
      <c r="P161" s="101"/>
      <c r="Q161" s="101"/>
      <c r="R161" s="101"/>
      <c r="S161" s="311" t="s">
        <v>737</v>
      </c>
      <c r="T161" s="312" t="s">
        <v>719</v>
      </c>
      <c r="U161" s="373">
        <f>+ENERO!U161</f>
        <v>220500000</v>
      </c>
      <c r="V161" s="220">
        <f>MAYO!V161+JUNIO!AL161</f>
        <v>0</v>
      </c>
      <c r="W161" s="220">
        <f>MAYO!W161+JUNIO!AM161</f>
        <v>0</v>
      </c>
      <c r="X161" s="271">
        <f t="shared" si="147"/>
        <v>220500000</v>
      </c>
      <c r="Y161" s="270">
        <f>MAYO!AA161</f>
        <v>31535631</v>
      </c>
      <c r="Z161" s="208">
        <v>0</v>
      </c>
      <c r="AA161" s="271">
        <f t="shared" si="148"/>
        <v>31535631</v>
      </c>
      <c r="AB161" s="270">
        <f>MAYO!AD161</f>
        <v>31535631</v>
      </c>
      <c r="AC161" s="208">
        <v>0</v>
      </c>
      <c r="AD161" s="271">
        <f t="shared" si="149"/>
        <v>31535631</v>
      </c>
      <c r="AE161" s="270">
        <f>MAYO!AG161</f>
        <v>31535631</v>
      </c>
      <c r="AF161" s="208">
        <v>0</v>
      </c>
      <c r="AG161" s="271">
        <f t="shared" si="150"/>
        <v>31535631</v>
      </c>
      <c r="AH161" s="270">
        <f t="shared" si="151"/>
        <v>188964369</v>
      </c>
      <c r="AI161" s="220">
        <f t="shared" si="152"/>
        <v>188964369</v>
      </c>
      <c r="AJ161" s="269">
        <f t="shared" si="153"/>
        <v>188964369</v>
      </c>
      <c r="AK161" s="101"/>
      <c r="AL161" s="204">
        <v>0</v>
      </c>
      <c r="AM161" s="210">
        <v>0</v>
      </c>
    </row>
    <row r="162" spans="16:39" ht="24.75" customHeight="1">
      <c r="P162" s="101"/>
      <c r="Q162" s="101"/>
      <c r="R162" s="101"/>
      <c r="S162" s="311" t="s">
        <v>602</v>
      </c>
      <c r="T162" s="312" t="s">
        <v>720</v>
      </c>
      <c r="U162" s="373">
        <f>+ENERO!U162</f>
        <v>144394707</v>
      </c>
      <c r="V162" s="220">
        <f>MAYO!V162+JUNIO!AL162</f>
        <v>0</v>
      </c>
      <c r="W162" s="220">
        <f>MAYO!W162+JUNIO!AM162</f>
        <v>0</v>
      </c>
      <c r="X162" s="271">
        <f t="shared" si="147"/>
        <v>144394707</v>
      </c>
      <c r="Y162" s="270">
        <f>MAYO!AA162</f>
        <v>104424880</v>
      </c>
      <c r="Z162" s="208">
        <v>0</v>
      </c>
      <c r="AA162" s="271">
        <f t="shared" si="148"/>
        <v>104424880</v>
      </c>
      <c r="AB162" s="270">
        <f>MAYO!AD162</f>
        <v>0</v>
      </c>
      <c r="AC162" s="208">
        <v>0</v>
      </c>
      <c r="AD162" s="271">
        <f t="shared" si="149"/>
        <v>0</v>
      </c>
      <c r="AE162" s="270">
        <f>MAYO!AG162</f>
        <v>0</v>
      </c>
      <c r="AF162" s="208">
        <v>0</v>
      </c>
      <c r="AG162" s="271">
        <f t="shared" si="150"/>
        <v>0</v>
      </c>
      <c r="AH162" s="270">
        <f t="shared" si="151"/>
        <v>39969827</v>
      </c>
      <c r="AI162" s="220">
        <f t="shared" si="152"/>
        <v>144394707</v>
      </c>
      <c r="AJ162" s="269">
        <f t="shared" si="153"/>
        <v>144394707</v>
      </c>
      <c r="AK162" s="101"/>
      <c r="AL162" s="204">
        <v>0</v>
      </c>
      <c r="AM162" s="210">
        <v>0</v>
      </c>
    </row>
    <row r="163" spans="16:39" ht="24.75" customHeight="1">
      <c r="P163" s="101"/>
      <c r="Q163" s="101"/>
      <c r="R163" s="101"/>
      <c r="S163" s="311" t="s">
        <v>603</v>
      </c>
      <c r="T163" s="312" t="s">
        <v>738</v>
      </c>
      <c r="U163" s="373">
        <f>+ENERO!U163</f>
        <v>4141233251</v>
      </c>
      <c r="V163" s="220">
        <f>MAYO!V163+JUNIO!AL163</f>
        <v>0</v>
      </c>
      <c r="W163" s="220">
        <f>MAYO!W163+JUNIO!AM163</f>
        <v>0</v>
      </c>
      <c r="X163" s="271">
        <f t="shared" si="147"/>
        <v>4141233251</v>
      </c>
      <c r="Y163" s="270">
        <f>MAYO!AA163</f>
        <v>1614862223</v>
      </c>
      <c r="Z163" s="208">
        <v>484206601</v>
      </c>
      <c r="AA163" s="271">
        <f t="shared" si="148"/>
        <v>2099068824</v>
      </c>
      <c r="AB163" s="270">
        <f>MAYO!AD163</f>
        <v>914819837</v>
      </c>
      <c r="AC163" s="208">
        <v>223721380</v>
      </c>
      <c r="AD163" s="271">
        <f t="shared" si="149"/>
        <v>1138541217</v>
      </c>
      <c r="AE163" s="270">
        <f>MAYO!AG163</f>
        <v>331649048</v>
      </c>
      <c r="AF163" s="208">
        <v>127072195</v>
      </c>
      <c r="AG163" s="271">
        <f t="shared" si="150"/>
        <v>458721243</v>
      </c>
      <c r="AH163" s="270">
        <f t="shared" si="151"/>
        <v>2042164427</v>
      </c>
      <c r="AI163" s="220">
        <f t="shared" si="152"/>
        <v>3002692034</v>
      </c>
      <c r="AJ163" s="269">
        <f t="shared" si="153"/>
        <v>3682512008</v>
      </c>
      <c r="AK163" s="101"/>
      <c r="AL163" s="204">
        <v>0</v>
      </c>
      <c r="AM163" s="210">
        <v>0</v>
      </c>
    </row>
    <row r="164" spans="16:39" ht="24.75" customHeight="1">
      <c r="P164" s="101"/>
      <c r="Q164" s="101"/>
      <c r="R164" s="101"/>
      <c r="S164" s="311" t="s">
        <v>604</v>
      </c>
      <c r="T164" s="312" t="s">
        <v>721</v>
      </c>
      <c r="U164" s="373">
        <f>+ENERO!U164</f>
        <v>267744477</v>
      </c>
      <c r="V164" s="220">
        <f>MAYO!V164+JUNIO!AL164</f>
        <v>0</v>
      </c>
      <c r="W164" s="220">
        <f>MAYO!W164+JUNIO!AM164</f>
        <v>0</v>
      </c>
      <c r="X164" s="271">
        <f t="shared" si="147"/>
        <v>267744477</v>
      </c>
      <c r="Y164" s="270">
        <f>MAYO!AA164</f>
        <v>173250000</v>
      </c>
      <c r="Z164" s="208">
        <v>0</v>
      </c>
      <c r="AA164" s="271">
        <f t="shared" si="148"/>
        <v>173250000</v>
      </c>
      <c r="AB164" s="270">
        <f>MAYO!AD164</f>
        <v>47457303</v>
      </c>
      <c r="AC164" s="208">
        <v>10706162</v>
      </c>
      <c r="AD164" s="271">
        <f t="shared" si="149"/>
        <v>58163465</v>
      </c>
      <c r="AE164" s="270">
        <f>MAYO!AG164</f>
        <v>0</v>
      </c>
      <c r="AF164" s="208">
        <v>15749990</v>
      </c>
      <c r="AG164" s="271">
        <f t="shared" si="150"/>
        <v>15749990</v>
      </c>
      <c r="AH164" s="270">
        <f t="shared" si="151"/>
        <v>94494477</v>
      </c>
      <c r="AI164" s="220">
        <f t="shared" si="152"/>
        <v>209581012</v>
      </c>
      <c r="AJ164" s="269">
        <f t="shared" si="153"/>
        <v>251994487</v>
      </c>
      <c r="AK164" s="101"/>
      <c r="AL164" s="204">
        <v>0</v>
      </c>
      <c r="AM164" s="210">
        <v>0</v>
      </c>
    </row>
    <row r="165" spans="16:39" ht="24.75" customHeight="1">
      <c r="P165" s="101"/>
      <c r="Q165" s="101"/>
      <c r="R165" s="101"/>
      <c r="S165" s="311" t="str">
        <f>+IF(MAYO!S165=0,"",MAYO!S165)</f>
        <v>2.1.2.02.02.008.811</v>
      </c>
      <c r="T165" s="312" t="str">
        <f>+IF(MAYO!T165=0,"",MAYO!T165)</f>
        <v>Mantenimiento servicios - planta física y sistemas</v>
      </c>
      <c r="U165" s="373">
        <f>+ENERO!U165</f>
        <v>0</v>
      </c>
      <c r="V165" s="220">
        <f>MAYO!V165+JUNIO!AL165</f>
        <v>0</v>
      </c>
      <c r="W165" s="220">
        <f>MAYO!W165+JUNIO!AM165</f>
        <v>0</v>
      </c>
      <c r="X165" s="271">
        <f t="shared" si="147"/>
        <v>0</v>
      </c>
      <c r="Y165" s="270">
        <f>MAYO!AA165</f>
        <v>0</v>
      </c>
      <c r="Z165" s="208">
        <v>0</v>
      </c>
      <c r="AA165" s="271">
        <f t="shared" si="148"/>
        <v>0</v>
      </c>
      <c r="AB165" s="270">
        <f>MAYO!AD165</f>
        <v>0</v>
      </c>
      <c r="AC165" s="208">
        <v>0</v>
      </c>
      <c r="AD165" s="271">
        <f t="shared" si="149"/>
        <v>0</v>
      </c>
      <c r="AE165" s="270">
        <f>MAYO!AG165</f>
        <v>0</v>
      </c>
      <c r="AF165" s="208">
        <v>0</v>
      </c>
      <c r="AG165" s="271">
        <f t="shared" si="150"/>
        <v>0</v>
      </c>
      <c r="AH165" s="270">
        <f t="shared" si="151"/>
        <v>0</v>
      </c>
      <c r="AI165" s="220">
        <f t="shared" si="152"/>
        <v>0</v>
      </c>
      <c r="AJ165" s="269">
        <f t="shared" si="153"/>
        <v>0</v>
      </c>
      <c r="AK165" s="101"/>
      <c r="AL165" s="204">
        <v>0</v>
      </c>
      <c r="AM165" s="210">
        <v>0</v>
      </c>
    </row>
    <row r="166" spans="16:39" ht="24.75" customHeight="1">
      <c r="P166" s="101"/>
      <c r="Q166" s="101"/>
      <c r="R166" s="101"/>
      <c r="S166" s="311" t="str">
        <f>+IF(MAYO!S166=0,"",MAYO!S166)</f>
        <v>2.1.2.02.02.008.99.03</v>
      </c>
      <c r="T166" s="312" t="str">
        <f>+IF(MAYO!T166=0,"",MAYO!T166)</f>
        <v xml:space="preserve">Vigencias Anteriores Mantenimiento Servicios </v>
      </c>
      <c r="U166" s="373">
        <f>SUM(ENERO!U167)</f>
        <v>2434004587.2222223</v>
      </c>
      <c r="V166" s="220">
        <f>MAYO!V166+JUNIO!AL166</f>
        <v>0</v>
      </c>
      <c r="W166" s="220">
        <f>MAYO!W166+JUNIO!AM166</f>
        <v>158814745</v>
      </c>
      <c r="X166" s="271">
        <f t="shared" si="147"/>
        <v>2592819332.2222223</v>
      </c>
      <c r="Y166" s="270">
        <f>MAYO!AA166</f>
        <v>806029677</v>
      </c>
      <c r="Z166" s="208">
        <v>31239817</v>
      </c>
      <c r="AA166" s="271">
        <f t="shared" si="148"/>
        <v>837269494</v>
      </c>
      <c r="AB166" s="270">
        <f>MAYO!AD166</f>
        <v>806029677</v>
      </c>
      <c r="AC166" s="208">
        <v>31239817</v>
      </c>
      <c r="AD166" s="271">
        <f t="shared" si="149"/>
        <v>837269494</v>
      </c>
      <c r="AE166" s="270">
        <f>MAYO!AG166</f>
        <v>805999477</v>
      </c>
      <c r="AF166" s="208">
        <v>31239817</v>
      </c>
      <c r="AG166" s="271">
        <f t="shared" si="150"/>
        <v>837239294</v>
      </c>
      <c r="AH166" s="270">
        <f t="shared" si="151"/>
        <v>1755549838.2222223</v>
      </c>
      <c r="AI166" s="220">
        <f t="shared" si="152"/>
        <v>1755549838.2222223</v>
      </c>
      <c r="AJ166" s="269">
        <f t="shared" si="153"/>
        <v>1755580038.2222223</v>
      </c>
      <c r="AK166" s="101"/>
      <c r="AL166" s="204">
        <v>0</v>
      </c>
      <c r="AM166" s="210">
        <v>0</v>
      </c>
    </row>
    <row r="167" spans="16:39" ht="24.75" customHeight="1">
      <c r="P167" s="101"/>
      <c r="Q167" s="101"/>
      <c r="R167" s="101"/>
      <c r="S167" s="189" t="str">
        <f>+IF(MAYO!S167=0,"",MAYO!S167)</f>
        <v/>
      </c>
      <c r="T167" s="488" t="str">
        <f>+IF(MAYO!T167=0,"",MAYO!T167)</f>
        <v/>
      </c>
      <c r="U167" s="191"/>
      <c r="V167" s="191"/>
      <c r="W167" s="191"/>
      <c r="X167" s="191"/>
      <c r="Y167" s="191"/>
      <c r="Z167" s="191"/>
      <c r="AA167" s="191"/>
      <c r="AB167" s="191"/>
      <c r="AC167" s="191"/>
      <c r="AD167" s="191"/>
      <c r="AE167" s="191"/>
      <c r="AF167" s="191"/>
      <c r="AG167" s="191"/>
      <c r="AH167" s="191"/>
      <c r="AI167" s="191"/>
      <c r="AJ167" s="192"/>
      <c r="AK167" s="101"/>
      <c r="AL167" s="370"/>
      <c r="AM167" s="371"/>
    </row>
    <row r="168" spans="16:39" ht="24.75" customHeight="1">
      <c r="P168" s="101"/>
      <c r="Q168" s="101"/>
      <c r="R168" s="101"/>
      <c r="S168" s="228">
        <f>+IF(MAYO!S168=0,"",MAYO!S168)</f>
        <v>3000000</v>
      </c>
      <c r="T168" s="404" t="str">
        <f>+IF(MAYO!T168=0,"",MAYO!T168)</f>
        <v>TRANSFERENCIAS CORRIENTES</v>
      </c>
      <c r="U168" s="405">
        <f t="shared" ref="U168:AM168" si="154">U170+U174+U183</f>
        <v>2193060585</v>
      </c>
      <c r="V168" s="406">
        <f t="shared" si="154"/>
        <v>16000000</v>
      </c>
      <c r="W168" s="406">
        <f t="shared" si="154"/>
        <v>1400000000</v>
      </c>
      <c r="X168" s="407">
        <f t="shared" si="154"/>
        <v>3609060585</v>
      </c>
      <c r="Y168" s="217">
        <f t="shared" si="154"/>
        <v>796851397</v>
      </c>
      <c r="Z168" s="406">
        <f t="shared" si="154"/>
        <v>167972568</v>
      </c>
      <c r="AA168" s="407">
        <f t="shared" si="154"/>
        <v>964823965</v>
      </c>
      <c r="AB168" s="217">
        <f t="shared" si="154"/>
        <v>796851397</v>
      </c>
      <c r="AC168" s="406">
        <f t="shared" si="154"/>
        <v>167972568</v>
      </c>
      <c r="AD168" s="407">
        <f t="shared" si="154"/>
        <v>964823965</v>
      </c>
      <c r="AE168" s="217">
        <f t="shared" si="154"/>
        <v>723564101</v>
      </c>
      <c r="AF168" s="406">
        <f t="shared" si="154"/>
        <v>116561004.5</v>
      </c>
      <c r="AG168" s="407">
        <f t="shared" si="154"/>
        <v>840125105.5</v>
      </c>
      <c r="AH168" s="217">
        <f t="shared" si="154"/>
        <v>2644236620</v>
      </c>
      <c r="AI168" s="406">
        <f t="shared" si="154"/>
        <v>2644236620</v>
      </c>
      <c r="AJ168" s="218">
        <f t="shared" si="154"/>
        <v>2768935479.5</v>
      </c>
      <c r="AK168" s="101"/>
      <c r="AL168" s="218">
        <f t="shared" si="154"/>
        <v>0</v>
      </c>
      <c r="AM168" s="218">
        <f t="shared" si="154"/>
        <v>0</v>
      </c>
    </row>
    <row r="169" spans="16:39" ht="24.75" customHeight="1">
      <c r="P169" s="101"/>
      <c r="Q169" s="101"/>
      <c r="R169" s="101"/>
      <c r="S169" s="189"/>
      <c r="T169" s="488" t="str">
        <f>+IF(MAYO!T169=0,"",MAYO!T169)</f>
        <v/>
      </c>
      <c r="U169" s="191"/>
      <c r="V169" s="191"/>
      <c r="W169" s="191"/>
      <c r="X169" s="191"/>
      <c r="Y169" s="191"/>
      <c r="Z169" s="191"/>
      <c r="AA169" s="191"/>
      <c r="AB169" s="191"/>
      <c r="AC169" s="191"/>
      <c r="AD169" s="191"/>
      <c r="AE169" s="191"/>
      <c r="AF169" s="191"/>
      <c r="AG169" s="191"/>
      <c r="AH169" s="191"/>
      <c r="AI169" s="191"/>
      <c r="AJ169" s="192"/>
      <c r="AK169" s="101"/>
      <c r="AL169" s="370"/>
      <c r="AM169" s="371"/>
    </row>
    <row r="170" spans="16:39" ht="24.75" customHeight="1">
      <c r="P170" s="101"/>
      <c r="Q170" s="101"/>
      <c r="R170" s="101"/>
      <c r="S170" s="257">
        <f>+IF(MAYO!S170=0,"",MAYO!S170)</f>
        <v>3100000</v>
      </c>
      <c r="T170" s="546" t="str">
        <f>+IF(MAYO!T170=0,"",MAYO!T170)</f>
        <v>Transferencias al Sector Público</v>
      </c>
      <c r="U170" s="230">
        <f t="shared" ref="U170:AJ170" si="155">SUM(U171:U172)</f>
        <v>570000000</v>
      </c>
      <c r="V170" s="231">
        <f t="shared" si="155"/>
        <v>0</v>
      </c>
      <c r="W170" s="231">
        <f t="shared" si="155"/>
        <v>900000000</v>
      </c>
      <c r="X170" s="234">
        <f t="shared" si="155"/>
        <v>1470000000</v>
      </c>
      <c r="Y170" s="233">
        <f t="shared" si="155"/>
        <v>240723130</v>
      </c>
      <c r="Z170" s="231">
        <f t="shared" si="155"/>
        <v>23740047</v>
      </c>
      <c r="AA170" s="234">
        <f t="shared" si="155"/>
        <v>264463177</v>
      </c>
      <c r="AB170" s="233">
        <f t="shared" si="155"/>
        <v>240723130</v>
      </c>
      <c r="AC170" s="231">
        <f t="shared" si="155"/>
        <v>23740047</v>
      </c>
      <c r="AD170" s="234">
        <f t="shared" si="155"/>
        <v>264463177</v>
      </c>
      <c r="AE170" s="233">
        <f t="shared" si="155"/>
        <v>167435834</v>
      </c>
      <c r="AF170" s="231">
        <f t="shared" si="155"/>
        <v>35954593</v>
      </c>
      <c r="AG170" s="234">
        <f t="shared" si="155"/>
        <v>203390427</v>
      </c>
      <c r="AH170" s="233">
        <f t="shared" si="155"/>
        <v>1205536823</v>
      </c>
      <c r="AI170" s="231">
        <f t="shared" si="155"/>
        <v>1205536823</v>
      </c>
      <c r="AJ170" s="232">
        <f t="shared" si="155"/>
        <v>1266609573</v>
      </c>
      <c r="AK170" s="101"/>
      <c r="AL170" s="233">
        <f>SUM(AL171:AL172)</f>
        <v>0</v>
      </c>
      <c r="AM170" s="232">
        <f>SUM(AM171:AM172)</f>
        <v>0</v>
      </c>
    </row>
    <row r="171" spans="16:39" ht="24.75" customHeight="1">
      <c r="P171" s="101"/>
      <c r="Q171" s="101"/>
      <c r="R171" s="101"/>
      <c r="S171" s="266" t="str">
        <f>+IF(MAYO!S171=0,"",MAYO!S171)</f>
        <v>2.1.8.04.01</v>
      </c>
      <c r="T171" s="267" t="str">
        <f>+IF(MAYO!T171=0,"",MAYO!T171)</f>
        <v>Cuotas de fiscalizacion y auditaje</v>
      </c>
      <c r="U171" s="373">
        <f>+ENERO!U172</f>
        <v>170000000</v>
      </c>
      <c r="V171" s="220">
        <f>MAYO!V171+JUNIO!AL171</f>
        <v>0</v>
      </c>
      <c r="W171" s="220">
        <f>MAYO!W171+JUNIO!AM171</f>
        <v>0</v>
      </c>
      <c r="X171" s="271">
        <f>SUM(U171:W171)</f>
        <v>170000000</v>
      </c>
      <c r="Y171" s="270">
        <f>MAYO!AA171</f>
        <v>122145496</v>
      </c>
      <c r="Z171" s="208">
        <v>0</v>
      </c>
      <c r="AA171" s="271">
        <f>SUM(Y171:Z171)</f>
        <v>122145496</v>
      </c>
      <c r="AB171" s="270">
        <f>MAYO!AD171</f>
        <v>122145496</v>
      </c>
      <c r="AC171" s="208">
        <v>0</v>
      </c>
      <c r="AD171" s="271">
        <f>SUM(AB171:AC171)</f>
        <v>122145496</v>
      </c>
      <c r="AE171" s="270">
        <f>MAYO!AG171</f>
        <v>48858200</v>
      </c>
      <c r="AF171" s="208">
        <v>12214546</v>
      </c>
      <c r="AG171" s="271">
        <f>SUM(AE171:AF171)</f>
        <v>61072746</v>
      </c>
      <c r="AH171" s="270">
        <f>X171-AA171</f>
        <v>47854504</v>
      </c>
      <c r="AI171" s="220">
        <f>X171-AD171</f>
        <v>47854504</v>
      </c>
      <c r="AJ171" s="269">
        <f>X171-AG171</f>
        <v>108927254</v>
      </c>
      <c r="AK171" s="101"/>
      <c r="AL171" s="204">
        <v>0</v>
      </c>
      <c r="AM171" s="210">
        <v>0</v>
      </c>
    </row>
    <row r="172" spans="16:39" ht="24.75" customHeight="1">
      <c r="P172" s="101"/>
      <c r="Q172" s="101"/>
      <c r="R172" s="101" t="s">
        <v>688</v>
      </c>
      <c r="S172" s="266" t="str">
        <f>+IF(MAYO!S172=0,"",MAYO!S172)</f>
        <v>2.1.8.02</v>
      </c>
      <c r="T172" s="267" t="str">
        <f>+IF(MAYO!T172=0,"",MAYO!T172)</f>
        <v>Acuerdo de estampillas</v>
      </c>
      <c r="U172" s="373">
        <f>+ENERO!U173</f>
        <v>400000000</v>
      </c>
      <c r="V172" s="220">
        <f>MAYO!V172+JUNIO!AL172</f>
        <v>0</v>
      </c>
      <c r="W172" s="220">
        <f>MAYO!W172+JUNIO!AM172</f>
        <v>900000000</v>
      </c>
      <c r="X172" s="271">
        <f>SUM(U172:W172)</f>
        <v>1300000000</v>
      </c>
      <c r="Y172" s="270">
        <f>MAYO!AA172</f>
        <v>118577634</v>
      </c>
      <c r="Z172" s="208">
        <v>23740047</v>
      </c>
      <c r="AA172" s="271">
        <f>SUM(Y172:Z172)</f>
        <v>142317681</v>
      </c>
      <c r="AB172" s="270">
        <f>MAYO!AD172</f>
        <v>118577634</v>
      </c>
      <c r="AC172" s="208">
        <v>23740047</v>
      </c>
      <c r="AD172" s="271">
        <f>SUM(AB172:AC172)</f>
        <v>142317681</v>
      </c>
      <c r="AE172" s="270">
        <f>MAYO!AG172</f>
        <v>118577634</v>
      </c>
      <c r="AF172" s="208">
        <v>23740047</v>
      </c>
      <c r="AG172" s="271">
        <f>SUM(AE172:AF172)</f>
        <v>142317681</v>
      </c>
      <c r="AH172" s="270">
        <f>X172-AA172</f>
        <v>1157682319</v>
      </c>
      <c r="AI172" s="220">
        <f>X172-AD172</f>
        <v>1157682319</v>
      </c>
      <c r="AJ172" s="269">
        <f>X172-AG172</f>
        <v>1157682319</v>
      </c>
      <c r="AK172" s="101"/>
      <c r="AL172" s="204">
        <v>0</v>
      </c>
      <c r="AM172" s="210">
        <v>0</v>
      </c>
    </row>
    <row r="173" spans="16:39" ht="24.75" customHeight="1">
      <c r="P173" s="101"/>
      <c r="Q173" s="101"/>
      <c r="R173" s="101"/>
      <c r="S173" s="189">
        <f>+IF(MAYO!S173=0,"",MAYO!S173)</f>
        <v>23007296</v>
      </c>
      <c r="T173" s="488" t="str">
        <f>+IF(MAYO!T173=0,"",MAYO!T173)</f>
        <v/>
      </c>
      <c r="U173" s="191"/>
      <c r="V173" s="191"/>
      <c r="W173" s="191"/>
      <c r="X173" s="191"/>
      <c r="Y173" s="191"/>
      <c r="Z173" s="191"/>
      <c r="AA173" s="191"/>
      <c r="AB173" s="191"/>
      <c r="AC173" s="191"/>
      <c r="AD173" s="191"/>
      <c r="AE173" s="191"/>
      <c r="AF173" s="191"/>
      <c r="AG173" s="191"/>
      <c r="AH173" s="191"/>
      <c r="AI173" s="191"/>
      <c r="AJ173" s="192"/>
      <c r="AK173" s="216"/>
      <c r="AL173" s="370"/>
      <c r="AM173" s="371"/>
    </row>
    <row r="174" spans="16:39" ht="24.75" customHeight="1">
      <c r="P174" s="101"/>
      <c r="Q174" s="101"/>
      <c r="R174" s="101"/>
      <c r="S174" s="257">
        <f>+IF(MAYO!S174=0,"",MAYO!S174)</f>
        <v>320000</v>
      </c>
      <c r="T174" s="546" t="str">
        <f>+IF(MAYO!T174=0,"",MAYO!T174)</f>
        <v>Transf. Previsión y Seguridad Social</v>
      </c>
      <c r="U174" s="230">
        <f t="shared" ref="U174:AJ174" si="156">SUM(U175:U181)</f>
        <v>310000000</v>
      </c>
      <c r="V174" s="231">
        <f t="shared" si="156"/>
        <v>0</v>
      </c>
      <c r="W174" s="231">
        <f t="shared" si="156"/>
        <v>0</v>
      </c>
      <c r="X174" s="234">
        <f t="shared" si="156"/>
        <v>310000000</v>
      </c>
      <c r="Y174" s="233">
        <f t="shared" si="156"/>
        <v>169181278</v>
      </c>
      <c r="Z174" s="231">
        <f t="shared" si="156"/>
        <v>1884972</v>
      </c>
      <c r="AA174" s="234">
        <f t="shared" si="156"/>
        <v>171066250</v>
      </c>
      <c r="AB174" s="233">
        <f t="shared" si="156"/>
        <v>169181278</v>
      </c>
      <c r="AC174" s="231">
        <f t="shared" si="156"/>
        <v>1884972</v>
      </c>
      <c r="AD174" s="234">
        <f t="shared" si="156"/>
        <v>171066250</v>
      </c>
      <c r="AE174" s="233">
        <f t="shared" si="156"/>
        <v>169181278</v>
      </c>
      <c r="AF174" s="231">
        <f t="shared" si="156"/>
        <v>1884972</v>
      </c>
      <c r="AG174" s="234">
        <f t="shared" si="156"/>
        <v>171066250</v>
      </c>
      <c r="AH174" s="233">
        <f t="shared" si="156"/>
        <v>138933750</v>
      </c>
      <c r="AI174" s="231">
        <f t="shared" si="156"/>
        <v>138933750</v>
      </c>
      <c r="AJ174" s="232">
        <f t="shared" si="156"/>
        <v>138933750</v>
      </c>
      <c r="AK174" s="101"/>
      <c r="AL174" s="233">
        <f>SUM(AL175:AL181)</f>
        <v>0</v>
      </c>
      <c r="AM174" s="232">
        <f>SUM(AM175:AM181)</f>
        <v>0</v>
      </c>
    </row>
    <row r="175" spans="16:39" ht="24.75" customHeight="1">
      <c r="P175" s="101"/>
      <c r="Q175" s="101"/>
      <c r="R175" s="101"/>
      <c r="S175" s="266">
        <f>+IF(MAYO!S175=0,"",MAYO!S175)</f>
        <v>3200100</v>
      </c>
      <c r="T175" s="267" t="str">
        <f>+IF(MAYO!T175=0,"",MAYO!T175)</f>
        <v>Pensiones y Jubilaciones (Pago Directo)</v>
      </c>
      <c r="U175" s="373">
        <f>+ENERO!U176</f>
        <v>0</v>
      </c>
      <c r="V175" s="220">
        <f>MAYO!V175+JUNIO!AL175</f>
        <v>0</v>
      </c>
      <c r="W175" s="220">
        <f>MAYO!W175+JUNIO!AM175</f>
        <v>0</v>
      </c>
      <c r="X175" s="271">
        <f t="shared" ref="X175:X181" si="157">SUM(U175:W175)</f>
        <v>0</v>
      </c>
      <c r="Y175" s="270">
        <f>MAYO!AA175</f>
        <v>0</v>
      </c>
      <c r="Z175" s="208"/>
      <c r="AA175" s="271">
        <f t="shared" ref="AA175:AA181" si="158">SUM(Y175:Z175)</f>
        <v>0</v>
      </c>
      <c r="AB175" s="270">
        <f>MAYO!AD175</f>
        <v>0</v>
      </c>
      <c r="AC175" s="208"/>
      <c r="AD175" s="271">
        <f t="shared" ref="AD175:AD181" si="159">SUM(AB175:AC175)</f>
        <v>0</v>
      </c>
      <c r="AE175" s="270">
        <f>MAYO!AG175</f>
        <v>0</v>
      </c>
      <c r="AF175" s="208"/>
      <c r="AG175" s="271">
        <f t="shared" ref="AG175:AG181" si="160">SUM(AE175:AF175)</f>
        <v>0</v>
      </c>
      <c r="AH175" s="270">
        <f t="shared" ref="AH175:AH181" si="161">X175-AA175</f>
        <v>0</v>
      </c>
      <c r="AI175" s="220">
        <f t="shared" ref="AI175:AI181" si="162">X175-AD175</f>
        <v>0</v>
      </c>
      <c r="AJ175" s="269">
        <f t="shared" ref="AJ175:AJ181" si="163">X175-AG175</f>
        <v>0</v>
      </c>
      <c r="AK175" s="101"/>
      <c r="AL175" s="204">
        <v>0</v>
      </c>
      <c r="AM175" s="210">
        <v>0</v>
      </c>
    </row>
    <row r="176" spans="16:39" ht="24.75" customHeight="1">
      <c r="P176" s="101"/>
      <c r="Q176" s="101"/>
      <c r="R176" s="101"/>
      <c r="S176" s="266">
        <f>+IF(MAYO!S176=0,"",MAYO!S176)</f>
        <v>3200200</v>
      </c>
      <c r="T176" s="267" t="str">
        <f>+IF(MAYO!T176=0,"",MAYO!T176)</f>
        <v>Cesantías Pago Directo (Pago Directo)</v>
      </c>
      <c r="U176" s="373">
        <f>+ENERO!U177</f>
        <v>0</v>
      </c>
      <c r="V176" s="220">
        <f>MAYO!V176+JUNIO!AL176</f>
        <v>0</v>
      </c>
      <c r="W176" s="220">
        <f>MAYO!W176+JUNIO!AM176</f>
        <v>0</v>
      </c>
      <c r="X176" s="271">
        <f t="shared" si="157"/>
        <v>0</v>
      </c>
      <c r="Y176" s="270">
        <f>MAYO!AA176</f>
        <v>0</v>
      </c>
      <c r="Z176" s="208"/>
      <c r="AA176" s="271">
        <f t="shared" si="158"/>
        <v>0</v>
      </c>
      <c r="AB176" s="270">
        <f>MAYO!AD176</f>
        <v>0</v>
      </c>
      <c r="AC176" s="208"/>
      <c r="AD176" s="271">
        <f t="shared" si="159"/>
        <v>0</v>
      </c>
      <c r="AE176" s="270">
        <f>MAYO!AG176</f>
        <v>0</v>
      </c>
      <c r="AF176" s="208"/>
      <c r="AG176" s="271">
        <f t="shared" si="160"/>
        <v>0</v>
      </c>
      <c r="AH176" s="270">
        <f t="shared" si="161"/>
        <v>0</v>
      </c>
      <c r="AI176" s="220">
        <f t="shared" si="162"/>
        <v>0</v>
      </c>
      <c r="AJ176" s="269">
        <f t="shared" si="163"/>
        <v>0</v>
      </c>
      <c r="AK176" s="101"/>
      <c r="AL176" s="204">
        <v>0</v>
      </c>
      <c r="AM176" s="210">
        <v>0</v>
      </c>
    </row>
    <row r="177" spans="16:39" ht="24.75" customHeight="1">
      <c r="P177" s="101"/>
      <c r="Q177" s="101"/>
      <c r="R177" s="101"/>
      <c r="S177" s="266" t="str">
        <f>+IF(MAYO!S177=0,"",MAYO!S177)</f>
        <v>2.1.3.07.02.002.02</v>
      </c>
      <c r="T177" s="267" t="str">
        <f>+IF(MAYO!T177=0,"",MAYO!T177)</f>
        <v>Cuotas partes pensionales a cargo de la entidad ( de pensiones)</v>
      </c>
      <c r="U177" s="373">
        <f>+ENERO!U178</f>
        <v>10000000</v>
      </c>
      <c r="V177" s="220">
        <f>MAYO!V177+JUNIO!AL177</f>
        <v>0</v>
      </c>
      <c r="W177" s="220">
        <f>MAYO!W177+JUNIO!AM177</f>
        <v>0</v>
      </c>
      <c r="X177" s="271">
        <f t="shared" si="157"/>
        <v>10000000</v>
      </c>
      <c r="Y177" s="270">
        <f>MAYO!AA177</f>
        <v>3721278</v>
      </c>
      <c r="Z177" s="208">
        <v>1884972</v>
      </c>
      <c r="AA177" s="271">
        <f t="shared" si="158"/>
        <v>5606250</v>
      </c>
      <c r="AB177" s="270">
        <f>MAYO!AD177</f>
        <v>3721278</v>
      </c>
      <c r="AC177" s="208">
        <v>1884972</v>
      </c>
      <c r="AD177" s="271">
        <f t="shared" si="159"/>
        <v>5606250</v>
      </c>
      <c r="AE177" s="270">
        <f>MAYO!AG177</f>
        <v>3721278</v>
      </c>
      <c r="AF177" s="208">
        <v>1884972</v>
      </c>
      <c r="AG177" s="271">
        <f t="shared" si="160"/>
        <v>5606250</v>
      </c>
      <c r="AH177" s="270">
        <f t="shared" si="161"/>
        <v>4393750</v>
      </c>
      <c r="AI177" s="220">
        <f t="shared" si="162"/>
        <v>4393750</v>
      </c>
      <c r="AJ177" s="269">
        <f t="shared" si="163"/>
        <v>4393750</v>
      </c>
      <c r="AK177" s="101"/>
      <c r="AL177" s="204">
        <v>0</v>
      </c>
      <c r="AM177" s="210">
        <v>0</v>
      </c>
    </row>
    <row r="178" spans="16:39" ht="24.75" customHeight="1">
      <c r="P178" s="101"/>
      <c r="Q178" s="101"/>
      <c r="R178" s="101"/>
      <c r="S178" s="266" t="str">
        <f>+IF(MAYO!S178=0,"",MAYO!S178)</f>
        <v>2.1.3.07.02.003.02</v>
      </c>
      <c r="T178" s="267" t="str">
        <f>+IF(MAYO!T178=0,"",MAYO!T178)</f>
        <v>Bonos pensionales a cargo de la entidad ( de pensiones)</v>
      </c>
      <c r="U178" s="373">
        <f>+ENERO!U179</f>
        <v>300000000</v>
      </c>
      <c r="V178" s="220">
        <f>MAYO!V178+JUNIO!AL178</f>
        <v>0</v>
      </c>
      <c r="W178" s="220">
        <f>MAYO!W178+JUNIO!AM178</f>
        <v>0</v>
      </c>
      <c r="X178" s="271">
        <f t="shared" si="157"/>
        <v>300000000</v>
      </c>
      <c r="Y178" s="270">
        <f>MAYO!AA178</f>
        <v>165460000</v>
      </c>
      <c r="Z178" s="208"/>
      <c r="AA178" s="271">
        <f t="shared" si="158"/>
        <v>165460000</v>
      </c>
      <c r="AB178" s="270">
        <f>MAYO!AD178</f>
        <v>165460000</v>
      </c>
      <c r="AC178" s="208"/>
      <c r="AD178" s="271">
        <f t="shared" si="159"/>
        <v>165460000</v>
      </c>
      <c r="AE178" s="270">
        <f>MAYO!AG178</f>
        <v>165460000</v>
      </c>
      <c r="AF178" s="208"/>
      <c r="AG178" s="271">
        <f t="shared" si="160"/>
        <v>165460000</v>
      </c>
      <c r="AH178" s="270">
        <f t="shared" si="161"/>
        <v>134540000</v>
      </c>
      <c r="AI178" s="220">
        <f t="shared" si="162"/>
        <v>134540000</v>
      </c>
      <c r="AJ178" s="269">
        <f t="shared" si="163"/>
        <v>134540000</v>
      </c>
      <c r="AK178" s="101"/>
      <c r="AL178" s="204">
        <v>0</v>
      </c>
      <c r="AM178" s="210">
        <v>0</v>
      </c>
    </row>
    <row r="179" spans="16:39" ht="24.75" customHeight="1">
      <c r="P179" s="101"/>
      <c r="Q179" s="101"/>
      <c r="R179" s="101"/>
      <c r="S179" s="266">
        <f>+IF(MAYO!S179=0,"",MAYO!S179)</f>
        <v>3200500</v>
      </c>
      <c r="T179" s="267" t="str">
        <f>+IF(MAYO!T179=0,"",MAYO!T179)</f>
        <v/>
      </c>
      <c r="U179" s="373">
        <f>+ENERO!U180</f>
        <v>0</v>
      </c>
      <c r="V179" s="220">
        <f>MAYO!V179+JUNIO!AL179</f>
        <v>0</v>
      </c>
      <c r="W179" s="220">
        <f>MAYO!W179+JUNIO!AM179</f>
        <v>0</v>
      </c>
      <c r="X179" s="271">
        <f t="shared" si="157"/>
        <v>0</v>
      </c>
      <c r="Y179" s="270">
        <f>MAYO!AA179</f>
        <v>0</v>
      </c>
      <c r="Z179" s="208"/>
      <c r="AA179" s="271">
        <f t="shared" si="158"/>
        <v>0</v>
      </c>
      <c r="AB179" s="270">
        <f>MAYO!AD179</f>
        <v>0</v>
      </c>
      <c r="AC179" s="208"/>
      <c r="AD179" s="271">
        <f t="shared" si="159"/>
        <v>0</v>
      </c>
      <c r="AE179" s="270">
        <f>MAYO!AG179</f>
        <v>0</v>
      </c>
      <c r="AF179" s="208"/>
      <c r="AG179" s="271">
        <f t="shared" si="160"/>
        <v>0</v>
      </c>
      <c r="AH179" s="270">
        <f t="shared" si="161"/>
        <v>0</v>
      </c>
      <c r="AI179" s="220">
        <f t="shared" si="162"/>
        <v>0</v>
      </c>
      <c r="AJ179" s="269">
        <f t="shared" si="163"/>
        <v>0</v>
      </c>
      <c r="AK179" s="101"/>
      <c r="AL179" s="204">
        <v>0</v>
      </c>
      <c r="AM179" s="210">
        <v>0</v>
      </c>
    </row>
    <row r="180" spans="16:39" ht="24.75" customHeight="1">
      <c r="P180" s="101"/>
      <c r="Q180" s="101"/>
      <c r="R180" s="101"/>
      <c r="S180" s="266">
        <f>+IF(MAYO!S180=0,"",MAYO!S180)</f>
        <v>3200600</v>
      </c>
      <c r="T180" s="267" t="str">
        <f>+IF(MAYO!T180=0,"",MAYO!T180)</f>
        <v/>
      </c>
      <c r="U180" s="373">
        <f>+ENERO!U181</f>
        <v>0</v>
      </c>
      <c r="V180" s="220">
        <f>MAYO!V180+JUNIO!AL180</f>
        <v>0</v>
      </c>
      <c r="W180" s="220">
        <f>MAYO!W180+JUNIO!AM180</f>
        <v>0</v>
      </c>
      <c r="X180" s="271">
        <f t="shared" si="157"/>
        <v>0</v>
      </c>
      <c r="Y180" s="270">
        <f>MAYO!AA180</f>
        <v>0</v>
      </c>
      <c r="Z180" s="208"/>
      <c r="AA180" s="271">
        <f t="shared" si="158"/>
        <v>0</v>
      </c>
      <c r="AB180" s="270">
        <f>MAYO!AD180</f>
        <v>0</v>
      </c>
      <c r="AC180" s="208">
        <v>0</v>
      </c>
      <c r="AD180" s="271">
        <f t="shared" si="159"/>
        <v>0</v>
      </c>
      <c r="AE180" s="270">
        <f>MAYO!AG180</f>
        <v>0</v>
      </c>
      <c r="AF180" s="208">
        <v>0</v>
      </c>
      <c r="AG180" s="271">
        <f t="shared" si="160"/>
        <v>0</v>
      </c>
      <c r="AH180" s="270">
        <f t="shared" si="161"/>
        <v>0</v>
      </c>
      <c r="AI180" s="220">
        <f t="shared" si="162"/>
        <v>0</v>
      </c>
      <c r="AJ180" s="269">
        <f t="shared" si="163"/>
        <v>0</v>
      </c>
      <c r="AK180" s="101"/>
      <c r="AL180" s="204">
        <v>0</v>
      </c>
      <c r="AM180" s="210">
        <v>0</v>
      </c>
    </row>
    <row r="181" spans="16:39" ht="24.75" customHeight="1">
      <c r="P181" s="101"/>
      <c r="Q181" s="101"/>
      <c r="R181" s="101" t="s">
        <v>688</v>
      </c>
      <c r="S181" s="266" t="str">
        <f>+IF(MAYO!S181=0,"",MAYO!S181)</f>
        <v>2.1.7.01.01</v>
      </c>
      <c r="T181" s="267" t="str">
        <f>+IF(MAYO!T181=0,"",MAYO!T181)</f>
        <v>Vigencias Anteriores Cesantias</v>
      </c>
      <c r="U181" s="373">
        <f>+ENERO!U182</f>
        <v>0</v>
      </c>
      <c r="V181" s="220">
        <f>MAYO!V181+JUNIO!AL181</f>
        <v>0</v>
      </c>
      <c r="W181" s="220">
        <f>MAYO!W181+JUNIO!AM181</f>
        <v>0</v>
      </c>
      <c r="X181" s="271">
        <f t="shared" si="157"/>
        <v>0</v>
      </c>
      <c r="Y181" s="270">
        <f>MAYO!AA181</f>
        <v>0</v>
      </c>
      <c r="Z181" s="208">
        <v>0</v>
      </c>
      <c r="AA181" s="271">
        <f t="shared" si="158"/>
        <v>0</v>
      </c>
      <c r="AB181" s="270">
        <f>MAYO!AD181</f>
        <v>0</v>
      </c>
      <c r="AC181" s="208">
        <v>0</v>
      </c>
      <c r="AD181" s="271">
        <f t="shared" si="159"/>
        <v>0</v>
      </c>
      <c r="AE181" s="270">
        <f>MAYO!AG181</f>
        <v>0</v>
      </c>
      <c r="AF181" s="208">
        <v>0</v>
      </c>
      <c r="AG181" s="271">
        <f t="shared" si="160"/>
        <v>0</v>
      </c>
      <c r="AH181" s="270">
        <f t="shared" si="161"/>
        <v>0</v>
      </c>
      <c r="AI181" s="220">
        <f t="shared" si="162"/>
        <v>0</v>
      </c>
      <c r="AJ181" s="269">
        <f t="shared" si="163"/>
        <v>0</v>
      </c>
      <c r="AK181" s="101"/>
      <c r="AL181" s="204">
        <v>0</v>
      </c>
      <c r="AM181" s="210">
        <v>0</v>
      </c>
    </row>
    <row r="182" spans="16:39" ht="24.75" customHeight="1">
      <c r="P182" s="101"/>
      <c r="Q182" s="101"/>
      <c r="R182" s="101"/>
      <c r="S182" s="189" t="str">
        <f>+IF(MAYO!S182=0,"",MAYO!S182)</f>
        <v/>
      </c>
      <c r="T182" s="488" t="str">
        <f>+IF(MAYO!T182=0,"",MAYO!T182)</f>
        <v/>
      </c>
      <c r="U182" s="191"/>
      <c r="V182" s="191"/>
      <c r="W182" s="191"/>
      <c r="X182" s="191"/>
      <c r="Y182" s="191"/>
      <c r="Z182" s="191">
        <v>0</v>
      </c>
      <c r="AA182" s="191"/>
      <c r="AB182" s="191"/>
      <c r="AC182" s="191"/>
      <c r="AD182" s="191"/>
      <c r="AE182" s="191"/>
      <c r="AF182" s="191"/>
      <c r="AG182" s="191"/>
      <c r="AH182" s="191"/>
      <c r="AI182" s="191"/>
      <c r="AJ182" s="192"/>
      <c r="AK182" s="101"/>
      <c r="AL182" s="370"/>
      <c r="AM182" s="371"/>
    </row>
    <row r="183" spans="16:39" ht="24.75" customHeight="1">
      <c r="P183" s="101"/>
      <c r="Q183" s="101"/>
      <c r="R183" s="101"/>
      <c r="S183" s="257">
        <f>+IF(MAYO!S183=0,"",MAYO!S183)</f>
        <v>3300000</v>
      </c>
      <c r="T183" s="546" t="str">
        <f>+IF(MAYO!T183=0,"",MAYO!T183)</f>
        <v>Otras Transferencias</v>
      </c>
      <c r="U183" s="230">
        <f t="shared" ref="U183:AJ183" si="164">U184+U185+U190</f>
        <v>1313060585</v>
      </c>
      <c r="V183" s="231">
        <f t="shared" si="164"/>
        <v>16000000</v>
      </c>
      <c r="W183" s="231">
        <f t="shared" si="164"/>
        <v>500000000</v>
      </c>
      <c r="X183" s="234">
        <f t="shared" si="164"/>
        <v>1829060585</v>
      </c>
      <c r="Y183" s="233">
        <f t="shared" si="164"/>
        <v>386946989</v>
      </c>
      <c r="Z183" s="231">
        <f t="shared" si="164"/>
        <v>142347549</v>
      </c>
      <c r="AA183" s="234">
        <f t="shared" si="164"/>
        <v>529294538</v>
      </c>
      <c r="AB183" s="233">
        <f t="shared" si="164"/>
        <v>386946989</v>
      </c>
      <c r="AC183" s="231">
        <f t="shared" si="164"/>
        <v>142347549</v>
      </c>
      <c r="AD183" s="234">
        <f t="shared" si="164"/>
        <v>529294538</v>
      </c>
      <c r="AE183" s="233">
        <f t="shared" si="164"/>
        <v>386946989</v>
      </c>
      <c r="AF183" s="231">
        <f t="shared" si="164"/>
        <v>78721439.5</v>
      </c>
      <c r="AG183" s="234">
        <f t="shared" si="164"/>
        <v>465668428.5</v>
      </c>
      <c r="AH183" s="233">
        <f t="shared" si="164"/>
        <v>1299766047</v>
      </c>
      <c r="AI183" s="231">
        <f t="shared" si="164"/>
        <v>1299766047</v>
      </c>
      <c r="AJ183" s="232">
        <f t="shared" si="164"/>
        <v>1363392156.5</v>
      </c>
      <c r="AK183" s="101"/>
      <c r="AL183" s="233">
        <f>AL184+AL185+AL190</f>
        <v>0</v>
      </c>
      <c r="AM183" s="232">
        <f>AM184+AM185+AM190</f>
        <v>0</v>
      </c>
    </row>
    <row r="184" spans="16:39" ht="24.75" customHeight="1">
      <c r="P184" s="101"/>
      <c r="Q184" s="101"/>
      <c r="R184" s="101"/>
      <c r="S184" s="266" t="str">
        <f>+IF(MAYO!S184=0,"",MAYO!S184)</f>
        <v>2.1.3.13.01.001</v>
      </c>
      <c r="T184" s="267" t="str">
        <f>+IF(MAYO!T184=0,"",MAYO!T184)</f>
        <v>Sentencias</v>
      </c>
      <c r="U184" s="373">
        <f>+ENERO!U185</f>
        <v>800000000</v>
      </c>
      <c r="V184" s="220">
        <f>MAYO!V184+JUNIO!AL184</f>
        <v>-350000000</v>
      </c>
      <c r="W184" s="220">
        <f>MAYO!W184+JUNIO!AM184</f>
        <v>0</v>
      </c>
      <c r="X184" s="271">
        <f>SUM(U184:W184)</f>
        <v>450000000</v>
      </c>
      <c r="Y184" s="270">
        <f>MAYO!AA184</f>
        <v>0</v>
      </c>
      <c r="Z184" s="208">
        <v>84794946</v>
      </c>
      <c r="AA184" s="271">
        <f>SUM(Y184:Z184)</f>
        <v>84794946</v>
      </c>
      <c r="AB184" s="270">
        <f>MAYO!AD184</f>
        <v>0</v>
      </c>
      <c r="AC184" s="208">
        <v>84794946</v>
      </c>
      <c r="AD184" s="271">
        <f>SUM(AB184:AC184)</f>
        <v>84794946</v>
      </c>
      <c r="AE184" s="270">
        <f>MAYO!AG184</f>
        <v>0</v>
      </c>
      <c r="AF184" s="208">
        <v>21198736.5</v>
      </c>
      <c r="AG184" s="271">
        <f>SUM(AE184:AF184)</f>
        <v>21198736.5</v>
      </c>
      <c r="AH184" s="270">
        <f>X184-AA184</f>
        <v>365205054</v>
      </c>
      <c r="AI184" s="220">
        <f>X184-AD184</f>
        <v>365205054</v>
      </c>
      <c r="AJ184" s="269">
        <f>X184-AG184</f>
        <v>428801263.5</v>
      </c>
      <c r="AK184" s="101"/>
      <c r="AL184" s="204">
        <v>0</v>
      </c>
      <c r="AM184" s="210">
        <v>0</v>
      </c>
    </row>
    <row r="185" spans="16:39" ht="24.75" customHeight="1">
      <c r="P185" s="101"/>
      <c r="Q185" s="101"/>
      <c r="R185" s="101"/>
      <c r="S185" s="266">
        <f>+IF(MAYO!S185=0,"",MAYO!S185)</f>
        <v>3300200</v>
      </c>
      <c r="T185" s="267" t="str">
        <f>+IF(MAYO!T185=0,"",MAYO!T185)</f>
        <v>Destinatarios de otras transferencias</v>
      </c>
      <c r="U185" s="373">
        <f t="shared" ref="U185:AJ185" si="165">SUM(U186:U189)</f>
        <v>463060585</v>
      </c>
      <c r="V185" s="220">
        <f t="shared" si="165"/>
        <v>16000000</v>
      </c>
      <c r="W185" s="220">
        <f t="shared" si="165"/>
        <v>500000000</v>
      </c>
      <c r="X185" s="271">
        <f t="shared" si="165"/>
        <v>979060585</v>
      </c>
      <c r="Y185" s="270">
        <f t="shared" si="165"/>
        <v>184172780</v>
      </c>
      <c r="Z185" s="300">
        <f t="shared" si="165"/>
        <v>57552603</v>
      </c>
      <c r="AA185" s="271">
        <f t="shared" si="165"/>
        <v>241725383</v>
      </c>
      <c r="AB185" s="270">
        <f t="shared" si="165"/>
        <v>184172780</v>
      </c>
      <c r="AC185" s="300">
        <f t="shared" si="165"/>
        <v>57552603</v>
      </c>
      <c r="AD185" s="271">
        <f t="shared" si="165"/>
        <v>241725383</v>
      </c>
      <c r="AE185" s="270">
        <f t="shared" si="165"/>
        <v>184172780</v>
      </c>
      <c r="AF185" s="300">
        <f t="shared" si="165"/>
        <v>57522703</v>
      </c>
      <c r="AG185" s="271">
        <f t="shared" si="165"/>
        <v>241695483</v>
      </c>
      <c r="AH185" s="270">
        <f t="shared" si="165"/>
        <v>737335202</v>
      </c>
      <c r="AI185" s="220">
        <f t="shared" si="165"/>
        <v>737335202</v>
      </c>
      <c r="AJ185" s="269">
        <f t="shared" si="165"/>
        <v>737365102</v>
      </c>
      <c r="AK185" s="101"/>
      <c r="AL185" s="301">
        <f>SUM(AL186:AL189)</f>
        <v>0</v>
      </c>
      <c r="AM185" s="302">
        <f>SUM(AM186:AM189)</f>
        <v>0</v>
      </c>
    </row>
    <row r="186" spans="16:39" ht="24.75" customHeight="1">
      <c r="P186" s="101"/>
      <c r="Q186" s="101"/>
      <c r="R186" s="101"/>
      <c r="S186" s="311" t="str">
        <f>+IF(MAYO!S186=0,"",MAYO!S186)</f>
        <v>2.1.2.02.02.009.907</v>
      </c>
      <c r="T186" s="267" t="str">
        <f>+IF(MAYO!T186=0,"",MAYO!T186)</f>
        <v>Cuota de Afiliación o sostenimiento (COHAN, AESA, OTROS)</v>
      </c>
      <c r="U186" s="373">
        <f>+ENERO!U187</f>
        <v>13060585</v>
      </c>
      <c r="V186" s="220">
        <f>MAYO!V186+JUNIO!AL186</f>
        <v>0</v>
      </c>
      <c r="W186" s="220">
        <f>MAYO!W186+JUNIO!AM186</f>
        <v>0</v>
      </c>
      <c r="X186" s="271">
        <f>SUM(U186:W186)</f>
        <v>13060585</v>
      </c>
      <c r="Y186" s="270">
        <f>MAYO!AA186</f>
        <v>7784812</v>
      </c>
      <c r="Z186" s="208">
        <v>552603</v>
      </c>
      <c r="AA186" s="271">
        <f>SUM(Y186:Z186)</f>
        <v>8337415</v>
      </c>
      <c r="AB186" s="270">
        <f>MAYO!AD186</f>
        <v>7784812</v>
      </c>
      <c r="AC186" s="208">
        <v>552603</v>
      </c>
      <c r="AD186" s="271">
        <f>SUM(AB186:AC186)</f>
        <v>8337415</v>
      </c>
      <c r="AE186" s="270">
        <f>MAYO!AG186</f>
        <v>7784812</v>
      </c>
      <c r="AF186" s="208">
        <v>522703</v>
      </c>
      <c r="AG186" s="271">
        <f>SUM(AE186:AF186)</f>
        <v>8307515</v>
      </c>
      <c r="AH186" s="270">
        <f>X186-AA186</f>
        <v>4723170</v>
      </c>
      <c r="AI186" s="220">
        <f>X186-AD186</f>
        <v>4723170</v>
      </c>
      <c r="AJ186" s="269">
        <f>X186-AG186</f>
        <v>4753070</v>
      </c>
      <c r="AK186" s="101"/>
      <c r="AL186" s="204">
        <v>0</v>
      </c>
      <c r="AM186" s="210">
        <v>0</v>
      </c>
    </row>
    <row r="187" spans="16:39" ht="24.75" customHeight="1">
      <c r="P187" s="101"/>
      <c r="Q187" s="101"/>
      <c r="R187" s="101"/>
      <c r="S187" s="311" t="str">
        <f>+IF(MAYO!S187=0,"",MAYO!S187)</f>
        <v>2.1.8.04.07</v>
      </c>
      <c r="T187" s="267" t="str">
        <f>+IF(MAYO!T187=0,"",MAYO!T187)</f>
        <v>Conciliaciones</v>
      </c>
      <c r="U187" s="373">
        <f>+ENERO!U188</f>
        <v>300000000</v>
      </c>
      <c r="V187" s="220">
        <f>MAYO!V187+JUNIO!AL187</f>
        <v>0</v>
      </c>
      <c r="W187" s="220">
        <f>MAYO!W187+JUNIO!AM187</f>
        <v>500000000</v>
      </c>
      <c r="X187" s="271">
        <f>SUM(U187:W187)</f>
        <v>800000000</v>
      </c>
      <c r="Y187" s="270">
        <f>MAYO!AA187</f>
        <v>169000000</v>
      </c>
      <c r="Z187" s="208">
        <v>57000000</v>
      </c>
      <c r="AA187" s="271">
        <f>SUM(Y187:Z187)</f>
        <v>226000000</v>
      </c>
      <c r="AB187" s="270">
        <f>MAYO!AD187</f>
        <v>169000000</v>
      </c>
      <c r="AC187" s="208">
        <v>57000000</v>
      </c>
      <c r="AD187" s="271">
        <f>SUM(AB187:AC187)</f>
        <v>226000000</v>
      </c>
      <c r="AE187" s="270">
        <f>MAYO!AG187</f>
        <v>169000000</v>
      </c>
      <c r="AF187" s="208">
        <v>57000000</v>
      </c>
      <c r="AG187" s="271">
        <f>SUM(AE187:AF187)</f>
        <v>226000000</v>
      </c>
      <c r="AH187" s="270">
        <f>X187-AA187</f>
        <v>574000000</v>
      </c>
      <c r="AI187" s="220">
        <f>X187-AD187</f>
        <v>574000000</v>
      </c>
      <c r="AJ187" s="269">
        <f>X187-AG187</f>
        <v>574000000</v>
      </c>
      <c r="AK187" s="101"/>
      <c r="AL187" s="204">
        <v>0</v>
      </c>
      <c r="AM187" s="210">
        <v>0</v>
      </c>
    </row>
    <row r="188" spans="16:39" ht="24.75" customHeight="1">
      <c r="P188" s="903"/>
      <c r="Q188" s="903"/>
      <c r="R188" s="903"/>
      <c r="S188" s="311" t="str">
        <f>+IF(MAYO!S188=0,"",MAYO!S188)</f>
        <v>2.1.8.05.01</v>
      </c>
      <c r="T188" s="267" t="str">
        <f>+IF(MAYO!T188=0,"",MAYO!T188)</f>
        <v>Multas y sanciones</v>
      </c>
      <c r="U188" s="373">
        <v>0</v>
      </c>
      <c r="V188" s="220">
        <f>MAYO!V188+JUNIO!AL188</f>
        <v>16000000</v>
      </c>
      <c r="W188" s="220">
        <f>MAYO!W188+JUNIO!AM188</f>
        <v>0</v>
      </c>
      <c r="X188" s="271">
        <f>SUM(U188:W188)</f>
        <v>16000000</v>
      </c>
      <c r="Y188" s="270">
        <f>MAYO!AA188</f>
        <v>7387968</v>
      </c>
      <c r="Z188" s="208">
        <v>0</v>
      </c>
      <c r="AA188" s="271">
        <f>SUM(Y188:Z188)</f>
        <v>7387968</v>
      </c>
      <c r="AB188" s="270">
        <f>MAYO!AD188</f>
        <v>7387968</v>
      </c>
      <c r="AC188" s="208">
        <v>0</v>
      </c>
      <c r="AD188" s="271">
        <f>SUM(AB188:AC188)</f>
        <v>7387968</v>
      </c>
      <c r="AE188" s="270">
        <f>MAYO!AG188</f>
        <v>7387968</v>
      </c>
      <c r="AF188" s="208">
        <v>0</v>
      </c>
      <c r="AG188" s="271">
        <f>SUM(AE188:AF188)</f>
        <v>7387968</v>
      </c>
      <c r="AH188" s="270">
        <f>X188-AA188</f>
        <v>8612032</v>
      </c>
      <c r="AI188" s="220">
        <f>X188-AD188</f>
        <v>8612032</v>
      </c>
      <c r="AJ188" s="269">
        <f>X188-AG188</f>
        <v>8612032</v>
      </c>
      <c r="AK188" s="101"/>
      <c r="AL188" s="204">
        <v>0</v>
      </c>
      <c r="AM188" s="210">
        <v>0</v>
      </c>
    </row>
    <row r="189" spans="16:39" ht="24.75" customHeight="1">
      <c r="P189" s="101"/>
      <c r="Q189" s="101"/>
      <c r="R189" s="101"/>
      <c r="S189" s="311" t="str">
        <f>+IF(MAYO!S189=0,"",MAYO!S189)</f>
        <v>2.1.8.04.07</v>
      </c>
      <c r="T189" s="267" t="str">
        <f>+IF(MAYO!T189=0,"",MAYO!T189)</f>
        <v>Cuotas de auditaje supersalud</v>
      </c>
      <c r="U189" s="373">
        <f>+ENERO!U190</f>
        <v>150000000</v>
      </c>
      <c r="V189" s="220">
        <f>MAYO!V189+JUNIO!AL189</f>
        <v>0</v>
      </c>
      <c r="W189" s="220">
        <f>MAYO!W189+JUNIO!AM189</f>
        <v>0</v>
      </c>
      <c r="X189" s="271">
        <f>SUM(U189:W189)</f>
        <v>150000000</v>
      </c>
      <c r="Y189" s="270">
        <f>MAYO!AA189</f>
        <v>0</v>
      </c>
      <c r="Z189" s="208">
        <v>0</v>
      </c>
      <c r="AA189" s="271">
        <f>SUM(Y189:Z189)</f>
        <v>0</v>
      </c>
      <c r="AB189" s="270">
        <f>MAYO!AD189</f>
        <v>0</v>
      </c>
      <c r="AC189" s="208">
        <v>0</v>
      </c>
      <c r="AD189" s="271">
        <f>SUM(AB189:AC189)</f>
        <v>0</v>
      </c>
      <c r="AE189" s="270">
        <f>MAYO!AG189</f>
        <v>0</v>
      </c>
      <c r="AF189" s="208">
        <v>0</v>
      </c>
      <c r="AG189" s="271">
        <f>SUM(AE189:AF189)</f>
        <v>0</v>
      </c>
      <c r="AH189" s="270">
        <f>X189-AA189</f>
        <v>150000000</v>
      </c>
      <c r="AI189" s="220">
        <f>X189-AD189</f>
        <v>150000000</v>
      </c>
      <c r="AJ189" s="269">
        <f>X189-AG189</f>
        <v>150000000</v>
      </c>
      <c r="AK189" s="101"/>
      <c r="AL189" s="204">
        <v>0</v>
      </c>
      <c r="AM189" s="210">
        <v>0</v>
      </c>
    </row>
    <row r="190" spans="16:39" ht="24.75" customHeight="1">
      <c r="P190" s="101"/>
      <c r="Q190" s="101"/>
      <c r="R190" s="101" t="s">
        <v>688</v>
      </c>
      <c r="S190" s="266" t="str">
        <f>+IF(MAYO!S190=0,"",MAYO!S190)</f>
        <v>2.1.3.13.01.002.99</v>
      </c>
      <c r="T190" s="267" t="str">
        <f>+IF(MAYO!T190=0,"",MAYO!T190)</f>
        <v>Vigencias Anteriores Conciliaciones</v>
      </c>
      <c r="U190" s="373">
        <f>+ENERO!U191</f>
        <v>50000000</v>
      </c>
      <c r="V190" s="220">
        <f>MAYO!V190+JUNIO!AL190</f>
        <v>350000000</v>
      </c>
      <c r="W190" s="220">
        <f>MAYO!W190+JUNIO!AM190</f>
        <v>0</v>
      </c>
      <c r="X190" s="271">
        <f>SUM(U190:W190)</f>
        <v>400000000</v>
      </c>
      <c r="Y190" s="270">
        <f>MAYO!AA190</f>
        <v>202774209</v>
      </c>
      <c r="Z190" s="208">
        <v>0</v>
      </c>
      <c r="AA190" s="271">
        <f>SUM(Y190:Z190)</f>
        <v>202774209</v>
      </c>
      <c r="AB190" s="270">
        <f>MAYO!AD190</f>
        <v>202774209</v>
      </c>
      <c r="AC190" s="208">
        <v>0</v>
      </c>
      <c r="AD190" s="271">
        <f>SUM(AB190:AC190)</f>
        <v>202774209</v>
      </c>
      <c r="AE190" s="270">
        <f>MAYO!AG190</f>
        <v>202774209</v>
      </c>
      <c r="AF190" s="208">
        <v>0</v>
      </c>
      <c r="AG190" s="271">
        <f>SUM(AE190:AF190)</f>
        <v>202774209</v>
      </c>
      <c r="AH190" s="270">
        <f>X190-AA190</f>
        <v>197225791</v>
      </c>
      <c r="AI190" s="220">
        <f>X190-AD190</f>
        <v>197225791</v>
      </c>
      <c r="AJ190" s="269">
        <f>X190-AG190</f>
        <v>197225791</v>
      </c>
      <c r="AK190" s="101"/>
      <c r="AL190" s="204">
        <v>0</v>
      </c>
      <c r="AM190" s="210">
        <v>0</v>
      </c>
    </row>
    <row r="191" spans="16:39" ht="24.75" customHeight="1">
      <c r="P191" s="101"/>
      <c r="Q191" s="101"/>
      <c r="R191" s="101"/>
      <c r="S191" s="558"/>
      <c r="T191" s="559"/>
      <c r="U191" s="557"/>
      <c r="V191" s="560"/>
      <c r="W191" s="560"/>
      <c r="X191" s="560"/>
      <c r="Y191" s="560"/>
      <c r="Z191" s="561"/>
      <c r="AA191" s="560"/>
      <c r="AB191" s="560"/>
      <c r="AC191" s="561"/>
      <c r="AD191" s="560"/>
      <c r="AE191" s="560"/>
      <c r="AF191" s="561"/>
      <c r="AG191" s="560"/>
      <c r="AH191" s="560"/>
      <c r="AI191" s="560"/>
      <c r="AJ191" s="371"/>
      <c r="AK191" s="101"/>
      <c r="AL191" s="562"/>
      <c r="AM191" s="563"/>
    </row>
    <row r="192" spans="16:39" ht="42" customHeight="1">
      <c r="P192" s="101"/>
      <c r="Q192" s="101"/>
      <c r="R192" s="101"/>
      <c r="S192" s="462" t="s">
        <v>294</v>
      </c>
      <c r="T192" s="463" t="s">
        <v>295</v>
      </c>
      <c r="U192" s="405">
        <f t="shared" ref="U192:AJ192" si="166">U194+U208</f>
        <v>42375190113.666664</v>
      </c>
      <c r="V192" s="406">
        <f t="shared" si="166"/>
        <v>0</v>
      </c>
      <c r="W192" s="406">
        <f t="shared" si="166"/>
        <v>2680000000</v>
      </c>
      <c r="X192" s="218">
        <f t="shared" si="166"/>
        <v>45055190113.666664</v>
      </c>
      <c r="Y192" s="217">
        <f t="shared" si="166"/>
        <v>33814413078</v>
      </c>
      <c r="Z192" s="406">
        <f t="shared" si="166"/>
        <v>1744452779</v>
      </c>
      <c r="AA192" s="218">
        <f t="shared" si="166"/>
        <v>35558865857</v>
      </c>
      <c r="AB192" s="405">
        <f t="shared" si="166"/>
        <v>26447545893</v>
      </c>
      <c r="AC192" s="406">
        <f t="shared" si="166"/>
        <v>4871880919</v>
      </c>
      <c r="AD192" s="407">
        <f t="shared" si="166"/>
        <v>31319426812</v>
      </c>
      <c r="AE192" s="217">
        <f t="shared" si="166"/>
        <v>15520689232</v>
      </c>
      <c r="AF192" s="406">
        <f t="shared" si="166"/>
        <v>3856751533</v>
      </c>
      <c r="AG192" s="218">
        <f t="shared" si="166"/>
        <v>19377440765</v>
      </c>
      <c r="AH192" s="217">
        <f t="shared" si="166"/>
        <v>9496324256.666666</v>
      </c>
      <c r="AI192" s="406">
        <f t="shared" si="166"/>
        <v>13735763301.666666</v>
      </c>
      <c r="AJ192" s="218">
        <f t="shared" si="166"/>
        <v>25677749348.666664</v>
      </c>
      <c r="AK192" s="101"/>
      <c r="AL192" s="217">
        <f>AL194+AL208</f>
        <v>0</v>
      </c>
      <c r="AM192" s="218">
        <f>AM194+AM208</f>
        <v>0</v>
      </c>
    </row>
    <row r="193" spans="18:39" ht="24.75" customHeight="1">
      <c r="R193" s="101"/>
      <c r="S193" s="189" t="str">
        <f>+IF(MAYO!S193=0,"",MAYO!S193)</f>
        <v/>
      </c>
      <c r="T193" s="488" t="str">
        <f>+IF(MAYO!T193=0,"",MAYO!T193)</f>
        <v/>
      </c>
      <c r="U193" s="191"/>
      <c r="V193" s="191"/>
      <c r="W193" s="191"/>
      <c r="X193" s="191"/>
      <c r="Y193" s="191"/>
      <c r="Z193" s="191"/>
      <c r="AA193" s="191"/>
      <c r="AB193" s="191"/>
      <c r="AC193" s="191"/>
      <c r="AD193" s="191"/>
      <c r="AE193" s="191"/>
      <c r="AF193" s="191"/>
      <c r="AG193" s="191"/>
      <c r="AH193" s="191"/>
      <c r="AI193" s="191"/>
      <c r="AJ193" s="192"/>
      <c r="AK193" s="101"/>
      <c r="AL193" s="370"/>
      <c r="AM193" s="371"/>
    </row>
    <row r="194" spans="18:39" ht="24.75" customHeight="1">
      <c r="R194" s="101"/>
      <c r="S194" s="228" t="str">
        <f>+IF(MAYO!S194=0,"",MAYO!S194)</f>
        <v>2.4</v>
      </c>
      <c r="T194" s="404" t="str">
        <f>+IF(MAYO!T194=0,"",MAYO!T194)</f>
        <v>GASTOS  DEOPERACIÓN COMERCIAL</v>
      </c>
      <c r="U194" s="405">
        <f t="shared" ref="U194:AJ194" si="167">U195</f>
        <v>40172190113.666664</v>
      </c>
      <c r="V194" s="406">
        <f t="shared" si="167"/>
        <v>-2112559635</v>
      </c>
      <c r="W194" s="406">
        <f t="shared" si="167"/>
        <v>2330000000</v>
      </c>
      <c r="X194" s="407">
        <f t="shared" si="167"/>
        <v>40389630478.666664</v>
      </c>
      <c r="Y194" s="217">
        <f t="shared" si="167"/>
        <v>29383013885</v>
      </c>
      <c r="Z194" s="406">
        <f t="shared" si="167"/>
        <v>1579689129</v>
      </c>
      <c r="AA194" s="407">
        <f t="shared" si="167"/>
        <v>30962703014</v>
      </c>
      <c r="AB194" s="217">
        <f t="shared" si="167"/>
        <v>22016146700</v>
      </c>
      <c r="AC194" s="406">
        <f t="shared" si="167"/>
        <v>4707117269</v>
      </c>
      <c r="AD194" s="407">
        <f t="shared" si="167"/>
        <v>26723263969</v>
      </c>
      <c r="AE194" s="217">
        <f t="shared" si="167"/>
        <v>11089290039</v>
      </c>
      <c r="AF194" s="406">
        <f t="shared" si="167"/>
        <v>3691987883</v>
      </c>
      <c r="AG194" s="407">
        <f t="shared" si="167"/>
        <v>14781277922</v>
      </c>
      <c r="AH194" s="217">
        <f t="shared" si="167"/>
        <v>9426927464.666666</v>
      </c>
      <c r="AI194" s="406">
        <f t="shared" si="167"/>
        <v>13666366509.666666</v>
      </c>
      <c r="AJ194" s="218">
        <f t="shared" si="167"/>
        <v>25608352556.666664</v>
      </c>
      <c r="AK194" s="101"/>
      <c r="AL194" s="233">
        <f>AL195</f>
        <v>0</v>
      </c>
      <c r="AM194" s="232">
        <f>AM195</f>
        <v>0</v>
      </c>
    </row>
    <row r="195" spans="18:39" ht="24.75" customHeight="1">
      <c r="R195" s="101"/>
      <c r="S195" s="257" t="str">
        <f>+IF(MAYO!S195=0,"",MAYO!S195)</f>
        <v>2.4.5</v>
      </c>
      <c r="T195" s="546" t="str">
        <f>+IF(MAYO!T195=0,"",MAYO!T195)</f>
        <v>GASTOS DE COMERCIALIZACIÓN Y PRODUCCIÓN</v>
      </c>
      <c r="U195" s="230">
        <f t="shared" ref="U195:AJ195" si="168">U196+U204+U206</f>
        <v>40172190113.666664</v>
      </c>
      <c r="V195" s="231">
        <f t="shared" si="168"/>
        <v>-2112559635</v>
      </c>
      <c r="W195" s="231">
        <f t="shared" si="168"/>
        <v>2330000000</v>
      </c>
      <c r="X195" s="234">
        <f t="shared" si="168"/>
        <v>40389630478.666664</v>
      </c>
      <c r="Y195" s="233">
        <f t="shared" si="168"/>
        <v>29383013885</v>
      </c>
      <c r="Z195" s="231">
        <f t="shared" si="168"/>
        <v>1579689129</v>
      </c>
      <c r="AA195" s="234">
        <f t="shared" si="168"/>
        <v>30962703014</v>
      </c>
      <c r="AB195" s="233">
        <f t="shared" si="168"/>
        <v>22016146700</v>
      </c>
      <c r="AC195" s="231">
        <f t="shared" si="168"/>
        <v>4707117269</v>
      </c>
      <c r="AD195" s="234">
        <f t="shared" si="168"/>
        <v>26723263969</v>
      </c>
      <c r="AE195" s="233">
        <f t="shared" si="168"/>
        <v>11089290039</v>
      </c>
      <c r="AF195" s="231">
        <f t="shared" si="168"/>
        <v>3691987883</v>
      </c>
      <c r="AG195" s="234">
        <f t="shared" si="168"/>
        <v>14781277922</v>
      </c>
      <c r="AH195" s="233">
        <f t="shared" si="168"/>
        <v>9426927464.666666</v>
      </c>
      <c r="AI195" s="231">
        <f t="shared" si="168"/>
        <v>13666366509.666666</v>
      </c>
      <c r="AJ195" s="232">
        <f t="shared" si="168"/>
        <v>25608352556.666664</v>
      </c>
      <c r="AK195" s="216"/>
      <c r="AL195" s="233">
        <f>AL196+AL204+AL206</f>
        <v>0</v>
      </c>
      <c r="AM195" s="232">
        <f>AM196+AM204+AM206</f>
        <v>0</v>
      </c>
    </row>
    <row r="196" spans="18:39" ht="24.75" customHeight="1">
      <c r="R196" s="101"/>
      <c r="S196" s="266" t="str">
        <f>+IF(MAYO!S196=0,"",MAYO!S196)</f>
        <v>2.4.5.01</v>
      </c>
      <c r="T196" s="267" t="str">
        <f>+IF(MAYO!T196=0,"",MAYO!T196)</f>
        <v>Materiales y suministros</v>
      </c>
      <c r="U196" s="373">
        <f t="shared" ref="U196:AJ196" si="169">SUM(U197:U203)</f>
        <v>28648709150.333332</v>
      </c>
      <c r="V196" s="220">
        <f t="shared" si="169"/>
        <v>-1015559635</v>
      </c>
      <c r="W196" s="220">
        <f t="shared" si="169"/>
        <v>2330000000</v>
      </c>
      <c r="X196" s="271">
        <f t="shared" si="169"/>
        <v>29963149515.333332</v>
      </c>
      <c r="Y196" s="270">
        <f t="shared" si="169"/>
        <v>21618116590</v>
      </c>
      <c r="Z196" s="300">
        <f>SUM(Z197:Z203)</f>
        <v>1547723869</v>
      </c>
      <c r="AA196" s="271">
        <f t="shared" si="169"/>
        <v>23165840459</v>
      </c>
      <c r="AB196" s="270">
        <f t="shared" si="169"/>
        <v>16048653804</v>
      </c>
      <c r="AC196" s="300">
        <f t="shared" si="169"/>
        <v>3355391378</v>
      </c>
      <c r="AD196" s="271">
        <f t="shared" si="169"/>
        <v>19404045182</v>
      </c>
      <c r="AE196" s="270">
        <f t="shared" si="169"/>
        <v>5121797145</v>
      </c>
      <c r="AF196" s="300">
        <f t="shared" si="169"/>
        <v>3020975712</v>
      </c>
      <c r="AG196" s="271">
        <f t="shared" si="169"/>
        <v>8142772857</v>
      </c>
      <c r="AH196" s="270">
        <f t="shared" si="169"/>
        <v>6797309056.3333321</v>
      </c>
      <c r="AI196" s="220">
        <f t="shared" si="169"/>
        <v>10559104333.333332</v>
      </c>
      <c r="AJ196" s="269">
        <f t="shared" si="169"/>
        <v>21820376658.333332</v>
      </c>
      <c r="AK196" s="101"/>
      <c r="AL196" s="301">
        <f>SUM(AL197:AL203)</f>
        <v>0</v>
      </c>
      <c r="AM196" s="302">
        <f>SUM(AM197:AM203)</f>
        <v>0</v>
      </c>
    </row>
    <row r="197" spans="18:39" ht="24.75" customHeight="1">
      <c r="R197" s="101"/>
      <c r="S197" s="311" t="str">
        <f>+IF(MAYO!S197=0,"",MAYO!S197)</f>
        <v>2.4.5.01.03.301</v>
      </c>
      <c r="T197" s="312" t="str">
        <f>+IF(MAYO!T197=0,"",MAYO!T197)</f>
        <v>Medicamentos</v>
      </c>
      <c r="U197" s="373">
        <f>+ENERO!U198</f>
        <v>7396066391.666666</v>
      </c>
      <c r="V197" s="220">
        <f>MAYO!V197+JUNIO!AL197</f>
        <v>-632000000</v>
      </c>
      <c r="W197" s="220">
        <f>MAYO!W197+JUNIO!AM197</f>
        <v>0</v>
      </c>
      <c r="X197" s="271">
        <f t="shared" ref="X197:X203" si="170">SUM(U197:W197)</f>
        <v>6764066391.666666</v>
      </c>
      <c r="Y197" s="270">
        <f>MAYO!AA197</f>
        <v>4860223590</v>
      </c>
      <c r="Z197" s="208">
        <v>492552598</v>
      </c>
      <c r="AA197" s="271">
        <f t="shared" ref="AA197:AA202" si="171">SUM(Y197:Z197)</f>
        <v>5352776188</v>
      </c>
      <c r="AB197" s="270">
        <f>MAYO!AD197</f>
        <v>3814608634</v>
      </c>
      <c r="AC197" s="208">
        <v>772135803</v>
      </c>
      <c r="AD197" s="271">
        <f t="shared" ref="AD197:AD203" si="172">SUM(AB197:AC197)</f>
        <v>4586744437</v>
      </c>
      <c r="AE197" s="270">
        <f>MAYO!AG197</f>
        <v>1350582472</v>
      </c>
      <c r="AF197" s="208">
        <v>565045255</v>
      </c>
      <c r="AG197" s="271">
        <f t="shared" ref="AG197:AG203" si="173">SUM(AE197:AF197)</f>
        <v>1915627727</v>
      </c>
      <c r="AH197" s="270">
        <f t="shared" ref="AH197:AH203" si="174">X197-AA197</f>
        <v>1411290203.666666</v>
      </c>
      <c r="AI197" s="220">
        <f t="shared" ref="AI197:AI203" si="175">X197-AD197</f>
        <v>2177321954.666666</v>
      </c>
      <c r="AJ197" s="269">
        <f t="shared" ref="AJ197:AJ203" si="176">X197-AG197</f>
        <v>4848438664.666666</v>
      </c>
      <c r="AK197" s="101"/>
      <c r="AL197" s="204">
        <v>-200000000</v>
      </c>
      <c r="AM197" s="210">
        <v>0</v>
      </c>
    </row>
    <row r="198" spans="18:39" ht="24.75" customHeight="1">
      <c r="R198" s="101"/>
      <c r="S198" s="311" t="str">
        <f>+IF(MAYO!S198=0,"",MAYO!S198)</f>
        <v>2.4.5.01.03.302</v>
      </c>
      <c r="T198" s="312" t="str">
        <f>+IF(MAYO!T198=0,"",MAYO!T198)</f>
        <v>Material Médico Quirúrgico</v>
      </c>
      <c r="U198" s="373">
        <f>+ENERO!U199</f>
        <v>6198007399.166666</v>
      </c>
      <c r="V198" s="220">
        <f>MAYO!V198+JUNIO!AL198</f>
        <v>920000000</v>
      </c>
      <c r="W198" s="220">
        <f>MAYO!W198+JUNIO!AM198</f>
        <v>200000000</v>
      </c>
      <c r="X198" s="271">
        <f t="shared" si="170"/>
        <v>7318007399.166666</v>
      </c>
      <c r="Y198" s="270">
        <f>MAYO!AA198</f>
        <v>5812656863</v>
      </c>
      <c r="Z198" s="208">
        <v>571771105</v>
      </c>
      <c r="AA198" s="271">
        <f t="shared" si="171"/>
        <v>6384427968</v>
      </c>
      <c r="AB198" s="270">
        <f>MAYO!AD198</f>
        <v>4867806221</v>
      </c>
      <c r="AC198" s="208">
        <v>992190374</v>
      </c>
      <c r="AD198" s="271">
        <f t="shared" si="172"/>
        <v>5859996595</v>
      </c>
      <c r="AE198" s="270">
        <f>MAYO!AG198</f>
        <v>1789449702</v>
      </c>
      <c r="AF198" s="208">
        <v>877714359</v>
      </c>
      <c r="AG198" s="271">
        <f t="shared" si="173"/>
        <v>2667164061</v>
      </c>
      <c r="AH198" s="270">
        <f t="shared" si="174"/>
        <v>933579431.16666603</v>
      </c>
      <c r="AI198" s="220">
        <f t="shared" si="175"/>
        <v>1458010804.166666</v>
      </c>
      <c r="AJ198" s="269">
        <f t="shared" si="176"/>
        <v>4650843338.166666</v>
      </c>
      <c r="AK198" s="101"/>
      <c r="AL198" s="204">
        <v>520000000</v>
      </c>
      <c r="AM198" s="210">
        <v>0</v>
      </c>
    </row>
    <row r="199" spans="18:39" ht="24.75" customHeight="1">
      <c r="R199" s="101"/>
      <c r="S199" s="311" t="str">
        <f>+IF(MAYO!S199=0,"",MAYO!S199)</f>
        <v>2.4.5.01.03.303</v>
      </c>
      <c r="T199" s="312" t="str">
        <f>+IF(MAYO!T199=0,"",MAYO!T199)</f>
        <v>Material de Laboratorio</v>
      </c>
      <c r="U199" s="373">
        <f>+ENERO!U200</f>
        <v>2001528195</v>
      </c>
      <c r="V199" s="220">
        <f>MAYO!V199+JUNIO!AL199</f>
        <v>-320000000</v>
      </c>
      <c r="W199" s="220">
        <f>MAYO!W199+JUNIO!AM199</f>
        <v>1600000000</v>
      </c>
      <c r="X199" s="271">
        <f t="shared" si="170"/>
        <v>3281528195</v>
      </c>
      <c r="Y199" s="270">
        <f>MAYO!AA199</f>
        <v>1708181403</v>
      </c>
      <c r="Z199" s="208">
        <v>353400166</v>
      </c>
      <c r="AA199" s="271">
        <f t="shared" si="171"/>
        <v>2061581569</v>
      </c>
      <c r="AB199" s="270">
        <f>MAYO!AD199</f>
        <v>1363755955</v>
      </c>
      <c r="AC199" s="208">
        <v>245864306</v>
      </c>
      <c r="AD199" s="271">
        <f t="shared" si="172"/>
        <v>1609620261</v>
      </c>
      <c r="AE199" s="270">
        <f>MAYO!AG199</f>
        <v>142711665</v>
      </c>
      <c r="AF199" s="208">
        <v>326761827</v>
      </c>
      <c r="AG199" s="271">
        <f t="shared" si="173"/>
        <v>469473492</v>
      </c>
      <c r="AH199" s="270">
        <f t="shared" si="174"/>
        <v>1219946626</v>
      </c>
      <c r="AI199" s="220">
        <f t="shared" si="175"/>
        <v>1671907934</v>
      </c>
      <c r="AJ199" s="269">
        <f t="shared" si="176"/>
        <v>2812054703</v>
      </c>
      <c r="AK199" s="101"/>
      <c r="AL199" s="204">
        <v>-320000000</v>
      </c>
      <c r="AM199" s="210">
        <v>0</v>
      </c>
    </row>
    <row r="200" spans="18:39" ht="24.75" customHeight="1">
      <c r="R200" s="101"/>
      <c r="S200" s="311" t="str">
        <f>+IF(MAYO!S200=0,"",MAYO!S200)</f>
        <v>2.4.5.02.09.901</v>
      </c>
      <c r="T200" s="312" t="str">
        <f>+IF(MAYO!T200=0,"",MAYO!T200)</f>
        <v xml:space="preserve">Servicio de Lavandería </v>
      </c>
      <c r="U200" s="373">
        <f>+ENERO!U201</f>
        <v>758333333.33333325</v>
      </c>
      <c r="V200" s="220">
        <f>MAYO!V200+JUNIO!AL200</f>
        <v>32000000</v>
      </c>
      <c r="W200" s="220">
        <f>MAYO!W200+JUNIO!AM200</f>
        <v>0</v>
      </c>
      <c r="X200" s="271">
        <f t="shared" si="170"/>
        <v>790333333.33333325</v>
      </c>
      <c r="Y200" s="270">
        <f>MAYO!AA200</f>
        <v>779900415</v>
      </c>
      <c r="Z200" s="208">
        <v>0</v>
      </c>
      <c r="AA200" s="271">
        <f t="shared" si="171"/>
        <v>779900415</v>
      </c>
      <c r="AB200" s="270">
        <f>MAYO!AD200</f>
        <v>408475461</v>
      </c>
      <c r="AC200" s="208">
        <v>227534242</v>
      </c>
      <c r="AD200" s="271">
        <f t="shared" si="172"/>
        <v>636009703</v>
      </c>
      <c r="AE200" s="270">
        <f>MAYO!AG200</f>
        <v>195598188</v>
      </c>
      <c r="AF200" s="208">
        <v>212877273</v>
      </c>
      <c r="AG200" s="271">
        <f t="shared" si="173"/>
        <v>408475461</v>
      </c>
      <c r="AH200" s="270">
        <f t="shared" si="174"/>
        <v>10432918.333333254</v>
      </c>
      <c r="AI200" s="220">
        <f t="shared" si="175"/>
        <v>154323630.33333325</v>
      </c>
      <c r="AJ200" s="269">
        <f t="shared" si="176"/>
        <v>381857872.33333325</v>
      </c>
      <c r="AK200" s="101"/>
      <c r="AL200" s="204">
        <v>0</v>
      </c>
      <c r="AM200" s="210">
        <v>0</v>
      </c>
    </row>
    <row r="201" spans="18:39" ht="24.75" customHeight="1">
      <c r="R201" s="101"/>
      <c r="S201" s="311" t="str">
        <f>+IF(MAYO!S201=0,"",MAYO!S201)</f>
        <v>2.4.5.02.09.902</v>
      </c>
      <c r="T201" s="312" t="str">
        <f>+IF(MAYO!T201=0,"",MAYO!T201)</f>
        <v>Servicios de esterilización</v>
      </c>
      <c r="U201" s="373">
        <f>+ENERO!U202</f>
        <v>166666666.66666666</v>
      </c>
      <c r="V201" s="220">
        <f>MAYO!V201+JUNIO!AL201</f>
        <v>0</v>
      </c>
      <c r="W201" s="220">
        <f>MAYO!W201+JUNIO!AM201</f>
        <v>0</v>
      </c>
      <c r="X201" s="271">
        <f t="shared" si="170"/>
        <v>166666666.66666666</v>
      </c>
      <c r="Y201" s="270">
        <f>MAYO!AA201</f>
        <v>109200000</v>
      </c>
      <c r="Z201" s="208">
        <v>0</v>
      </c>
      <c r="AA201" s="271">
        <f t="shared" si="171"/>
        <v>109200000</v>
      </c>
      <c r="AB201" s="270">
        <f>MAYO!AD201</f>
        <v>33448489</v>
      </c>
      <c r="AC201" s="208">
        <v>5057084</v>
      </c>
      <c r="AD201" s="271">
        <f t="shared" si="172"/>
        <v>38505573</v>
      </c>
      <c r="AE201" s="270">
        <f>MAYO!AG201</f>
        <v>0</v>
      </c>
      <c r="AF201" s="208">
        <v>0</v>
      </c>
      <c r="AG201" s="271">
        <f t="shared" si="173"/>
        <v>0</v>
      </c>
      <c r="AH201" s="270">
        <f t="shared" si="174"/>
        <v>57466666.666666657</v>
      </c>
      <c r="AI201" s="220">
        <f t="shared" si="175"/>
        <v>128161093.66666666</v>
      </c>
      <c r="AJ201" s="269">
        <f t="shared" si="176"/>
        <v>166666666.66666666</v>
      </c>
      <c r="AK201" s="101"/>
      <c r="AL201" s="204">
        <v>0</v>
      </c>
      <c r="AM201" s="210">
        <v>0</v>
      </c>
    </row>
    <row r="202" spans="18:39" ht="24.75" customHeight="1">
      <c r="R202" s="101"/>
      <c r="S202" s="311" t="str">
        <f>+IF(MAYO!S202=0,"",MAYO!S202)</f>
        <v>2.4.5.01.03.305</v>
      </c>
      <c r="T202" s="312" t="str">
        <f>+IF(MAYO!T202=0,"",MAYO!T202)</f>
        <v>Sangre</v>
      </c>
      <c r="U202" s="373">
        <f>+ENERO!U203</f>
        <v>1257440000</v>
      </c>
      <c r="V202" s="220">
        <f>MAYO!V202+JUNIO!AL202</f>
        <v>0</v>
      </c>
      <c r="W202" s="220">
        <f>MAYO!W202+JUNIO!AM202</f>
        <v>0</v>
      </c>
      <c r="X202" s="271">
        <f t="shared" si="170"/>
        <v>1257440000</v>
      </c>
      <c r="Y202" s="270">
        <f>MAYO!AA202</f>
        <v>891200000</v>
      </c>
      <c r="Z202" s="208">
        <v>130000000</v>
      </c>
      <c r="AA202" s="271">
        <f t="shared" si="171"/>
        <v>1021200000</v>
      </c>
      <c r="AB202" s="270">
        <f>MAYO!AD202</f>
        <v>713811312</v>
      </c>
      <c r="AC202" s="208">
        <v>101185229</v>
      </c>
      <c r="AD202" s="271">
        <f t="shared" si="172"/>
        <v>814996541</v>
      </c>
      <c r="AE202" s="270">
        <f>MAYO!AG202</f>
        <v>75000000</v>
      </c>
      <c r="AF202" s="208">
        <v>163958738</v>
      </c>
      <c r="AG202" s="271">
        <f t="shared" si="173"/>
        <v>238958738</v>
      </c>
      <c r="AH202" s="270">
        <f t="shared" si="174"/>
        <v>236240000</v>
      </c>
      <c r="AI202" s="220">
        <f t="shared" si="175"/>
        <v>442443459</v>
      </c>
      <c r="AJ202" s="269">
        <f t="shared" si="176"/>
        <v>1018481262</v>
      </c>
      <c r="AK202" s="101"/>
      <c r="AL202" s="204">
        <v>0</v>
      </c>
      <c r="AM202" s="210">
        <v>0</v>
      </c>
    </row>
    <row r="203" spans="18:39" ht="24.75" customHeight="1">
      <c r="R203" s="101"/>
      <c r="S203" s="311" t="str">
        <f>+IF(MAYO!S203=0,"",MAYO!S203)</f>
        <v>2.4.5.02.08</v>
      </c>
      <c r="T203" s="312" t="str">
        <f>+IF(MAYO!T203=0,"",MAYO!T203)</f>
        <v>Servicios de ayudas diagnòsticas</v>
      </c>
      <c r="U203" s="373">
        <f>+ENERO!U204</f>
        <v>10870667164.5</v>
      </c>
      <c r="V203" s="220">
        <f>MAYO!V203+JUNIO!AL203</f>
        <v>-1015559635</v>
      </c>
      <c r="W203" s="220">
        <f>MAYO!W203+JUNIO!AM203</f>
        <v>530000000</v>
      </c>
      <c r="X203" s="271">
        <f t="shared" si="170"/>
        <v>10385107529.5</v>
      </c>
      <c r="Y203" s="270">
        <f>MAYO!AA203</f>
        <v>7456754319</v>
      </c>
      <c r="Z203" s="208">
        <v>0</v>
      </c>
      <c r="AA203" s="271">
        <f>SUM(Y203:Z203)</f>
        <v>7456754319</v>
      </c>
      <c r="AB203" s="270">
        <f>MAYO!AD203</f>
        <v>4846747732</v>
      </c>
      <c r="AC203" s="208">
        <v>1011424340</v>
      </c>
      <c r="AD203" s="271">
        <f t="shared" si="172"/>
        <v>5858172072</v>
      </c>
      <c r="AE203" s="270">
        <f>MAYO!AG203</f>
        <v>1568455118</v>
      </c>
      <c r="AF203" s="208">
        <v>874618260</v>
      </c>
      <c r="AG203" s="271">
        <f t="shared" si="173"/>
        <v>2443073378</v>
      </c>
      <c r="AH203" s="270">
        <f t="shared" si="174"/>
        <v>2928353210.5</v>
      </c>
      <c r="AI203" s="220">
        <f t="shared" si="175"/>
        <v>4526935457.5</v>
      </c>
      <c r="AJ203" s="269">
        <f t="shared" si="176"/>
        <v>7942034151.5</v>
      </c>
      <c r="AK203" s="101"/>
      <c r="AL203" s="204">
        <v>0</v>
      </c>
      <c r="AM203" s="210">
        <v>0</v>
      </c>
    </row>
    <row r="204" spans="18:39" ht="24.75" customHeight="1">
      <c r="R204" s="101"/>
      <c r="S204" s="266">
        <f>+IF(MAYO!S204=0,"",MAYO!S204)</f>
        <v>4100200</v>
      </c>
      <c r="T204" s="267" t="str">
        <f>+IF(MAYO!T204=0,"",MAYO!T204)</f>
        <v>Gastos Complementarios e Intermedios</v>
      </c>
      <c r="U204" s="373">
        <f t="shared" ref="U204:AJ204" si="177">U205</f>
        <v>5609700000</v>
      </c>
      <c r="V204" s="220">
        <f t="shared" si="177"/>
        <v>0</v>
      </c>
      <c r="W204" s="220">
        <f t="shared" si="177"/>
        <v>0</v>
      </c>
      <c r="X204" s="271">
        <f t="shared" si="177"/>
        <v>5609700000</v>
      </c>
      <c r="Y204" s="270">
        <f t="shared" si="177"/>
        <v>4142600000</v>
      </c>
      <c r="Z204" s="300">
        <f t="shared" si="177"/>
        <v>0</v>
      </c>
      <c r="AA204" s="271">
        <f t="shared" si="177"/>
        <v>4142600000</v>
      </c>
      <c r="AB204" s="270">
        <f t="shared" si="177"/>
        <v>2351395601</v>
      </c>
      <c r="AC204" s="300">
        <f t="shared" si="177"/>
        <v>1319760631</v>
      </c>
      <c r="AD204" s="271">
        <f t="shared" si="177"/>
        <v>3671156232</v>
      </c>
      <c r="AE204" s="270">
        <f t="shared" si="177"/>
        <v>2351395601</v>
      </c>
      <c r="AF204" s="300">
        <f t="shared" si="177"/>
        <v>639046911</v>
      </c>
      <c r="AG204" s="271">
        <f t="shared" si="177"/>
        <v>2990442512</v>
      </c>
      <c r="AH204" s="270">
        <f t="shared" si="177"/>
        <v>1467100000</v>
      </c>
      <c r="AI204" s="220">
        <f t="shared" si="177"/>
        <v>1938543768</v>
      </c>
      <c r="AJ204" s="269">
        <f t="shared" si="177"/>
        <v>2619257488</v>
      </c>
      <c r="AK204" s="101"/>
      <c r="AL204" s="301">
        <f>AL205</f>
        <v>0</v>
      </c>
      <c r="AM204" s="302">
        <f>AM205</f>
        <v>0</v>
      </c>
    </row>
    <row r="205" spans="18:39" ht="24.75" customHeight="1">
      <c r="R205" s="101"/>
      <c r="S205" s="311" t="str">
        <f>+IF(MAYO!S205=0,"",MAYO!S205)</f>
        <v>2.4.5.02.06.601</v>
      </c>
      <c r="T205" s="312" t="str">
        <f>+IF(MAYO!T205=0,"",MAYO!T205)</f>
        <v>Servicio de alimentación</v>
      </c>
      <c r="U205" s="373">
        <f>+ENERO!U206</f>
        <v>5609700000</v>
      </c>
      <c r="V205" s="220">
        <f>MAYO!V205+JUNIO!AL205</f>
        <v>0</v>
      </c>
      <c r="W205" s="220">
        <f>MAYO!W205+JUNIO!AM205</f>
        <v>0</v>
      </c>
      <c r="X205" s="271">
        <f>SUM(U205:W205)</f>
        <v>5609700000</v>
      </c>
      <c r="Y205" s="270">
        <f>MAYO!AA205</f>
        <v>4142600000</v>
      </c>
      <c r="Z205" s="208">
        <v>0</v>
      </c>
      <c r="AA205" s="271">
        <f>SUM(Y205:Z205)</f>
        <v>4142600000</v>
      </c>
      <c r="AB205" s="270">
        <f>MAYO!AD205</f>
        <v>2351395601</v>
      </c>
      <c r="AC205" s="208">
        <v>1319760631</v>
      </c>
      <c r="AD205" s="271">
        <f>SUM(AB205:AC205)</f>
        <v>3671156232</v>
      </c>
      <c r="AE205" s="270">
        <f>MAYO!AG205</f>
        <v>2351395601</v>
      </c>
      <c r="AF205" s="208">
        <v>639046911</v>
      </c>
      <c r="AG205" s="271">
        <f>SUM(AE205:AF205)</f>
        <v>2990442512</v>
      </c>
      <c r="AH205" s="270">
        <f>X205-AA205</f>
        <v>1467100000</v>
      </c>
      <c r="AI205" s="220">
        <f>X205-AD205</f>
        <v>1938543768</v>
      </c>
      <c r="AJ205" s="269">
        <f>X205-AG205</f>
        <v>2619257488</v>
      </c>
      <c r="AK205" s="101"/>
      <c r="AL205" s="204">
        <v>0</v>
      </c>
      <c r="AM205" s="210">
        <v>0</v>
      </c>
    </row>
    <row r="206" spans="18:39" ht="24.75" customHeight="1" thickBot="1">
      <c r="R206" s="101" t="s">
        <v>688</v>
      </c>
      <c r="S206" s="466" t="str">
        <f>+IF(MAYO!S206=0,"",MAYO!S206)</f>
        <v>2.4.5.01.03.99.01</v>
      </c>
      <c r="T206" s="467" t="s">
        <v>196</v>
      </c>
      <c r="U206" s="547">
        <f>+ENERO!U207</f>
        <v>5913780963.333334</v>
      </c>
      <c r="V206" s="468">
        <f>MAYO!V206+JUNIO!AL206</f>
        <v>-1097000000</v>
      </c>
      <c r="W206" s="468">
        <f>MAYO!W206+JUNIO!AM206</f>
        <v>0</v>
      </c>
      <c r="X206" s="471">
        <f>SUM(U206:W206)</f>
        <v>4816780963.333334</v>
      </c>
      <c r="Y206" s="470">
        <f>MAYO!AA206</f>
        <v>3622297295</v>
      </c>
      <c r="Z206" s="208">
        <v>31965260</v>
      </c>
      <c r="AA206" s="471">
        <f>SUM(Y206:Z206)</f>
        <v>3654262555</v>
      </c>
      <c r="AB206" s="470">
        <f>MAYO!AD206</f>
        <v>3616097295</v>
      </c>
      <c r="AC206" s="208">
        <v>31965260</v>
      </c>
      <c r="AD206" s="471">
        <f>SUM(AB206:AC206)</f>
        <v>3648062555</v>
      </c>
      <c r="AE206" s="470">
        <f>MAYO!AG206</f>
        <v>3616097293</v>
      </c>
      <c r="AF206" s="208">
        <v>31965260</v>
      </c>
      <c r="AG206" s="471">
        <f>SUM(AE206:AF206)</f>
        <v>3648062553</v>
      </c>
      <c r="AH206" s="470">
        <f>X206-AA206</f>
        <v>1162518408.333334</v>
      </c>
      <c r="AI206" s="468">
        <f>X206-AD206</f>
        <v>1168718408.333334</v>
      </c>
      <c r="AJ206" s="469">
        <f>X206-AG206</f>
        <v>1168718410.333334</v>
      </c>
      <c r="AK206" s="101"/>
      <c r="AL206" s="242">
        <v>0</v>
      </c>
      <c r="AM206" s="248">
        <v>0</v>
      </c>
    </row>
    <row r="207" spans="18:39" ht="24.75" customHeight="1">
      <c r="R207" s="101"/>
      <c r="S207" s="455">
        <f>+IF(MAYO!S207=0,"",MAYO!S207)</f>
        <v>1050551296</v>
      </c>
      <c r="T207" s="456" t="str">
        <f>+IF(MAYO!T207=0,"",MAYO!T207)</f>
        <v/>
      </c>
      <c r="U207" s="457"/>
      <c r="V207" s="457"/>
      <c r="W207" s="457"/>
      <c r="X207" s="457"/>
      <c r="Y207" s="457"/>
      <c r="Z207" s="457"/>
      <c r="AA207" s="457"/>
      <c r="AB207" s="457"/>
      <c r="AC207" s="457"/>
      <c r="AD207" s="457"/>
      <c r="AE207" s="457"/>
      <c r="AF207" s="457"/>
      <c r="AG207" s="457"/>
      <c r="AH207" s="457"/>
      <c r="AI207" s="457"/>
      <c r="AJ207" s="458"/>
      <c r="AK207" s="101"/>
      <c r="AL207" s="460"/>
      <c r="AM207" s="461"/>
    </row>
    <row r="208" spans="18:39" ht="24.75" customHeight="1">
      <c r="R208" s="101"/>
      <c r="S208" s="228">
        <f>+IF(MAYO!S208=0,"",MAYO!S208)</f>
        <v>5000000</v>
      </c>
      <c r="T208" s="545" t="str">
        <f>+IF(MAYO!T208=0,"",MAYO!T208)</f>
        <v>GASTOS DE COMERCIALIZACION</v>
      </c>
      <c r="U208" s="405">
        <f t="shared" ref="U208:AJ208" si="178">U209</f>
        <v>2203000000</v>
      </c>
      <c r="V208" s="406">
        <f t="shared" si="178"/>
        <v>2112559635</v>
      </c>
      <c r="W208" s="406">
        <f t="shared" si="178"/>
        <v>350000000</v>
      </c>
      <c r="X208" s="407">
        <f t="shared" si="178"/>
        <v>4665559635</v>
      </c>
      <c r="Y208" s="217">
        <f t="shared" si="178"/>
        <v>4431399193</v>
      </c>
      <c r="Z208" s="406">
        <f t="shared" si="178"/>
        <v>164763650</v>
      </c>
      <c r="AA208" s="407">
        <f t="shared" si="178"/>
        <v>4596162843</v>
      </c>
      <c r="AB208" s="217">
        <f t="shared" si="178"/>
        <v>4431399193</v>
      </c>
      <c r="AC208" s="406">
        <f t="shared" si="178"/>
        <v>164763650</v>
      </c>
      <c r="AD208" s="407">
        <f t="shared" si="178"/>
        <v>4596162843</v>
      </c>
      <c r="AE208" s="217">
        <f t="shared" si="178"/>
        <v>4431399193</v>
      </c>
      <c r="AF208" s="406">
        <f t="shared" si="178"/>
        <v>164763650</v>
      </c>
      <c r="AG208" s="407">
        <f t="shared" si="178"/>
        <v>4596162843</v>
      </c>
      <c r="AH208" s="217">
        <f t="shared" si="178"/>
        <v>69396792</v>
      </c>
      <c r="AI208" s="406">
        <f t="shared" si="178"/>
        <v>69396792</v>
      </c>
      <c r="AJ208" s="218">
        <f t="shared" si="178"/>
        <v>69396792</v>
      </c>
      <c r="AK208" s="101"/>
      <c r="AL208" s="233">
        <f>AL209</f>
        <v>0</v>
      </c>
      <c r="AM208" s="232">
        <f>AM209</f>
        <v>0</v>
      </c>
    </row>
    <row r="209" spans="18:39" ht="24.75" customHeight="1">
      <c r="R209" s="101"/>
      <c r="S209" s="257">
        <f>+IF(MAYO!S209=0,"",MAYO!S209)</f>
        <v>5100000</v>
      </c>
      <c r="T209" s="546" t="str">
        <f>+IF(MAYO!T209=0,"",MAYO!T209)</f>
        <v>Insumos y Suministros para Venta al Público</v>
      </c>
      <c r="U209" s="230">
        <f t="shared" ref="U209:AJ209" si="179">U210+U217</f>
        <v>2203000000</v>
      </c>
      <c r="V209" s="231">
        <f t="shared" si="179"/>
        <v>2112559635</v>
      </c>
      <c r="W209" s="231">
        <f t="shared" si="179"/>
        <v>350000000</v>
      </c>
      <c r="X209" s="234">
        <f t="shared" si="179"/>
        <v>4665559635</v>
      </c>
      <c r="Y209" s="233">
        <f t="shared" si="179"/>
        <v>4431399193</v>
      </c>
      <c r="Z209" s="231">
        <f t="shared" si="179"/>
        <v>164763650</v>
      </c>
      <c r="AA209" s="234">
        <f t="shared" si="179"/>
        <v>4596162843</v>
      </c>
      <c r="AB209" s="233">
        <f t="shared" si="179"/>
        <v>4431399193</v>
      </c>
      <c r="AC209" s="231">
        <f t="shared" si="179"/>
        <v>164763650</v>
      </c>
      <c r="AD209" s="234">
        <f t="shared" si="179"/>
        <v>4596162843</v>
      </c>
      <c r="AE209" s="233">
        <f t="shared" si="179"/>
        <v>4431399193</v>
      </c>
      <c r="AF209" s="231">
        <f t="shared" si="179"/>
        <v>164763650</v>
      </c>
      <c r="AG209" s="234">
        <f t="shared" si="179"/>
        <v>4596162843</v>
      </c>
      <c r="AH209" s="233">
        <f t="shared" si="179"/>
        <v>69396792</v>
      </c>
      <c r="AI209" s="231">
        <f t="shared" si="179"/>
        <v>69396792</v>
      </c>
      <c r="AJ209" s="232">
        <f t="shared" si="179"/>
        <v>69396792</v>
      </c>
      <c r="AK209" s="101"/>
      <c r="AL209" s="233">
        <f>AL210+AL217</f>
        <v>0</v>
      </c>
      <c r="AM209" s="232">
        <f>AM210+AM217</f>
        <v>0</v>
      </c>
    </row>
    <row r="210" spans="18:39" ht="24.75" customHeight="1">
      <c r="R210" s="101"/>
      <c r="S210" s="266">
        <f>+IF(MAYO!S210=0,"",MAYO!S210)</f>
        <v>5100100</v>
      </c>
      <c r="T210" s="267" t="str">
        <f>+IF(MAYO!T210=0,"",MAYO!T210)</f>
        <v>Compra de Bienes para la venta</v>
      </c>
      <c r="U210" s="373">
        <f t="shared" ref="U210:AJ210" si="180">SUM(U211:U216)</f>
        <v>3000000</v>
      </c>
      <c r="V210" s="220">
        <f t="shared" si="180"/>
        <v>0</v>
      </c>
      <c r="W210" s="220">
        <f t="shared" si="180"/>
        <v>0</v>
      </c>
      <c r="X210" s="271">
        <f t="shared" si="180"/>
        <v>3000000</v>
      </c>
      <c r="Y210" s="270">
        <f t="shared" si="180"/>
        <v>0</v>
      </c>
      <c r="Z210" s="300">
        <f t="shared" si="180"/>
        <v>0</v>
      </c>
      <c r="AA210" s="271">
        <f t="shared" si="180"/>
        <v>0</v>
      </c>
      <c r="AB210" s="270">
        <f t="shared" si="180"/>
        <v>0</v>
      </c>
      <c r="AC210" s="300">
        <f t="shared" si="180"/>
        <v>0</v>
      </c>
      <c r="AD210" s="271">
        <f t="shared" si="180"/>
        <v>0</v>
      </c>
      <c r="AE210" s="270">
        <f t="shared" si="180"/>
        <v>0</v>
      </c>
      <c r="AF210" s="300">
        <f t="shared" si="180"/>
        <v>0</v>
      </c>
      <c r="AG210" s="271">
        <f t="shared" si="180"/>
        <v>0</v>
      </c>
      <c r="AH210" s="270">
        <f t="shared" si="180"/>
        <v>3000000</v>
      </c>
      <c r="AI210" s="220">
        <f t="shared" si="180"/>
        <v>3000000</v>
      </c>
      <c r="AJ210" s="269">
        <f t="shared" si="180"/>
        <v>3000000</v>
      </c>
      <c r="AK210" s="216"/>
      <c r="AL210" s="301">
        <f>SUM(AL211:AL216)</f>
        <v>0</v>
      </c>
      <c r="AM210" s="302">
        <f>SUM(AM211:AM216)</f>
        <v>0</v>
      </c>
    </row>
    <row r="211" spans="18:39" ht="24.75" customHeight="1">
      <c r="R211" s="101"/>
      <c r="S211" s="311" t="str">
        <f>+IF(MAYO!S211=0,"",MAYO!S211)</f>
        <v>5100100-1</v>
      </c>
      <c r="T211" s="312" t="str">
        <f>+IF(MAYO!T211=0,"",MAYO!T211)</f>
        <v>Productos Farmaceuticos</v>
      </c>
      <c r="U211" s="373">
        <f>+ENERO!U212</f>
        <v>0</v>
      </c>
      <c r="V211" s="220">
        <f>MAYO!V211+JUNIO!AL211</f>
        <v>0</v>
      </c>
      <c r="W211" s="220">
        <f>MAYO!W211+JUNIO!AM211</f>
        <v>0</v>
      </c>
      <c r="X211" s="271">
        <f t="shared" ref="X211:X217" si="181">SUM(U211:W211)</f>
        <v>0</v>
      </c>
      <c r="Y211" s="270">
        <f>MAYO!AA211</f>
        <v>0</v>
      </c>
      <c r="Z211" s="208">
        <v>0</v>
      </c>
      <c r="AA211" s="271">
        <f t="shared" ref="AA211:AA217" si="182">SUM(Y211:Z211)</f>
        <v>0</v>
      </c>
      <c r="AB211" s="270">
        <f>MAYO!AD211</f>
        <v>0</v>
      </c>
      <c r="AC211" s="208">
        <v>0</v>
      </c>
      <c r="AD211" s="271">
        <f t="shared" ref="AD211:AD217" si="183">SUM(AB211:AC211)</f>
        <v>0</v>
      </c>
      <c r="AE211" s="270">
        <f>MAYO!AG211</f>
        <v>0</v>
      </c>
      <c r="AF211" s="208">
        <v>0</v>
      </c>
      <c r="AG211" s="271">
        <f t="shared" ref="AG211:AG217" si="184">SUM(AE211:AF211)</f>
        <v>0</v>
      </c>
      <c r="AH211" s="270">
        <f t="shared" ref="AH211:AH217" si="185">X211-AA211</f>
        <v>0</v>
      </c>
      <c r="AI211" s="220">
        <f t="shared" ref="AI211:AI217" si="186">X211-AD211</f>
        <v>0</v>
      </c>
      <c r="AJ211" s="269">
        <f t="shared" ref="AJ211:AJ217" si="187">X211-AG211</f>
        <v>0</v>
      </c>
      <c r="AK211" s="101"/>
      <c r="AL211" s="204">
        <v>0</v>
      </c>
      <c r="AM211" s="210">
        <v>0</v>
      </c>
    </row>
    <row r="212" spans="18:39" ht="24.75" customHeight="1">
      <c r="R212" s="101"/>
      <c r="S212" s="311" t="str">
        <f>+IF(MAYO!S212=0,"",MAYO!S212)</f>
        <v>5100100-2</v>
      </c>
      <c r="T212" s="312" t="str">
        <f>+IF(MAYO!T212=0,"",MAYO!T212)</f>
        <v>Material Médico Quirúrgico</v>
      </c>
      <c r="U212" s="373">
        <f>+ENERO!U213</f>
        <v>0</v>
      </c>
      <c r="V212" s="220">
        <f>MAYO!V212+JUNIO!AL212</f>
        <v>0</v>
      </c>
      <c r="W212" s="220">
        <f>MAYO!W212+JUNIO!AM212</f>
        <v>0</v>
      </c>
      <c r="X212" s="271">
        <f t="shared" si="181"/>
        <v>0</v>
      </c>
      <c r="Y212" s="270">
        <f>MAYO!AA212</f>
        <v>0</v>
      </c>
      <c r="Z212" s="208">
        <v>0</v>
      </c>
      <c r="AA212" s="271">
        <f t="shared" si="182"/>
        <v>0</v>
      </c>
      <c r="AB212" s="270">
        <f>MAYO!AD212</f>
        <v>0</v>
      </c>
      <c r="AC212" s="208">
        <v>0</v>
      </c>
      <c r="AD212" s="271">
        <f t="shared" si="183"/>
        <v>0</v>
      </c>
      <c r="AE212" s="270">
        <f>MAYO!AG212</f>
        <v>0</v>
      </c>
      <c r="AF212" s="208">
        <v>0</v>
      </c>
      <c r="AG212" s="271">
        <f t="shared" si="184"/>
        <v>0</v>
      </c>
      <c r="AH212" s="270">
        <f t="shared" si="185"/>
        <v>0</v>
      </c>
      <c r="AI212" s="220">
        <f t="shared" si="186"/>
        <v>0</v>
      </c>
      <c r="AJ212" s="269">
        <f t="shared" si="187"/>
        <v>0</v>
      </c>
      <c r="AK212" s="101"/>
      <c r="AL212" s="204">
        <v>0</v>
      </c>
      <c r="AM212" s="210">
        <v>0</v>
      </c>
    </row>
    <row r="213" spans="18:39" ht="24.75" customHeight="1">
      <c r="R213" s="101"/>
      <c r="S213" s="311" t="str">
        <f>+IF(MAYO!S213=0,"",MAYO!S213)</f>
        <v>5100100-3</v>
      </c>
      <c r="T213" s="312" t="str">
        <f>+IF(MAYO!T213=0,"",MAYO!T213)</f>
        <v>Material de Laboratorio</v>
      </c>
      <c r="U213" s="373">
        <f>+ENERO!U214</f>
        <v>0</v>
      </c>
      <c r="V213" s="220">
        <f>MAYO!V213+JUNIO!AL213</f>
        <v>0</v>
      </c>
      <c r="W213" s="220">
        <f>MAYO!W213+JUNIO!AM213</f>
        <v>0</v>
      </c>
      <c r="X213" s="271">
        <f t="shared" si="181"/>
        <v>0</v>
      </c>
      <c r="Y213" s="270">
        <f>MAYO!AA213</f>
        <v>0</v>
      </c>
      <c r="Z213" s="208">
        <v>0</v>
      </c>
      <c r="AA213" s="271">
        <f t="shared" si="182"/>
        <v>0</v>
      </c>
      <c r="AB213" s="270">
        <f>MAYO!AD213</f>
        <v>0</v>
      </c>
      <c r="AC213" s="208">
        <v>0</v>
      </c>
      <c r="AD213" s="271">
        <f t="shared" si="183"/>
        <v>0</v>
      </c>
      <c r="AE213" s="270">
        <f>MAYO!AG213</f>
        <v>0</v>
      </c>
      <c r="AF213" s="208">
        <v>0</v>
      </c>
      <c r="AG213" s="271">
        <f t="shared" si="184"/>
        <v>0</v>
      </c>
      <c r="AH213" s="270">
        <f t="shared" si="185"/>
        <v>0</v>
      </c>
      <c r="AI213" s="220">
        <f t="shared" si="186"/>
        <v>0</v>
      </c>
      <c r="AJ213" s="269">
        <f t="shared" si="187"/>
        <v>0</v>
      </c>
      <c r="AK213" s="101"/>
      <c r="AL213" s="204">
        <v>0</v>
      </c>
      <c r="AM213" s="210">
        <v>0</v>
      </c>
    </row>
    <row r="214" spans="18:39" ht="24.75" customHeight="1">
      <c r="R214" s="101"/>
      <c r="S214" s="311" t="str">
        <f>+IF(MAYO!S214=0,"",MAYO!S214)</f>
        <v>2.4.5.02.09.91122</v>
      </c>
      <c r="T214" s="312" t="str">
        <f>+IF(MAYO!T214=0,"",MAYO!T214)</f>
        <v>Servicios de Certificación, Habilitación y Acreditación</v>
      </c>
      <c r="U214" s="373">
        <f>+ENERO!U215</f>
        <v>3000000</v>
      </c>
      <c r="V214" s="220">
        <f>MAYO!V214+JUNIO!AL214</f>
        <v>0</v>
      </c>
      <c r="W214" s="220">
        <f>MAYO!W214+JUNIO!AM214</f>
        <v>0</v>
      </c>
      <c r="X214" s="271">
        <f t="shared" si="181"/>
        <v>3000000</v>
      </c>
      <c r="Y214" s="270">
        <f>MAYO!AA214</f>
        <v>0</v>
      </c>
      <c r="Z214" s="208">
        <v>0</v>
      </c>
      <c r="AA214" s="271">
        <f t="shared" si="182"/>
        <v>0</v>
      </c>
      <c r="AB214" s="270">
        <f>MAYO!AD214</f>
        <v>0</v>
      </c>
      <c r="AC214" s="208">
        <v>0</v>
      </c>
      <c r="AD214" s="271">
        <f t="shared" si="183"/>
        <v>0</v>
      </c>
      <c r="AE214" s="270">
        <f>MAYO!AG214</f>
        <v>0</v>
      </c>
      <c r="AF214" s="208">
        <v>0</v>
      </c>
      <c r="AG214" s="271">
        <f t="shared" si="184"/>
        <v>0</v>
      </c>
      <c r="AH214" s="270">
        <f t="shared" si="185"/>
        <v>3000000</v>
      </c>
      <c r="AI214" s="220">
        <f t="shared" si="186"/>
        <v>3000000</v>
      </c>
      <c r="AJ214" s="269">
        <f t="shared" si="187"/>
        <v>3000000</v>
      </c>
      <c r="AK214" s="101"/>
      <c r="AL214" s="204">
        <v>0</v>
      </c>
      <c r="AM214" s="210">
        <v>0</v>
      </c>
    </row>
    <row r="215" spans="18:39" ht="24.75" customHeight="1">
      <c r="R215" s="101" t="s">
        <v>688</v>
      </c>
      <c r="S215" s="311" t="str">
        <f>+IF(MAYO!S215=0,"",MAYO!S215)</f>
        <v>2.4.5.02.08.801.99</v>
      </c>
      <c r="T215" s="312" t="s">
        <v>196</v>
      </c>
      <c r="U215" s="373">
        <f>+ENERO!U216</f>
        <v>0</v>
      </c>
      <c r="V215" s="220">
        <f>MAYO!V215+JUNIO!AL215</f>
        <v>0</v>
      </c>
      <c r="W215" s="220">
        <f>MAYO!W215+JUNIO!AM215</f>
        <v>0</v>
      </c>
      <c r="X215" s="271">
        <f t="shared" si="181"/>
        <v>0</v>
      </c>
      <c r="Y215" s="270">
        <f>MAYO!AA215</f>
        <v>0</v>
      </c>
      <c r="Z215" s="208">
        <v>0</v>
      </c>
      <c r="AA215" s="271">
        <f t="shared" si="182"/>
        <v>0</v>
      </c>
      <c r="AB215" s="270">
        <f>MAYO!AD215</f>
        <v>0</v>
      </c>
      <c r="AC215" s="208">
        <v>0</v>
      </c>
      <c r="AD215" s="271">
        <f t="shared" si="183"/>
        <v>0</v>
      </c>
      <c r="AE215" s="270">
        <f>MAYO!AG215</f>
        <v>0</v>
      </c>
      <c r="AF215" s="208">
        <v>0</v>
      </c>
      <c r="AG215" s="271">
        <f t="shared" si="184"/>
        <v>0</v>
      </c>
      <c r="AH215" s="270">
        <f t="shared" si="185"/>
        <v>0</v>
      </c>
      <c r="AI215" s="220">
        <f t="shared" si="186"/>
        <v>0</v>
      </c>
      <c r="AJ215" s="269">
        <f t="shared" si="187"/>
        <v>0</v>
      </c>
      <c r="AK215" s="101"/>
      <c r="AL215" s="204">
        <v>0</v>
      </c>
      <c r="AM215" s="210">
        <v>0</v>
      </c>
    </row>
    <row r="216" spans="18:39" ht="24.75" customHeight="1">
      <c r="R216" s="101" t="s">
        <v>688</v>
      </c>
      <c r="S216" s="311" t="str">
        <f>+IF(MAYO!S216=0,"",MAYO!S216)</f>
        <v>2.4.5.02.08.802.99</v>
      </c>
      <c r="T216" s="312" t="s">
        <v>196</v>
      </c>
      <c r="U216" s="373">
        <f>+ENERO!U217</f>
        <v>0</v>
      </c>
      <c r="V216" s="220">
        <f>MAYO!V216+JUNIO!AL216</f>
        <v>0</v>
      </c>
      <c r="W216" s="220">
        <f>MAYO!W216+JUNIO!AM216</f>
        <v>0</v>
      </c>
      <c r="X216" s="271">
        <f t="shared" si="181"/>
        <v>0</v>
      </c>
      <c r="Y216" s="270">
        <f>MAYO!AA216</f>
        <v>0</v>
      </c>
      <c r="Z216" s="208">
        <v>0</v>
      </c>
      <c r="AA216" s="271">
        <f t="shared" si="182"/>
        <v>0</v>
      </c>
      <c r="AB216" s="270">
        <f>MAYO!AD216</f>
        <v>0</v>
      </c>
      <c r="AC216" s="208">
        <v>0</v>
      </c>
      <c r="AD216" s="271">
        <f t="shared" si="183"/>
        <v>0</v>
      </c>
      <c r="AE216" s="270">
        <f>MAYO!AG216</f>
        <v>0</v>
      </c>
      <c r="AF216" s="208">
        <v>0</v>
      </c>
      <c r="AG216" s="271">
        <f t="shared" si="184"/>
        <v>0</v>
      </c>
      <c r="AH216" s="270">
        <f t="shared" si="185"/>
        <v>0</v>
      </c>
      <c r="AI216" s="220">
        <f t="shared" si="186"/>
        <v>0</v>
      </c>
      <c r="AJ216" s="269">
        <f t="shared" si="187"/>
        <v>0</v>
      </c>
      <c r="AK216" s="101"/>
      <c r="AL216" s="204">
        <v>0</v>
      </c>
      <c r="AM216" s="210">
        <v>0</v>
      </c>
    </row>
    <row r="217" spans="18:39" ht="24.75" customHeight="1" thickBot="1">
      <c r="R217" s="101" t="s">
        <v>688</v>
      </c>
      <c r="S217" s="499" t="str">
        <f>+IF(MAYO!S217=0,"",MAYO!S217)</f>
        <v>2.4.5.02.08.99</v>
      </c>
      <c r="T217" s="500" t="s">
        <v>196</v>
      </c>
      <c r="U217" s="547">
        <f>+ENERO!U218</f>
        <v>2200000000</v>
      </c>
      <c r="V217" s="468">
        <f>MAYO!V217+JUNIO!AL217</f>
        <v>2112559635</v>
      </c>
      <c r="W217" s="468">
        <f>MAYO!W217+JUNIO!AM217</f>
        <v>350000000</v>
      </c>
      <c r="X217" s="471">
        <f t="shared" si="181"/>
        <v>4662559635</v>
      </c>
      <c r="Y217" s="270">
        <f>MAYO!AA217</f>
        <v>4431399193</v>
      </c>
      <c r="Z217" s="208">
        <f>161173257+3590393</f>
        <v>164763650</v>
      </c>
      <c r="AA217" s="471">
        <f t="shared" si="182"/>
        <v>4596162843</v>
      </c>
      <c r="AB217" s="470">
        <f>MAYO!AD217</f>
        <v>4431399193</v>
      </c>
      <c r="AC217" s="208">
        <f>161173257+3590393</f>
        <v>164763650</v>
      </c>
      <c r="AD217" s="471">
        <f t="shared" si="183"/>
        <v>4596162843</v>
      </c>
      <c r="AE217" s="470">
        <f>MAYO!AG217</f>
        <v>4431399193</v>
      </c>
      <c r="AF217" s="208">
        <f>161173257+3590393</f>
        <v>164763650</v>
      </c>
      <c r="AG217" s="471">
        <f t="shared" si="184"/>
        <v>4596162843</v>
      </c>
      <c r="AH217" s="470">
        <f t="shared" si="185"/>
        <v>66396792</v>
      </c>
      <c r="AI217" s="468">
        <f t="shared" si="186"/>
        <v>66396792</v>
      </c>
      <c r="AJ217" s="469">
        <f t="shared" si="187"/>
        <v>66396792</v>
      </c>
      <c r="AK217" s="101"/>
      <c r="AL217" s="489">
        <v>0</v>
      </c>
      <c r="AM217" s="490">
        <v>0</v>
      </c>
    </row>
    <row r="218" spans="18:39" ht="24.75" customHeight="1" thickBot="1">
      <c r="R218" s="101"/>
      <c r="S218" s="480">
        <f>+IF(MAYO!S218=0,"",MAYO!S218)</f>
        <v>1133096960</v>
      </c>
      <c r="T218" s="481" t="str">
        <f>+IF(MAYO!T218=0,"",MAYO!T218)</f>
        <v/>
      </c>
      <c r="U218" s="482"/>
      <c r="V218" s="482"/>
      <c r="W218" s="482"/>
      <c r="X218" s="482"/>
      <c r="Y218" s="482"/>
      <c r="Z218" s="482"/>
      <c r="AA218" s="482"/>
      <c r="AB218" s="482"/>
      <c r="AC218" s="482"/>
      <c r="AD218" s="482"/>
      <c r="AE218" s="482"/>
      <c r="AF218" s="482"/>
      <c r="AG218" s="482"/>
      <c r="AH218" s="482"/>
      <c r="AI218" s="482"/>
      <c r="AJ218" s="484"/>
      <c r="AK218" s="216"/>
      <c r="AL218" s="485"/>
      <c r="AM218" s="486"/>
    </row>
    <row r="219" spans="18:39" ht="24.75" customHeight="1">
      <c r="R219" s="101"/>
      <c r="S219" s="176" t="str">
        <f>+IF(MAYO!S219=0,"",MAYO!S219)</f>
        <v>C</v>
      </c>
      <c r="T219" s="177" t="str">
        <f>+IF(MAYO!T219=0,"",MAYO!T219)</f>
        <v xml:space="preserve">SERVICIO DE LA DEUDA </v>
      </c>
      <c r="U219" s="178">
        <f t="shared" ref="U219:AJ219" si="188">U221+U226</f>
        <v>3239175000</v>
      </c>
      <c r="V219" s="179">
        <f t="shared" si="188"/>
        <v>0</v>
      </c>
      <c r="W219" s="179">
        <f t="shared" si="188"/>
        <v>0</v>
      </c>
      <c r="X219" s="182">
        <f t="shared" si="188"/>
        <v>3239175000</v>
      </c>
      <c r="Y219" s="181">
        <f t="shared" si="188"/>
        <v>549531288</v>
      </c>
      <c r="Z219" s="179">
        <f t="shared" si="188"/>
        <v>114970738</v>
      </c>
      <c r="AA219" s="182">
        <f t="shared" si="188"/>
        <v>664502026</v>
      </c>
      <c r="AB219" s="181">
        <f t="shared" si="188"/>
        <v>549531288</v>
      </c>
      <c r="AC219" s="179">
        <f t="shared" si="188"/>
        <v>114970738</v>
      </c>
      <c r="AD219" s="182">
        <f t="shared" si="188"/>
        <v>664502026</v>
      </c>
      <c r="AE219" s="181">
        <f t="shared" si="188"/>
        <v>549531288</v>
      </c>
      <c r="AF219" s="179">
        <f t="shared" si="188"/>
        <v>114970738</v>
      </c>
      <c r="AG219" s="182">
        <f t="shared" si="188"/>
        <v>664502026</v>
      </c>
      <c r="AH219" s="181">
        <f t="shared" si="188"/>
        <v>2574672974</v>
      </c>
      <c r="AI219" s="179">
        <f t="shared" si="188"/>
        <v>2574672974</v>
      </c>
      <c r="AJ219" s="180">
        <f t="shared" si="188"/>
        <v>2574672974</v>
      </c>
      <c r="AK219" s="487"/>
      <c r="AL219" s="181">
        <f>AL221+AL226</f>
        <v>0</v>
      </c>
      <c r="AM219" s="180">
        <f>AM221+AM226</f>
        <v>0</v>
      </c>
    </row>
    <row r="220" spans="18:39" ht="24.75" customHeight="1">
      <c r="R220" s="101"/>
      <c r="S220" s="189">
        <f>+IF(MAYO!S220=0,"",MAYO!S220)</f>
        <v>1133096960</v>
      </c>
      <c r="T220" s="488" t="str">
        <f>+IF(MAYO!T220=0,"",MAYO!T220)</f>
        <v/>
      </c>
      <c r="U220" s="191"/>
      <c r="V220" s="191"/>
      <c r="W220" s="191"/>
      <c r="X220" s="191"/>
      <c r="Y220" s="191"/>
      <c r="Z220" s="191"/>
      <c r="AA220" s="191"/>
      <c r="AB220" s="191"/>
      <c r="AC220" s="191"/>
      <c r="AD220" s="191"/>
      <c r="AE220" s="191"/>
      <c r="AF220" s="191"/>
      <c r="AG220" s="191"/>
      <c r="AH220" s="191"/>
      <c r="AI220" s="191"/>
      <c r="AJ220" s="192"/>
      <c r="AK220" s="101"/>
      <c r="AL220" s="370"/>
      <c r="AM220" s="371"/>
    </row>
    <row r="221" spans="18:39" ht="24.75" customHeight="1">
      <c r="R221" s="101"/>
      <c r="S221" s="257">
        <f>+IF(MAYO!S221=0,"",MAYO!S221)</f>
        <v>7001000</v>
      </c>
      <c r="T221" s="546" t="str">
        <f>+IF(MAYO!T221=0,"",MAYO!T221)</f>
        <v>SERVICIO DE LA DEUDA INTERNA</v>
      </c>
      <c r="U221" s="230">
        <f t="shared" ref="U221:AJ221" si="189">SUM(U222:U224)</f>
        <v>3239175000</v>
      </c>
      <c r="V221" s="231">
        <f t="shared" si="189"/>
        <v>0</v>
      </c>
      <c r="W221" s="231">
        <f t="shared" si="189"/>
        <v>0</v>
      </c>
      <c r="X221" s="234">
        <f t="shared" si="189"/>
        <v>3239175000</v>
      </c>
      <c r="Y221" s="233">
        <f t="shared" si="189"/>
        <v>549531288</v>
      </c>
      <c r="Z221" s="231">
        <f t="shared" si="189"/>
        <v>114970738</v>
      </c>
      <c r="AA221" s="234">
        <f t="shared" si="189"/>
        <v>664502026</v>
      </c>
      <c r="AB221" s="233">
        <f t="shared" si="189"/>
        <v>549531288</v>
      </c>
      <c r="AC221" s="231">
        <f t="shared" si="189"/>
        <v>114970738</v>
      </c>
      <c r="AD221" s="234">
        <f t="shared" si="189"/>
        <v>664502026</v>
      </c>
      <c r="AE221" s="233">
        <f t="shared" si="189"/>
        <v>549531288</v>
      </c>
      <c r="AF221" s="231">
        <f t="shared" si="189"/>
        <v>114970738</v>
      </c>
      <c r="AG221" s="234">
        <f t="shared" si="189"/>
        <v>664502026</v>
      </c>
      <c r="AH221" s="233">
        <f t="shared" si="189"/>
        <v>2574672974</v>
      </c>
      <c r="AI221" s="231">
        <f t="shared" si="189"/>
        <v>2574672974</v>
      </c>
      <c r="AJ221" s="232">
        <f t="shared" si="189"/>
        <v>2574672974</v>
      </c>
      <c r="AK221" s="101"/>
      <c r="AL221" s="233">
        <f>SUM(AL222:AL224)</f>
        <v>0</v>
      </c>
      <c r="AM221" s="232">
        <f>SUM(AM222:AM224)</f>
        <v>0</v>
      </c>
    </row>
    <row r="222" spans="18:39" ht="24.75" customHeight="1">
      <c r="R222" s="101"/>
      <c r="S222" s="266" t="str">
        <f>+IF(MAYO!S222=0,"",MAYO!S222)</f>
        <v>2.2.2.2.01.02.002.02</v>
      </c>
      <c r="T222" s="267" t="str">
        <f>+IF(MAYO!T222=0,"",MAYO!T222)</f>
        <v>Banca Comercial</v>
      </c>
      <c r="U222" s="373">
        <f>+ENERO!U223</f>
        <v>2000000000</v>
      </c>
      <c r="V222" s="220">
        <f>MAYO!V222+JUNIO!AL222</f>
        <v>0</v>
      </c>
      <c r="W222" s="220">
        <f>MAYO!W222+JUNIO!AM222</f>
        <v>0</v>
      </c>
      <c r="X222" s="271">
        <f>SUM(U222:W222)</f>
        <v>2000000000</v>
      </c>
      <c r="Y222" s="270">
        <f>MAYO!AA222</f>
        <v>0</v>
      </c>
      <c r="Z222" s="208">
        <v>0</v>
      </c>
      <c r="AA222" s="271">
        <f>SUM(Y222:Z222)</f>
        <v>0</v>
      </c>
      <c r="AB222" s="270">
        <f>MAYO!AD222</f>
        <v>0</v>
      </c>
      <c r="AC222" s="208">
        <v>0</v>
      </c>
      <c r="AD222" s="271">
        <f>SUM(AB222:AC222)</f>
        <v>0</v>
      </c>
      <c r="AE222" s="270">
        <f>MAYO!AG222</f>
        <v>0</v>
      </c>
      <c r="AF222" s="208">
        <v>0</v>
      </c>
      <c r="AG222" s="271">
        <f>SUM(AE222:AF222)</f>
        <v>0</v>
      </c>
      <c r="AH222" s="270">
        <f>X222-AA222</f>
        <v>2000000000</v>
      </c>
      <c r="AI222" s="220">
        <f>X222-AD222</f>
        <v>2000000000</v>
      </c>
      <c r="AJ222" s="269">
        <f>X222-AG222</f>
        <v>2000000000</v>
      </c>
      <c r="AK222" s="101"/>
      <c r="AL222" s="204">
        <v>0</v>
      </c>
      <c r="AM222" s="210">
        <v>0</v>
      </c>
    </row>
    <row r="223" spans="18:39" ht="24.75" customHeight="1">
      <c r="R223" s="101"/>
      <c r="S223" s="266" t="str">
        <f>+IF(MAYO!S223=0,"",MAYO!S223)</f>
        <v>2.2.2.02</v>
      </c>
      <c r="T223" s="267" t="str">
        <f>+IF(MAYO!T223=0,"",MAYO!T223)</f>
        <v>Intereses Comisiones y gastos de la Deuda Pública</v>
      </c>
      <c r="U223" s="373">
        <f>+ENERO!U224</f>
        <v>1239175000</v>
      </c>
      <c r="V223" s="220">
        <f>MAYO!V223+JUNIO!AL223</f>
        <v>0</v>
      </c>
      <c r="W223" s="220">
        <f>MAYO!W223+JUNIO!AM223</f>
        <v>0</v>
      </c>
      <c r="X223" s="271">
        <f>SUM(U223:W223)</f>
        <v>1239175000</v>
      </c>
      <c r="Y223" s="270">
        <f>MAYO!AA223</f>
        <v>549531288</v>
      </c>
      <c r="Z223" s="208">
        <v>114970738</v>
      </c>
      <c r="AA223" s="271">
        <f>SUM(Y223:Z223)</f>
        <v>664502026</v>
      </c>
      <c r="AB223" s="270">
        <f>MAYO!AD223</f>
        <v>549531288</v>
      </c>
      <c r="AC223" s="208">
        <v>114970738</v>
      </c>
      <c r="AD223" s="271">
        <f>SUM(AB223:AC223)</f>
        <v>664502026</v>
      </c>
      <c r="AE223" s="270">
        <f>MAYO!AG223</f>
        <v>549531288</v>
      </c>
      <c r="AF223" s="208">
        <v>114970738</v>
      </c>
      <c r="AG223" s="271">
        <f>SUM(AE223:AF223)</f>
        <v>664502026</v>
      </c>
      <c r="AH223" s="270">
        <f>X223-AA223</f>
        <v>574672974</v>
      </c>
      <c r="AI223" s="220">
        <f>X223-AD223</f>
        <v>574672974</v>
      </c>
      <c r="AJ223" s="269">
        <f>X223-AG223</f>
        <v>574672974</v>
      </c>
      <c r="AK223" s="101"/>
      <c r="AL223" s="204">
        <v>0</v>
      </c>
      <c r="AM223" s="210">
        <v>0</v>
      </c>
    </row>
    <row r="224" spans="18:39" ht="24.75" customHeight="1">
      <c r="R224" s="101" t="s">
        <v>688</v>
      </c>
      <c r="S224" s="266" t="str">
        <f>+IF(MAYO!S224=0,"",MAYO!S224)</f>
        <v>2.2.2.02</v>
      </c>
      <c r="T224" s="267" t="str">
        <f>+IF(MAYO!T224=0,"",MAYO!T224)</f>
        <v>Vigencias Anteriores Deuda Pública</v>
      </c>
      <c r="U224" s="373">
        <f>+ENERO!U225</f>
        <v>0</v>
      </c>
      <c r="V224" s="220">
        <f>MAYO!V224+JUNIO!AL224</f>
        <v>0</v>
      </c>
      <c r="W224" s="220">
        <f>MAYO!W224+JUNIO!AM224</f>
        <v>0</v>
      </c>
      <c r="X224" s="271">
        <f>SUM(U224:W224)</f>
        <v>0</v>
      </c>
      <c r="Y224" s="270">
        <f>MAYO!AA224</f>
        <v>0</v>
      </c>
      <c r="Z224" s="208">
        <v>0</v>
      </c>
      <c r="AA224" s="271">
        <f>SUM(Y224:Z224)</f>
        <v>0</v>
      </c>
      <c r="AB224" s="270">
        <f>MAYO!AD224</f>
        <v>0</v>
      </c>
      <c r="AC224" s="208">
        <v>0</v>
      </c>
      <c r="AD224" s="271">
        <f>SUM(AB224:AC224)</f>
        <v>0</v>
      </c>
      <c r="AE224" s="270">
        <f>MAYO!AG224</f>
        <v>0</v>
      </c>
      <c r="AF224" s="208">
        <v>0</v>
      </c>
      <c r="AG224" s="271">
        <f>SUM(AE224:AF224)</f>
        <v>0</v>
      </c>
      <c r="AH224" s="270">
        <f>X224-AA224</f>
        <v>0</v>
      </c>
      <c r="AI224" s="220">
        <f>X224-AD224</f>
        <v>0</v>
      </c>
      <c r="AJ224" s="269">
        <f>X224-AG224</f>
        <v>0</v>
      </c>
      <c r="AK224" s="101"/>
      <c r="AL224" s="204">
        <v>0</v>
      </c>
      <c r="AM224" s="210">
        <v>0</v>
      </c>
    </row>
    <row r="225" spans="18:39" ht="24.75" customHeight="1">
      <c r="R225" s="101"/>
      <c r="S225" s="189" t="str">
        <f>+IF(MAYO!S225=0,"",MAYO!S225)</f>
        <v/>
      </c>
      <c r="T225" s="488" t="str">
        <f>+IF(MAYO!T225=0,"",MAYO!T225)</f>
        <v/>
      </c>
      <c r="U225" s="191"/>
      <c r="V225" s="191"/>
      <c r="W225" s="191"/>
      <c r="X225" s="191"/>
      <c r="Y225" s="191"/>
      <c r="Z225" s="191"/>
      <c r="AA225" s="191"/>
      <c r="AB225" s="191"/>
      <c r="AC225" s="191"/>
      <c r="AD225" s="191"/>
      <c r="AE225" s="191"/>
      <c r="AF225" s="191"/>
      <c r="AG225" s="191"/>
      <c r="AH225" s="191"/>
      <c r="AI225" s="191"/>
      <c r="AJ225" s="192"/>
      <c r="AK225" s="216"/>
      <c r="AL225" s="370"/>
      <c r="AM225" s="371"/>
    </row>
    <row r="226" spans="18:39" ht="24.75" customHeight="1">
      <c r="R226" s="101"/>
      <c r="S226" s="257">
        <f>+IF(MAYO!S226=0,"",MAYO!S226)</f>
        <v>7002001</v>
      </c>
      <c r="T226" s="546" t="str">
        <f>+IF(MAYO!T226=0,"",MAYO!T226)</f>
        <v>SERVICIO DE LA DEUDA EXTERNA</v>
      </c>
      <c r="U226" s="230">
        <f t="shared" ref="U226:AJ226" si="190">SUM(U227:U229)</f>
        <v>0</v>
      </c>
      <c r="V226" s="231">
        <f t="shared" si="190"/>
        <v>0</v>
      </c>
      <c r="W226" s="231">
        <f t="shared" si="190"/>
        <v>0</v>
      </c>
      <c r="X226" s="234">
        <f t="shared" si="190"/>
        <v>0</v>
      </c>
      <c r="Y226" s="233">
        <f t="shared" si="190"/>
        <v>0</v>
      </c>
      <c r="Z226" s="231">
        <f t="shared" si="190"/>
        <v>0</v>
      </c>
      <c r="AA226" s="234">
        <f t="shared" si="190"/>
        <v>0</v>
      </c>
      <c r="AB226" s="233">
        <f t="shared" si="190"/>
        <v>0</v>
      </c>
      <c r="AC226" s="231">
        <f t="shared" si="190"/>
        <v>0</v>
      </c>
      <c r="AD226" s="234">
        <f t="shared" si="190"/>
        <v>0</v>
      </c>
      <c r="AE226" s="233">
        <f t="shared" si="190"/>
        <v>0</v>
      </c>
      <c r="AF226" s="231">
        <f t="shared" si="190"/>
        <v>0</v>
      </c>
      <c r="AG226" s="234">
        <f t="shared" si="190"/>
        <v>0</v>
      </c>
      <c r="AH226" s="233">
        <f t="shared" si="190"/>
        <v>0</v>
      </c>
      <c r="AI226" s="231">
        <f t="shared" si="190"/>
        <v>0</v>
      </c>
      <c r="AJ226" s="232">
        <f t="shared" si="190"/>
        <v>0</v>
      </c>
      <c r="AK226" s="216"/>
      <c r="AL226" s="233">
        <f>SUM(AL227:AL229)</f>
        <v>0</v>
      </c>
      <c r="AM226" s="232">
        <f>SUM(AM227:AM229)</f>
        <v>0</v>
      </c>
    </row>
    <row r="227" spans="18:39" ht="24.75" customHeight="1">
      <c r="R227" s="101"/>
      <c r="S227" s="266">
        <f>+IF(MAYO!S227=0,"",MAYO!S227)</f>
        <v>7002100</v>
      </c>
      <c r="T227" s="267" t="str">
        <f>+IF(MAYO!T227=0,"",MAYO!T227)</f>
        <v>Amortización deuda Pública Externa</v>
      </c>
      <c r="U227" s="373">
        <f>+ENERO!U228</f>
        <v>0</v>
      </c>
      <c r="V227" s="220">
        <f>MAYO!V227+JUNIO!AL227</f>
        <v>0</v>
      </c>
      <c r="W227" s="220">
        <f>MAYO!W227+JUNIO!AM227</f>
        <v>0</v>
      </c>
      <c r="X227" s="271">
        <f>SUM(U227:W227)</f>
        <v>0</v>
      </c>
      <c r="Y227" s="270">
        <f>MAYO!AA227</f>
        <v>0</v>
      </c>
      <c r="Z227" s="208">
        <v>0</v>
      </c>
      <c r="AA227" s="271">
        <f>SUM(Y227:Z227)</f>
        <v>0</v>
      </c>
      <c r="AB227" s="270">
        <f>MAYO!AD227</f>
        <v>0</v>
      </c>
      <c r="AC227" s="208">
        <v>0</v>
      </c>
      <c r="AD227" s="271">
        <f>SUM(AB227:AC227)</f>
        <v>0</v>
      </c>
      <c r="AE227" s="270">
        <f>MAYO!AG227</f>
        <v>0</v>
      </c>
      <c r="AF227" s="208">
        <v>0</v>
      </c>
      <c r="AG227" s="271">
        <f>SUM(AE227:AF227)</f>
        <v>0</v>
      </c>
      <c r="AH227" s="270">
        <f>X227-AA227</f>
        <v>0</v>
      </c>
      <c r="AI227" s="220">
        <f>X227-AD227</f>
        <v>0</v>
      </c>
      <c r="AJ227" s="269">
        <f>X227-AG227</f>
        <v>0</v>
      </c>
      <c r="AK227" s="101"/>
      <c r="AL227" s="204">
        <v>0</v>
      </c>
      <c r="AM227" s="210">
        <v>0</v>
      </c>
    </row>
    <row r="228" spans="18:39" ht="24.75" customHeight="1">
      <c r="R228" s="101"/>
      <c r="S228" s="266">
        <f>+IF(MAYO!S228=0,"",MAYO!S228)</f>
        <v>7002200</v>
      </c>
      <c r="T228" s="267" t="str">
        <f>+IF(MAYO!T228=0,"",MAYO!T228)</f>
        <v>Intereses Comisiones y gastos de la Deuda Pública</v>
      </c>
      <c r="U228" s="373">
        <f>+ENERO!U229</f>
        <v>0</v>
      </c>
      <c r="V228" s="220">
        <f>MAYO!V228+JUNIO!AL228</f>
        <v>0</v>
      </c>
      <c r="W228" s="220">
        <f>MAYO!W228+JUNIO!AM228</f>
        <v>0</v>
      </c>
      <c r="X228" s="271">
        <f>SUM(U228:W228)</f>
        <v>0</v>
      </c>
      <c r="Y228" s="270">
        <f>MAYO!AA228</f>
        <v>0</v>
      </c>
      <c r="Z228" s="208">
        <v>0</v>
      </c>
      <c r="AA228" s="271">
        <f>SUM(Y228:Z228)</f>
        <v>0</v>
      </c>
      <c r="AB228" s="270">
        <f>MAYO!AD228</f>
        <v>0</v>
      </c>
      <c r="AC228" s="208">
        <v>0</v>
      </c>
      <c r="AD228" s="271">
        <f>SUM(AB228:AC228)</f>
        <v>0</v>
      </c>
      <c r="AE228" s="270">
        <f>MAYO!AG228</f>
        <v>0</v>
      </c>
      <c r="AF228" s="208">
        <v>0</v>
      </c>
      <c r="AG228" s="271">
        <f>SUM(AE228:AF228)</f>
        <v>0</v>
      </c>
      <c r="AH228" s="270">
        <f>X228-AA228</f>
        <v>0</v>
      </c>
      <c r="AI228" s="220">
        <f>X228-AD228</f>
        <v>0</v>
      </c>
      <c r="AJ228" s="269">
        <f>X228-AG228</f>
        <v>0</v>
      </c>
      <c r="AK228" s="101"/>
      <c r="AL228" s="204">
        <v>0</v>
      </c>
      <c r="AM228" s="210">
        <v>0</v>
      </c>
    </row>
    <row r="229" spans="18:39" ht="24.75" customHeight="1" thickBot="1">
      <c r="R229" s="101" t="s">
        <v>688</v>
      </c>
      <c r="S229" s="466">
        <f>+IF(MAYO!S229=0,"",MAYO!S229)</f>
        <v>7002999</v>
      </c>
      <c r="T229" s="467" t="str">
        <f>+IF(MAYO!T229=0,"",MAYO!T229)</f>
        <v>Vigencias Anteriores</v>
      </c>
      <c r="U229" s="547">
        <f>+ENERO!U230</f>
        <v>0</v>
      </c>
      <c r="V229" s="468">
        <f>MAYO!V229+JUNIO!AL229</f>
        <v>0</v>
      </c>
      <c r="W229" s="468">
        <f>MAYO!W229+JUNIO!AM229</f>
        <v>0</v>
      </c>
      <c r="X229" s="471">
        <f>SUM(U229:W229)</f>
        <v>0</v>
      </c>
      <c r="Y229" s="470">
        <f>MAYO!AA229</f>
        <v>0</v>
      </c>
      <c r="Z229" s="246">
        <v>0</v>
      </c>
      <c r="AA229" s="471">
        <f>SUM(Y229:Z229)</f>
        <v>0</v>
      </c>
      <c r="AB229" s="470">
        <f>MAYO!AD229</f>
        <v>0</v>
      </c>
      <c r="AC229" s="246">
        <v>0</v>
      </c>
      <c r="AD229" s="471">
        <f>SUM(AB229:AC229)</f>
        <v>0</v>
      </c>
      <c r="AE229" s="470">
        <f>MAYO!AG229</f>
        <v>0</v>
      </c>
      <c r="AF229" s="246">
        <v>0</v>
      </c>
      <c r="AG229" s="471">
        <f>SUM(AE229:AF229)</f>
        <v>0</v>
      </c>
      <c r="AH229" s="470">
        <f>X229-AA229</f>
        <v>0</v>
      </c>
      <c r="AI229" s="468">
        <f>X229-AD229</f>
        <v>0</v>
      </c>
      <c r="AJ229" s="469">
        <f>X229-AG229</f>
        <v>0</v>
      </c>
      <c r="AK229" s="101"/>
      <c r="AL229" s="489">
        <v>0</v>
      </c>
      <c r="AM229" s="490">
        <v>0</v>
      </c>
    </row>
    <row r="230" spans="18:39" ht="24.75" customHeight="1">
      <c r="R230" s="101"/>
      <c r="S230" s="455" t="str">
        <f>+IF(MAYO!S230=0,"",MAYO!S230)</f>
        <v/>
      </c>
      <c r="T230" s="456" t="str">
        <f>+IF(MAYO!T230=0,"",MAYO!T230)</f>
        <v/>
      </c>
      <c r="U230" s="457"/>
      <c r="V230" s="457"/>
      <c r="W230" s="457"/>
      <c r="X230" s="457"/>
      <c r="Y230" s="457"/>
      <c r="Z230" s="457"/>
      <c r="AA230" s="457"/>
      <c r="AB230" s="457"/>
      <c r="AC230" s="457"/>
      <c r="AD230" s="457"/>
      <c r="AE230" s="457"/>
      <c r="AF230" s="457"/>
      <c r="AG230" s="457"/>
      <c r="AH230" s="457"/>
      <c r="AI230" s="457"/>
      <c r="AJ230" s="458"/>
      <c r="AK230" s="101"/>
      <c r="AL230" s="491"/>
      <c r="AM230" s="492"/>
    </row>
    <row r="231" spans="18:39" ht="24.75" customHeight="1">
      <c r="R231" s="101"/>
      <c r="S231" s="493" t="str">
        <f>+IF(MAYO!S231=0,"",MAYO!S231)</f>
        <v>D</v>
      </c>
      <c r="T231" s="494" t="str">
        <f>+IF(MAYO!T231=0,"",MAYO!T231)</f>
        <v>INVERSION</v>
      </c>
      <c r="U231" s="405">
        <f t="shared" ref="U231:AJ231" si="191">U233+U242</f>
        <v>0</v>
      </c>
      <c r="V231" s="406">
        <f t="shared" si="191"/>
        <v>0</v>
      </c>
      <c r="W231" s="406">
        <f t="shared" si="191"/>
        <v>22025502895</v>
      </c>
      <c r="X231" s="407">
        <f t="shared" si="191"/>
        <v>22025502895</v>
      </c>
      <c r="Y231" s="217">
        <f t="shared" si="191"/>
        <v>14238867873</v>
      </c>
      <c r="Z231" s="406">
        <f t="shared" si="191"/>
        <v>1214557431</v>
      </c>
      <c r="AA231" s="407">
        <f t="shared" si="191"/>
        <v>15453425304</v>
      </c>
      <c r="AB231" s="217">
        <f t="shared" si="191"/>
        <v>7381233658</v>
      </c>
      <c r="AC231" s="406">
        <f t="shared" si="191"/>
        <v>1682567891</v>
      </c>
      <c r="AD231" s="407">
        <f t="shared" si="191"/>
        <v>9063801549</v>
      </c>
      <c r="AE231" s="217">
        <f t="shared" si="191"/>
        <v>4662243162</v>
      </c>
      <c r="AF231" s="406">
        <f t="shared" si="191"/>
        <v>1673489045</v>
      </c>
      <c r="AG231" s="407">
        <f t="shared" si="191"/>
        <v>6335732207</v>
      </c>
      <c r="AH231" s="217">
        <f t="shared" si="191"/>
        <v>6572077591</v>
      </c>
      <c r="AI231" s="406">
        <f t="shared" si="191"/>
        <v>12961701346</v>
      </c>
      <c r="AJ231" s="218">
        <f t="shared" si="191"/>
        <v>15689770688</v>
      </c>
      <c r="AK231" s="487"/>
      <c r="AL231" s="217">
        <f>AL233+AL242</f>
        <v>0</v>
      </c>
      <c r="AM231" s="218">
        <f>AM233+AM242</f>
        <v>0</v>
      </c>
    </row>
    <row r="232" spans="18:39" ht="24.75" customHeight="1">
      <c r="R232" s="101"/>
      <c r="S232" s="189" t="str">
        <f>+IF(MAYO!S232=0,"",MAYO!S232)</f>
        <v/>
      </c>
      <c r="T232" s="488" t="str">
        <f>+IF(MAYO!T232=0,"",MAYO!T232)</f>
        <v/>
      </c>
      <c r="U232" s="191"/>
      <c r="V232" s="191"/>
      <c r="W232" s="191"/>
      <c r="X232" s="191"/>
      <c r="Y232" s="191"/>
      <c r="Z232" s="191"/>
      <c r="AA232" s="191"/>
      <c r="AB232" s="191"/>
      <c r="AC232" s="191"/>
      <c r="AD232" s="191"/>
      <c r="AE232" s="191"/>
      <c r="AF232" s="191"/>
      <c r="AG232" s="191"/>
      <c r="AH232" s="191"/>
      <c r="AI232" s="191"/>
      <c r="AJ232" s="192"/>
      <c r="AK232" s="101"/>
      <c r="AL232" s="370"/>
      <c r="AM232" s="371"/>
    </row>
    <row r="233" spans="18:39" ht="24.75" customHeight="1">
      <c r="R233" s="101"/>
      <c r="S233" s="257">
        <f>+IF(MAYO!S233=0,"",MAYO!S233)</f>
        <v>8000000</v>
      </c>
      <c r="T233" s="258" t="s">
        <v>313</v>
      </c>
      <c r="U233" s="230">
        <f t="shared" ref="U233:AJ233" si="192">U234</f>
        <v>0</v>
      </c>
      <c r="V233" s="231">
        <f t="shared" si="192"/>
        <v>0</v>
      </c>
      <c r="W233" s="231">
        <f t="shared" si="192"/>
        <v>22025502895</v>
      </c>
      <c r="X233" s="234">
        <f t="shared" si="192"/>
        <v>22025502895</v>
      </c>
      <c r="Y233" s="233">
        <f t="shared" si="192"/>
        <v>14238867873</v>
      </c>
      <c r="Z233" s="231">
        <f t="shared" si="192"/>
        <v>1214557431</v>
      </c>
      <c r="AA233" s="234">
        <f t="shared" si="192"/>
        <v>15453425304</v>
      </c>
      <c r="AB233" s="233">
        <f t="shared" si="192"/>
        <v>7381233658</v>
      </c>
      <c r="AC233" s="231">
        <f t="shared" si="192"/>
        <v>1682567891</v>
      </c>
      <c r="AD233" s="234">
        <f t="shared" si="192"/>
        <v>9063801549</v>
      </c>
      <c r="AE233" s="233">
        <f t="shared" si="192"/>
        <v>4662243162</v>
      </c>
      <c r="AF233" s="231">
        <f t="shared" si="192"/>
        <v>1673489045</v>
      </c>
      <c r="AG233" s="234">
        <f t="shared" si="192"/>
        <v>6335732207</v>
      </c>
      <c r="AH233" s="233">
        <f t="shared" si="192"/>
        <v>6572077591</v>
      </c>
      <c r="AI233" s="231">
        <f t="shared" si="192"/>
        <v>12961701346</v>
      </c>
      <c r="AJ233" s="232">
        <f t="shared" si="192"/>
        <v>15689770688</v>
      </c>
      <c r="AK233" s="101"/>
      <c r="AL233" s="233">
        <f>AL234</f>
        <v>0</v>
      </c>
      <c r="AM233" s="232">
        <f>AM234</f>
        <v>0</v>
      </c>
    </row>
    <row r="234" spans="18:39" ht="24.75" customHeight="1">
      <c r="R234" s="101"/>
      <c r="S234" s="266">
        <f>+IF(MAYO!S234=0,"",MAYO!S234)</f>
        <v>8001000</v>
      </c>
      <c r="T234" s="267" t="str">
        <f>+IF(FEBRERO!T235=0,"",FEBRERO!T235)</f>
        <v>Formación Bruta del Capital</v>
      </c>
      <c r="U234" s="373">
        <f t="shared" ref="U234:AJ234" si="193">SUM(U235:U240)</f>
        <v>0</v>
      </c>
      <c r="V234" s="220">
        <f t="shared" si="193"/>
        <v>0</v>
      </c>
      <c r="W234" s="220">
        <f t="shared" si="193"/>
        <v>22025502895</v>
      </c>
      <c r="X234" s="271">
        <f t="shared" si="193"/>
        <v>22025502895</v>
      </c>
      <c r="Y234" s="270">
        <f t="shared" si="193"/>
        <v>14238867873</v>
      </c>
      <c r="Z234" s="300">
        <f t="shared" si="193"/>
        <v>1214557431</v>
      </c>
      <c r="AA234" s="271">
        <f t="shared" si="193"/>
        <v>15453425304</v>
      </c>
      <c r="AB234" s="270">
        <f t="shared" si="193"/>
        <v>7381233658</v>
      </c>
      <c r="AC234" s="300">
        <f t="shared" si="193"/>
        <v>1682567891</v>
      </c>
      <c r="AD234" s="271">
        <f t="shared" si="193"/>
        <v>9063801549</v>
      </c>
      <c r="AE234" s="270">
        <f t="shared" si="193"/>
        <v>4662243162</v>
      </c>
      <c r="AF234" s="300">
        <f t="shared" si="193"/>
        <v>1673489045</v>
      </c>
      <c r="AG234" s="271">
        <f t="shared" si="193"/>
        <v>6335732207</v>
      </c>
      <c r="AH234" s="270">
        <f t="shared" si="193"/>
        <v>6572077591</v>
      </c>
      <c r="AI234" s="220">
        <f t="shared" si="193"/>
        <v>12961701346</v>
      </c>
      <c r="AJ234" s="269">
        <f t="shared" si="193"/>
        <v>15689770688</v>
      </c>
      <c r="AK234" s="101"/>
      <c r="AL234" s="301">
        <f>SUM(AL235:AL240)</f>
        <v>0</v>
      </c>
      <c r="AM234" s="302">
        <f>SUM(AM235:AM240)</f>
        <v>0</v>
      </c>
    </row>
    <row r="235" spans="18:39" ht="24.75" customHeight="1">
      <c r="R235" s="101"/>
      <c r="S235" s="311" t="str">
        <f>+IF(MAYO!S235=0,"",MAYO!S235)</f>
        <v>2.3.2.01.01</v>
      </c>
      <c r="T235" s="312" t="s">
        <v>681</v>
      </c>
      <c r="U235" s="373">
        <f>+ENERO!U236</f>
        <v>0</v>
      </c>
      <c r="V235" s="220">
        <f>MAYO!V235+JUNIO!AL235</f>
        <v>0</v>
      </c>
      <c r="W235" s="220">
        <f>MAYO!W235+JUNIO!AM235</f>
        <v>0</v>
      </c>
      <c r="X235" s="271">
        <f t="shared" ref="X235:X240" si="194">SUM(U235:W235)</f>
        <v>0</v>
      </c>
      <c r="Y235" s="270">
        <f>MAYO!AA235</f>
        <v>0</v>
      </c>
      <c r="Z235" s="208">
        <v>0</v>
      </c>
      <c r="AA235" s="271">
        <f t="shared" ref="AA235:AA240" si="195">SUM(Y235:Z235)</f>
        <v>0</v>
      </c>
      <c r="AB235" s="270">
        <f>MAYO!AD235</f>
        <v>0</v>
      </c>
      <c r="AC235" s="208">
        <v>0</v>
      </c>
      <c r="AD235" s="271">
        <f t="shared" ref="AD235:AD240" si="196">SUM(AB235:AC235)</f>
        <v>0</v>
      </c>
      <c r="AE235" s="270">
        <f>MAYO!AG235</f>
        <v>0</v>
      </c>
      <c r="AF235" s="208">
        <v>0</v>
      </c>
      <c r="AG235" s="271">
        <f t="shared" ref="AG235:AG240" si="197">SUM(AE235:AF235)</f>
        <v>0</v>
      </c>
      <c r="AH235" s="270">
        <f t="shared" ref="AH235:AH240" si="198">X235-AA235</f>
        <v>0</v>
      </c>
      <c r="AI235" s="220">
        <f t="shared" ref="AI235:AI240" si="199">X235-AD235</f>
        <v>0</v>
      </c>
      <c r="AJ235" s="269">
        <f t="shared" ref="AJ235:AJ240" si="200">X235-AG235</f>
        <v>0</v>
      </c>
      <c r="AK235" s="101"/>
      <c r="AL235" s="204">
        <v>0</v>
      </c>
      <c r="AM235" s="210">
        <v>0</v>
      </c>
    </row>
    <row r="236" spans="18:39" ht="24.75" customHeight="1">
      <c r="R236" s="101"/>
      <c r="S236" s="311" t="str">
        <f>+IF(MAYO!S236=0,"",MAYO!S236)</f>
        <v>2.3.2.02.02.005</v>
      </c>
      <c r="T236" s="312" t="s">
        <v>354</v>
      </c>
      <c r="U236" s="373">
        <f>+ENERO!U237</f>
        <v>0</v>
      </c>
      <c r="V236" s="220">
        <f>MAYO!V236+JUNIO!AL236</f>
        <v>0</v>
      </c>
      <c r="W236" s="220">
        <f>MAYO!W236+JUNIO!AM236</f>
        <v>0</v>
      </c>
      <c r="X236" s="271">
        <f t="shared" si="194"/>
        <v>0</v>
      </c>
      <c r="Y236" s="270">
        <f>MAYO!AA236</f>
        <v>0</v>
      </c>
      <c r="Z236" s="208"/>
      <c r="AA236" s="271">
        <f t="shared" si="195"/>
        <v>0</v>
      </c>
      <c r="AB236" s="270">
        <f>MAYO!AD236</f>
        <v>0</v>
      </c>
      <c r="AC236" s="208"/>
      <c r="AD236" s="271">
        <f t="shared" si="196"/>
        <v>0</v>
      </c>
      <c r="AE236" s="270">
        <f>MAYO!AG236</f>
        <v>0</v>
      </c>
      <c r="AF236" s="208"/>
      <c r="AG236" s="271">
        <f t="shared" si="197"/>
        <v>0</v>
      </c>
      <c r="AH236" s="270">
        <f t="shared" si="198"/>
        <v>0</v>
      </c>
      <c r="AI236" s="220">
        <f t="shared" si="199"/>
        <v>0</v>
      </c>
      <c r="AJ236" s="269">
        <f t="shared" si="200"/>
        <v>0</v>
      </c>
      <c r="AK236" s="101"/>
      <c r="AL236" s="204">
        <v>0</v>
      </c>
      <c r="AM236" s="210">
        <v>0</v>
      </c>
    </row>
    <row r="237" spans="18:39" ht="24.75" customHeight="1">
      <c r="R237" s="101"/>
      <c r="S237" s="311" t="str">
        <f>+IF(MAYO!S237=0,"",MAYO!S237)</f>
        <v>2.3.2.02.02.009</v>
      </c>
      <c r="T237" s="312" t="s">
        <v>686</v>
      </c>
      <c r="U237" s="373">
        <f>+ENERO!U238</f>
        <v>0</v>
      </c>
      <c r="V237" s="220">
        <f>MAYO!V237+JUNIO!AL237</f>
        <v>0</v>
      </c>
      <c r="W237" s="220">
        <f>MAYO!W237+JUNIO!AM237</f>
        <v>21574720366</v>
      </c>
      <c r="X237" s="271">
        <f t="shared" si="194"/>
        <v>21574720366</v>
      </c>
      <c r="Y237" s="270">
        <f>MAYO!AA237</f>
        <v>14238867873</v>
      </c>
      <c r="Z237" s="208">
        <v>1214557431</v>
      </c>
      <c r="AA237" s="271">
        <f t="shared" si="195"/>
        <v>15453425304</v>
      </c>
      <c r="AB237" s="270">
        <f>MAYO!AD237</f>
        <v>7381233658</v>
      </c>
      <c r="AC237" s="208">
        <v>1682567891</v>
      </c>
      <c r="AD237" s="271">
        <f t="shared" si="196"/>
        <v>9063801549</v>
      </c>
      <c r="AE237" s="270">
        <f>MAYO!AG237</f>
        <v>4662243162</v>
      </c>
      <c r="AF237" s="208">
        <v>1673489045</v>
      </c>
      <c r="AG237" s="271">
        <f t="shared" si="197"/>
        <v>6335732207</v>
      </c>
      <c r="AH237" s="270">
        <f t="shared" si="198"/>
        <v>6121295062</v>
      </c>
      <c r="AI237" s="220">
        <f t="shared" si="199"/>
        <v>12510918817</v>
      </c>
      <c r="AJ237" s="269">
        <f t="shared" si="200"/>
        <v>15238988159</v>
      </c>
      <c r="AK237" s="101"/>
      <c r="AL237" s="204">
        <v>0</v>
      </c>
      <c r="AM237" s="210"/>
    </row>
    <row r="238" spans="18:39" ht="24.75" customHeight="1">
      <c r="R238" s="67"/>
      <c r="S238" s="311" t="str">
        <f>+IF(MAYO!S238=0,"",MAYO!S238)</f>
        <v>8001000-4</v>
      </c>
      <c r="T238" s="312" t="s">
        <v>316</v>
      </c>
      <c r="U238" s="373">
        <f>+ENERO!U239</f>
        <v>0</v>
      </c>
      <c r="V238" s="220">
        <f>MAYO!V238+JUNIO!AL238</f>
        <v>0</v>
      </c>
      <c r="W238" s="220">
        <f>MAYO!W238+JUNIO!AM238</f>
        <v>0</v>
      </c>
      <c r="X238" s="271">
        <f t="shared" si="194"/>
        <v>0</v>
      </c>
      <c r="Y238" s="270">
        <f>MAYO!AA238</f>
        <v>0</v>
      </c>
      <c r="Z238" s="208"/>
      <c r="AA238" s="271">
        <f t="shared" si="195"/>
        <v>0</v>
      </c>
      <c r="AB238" s="270">
        <f>MAYO!AD238</f>
        <v>0</v>
      </c>
      <c r="AC238" s="208"/>
      <c r="AD238" s="271">
        <f t="shared" si="196"/>
        <v>0</v>
      </c>
      <c r="AE238" s="270">
        <f>MAYO!AG238</f>
        <v>0</v>
      </c>
      <c r="AF238" s="208"/>
      <c r="AG238" s="271">
        <f t="shared" si="197"/>
        <v>0</v>
      </c>
      <c r="AH238" s="270">
        <f t="shared" si="198"/>
        <v>0</v>
      </c>
      <c r="AI238" s="220">
        <f t="shared" si="199"/>
        <v>0</v>
      </c>
      <c r="AJ238" s="269">
        <f t="shared" si="200"/>
        <v>0</v>
      </c>
      <c r="AK238" s="101"/>
      <c r="AL238" s="204">
        <v>0</v>
      </c>
      <c r="AM238" s="210">
        <v>0</v>
      </c>
    </row>
    <row r="239" spans="18:39" ht="24.75" customHeight="1">
      <c r="R239" s="67"/>
      <c r="S239" s="311" t="str">
        <f>+IF(MAYO!S239=0,"",MAYO!S239)</f>
        <v>8001000-5</v>
      </c>
      <c r="T239" s="312" t="s">
        <v>318</v>
      </c>
      <c r="U239" s="373">
        <f>+ENERO!U240</f>
        <v>0</v>
      </c>
      <c r="V239" s="220">
        <f>MAYO!V239+JUNIO!AL239</f>
        <v>0</v>
      </c>
      <c r="W239" s="220">
        <f>MAYO!W239+JUNIO!AM239</f>
        <v>0</v>
      </c>
      <c r="X239" s="271">
        <f t="shared" si="194"/>
        <v>0</v>
      </c>
      <c r="Y239" s="270">
        <f>MAYO!AA239</f>
        <v>0</v>
      </c>
      <c r="Z239" s="208"/>
      <c r="AA239" s="271">
        <f t="shared" si="195"/>
        <v>0</v>
      </c>
      <c r="AB239" s="270">
        <f>MAYO!AD239</f>
        <v>0</v>
      </c>
      <c r="AC239" s="208">
        <v>0</v>
      </c>
      <c r="AD239" s="271">
        <f t="shared" si="196"/>
        <v>0</v>
      </c>
      <c r="AE239" s="270">
        <f>MAYO!AG239</f>
        <v>0</v>
      </c>
      <c r="AF239" s="208">
        <v>0</v>
      </c>
      <c r="AG239" s="271">
        <f t="shared" si="197"/>
        <v>0</v>
      </c>
      <c r="AH239" s="270">
        <f t="shared" si="198"/>
        <v>0</v>
      </c>
      <c r="AI239" s="220">
        <f t="shared" si="199"/>
        <v>0</v>
      </c>
      <c r="AJ239" s="269">
        <f t="shared" si="200"/>
        <v>0</v>
      </c>
      <c r="AK239" s="101"/>
      <c r="AL239" s="204">
        <v>0</v>
      </c>
      <c r="AM239" s="210">
        <v>0</v>
      </c>
    </row>
    <row r="240" spans="18:39" ht="24.75" customHeight="1">
      <c r="R240" s="101" t="s">
        <v>688</v>
      </c>
      <c r="S240" s="496" t="str">
        <f>+IF(MAYO!S240=0,"",MAYO!S240)</f>
        <v>2.3.2.02.02.009.99</v>
      </c>
      <c r="T240" s="312" t="s">
        <v>196</v>
      </c>
      <c r="U240" s="373">
        <f>+ENERO!U241</f>
        <v>0</v>
      </c>
      <c r="V240" s="220">
        <f>MAYO!V240+JUNIO!AL240</f>
        <v>0</v>
      </c>
      <c r="W240" s="220">
        <f>MAYO!W240+JUNIO!AM240</f>
        <v>450782529</v>
      </c>
      <c r="X240" s="271">
        <f t="shared" si="194"/>
        <v>450782529</v>
      </c>
      <c r="Y240" s="270">
        <f>MAYO!AA240</f>
        <v>0</v>
      </c>
      <c r="Z240" s="208">
        <v>0</v>
      </c>
      <c r="AA240" s="271">
        <f t="shared" si="195"/>
        <v>0</v>
      </c>
      <c r="AB240" s="270">
        <f>MAYO!AD240</f>
        <v>0</v>
      </c>
      <c r="AC240" s="208">
        <v>0</v>
      </c>
      <c r="AD240" s="271">
        <f t="shared" si="196"/>
        <v>0</v>
      </c>
      <c r="AE240" s="270">
        <f>MAYO!AG240</f>
        <v>0</v>
      </c>
      <c r="AF240" s="208">
        <v>0</v>
      </c>
      <c r="AG240" s="271">
        <f t="shared" si="197"/>
        <v>0</v>
      </c>
      <c r="AH240" s="270">
        <f t="shared" si="198"/>
        <v>450782529</v>
      </c>
      <c r="AI240" s="220">
        <f t="shared" si="199"/>
        <v>450782529</v>
      </c>
      <c r="AJ240" s="269">
        <f t="shared" si="200"/>
        <v>450782529</v>
      </c>
      <c r="AK240" s="101"/>
      <c r="AL240" s="204">
        <v>0</v>
      </c>
      <c r="AM240" s="210">
        <v>0</v>
      </c>
    </row>
    <row r="241" spans="18:39" ht="24.75" customHeight="1">
      <c r="R241" s="31"/>
      <c r="S241" s="189" t="str">
        <f>+IF(MAYO!S241=0,"",MAYO!S241)</f>
        <v/>
      </c>
      <c r="T241" s="488"/>
      <c r="U241" s="191"/>
      <c r="V241" s="191"/>
      <c r="W241" s="191"/>
      <c r="X241" s="191"/>
      <c r="Y241" s="191"/>
      <c r="Z241" s="191"/>
      <c r="AA241" s="191"/>
      <c r="AB241" s="191"/>
      <c r="AC241" s="191"/>
      <c r="AD241" s="191"/>
      <c r="AE241" s="191"/>
      <c r="AF241" s="191"/>
      <c r="AG241" s="191"/>
      <c r="AH241" s="191"/>
      <c r="AI241" s="191"/>
      <c r="AJ241" s="192"/>
      <c r="AK241" s="101"/>
      <c r="AL241" s="370"/>
      <c r="AM241" s="371"/>
    </row>
    <row r="242" spans="18:39" ht="24.75" customHeight="1">
      <c r="R242" s="31"/>
      <c r="S242" s="257">
        <f>+IF(MAYO!S242=0,"",MAYO!S242)</f>
        <v>8002001</v>
      </c>
      <c r="T242" s="498" t="s">
        <v>319</v>
      </c>
      <c r="U242" s="230">
        <f t="shared" ref="U242:AJ242" si="201">SUM(U243:U255)</f>
        <v>0</v>
      </c>
      <c r="V242" s="231">
        <f t="shared" si="201"/>
        <v>0</v>
      </c>
      <c r="W242" s="231">
        <f t="shared" si="201"/>
        <v>0</v>
      </c>
      <c r="X242" s="234">
        <f t="shared" si="201"/>
        <v>0</v>
      </c>
      <c r="Y242" s="233">
        <f t="shared" si="201"/>
        <v>0</v>
      </c>
      <c r="Z242" s="231">
        <f t="shared" si="201"/>
        <v>0</v>
      </c>
      <c r="AA242" s="234">
        <f t="shared" si="201"/>
        <v>0</v>
      </c>
      <c r="AB242" s="233">
        <f t="shared" si="201"/>
        <v>0</v>
      </c>
      <c r="AC242" s="231">
        <f t="shared" si="201"/>
        <v>0</v>
      </c>
      <c r="AD242" s="234">
        <f t="shared" si="201"/>
        <v>0</v>
      </c>
      <c r="AE242" s="233">
        <f t="shared" si="201"/>
        <v>0</v>
      </c>
      <c r="AF242" s="231">
        <f t="shared" si="201"/>
        <v>0</v>
      </c>
      <c r="AG242" s="234">
        <f t="shared" si="201"/>
        <v>0</v>
      </c>
      <c r="AH242" s="233">
        <f t="shared" si="201"/>
        <v>0</v>
      </c>
      <c r="AI242" s="231">
        <f t="shared" si="201"/>
        <v>0</v>
      </c>
      <c r="AJ242" s="232">
        <f t="shared" si="201"/>
        <v>0</v>
      </c>
      <c r="AK242" s="101"/>
      <c r="AL242" s="233">
        <f>SUM(AL243:AL255)</f>
        <v>0</v>
      </c>
      <c r="AM242" s="232">
        <f>SUM(AM243:AM255)</f>
        <v>0</v>
      </c>
    </row>
    <row r="243" spans="18:39" ht="24.75" customHeight="1">
      <c r="R243" s="31"/>
      <c r="S243" s="311" t="str">
        <f>+IF(MAYO!S243=0,"",MAYO!S243)</f>
        <v>8002100-1</v>
      </c>
      <c r="T243" s="312" t="s">
        <v>265</v>
      </c>
      <c r="U243" s="373">
        <f>+ENERO!U244</f>
        <v>0</v>
      </c>
      <c r="V243" s="220">
        <f>MAYO!V243+JUNIO!AL243</f>
        <v>0</v>
      </c>
      <c r="W243" s="220">
        <f>MAYO!W243+JUNIO!AM243</f>
        <v>0</v>
      </c>
      <c r="X243" s="271">
        <f t="shared" ref="X243:X255" si="202">SUM(U243:W243)</f>
        <v>0</v>
      </c>
      <c r="Y243" s="270">
        <f>MAYO!AA243</f>
        <v>0</v>
      </c>
      <c r="Z243" s="208">
        <v>0</v>
      </c>
      <c r="AA243" s="271">
        <f t="shared" ref="AA243:AA255" si="203">SUM(Y243:Z243)</f>
        <v>0</v>
      </c>
      <c r="AB243" s="270">
        <f>MAYO!AD243</f>
        <v>0</v>
      </c>
      <c r="AC243" s="208">
        <v>0</v>
      </c>
      <c r="AD243" s="271">
        <f t="shared" ref="AD243:AD255" si="204">SUM(AB243:AC243)</f>
        <v>0</v>
      </c>
      <c r="AE243" s="270">
        <f>MAYO!AG243</f>
        <v>0</v>
      </c>
      <c r="AF243" s="208">
        <v>0</v>
      </c>
      <c r="AG243" s="271">
        <f t="shared" ref="AG243:AG255" si="205">SUM(AE243:AF243)</f>
        <v>0</v>
      </c>
      <c r="AH243" s="270">
        <f t="shared" ref="AH243:AH255" si="206">X243-AA243</f>
        <v>0</v>
      </c>
      <c r="AI243" s="220">
        <f t="shared" ref="AI243:AI255" si="207">X243-AD243</f>
        <v>0</v>
      </c>
      <c r="AJ243" s="269">
        <f t="shared" ref="AJ243:AJ255" si="208">X243-AG243</f>
        <v>0</v>
      </c>
      <c r="AK243" s="101"/>
      <c r="AL243" s="204">
        <v>0</v>
      </c>
      <c r="AM243" s="210">
        <v>0</v>
      </c>
    </row>
    <row r="244" spans="18:39" ht="24.75" customHeight="1">
      <c r="R244" s="31"/>
      <c r="S244" s="311" t="str">
        <f>+IF(MAYO!S244=0,"",MAYO!S244)</f>
        <v>8002100-2</v>
      </c>
      <c r="T244" s="548" t="s">
        <v>350</v>
      </c>
      <c r="U244" s="373">
        <f>+ENERO!U245</f>
        <v>0</v>
      </c>
      <c r="V244" s="220">
        <f>MAYO!V244+JUNIO!AL244</f>
        <v>0</v>
      </c>
      <c r="W244" s="220">
        <f>MAYO!W244+JUNIO!AM244</f>
        <v>0</v>
      </c>
      <c r="X244" s="271">
        <f t="shared" si="202"/>
        <v>0</v>
      </c>
      <c r="Y244" s="270">
        <f>MAYO!AA244</f>
        <v>0</v>
      </c>
      <c r="Z244" s="208">
        <v>0</v>
      </c>
      <c r="AA244" s="271">
        <f t="shared" si="203"/>
        <v>0</v>
      </c>
      <c r="AB244" s="270">
        <f>MAYO!AD244</f>
        <v>0</v>
      </c>
      <c r="AC244" s="208">
        <v>0</v>
      </c>
      <c r="AD244" s="271">
        <f t="shared" si="204"/>
        <v>0</v>
      </c>
      <c r="AE244" s="270">
        <f>MAYO!AG244</f>
        <v>0</v>
      </c>
      <c r="AF244" s="208">
        <v>0</v>
      </c>
      <c r="AG244" s="271">
        <f t="shared" si="205"/>
        <v>0</v>
      </c>
      <c r="AH244" s="270">
        <f t="shared" si="206"/>
        <v>0</v>
      </c>
      <c r="AI244" s="220">
        <f t="shared" si="207"/>
        <v>0</v>
      </c>
      <c r="AJ244" s="269">
        <f t="shared" si="208"/>
        <v>0</v>
      </c>
      <c r="AK244" s="101"/>
      <c r="AL244" s="204">
        <v>0</v>
      </c>
      <c r="AM244" s="210">
        <v>0</v>
      </c>
    </row>
    <row r="245" spans="18:39" ht="24.75" customHeight="1">
      <c r="R245" s="31"/>
      <c r="S245" s="311" t="str">
        <f>+IF(MAYO!S245=0,"",MAYO!S245)</f>
        <v>8002100-3</v>
      </c>
      <c r="T245" s="312" t="str">
        <f>+IF(MAYO!T245=0,"",MAYO!T245)</f>
        <v>Adquisicion de Equipos de Computo</v>
      </c>
      <c r="U245" s="373">
        <f>+ENERO!U246</f>
        <v>0</v>
      </c>
      <c r="V245" s="220">
        <f>MAYO!V245+JUNIO!AL245</f>
        <v>0</v>
      </c>
      <c r="W245" s="220">
        <f>MAYO!W245+JUNIO!AM245</f>
        <v>0</v>
      </c>
      <c r="X245" s="271">
        <f t="shared" si="202"/>
        <v>0</v>
      </c>
      <c r="Y245" s="270">
        <f>MAYO!AA245</f>
        <v>0</v>
      </c>
      <c r="Z245" s="208">
        <v>0</v>
      </c>
      <c r="AA245" s="271">
        <f t="shared" si="203"/>
        <v>0</v>
      </c>
      <c r="AB245" s="270">
        <f>MAYO!AD245</f>
        <v>0</v>
      </c>
      <c r="AC245" s="208">
        <v>0</v>
      </c>
      <c r="AD245" s="271">
        <f t="shared" si="204"/>
        <v>0</v>
      </c>
      <c r="AE245" s="270">
        <f>MAYO!AG245</f>
        <v>0</v>
      </c>
      <c r="AF245" s="208">
        <v>0</v>
      </c>
      <c r="AG245" s="271">
        <f t="shared" si="205"/>
        <v>0</v>
      </c>
      <c r="AH245" s="270">
        <f t="shared" si="206"/>
        <v>0</v>
      </c>
      <c r="AI245" s="220">
        <f t="shared" si="207"/>
        <v>0</v>
      </c>
      <c r="AJ245" s="269">
        <f t="shared" si="208"/>
        <v>0</v>
      </c>
      <c r="AK245" s="101"/>
      <c r="AL245" s="204">
        <v>0</v>
      </c>
      <c r="AM245" s="210">
        <v>0</v>
      </c>
    </row>
    <row r="246" spans="18:39" ht="24.75" customHeight="1">
      <c r="R246" s="31"/>
      <c r="S246" s="311" t="str">
        <f>+IF(MAYO!S246=0,"",MAYO!S246)</f>
        <v>8002100-4</v>
      </c>
      <c r="T246" s="312" t="s">
        <v>491</v>
      </c>
      <c r="U246" s="373">
        <f>+ENERO!U247</f>
        <v>0</v>
      </c>
      <c r="V246" s="220">
        <f>MAYO!V246+JUNIO!AL246</f>
        <v>0</v>
      </c>
      <c r="W246" s="220">
        <f>MAYO!W246+JUNIO!AM246</f>
        <v>0</v>
      </c>
      <c r="X246" s="271">
        <f t="shared" si="202"/>
        <v>0</v>
      </c>
      <c r="Y246" s="270">
        <f>MAYO!AA246</f>
        <v>0</v>
      </c>
      <c r="Z246" s="208">
        <v>0</v>
      </c>
      <c r="AA246" s="271">
        <f t="shared" si="203"/>
        <v>0</v>
      </c>
      <c r="AB246" s="270">
        <f>MAYO!AD246</f>
        <v>0</v>
      </c>
      <c r="AC246" s="208">
        <v>0</v>
      </c>
      <c r="AD246" s="271">
        <f t="shared" si="204"/>
        <v>0</v>
      </c>
      <c r="AE246" s="270">
        <f>MAYO!AG246</f>
        <v>0</v>
      </c>
      <c r="AF246" s="208">
        <v>0</v>
      </c>
      <c r="AG246" s="271">
        <f t="shared" si="205"/>
        <v>0</v>
      </c>
      <c r="AH246" s="270">
        <f t="shared" si="206"/>
        <v>0</v>
      </c>
      <c r="AI246" s="220">
        <f t="shared" si="207"/>
        <v>0</v>
      </c>
      <c r="AJ246" s="269">
        <f t="shared" si="208"/>
        <v>0</v>
      </c>
      <c r="AK246" s="101"/>
      <c r="AL246" s="204">
        <v>0</v>
      </c>
      <c r="AM246" s="210">
        <v>0</v>
      </c>
    </row>
    <row r="247" spans="18:39" ht="24.75" customHeight="1">
      <c r="R247" s="31"/>
      <c r="S247" s="311" t="str">
        <f>+IF(MAYO!S247=0,"",MAYO!S247)</f>
        <v>8002100-5</v>
      </c>
      <c r="T247" s="312" t="str">
        <f>+IF(MAYO!T247=0,"",MAYO!T247)</f>
        <v>Programas Especial 04</v>
      </c>
      <c r="U247" s="373">
        <f>+ENERO!U248</f>
        <v>0</v>
      </c>
      <c r="V247" s="220">
        <f>MAYO!V247+JUNIO!AL247</f>
        <v>0</v>
      </c>
      <c r="W247" s="220">
        <f>MAYO!W247+JUNIO!AM247</f>
        <v>0</v>
      </c>
      <c r="X247" s="271">
        <f t="shared" si="202"/>
        <v>0</v>
      </c>
      <c r="Y247" s="270">
        <f>MAYO!AA247</f>
        <v>0</v>
      </c>
      <c r="Z247" s="208">
        <v>0</v>
      </c>
      <c r="AA247" s="271">
        <f t="shared" si="203"/>
        <v>0</v>
      </c>
      <c r="AB247" s="270">
        <f>MAYO!AD247</f>
        <v>0</v>
      </c>
      <c r="AC247" s="208">
        <v>0</v>
      </c>
      <c r="AD247" s="271">
        <f t="shared" si="204"/>
        <v>0</v>
      </c>
      <c r="AE247" s="270">
        <f>MAYO!AG247</f>
        <v>0</v>
      </c>
      <c r="AF247" s="208">
        <v>0</v>
      </c>
      <c r="AG247" s="271">
        <f t="shared" si="205"/>
        <v>0</v>
      </c>
      <c r="AH247" s="270">
        <f t="shared" si="206"/>
        <v>0</v>
      </c>
      <c r="AI247" s="220">
        <f t="shared" si="207"/>
        <v>0</v>
      </c>
      <c r="AJ247" s="269">
        <f t="shared" si="208"/>
        <v>0</v>
      </c>
      <c r="AK247" s="101"/>
      <c r="AL247" s="204">
        <v>0</v>
      </c>
      <c r="AM247" s="210">
        <v>0</v>
      </c>
    </row>
    <row r="248" spans="18:39" ht="24.75" customHeight="1">
      <c r="R248" s="31"/>
      <c r="S248" s="311" t="str">
        <f>+IF(MAYO!S248=0,"",MAYO!S248)</f>
        <v>8002100-6</v>
      </c>
      <c r="T248" s="312" t="str">
        <f>+IF(MAYO!T248=0,"",MAYO!T248)</f>
        <v>Programas Especial 05</v>
      </c>
      <c r="U248" s="373">
        <f>+ENERO!U249</f>
        <v>0</v>
      </c>
      <c r="V248" s="220">
        <f>MAYO!V248+JUNIO!AL248</f>
        <v>0</v>
      </c>
      <c r="W248" s="220">
        <f>MAYO!W248+JUNIO!AM248</f>
        <v>0</v>
      </c>
      <c r="X248" s="271">
        <f t="shared" si="202"/>
        <v>0</v>
      </c>
      <c r="Y248" s="270">
        <f>MAYO!AA248</f>
        <v>0</v>
      </c>
      <c r="Z248" s="208">
        <v>0</v>
      </c>
      <c r="AA248" s="271">
        <f t="shared" si="203"/>
        <v>0</v>
      </c>
      <c r="AB248" s="270">
        <f>MAYO!AD248</f>
        <v>0</v>
      </c>
      <c r="AC248" s="208">
        <v>0</v>
      </c>
      <c r="AD248" s="271">
        <f t="shared" si="204"/>
        <v>0</v>
      </c>
      <c r="AE248" s="270">
        <f>MAYO!AG248</f>
        <v>0</v>
      </c>
      <c r="AF248" s="208">
        <v>0</v>
      </c>
      <c r="AG248" s="271">
        <f t="shared" si="205"/>
        <v>0</v>
      </c>
      <c r="AH248" s="270">
        <f t="shared" si="206"/>
        <v>0</v>
      </c>
      <c r="AI248" s="220">
        <f t="shared" si="207"/>
        <v>0</v>
      </c>
      <c r="AJ248" s="269">
        <f t="shared" si="208"/>
        <v>0</v>
      </c>
      <c r="AK248" s="101"/>
      <c r="AL248" s="204">
        <v>0</v>
      </c>
      <c r="AM248" s="210">
        <v>0</v>
      </c>
    </row>
    <row r="249" spans="18:39" ht="24.75" customHeight="1">
      <c r="R249" s="31"/>
      <c r="S249" s="311" t="str">
        <f>+IF(MAYO!S249=0,"",MAYO!S249)</f>
        <v>8002100-7</v>
      </c>
      <c r="T249" s="312" t="str">
        <f>+IF(MAYO!T249=0,"",MAYO!T249)</f>
        <v>Programas Especial 06</v>
      </c>
      <c r="U249" s="373">
        <f>+ENERO!U250</f>
        <v>0</v>
      </c>
      <c r="V249" s="220">
        <f>MAYO!V249+JUNIO!AL249</f>
        <v>0</v>
      </c>
      <c r="W249" s="220">
        <f>MAYO!W249+JUNIO!AM249</f>
        <v>0</v>
      </c>
      <c r="X249" s="271">
        <f t="shared" si="202"/>
        <v>0</v>
      </c>
      <c r="Y249" s="270">
        <f>MAYO!AA249</f>
        <v>0</v>
      </c>
      <c r="Z249" s="208">
        <v>0</v>
      </c>
      <c r="AA249" s="271">
        <f t="shared" si="203"/>
        <v>0</v>
      </c>
      <c r="AB249" s="270">
        <f>MAYO!AD249</f>
        <v>0</v>
      </c>
      <c r="AC249" s="208">
        <v>0</v>
      </c>
      <c r="AD249" s="271">
        <f t="shared" si="204"/>
        <v>0</v>
      </c>
      <c r="AE249" s="270">
        <f>MAYO!AG249</f>
        <v>0</v>
      </c>
      <c r="AF249" s="208">
        <v>0</v>
      </c>
      <c r="AG249" s="271">
        <f t="shared" si="205"/>
        <v>0</v>
      </c>
      <c r="AH249" s="270">
        <f t="shared" si="206"/>
        <v>0</v>
      </c>
      <c r="AI249" s="220">
        <f t="shared" si="207"/>
        <v>0</v>
      </c>
      <c r="AJ249" s="269">
        <f t="shared" si="208"/>
        <v>0</v>
      </c>
      <c r="AK249" s="101"/>
      <c r="AL249" s="204">
        <v>0</v>
      </c>
      <c r="AM249" s="210">
        <v>0</v>
      </c>
    </row>
    <row r="250" spans="18:39" ht="24.75" customHeight="1">
      <c r="R250" s="31"/>
      <c r="S250" s="311" t="str">
        <f>+IF(MAYO!S250=0,"",MAYO!S250)</f>
        <v>8002100-8</v>
      </c>
      <c r="T250" s="312" t="str">
        <f>+IF(MAYO!T250=0,"",MAYO!T250)</f>
        <v>Programas Especial 07</v>
      </c>
      <c r="U250" s="373">
        <f>+ENERO!U251</f>
        <v>0</v>
      </c>
      <c r="V250" s="220">
        <f>MAYO!V250+JUNIO!AL250</f>
        <v>0</v>
      </c>
      <c r="W250" s="220">
        <f>MAYO!W250+JUNIO!AM250</f>
        <v>0</v>
      </c>
      <c r="X250" s="271">
        <f t="shared" si="202"/>
        <v>0</v>
      </c>
      <c r="Y250" s="270">
        <f>MAYO!AA250</f>
        <v>0</v>
      </c>
      <c r="Z250" s="208">
        <v>0</v>
      </c>
      <c r="AA250" s="271">
        <f t="shared" si="203"/>
        <v>0</v>
      </c>
      <c r="AB250" s="270">
        <f>MAYO!AD250</f>
        <v>0</v>
      </c>
      <c r="AC250" s="208">
        <v>0</v>
      </c>
      <c r="AD250" s="271">
        <f t="shared" si="204"/>
        <v>0</v>
      </c>
      <c r="AE250" s="270">
        <f>MAYO!AG250</f>
        <v>0</v>
      </c>
      <c r="AF250" s="208">
        <v>0</v>
      </c>
      <c r="AG250" s="271">
        <f t="shared" si="205"/>
        <v>0</v>
      </c>
      <c r="AH250" s="270">
        <f t="shared" si="206"/>
        <v>0</v>
      </c>
      <c r="AI250" s="220">
        <f t="shared" si="207"/>
        <v>0</v>
      </c>
      <c r="AJ250" s="269">
        <f t="shared" si="208"/>
        <v>0</v>
      </c>
      <c r="AK250" s="101"/>
      <c r="AL250" s="204">
        <v>0</v>
      </c>
      <c r="AM250" s="210">
        <v>0</v>
      </c>
    </row>
    <row r="251" spans="18:39" ht="24.75" customHeight="1">
      <c r="R251" s="31"/>
      <c r="S251" s="311" t="str">
        <f>+IF(MAYO!S251=0,"",MAYO!S251)</f>
        <v>8002100-9</v>
      </c>
      <c r="T251" s="312" t="str">
        <f>+IF(MAYO!T251=0,"",MAYO!T251)</f>
        <v>Programas Especial 08</v>
      </c>
      <c r="U251" s="373">
        <f>+ENERO!U252</f>
        <v>0</v>
      </c>
      <c r="V251" s="220">
        <f>MAYO!V251+JUNIO!AL251</f>
        <v>0</v>
      </c>
      <c r="W251" s="220">
        <f>MAYO!W251+JUNIO!AM251</f>
        <v>0</v>
      </c>
      <c r="X251" s="271">
        <f t="shared" si="202"/>
        <v>0</v>
      </c>
      <c r="Y251" s="270">
        <f>MAYO!AA251</f>
        <v>0</v>
      </c>
      <c r="Z251" s="208">
        <v>0</v>
      </c>
      <c r="AA251" s="271">
        <f t="shared" si="203"/>
        <v>0</v>
      </c>
      <c r="AB251" s="270">
        <f>MAYO!AD251</f>
        <v>0</v>
      </c>
      <c r="AC251" s="208">
        <v>0</v>
      </c>
      <c r="AD251" s="271">
        <f t="shared" si="204"/>
        <v>0</v>
      </c>
      <c r="AE251" s="270">
        <f>MAYO!AG251</f>
        <v>0</v>
      </c>
      <c r="AF251" s="208">
        <v>0</v>
      </c>
      <c r="AG251" s="271">
        <f t="shared" si="205"/>
        <v>0</v>
      </c>
      <c r="AH251" s="270">
        <f t="shared" si="206"/>
        <v>0</v>
      </c>
      <c r="AI251" s="220">
        <f t="shared" si="207"/>
        <v>0</v>
      </c>
      <c r="AJ251" s="269">
        <f t="shared" si="208"/>
        <v>0</v>
      </c>
      <c r="AK251" s="101"/>
      <c r="AL251" s="204">
        <v>0</v>
      </c>
      <c r="AM251" s="210">
        <v>0</v>
      </c>
    </row>
    <row r="252" spans="18:39" ht="24.75" customHeight="1">
      <c r="R252" s="31"/>
      <c r="S252" s="311" t="str">
        <f>+IF(MAYO!S252=0,"",MAYO!S252)</f>
        <v>8002100-10</v>
      </c>
      <c r="T252" s="312" t="str">
        <f>+IF(MAYO!T252=0,"",MAYO!T252)</f>
        <v>Programas Especial 09</v>
      </c>
      <c r="U252" s="373">
        <f>+ENERO!U253</f>
        <v>0</v>
      </c>
      <c r="V252" s="220">
        <f>MAYO!V252+JUNIO!AL252</f>
        <v>0</v>
      </c>
      <c r="W252" s="220">
        <f>MAYO!W252+JUNIO!AM252</f>
        <v>0</v>
      </c>
      <c r="X252" s="271">
        <f t="shared" si="202"/>
        <v>0</v>
      </c>
      <c r="Y252" s="270">
        <f>MAYO!AA252</f>
        <v>0</v>
      </c>
      <c r="Z252" s="208">
        <v>0</v>
      </c>
      <c r="AA252" s="271">
        <f t="shared" si="203"/>
        <v>0</v>
      </c>
      <c r="AB252" s="270">
        <f>MAYO!AD252</f>
        <v>0</v>
      </c>
      <c r="AC252" s="208">
        <v>0</v>
      </c>
      <c r="AD252" s="271">
        <f t="shared" si="204"/>
        <v>0</v>
      </c>
      <c r="AE252" s="270">
        <f>MAYO!AG252</f>
        <v>0</v>
      </c>
      <c r="AF252" s="208">
        <v>0</v>
      </c>
      <c r="AG252" s="271">
        <f t="shared" si="205"/>
        <v>0</v>
      </c>
      <c r="AH252" s="270">
        <f t="shared" si="206"/>
        <v>0</v>
      </c>
      <c r="AI252" s="220">
        <f t="shared" si="207"/>
        <v>0</v>
      </c>
      <c r="AJ252" s="269">
        <f t="shared" si="208"/>
        <v>0</v>
      </c>
      <c r="AK252" s="101"/>
      <c r="AL252" s="204">
        <v>0</v>
      </c>
      <c r="AM252" s="210">
        <v>0</v>
      </c>
    </row>
    <row r="253" spans="18:39" ht="24.75" customHeight="1">
      <c r="R253" s="31"/>
      <c r="S253" s="311" t="str">
        <f>+IF(MAYO!S253=0,"",MAYO!S253)</f>
        <v>8002100-11</v>
      </c>
      <c r="T253" s="312" t="str">
        <f>+IF(MAYO!T253=0,"",MAYO!T253)</f>
        <v>Programas Especial 10</v>
      </c>
      <c r="U253" s="373">
        <f>+ENERO!U254</f>
        <v>0</v>
      </c>
      <c r="V253" s="220">
        <f>MAYO!V253+JUNIO!AL253</f>
        <v>0</v>
      </c>
      <c r="W253" s="220">
        <f>MAYO!W253+JUNIO!AM253</f>
        <v>0</v>
      </c>
      <c r="X253" s="271">
        <f t="shared" si="202"/>
        <v>0</v>
      </c>
      <c r="Y253" s="270">
        <f>MAYO!AA253</f>
        <v>0</v>
      </c>
      <c r="Z253" s="208">
        <v>0</v>
      </c>
      <c r="AA253" s="271">
        <f t="shared" si="203"/>
        <v>0</v>
      </c>
      <c r="AB253" s="270">
        <f>MAYO!AD253</f>
        <v>0</v>
      </c>
      <c r="AC253" s="208">
        <v>0</v>
      </c>
      <c r="AD253" s="271">
        <f t="shared" si="204"/>
        <v>0</v>
      </c>
      <c r="AE253" s="270">
        <f>MAYO!AG253</f>
        <v>0</v>
      </c>
      <c r="AF253" s="208">
        <v>0</v>
      </c>
      <c r="AG253" s="271">
        <f t="shared" si="205"/>
        <v>0</v>
      </c>
      <c r="AH253" s="270">
        <f t="shared" si="206"/>
        <v>0</v>
      </c>
      <c r="AI253" s="220">
        <f t="shared" si="207"/>
        <v>0</v>
      </c>
      <c r="AJ253" s="269">
        <f t="shared" si="208"/>
        <v>0</v>
      </c>
      <c r="AK253" s="101"/>
      <c r="AL253" s="204">
        <v>0</v>
      </c>
      <c r="AM253" s="210">
        <v>0</v>
      </c>
    </row>
    <row r="254" spans="18:39" ht="24.75" customHeight="1">
      <c r="R254" s="31"/>
      <c r="S254" s="311" t="str">
        <f>+IF(MAYO!S254=0,"",MAYO!S254)</f>
        <v>8002100-12</v>
      </c>
      <c r="T254" s="312" t="str">
        <f>+IF(MAYO!T254=0,"",MAYO!T254)</f>
        <v>Programas Especial 11</v>
      </c>
      <c r="U254" s="373">
        <f>+ENERO!U255</f>
        <v>0</v>
      </c>
      <c r="V254" s="220">
        <f>MAYO!V254+JUNIO!AL254</f>
        <v>0</v>
      </c>
      <c r="W254" s="220">
        <f>MAYO!W254+JUNIO!AM254</f>
        <v>0</v>
      </c>
      <c r="X254" s="271">
        <f t="shared" si="202"/>
        <v>0</v>
      </c>
      <c r="Y254" s="270">
        <f>MAYO!AA254</f>
        <v>0</v>
      </c>
      <c r="Z254" s="208">
        <v>0</v>
      </c>
      <c r="AA254" s="271">
        <f t="shared" si="203"/>
        <v>0</v>
      </c>
      <c r="AB254" s="270">
        <f>MAYO!AD254</f>
        <v>0</v>
      </c>
      <c r="AC254" s="208">
        <v>0</v>
      </c>
      <c r="AD254" s="271">
        <f t="shared" si="204"/>
        <v>0</v>
      </c>
      <c r="AE254" s="270">
        <f>MAYO!AG254</f>
        <v>0</v>
      </c>
      <c r="AF254" s="208">
        <v>0</v>
      </c>
      <c r="AG254" s="271">
        <f t="shared" si="205"/>
        <v>0</v>
      </c>
      <c r="AH254" s="270">
        <f t="shared" si="206"/>
        <v>0</v>
      </c>
      <c r="AI254" s="220">
        <f t="shared" si="207"/>
        <v>0</v>
      </c>
      <c r="AJ254" s="269">
        <f t="shared" si="208"/>
        <v>0</v>
      </c>
      <c r="AK254" s="101"/>
      <c r="AL254" s="204">
        <v>0</v>
      </c>
      <c r="AM254" s="210">
        <v>0</v>
      </c>
    </row>
    <row r="255" spans="18:39" ht="24.75" customHeight="1" thickBot="1">
      <c r="R255" s="101" t="s">
        <v>688</v>
      </c>
      <c r="S255" s="499" t="str">
        <f>+IF(MAYO!S255=0,"",MAYO!S255)</f>
        <v>2.3.2.01.01.99</v>
      </c>
      <c r="T255" s="500" t="str">
        <f>+IF(MAYO!T255=0,"",MAYO!T255)</f>
        <v>Vigencias Anteriores Activos Fijos</v>
      </c>
      <c r="U255" s="547">
        <f>+ENERO!U256</f>
        <v>0</v>
      </c>
      <c r="V255" s="468">
        <f>MAYO!V255+JUNIO!AL255</f>
        <v>0</v>
      </c>
      <c r="W255" s="468">
        <f>MAYO!W255+JUNIO!AM255</f>
        <v>0</v>
      </c>
      <c r="X255" s="471">
        <f t="shared" si="202"/>
        <v>0</v>
      </c>
      <c r="Y255" s="470">
        <f>MAYO!AA255</f>
        <v>0</v>
      </c>
      <c r="Z255" s="246">
        <v>0</v>
      </c>
      <c r="AA255" s="471">
        <f t="shared" si="203"/>
        <v>0</v>
      </c>
      <c r="AB255" s="470">
        <f>MAYO!AD255</f>
        <v>0</v>
      </c>
      <c r="AC255" s="246">
        <v>0</v>
      </c>
      <c r="AD255" s="471">
        <f t="shared" si="204"/>
        <v>0</v>
      </c>
      <c r="AE255" s="470">
        <f>MAYO!AG255</f>
        <v>0</v>
      </c>
      <c r="AF255" s="246">
        <v>0</v>
      </c>
      <c r="AG255" s="471">
        <f t="shared" si="205"/>
        <v>0</v>
      </c>
      <c r="AH255" s="470">
        <f t="shared" si="206"/>
        <v>0</v>
      </c>
      <c r="AI255" s="468">
        <f t="shared" si="207"/>
        <v>0</v>
      </c>
      <c r="AJ255" s="469">
        <f t="shared" si="208"/>
        <v>0</v>
      </c>
      <c r="AK255" s="101"/>
      <c r="AL255" s="242">
        <v>0</v>
      </c>
      <c r="AM255" s="248">
        <v>0</v>
      </c>
    </row>
    <row r="256" spans="18:39" ht="24.75" customHeight="1" thickBot="1">
      <c r="R256" s="31"/>
      <c r="S256" s="480" t="str">
        <f>+IF(MAYO!S256=0,"",MAYO!S256)</f>
        <v/>
      </c>
      <c r="T256" s="481" t="str">
        <f>+IF(MAYO!T256=0,"",MAYO!T256)</f>
        <v/>
      </c>
      <c r="U256" s="482"/>
      <c r="V256" s="482"/>
      <c r="W256" s="482"/>
      <c r="X256" s="482"/>
      <c r="Y256" s="482"/>
      <c r="Z256" s="482"/>
      <c r="AA256" s="482"/>
      <c r="AB256" s="482"/>
      <c r="AC256" s="482"/>
      <c r="AD256" s="482"/>
      <c r="AE256" s="482"/>
      <c r="AF256" s="482"/>
      <c r="AG256" s="482"/>
      <c r="AH256" s="482"/>
      <c r="AI256" s="482"/>
      <c r="AJ256" s="484"/>
      <c r="AK256" s="216"/>
      <c r="AL256" s="501"/>
      <c r="AM256" s="502"/>
    </row>
    <row r="257" spans="18:39" ht="24.75" customHeight="1" thickBot="1">
      <c r="R257" s="31"/>
      <c r="S257" s="503" t="s">
        <v>342</v>
      </c>
      <c r="T257" s="504" t="s">
        <v>197</v>
      </c>
      <c r="U257" s="136">
        <f t="shared" ref="U257:AJ257" si="209">+(C10+C17+C113)-(U10+U192+U219+U231)</f>
        <v>0.30987548828125</v>
      </c>
      <c r="V257" s="136">
        <f t="shared" si="209"/>
        <v>0</v>
      </c>
      <c r="W257" s="136">
        <f t="shared" si="209"/>
        <v>0</v>
      </c>
      <c r="X257" s="136">
        <f t="shared" si="209"/>
        <v>0.30987548828125</v>
      </c>
      <c r="Y257" s="136">
        <f t="shared" si="209"/>
        <v>-11194306113</v>
      </c>
      <c r="Z257" s="136">
        <f t="shared" si="209"/>
        <v>15414827522</v>
      </c>
      <c r="AA257" s="136">
        <f t="shared" si="209"/>
        <v>4220521409</v>
      </c>
      <c r="AB257" s="136">
        <f t="shared" si="209"/>
        <v>-29301572540</v>
      </c>
      <c r="AC257" s="136">
        <f t="shared" si="209"/>
        <v>-1040574783</v>
      </c>
      <c r="AD257" s="136">
        <f t="shared" si="209"/>
        <v>-30342147323</v>
      </c>
      <c r="AE257" s="136">
        <f t="shared" si="209"/>
        <v>-1308318479.5234909</v>
      </c>
      <c r="AF257" s="136">
        <f t="shared" si="209"/>
        <v>98525690439.976517</v>
      </c>
      <c r="AG257" s="136">
        <f t="shared" si="209"/>
        <v>-71010703370.5</v>
      </c>
      <c r="AH257" s="136">
        <f t="shared" si="209"/>
        <v>-60754161943.166664</v>
      </c>
      <c r="AI257" s="136">
        <f t="shared" si="209"/>
        <v>-81352287473.166656</v>
      </c>
      <c r="AJ257" s="505" t="e">
        <f t="shared" si="209"/>
        <v>#VALUE!</v>
      </c>
      <c r="AK257" s="101"/>
      <c r="AL257" s="134">
        <v>0</v>
      </c>
      <c r="AM257" s="135">
        <v>0</v>
      </c>
    </row>
    <row r="258" spans="18:39" ht="24.75" customHeight="1" thickBot="1">
      <c r="R258" s="31"/>
      <c r="S258" s="1326"/>
      <c r="T258" s="1327"/>
      <c r="U258" s="506"/>
      <c r="V258" s="506"/>
      <c r="W258" s="506"/>
      <c r="X258" s="506"/>
      <c r="Y258" s="506"/>
      <c r="Z258" s="506"/>
      <c r="AA258" s="506"/>
      <c r="AB258" s="506"/>
      <c r="AC258" s="506"/>
      <c r="AD258" s="506"/>
      <c r="AE258" s="506"/>
      <c r="AF258" s="506"/>
      <c r="AG258" s="506"/>
      <c r="AH258" s="506"/>
      <c r="AI258" s="506"/>
      <c r="AJ258" s="507"/>
      <c r="AK258" s="216"/>
      <c r="AL258" s="508">
        <f>+SUMIF(AK8:AK255,AK33,AL8:AL255)</f>
        <v>0</v>
      </c>
      <c r="AM258" s="509">
        <f>+SUMIF(AL8:AL255,AL33,AM8:AM255)</f>
        <v>0</v>
      </c>
    </row>
    <row r="259" spans="18:39" ht="24.75" customHeight="1" thickBot="1">
      <c r="R259" s="31"/>
      <c r="S259" s="510" t="s">
        <v>343</v>
      </c>
      <c r="T259" s="511"/>
      <c r="U259" s="512">
        <f t="shared" ref="U259:AJ259" si="210">+U8-U261</f>
        <v>135355804552.9446</v>
      </c>
      <c r="V259" s="512">
        <f t="shared" si="210"/>
        <v>-4241258168</v>
      </c>
      <c r="W259" s="512">
        <f t="shared" si="210"/>
        <v>25474600357</v>
      </c>
      <c r="X259" s="512">
        <f t="shared" si="210"/>
        <v>156589146741.94461</v>
      </c>
      <c r="Y259" s="512">
        <f t="shared" si="210"/>
        <v>95300772303</v>
      </c>
      <c r="Z259" s="512">
        <f t="shared" si="210"/>
        <v>4630583672</v>
      </c>
      <c r="AA259" s="512">
        <f t="shared" si="210"/>
        <v>99931355975</v>
      </c>
      <c r="AB259" s="512">
        <f t="shared" si="210"/>
        <v>64747212409</v>
      </c>
      <c r="AC259" s="512">
        <f t="shared" si="210"/>
        <v>14592218036</v>
      </c>
      <c r="AD259" s="512">
        <f t="shared" si="210"/>
        <v>79339430445</v>
      </c>
      <c r="AE259" s="512">
        <f t="shared" si="210"/>
        <v>30956147140</v>
      </c>
      <c r="AF259" s="512">
        <f t="shared" si="210"/>
        <v>12940770821.5</v>
      </c>
      <c r="AG259" s="512">
        <f t="shared" si="210"/>
        <v>43896917961.5</v>
      </c>
      <c r="AH259" s="512">
        <f t="shared" si="210"/>
        <v>56657790766.944611</v>
      </c>
      <c r="AI259" s="512">
        <f t="shared" si="210"/>
        <v>77249716296.944595</v>
      </c>
      <c r="AJ259" s="513">
        <f t="shared" si="210"/>
        <v>112692228780.4446</v>
      </c>
      <c r="AK259" s="216"/>
      <c r="AL259" s="67"/>
      <c r="AM259" s="67"/>
    </row>
    <row r="260" spans="18:39" ht="24.75" customHeight="1" thickBot="1">
      <c r="R260" s="31"/>
      <c r="S260" s="514"/>
      <c r="T260" s="515"/>
      <c r="U260" s="516"/>
      <c r="V260" s="516"/>
      <c r="W260" s="516"/>
      <c r="X260" s="516"/>
      <c r="Y260" s="516"/>
      <c r="Z260" s="516"/>
      <c r="AA260" s="516"/>
      <c r="AB260" s="516"/>
      <c r="AC260" s="516"/>
      <c r="AD260" s="516"/>
      <c r="AE260" s="516"/>
      <c r="AF260" s="516"/>
      <c r="AG260" s="516"/>
      <c r="AH260" s="516"/>
      <c r="AI260" s="516"/>
      <c r="AJ260" s="517"/>
      <c r="AK260" s="36"/>
      <c r="AL260" s="31"/>
      <c r="AM260" s="31"/>
    </row>
    <row r="261" spans="18:39" ht="24.75" customHeight="1" thickBot="1">
      <c r="R261" s="31"/>
      <c r="S261" s="518" t="s">
        <v>344</v>
      </c>
      <c r="T261" s="519"/>
      <c r="U261" s="660">
        <f>SUM(U255+U240+U229+U224+U217+U206+U190+U181+U153+U139+U121+U108+U102+U88+U81+U61+U55+U41+U33+U166)</f>
        <v>22787348584.222057</v>
      </c>
      <c r="V261" s="660">
        <f t="shared" ref="V261:AJ261" si="211">SUM(V255+V240+V229+V224+V217+V206+V190+V181+V153+V139+V121+V108+V102+V88+V81+V61+V55+V41+V33+V166)</f>
        <v>4241258168</v>
      </c>
      <c r="W261" s="660">
        <f t="shared" si="211"/>
        <v>4187780035</v>
      </c>
      <c r="X261" s="660">
        <f t="shared" si="211"/>
        <v>31216386787.222057</v>
      </c>
      <c r="Y261" s="660">
        <f t="shared" si="211"/>
        <v>26892042076</v>
      </c>
      <c r="Z261" s="660">
        <f t="shared" si="211"/>
        <v>227973535</v>
      </c>
      <c r="AA261" s="660">
        <f t="shared" si="211"/>
        <v>27120015611</v>
      </c>
      <c r="AB261" s="660">
        <f t="shared" si="211"/>
        <v>26885842076</v>
      </c>
      <c r="AC261" s="660">
        <f t="shared" si="211"/>
        <v>227973535</v>
      </c>
      <c r="AD261" s="660">
        <f>SUM(AD255+AD240+AD229+AD224+AD217+AD206+AD190+AD181+AD153+AD139+AD121+AD108+AD102+AD88+AD81+AD61+AD55+AD41+AD33+AD166)</f>
        <v>27113815611</v>
      </c>
      <c r="AE261" s="660">
        <f t="shared" si="211"/>
        <v>26885811874</v>
      </c>
      <c r="AF261" s="660">
        <f t="shared" si="211"/>
        <v>227973535</v>
      </c>
      <c r="AG261" s="660">
        <f t="shared" si="211"/>
        <v>27113785409</v>
      </c>
      <c r="AH261" s="660">
        <f t="shared" si="211"/>
        <v>4096371176.2220573</v>
      </c>
      <c r="AI261" s="660">
        <f t="shared" si="211"/>
        <v>4102571176.2220573</v>
      </c>
      <c r="AJ261" s="660">
        <f t="shared" si="211"/>
        <v>4102601378.2220573</v>
      </c>
      <c r="AK261" s="36"/>
      <c r="AL261" s="31"/>
      <c r="AM261" s="31"/>
    </row>
    <row r="262" spans="18:39" ht="24.75" customHeight="1" thickBot="1">
      <c r="R262" s="31"/>
      <c r="S262" s="514"/>
      <c r="T262" s="515"/>
      <c r="U262" s="515"/>
      <c r="V262" s="516"/>
      <c r="W262" s="516"/>
      <c r="X262" s="516"/>
      <c r="Y262" s="516"/>
      <c r="Z262" s="516"/>
      <c r="AA262" s="516"/>
      <c r="AB262" s="516"/>
      <c r="AC262" s="516"/>
      <c r="AD262" s="516"/>
      <c r="AE262" s="516"/>
      <c r="AF262" s="516"/>
      <c r="AG262" s="516"/>
      <c r="AH262" s="516"/>
      <c r="AI262" s="516"/>
      <c r="AJ262" s="516"/>
      <c r="AK262" s="36"/>
      <c r="AL262" s="31"/>
      <c r="AM262" s="31"/>
    </row>
    <row r="263" spans="18:39" ht="24.75" customHeight="1" thickBot="1">
      <c r="R263" s="31"/>
      <c r="S263" s="520" t="s">
        <v>345</v>
      </c>
      <c r="T263" s="521"/>
      <c r="U263" s="522">
        <f t="shared" ref="U263:AJ263" si="212">+U259+U261</f>
        <v>158143153137.16666</v>
      </c>
      <c r="V263" s="522">
        <f t="shared" si="212"/>
        <v>0</v>
      </c>
      <c r="W263" s="522">
        <f t="shared" si="212"/>
        <v>29662380392</v>
      </c>
      <c r="X263" s="522">
        <f t="shared" si="212"/>
        <v>187805533529.16666</v>
      </c>
      <c r="Y263" s="522">
        <f t="shared" si="212"/>
        <v>122192814379</v>
      </c>
      <c r="Z263" s="522">
        <f t="shared" si="212"/>
        <v>4858557207</v>
      </c>
      <c r="AA263" s="522">
        <f t="shared" si="212"/>
        <v>127051371586</v>
      </c>
      <c r="AB263" s="522">
        <f t="shared" si="212"/>
        <v>91633054485</v>
      </c>
      <c r="AC263" s="522">
        <f t="shared" si="212"/>
        <v>14820191571</v>
      </c>
      <c r="AD263" s="522">
        <f t="shared" si="212"/>
        <v>106453246056</v>
      </c>
      <c r="AE263" s="522">
        <f t="shared" si="212"/>
        <v>57841959014</v>
      </c>
      <c r="AF263" s="522">
        <f t="shared" si="212"/>
        <v>13168744356.5</v>
      </c>
      <c r="AG263" s="522">
        <f t="shared" si="212"/>
        <v>71010703370.5</v>
      </c>
      <c r="AH263" s="522">
        <f t="shared" si="212"/>
        <v>60754161943.166672</v>
      </c>
      <c r="AI263" s="522">
        <f t="shared" si="212"/>
        <v>81352287473.166656</v>
      </c>
      <c r="AJ263" s="523">
        <f t="shared" si="212"/>
        <v>116794830158.66666</v>
      </c>
      <c r="AK263" s="36"/>
      <c r="AL263" s="31"/>
      <c r="AM263" s="31"/>
    </row>
  </sheetData>
  <autoFilter ref="T1:T999" xr:uid="{00000000-0009-0000-0000-000006000000}"/>
  <mergeCells count="55">
    <mergeCell ref="BN5:BQ5"/>
    <mergeCell ref="BC5:BE5"/>
    <mergeCell ref="BF5:BF6"/>
    <mergeCell ref="BH5:BK5"/>
    <mergeCell ref="BL5:BL6"/>
    <mergeCell ref="BM5:BM6"/>
    <mergeCell ref="A1:B1"/>
    <mergeCell ref="C1:J1"/>
    <mergeCell ref="K1:N1"/>
    <mergeCell ref="L2:M2"/>
    <mergeCell ref="P2:Q2"/>
    <mergeCell ref="BG2:BI2"/>
    <mergeCell ref="BM2:BO2"/>
    <mergeCell ref="D2:E2"/>
    <mergeCell ref="D3:E4"/>
    <mergeCell ref="A5:A6"/>
    <mergeCell ref="B5:B6"/>
    <mergeCell ref="C5:F5"/>
    <mergeCell ref="V2:X2"/>
    <mergeCell ref="B3:B4"/>
    <mergeCell ref="V3:X4"/>
    <mergeCell ref="AP3:AZ3"/>
    <mergeCell ref="BB3:BC3"/>
    <mergeCell ref="BG3:BI3"/>
    <mergeCell ref="BM3:BO3"/>
    <mergeCell ref="AW4:AZ4"/>
    <mergeCell ref="S5:S6"/>
    <mergeCell ref="Y2:AG2"/>
    <mergeCell ref="AH2:AI2"/>
    <mergeCell ref="AL2:AM2"/>
    <mergeCell ref="AP2:AZ2"/>
    <mergeCell ref="BB2:BC2"/>
    <mergeCell ref="S258:T258"/>
    <mergeCell ref="AM3:AM5"/>
    <mergeCell ref="AW19:AZ19"/>
    <mergeCell ref="AW35:AX35"/>
    <mergeCell ref="N3:N4"/>
    <mergeCell ref="T3:T4"/>
    <mergeCell ref="Y3:AG4"/>
    <mergeCell ref="AH3:AI4"/>
    <mergeCell ref="AJ3:AJ4"/>
    <mergeCell ref="AL3:AL5"/>
    <mergeCell ref="AH5:AJ5"/>
    <mergeCell ref="T5:T6"/>
    <mergeCell ref="U5:X5"/>
    <mergeCell ref="Y5:AA5"/>
    <mergeCell ref="AB5:AD5"/>
    <mergeCell ref="AE5:AG5"/>
    <mergeCell ref="F3:K4"/>
    <mergeCell ref="L3:M4"/>
    <mergeCell ref="P3:P5"/>
    <mergeCell ref="Q3:Q5"/>
    <mergeCell ref="G5:I5"/>
    <mergeCell ref="J5:L5"/>
    <mergeCell ref="M5:N5"/>
  </mergeCells>
  <conditionalFormatting sqref="B5:B7">
    <cfRule type="expression" dxfId="6" priority="1" stopIfTrue="1">
      <formula>$B$5="OJO - RECUERDE RECAUDAR LA DISPONIBLIDAD INICIAL EN ESTE TRIMESTRE, haga clik en H9 para ampliar la información"</formula>
    </cfRule>
  </conditionalFormatting>
  <printOptions horizontalCentered="1" verticalCentered="1"/>
  <pageMargins left="0.59055118110236227" right="0.59055118110236227" top="0.43307086614173229" bottom="0.39370078740157483" header="0" footer="0"/>
  <pageSetup paperSize="14" scale="50" orientation="landscape" r:id="rId1"/>
  <headerFooter>
    <oddFooter>&amp;CPágina &amp;P de</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Q263"/>
  <sheetViews>
    <sheetView showGridLines="0" topLeftCell="Z248" zoomScaleNormal="100" workbookViewId="0">
      <selection activeCell="AF263" sqref="AF263"/>
    </sheetView>
  </sheetViews>
  <sheetFormatPr baseColWidth="10" defaultColWidth="14.42578125" defaultRowHeight="15" customHeight="1"/>
  <cols>
    <col min="1" max="1" width="34" customWidth="1"/>
    <col min="2" max="2" width="50.42578125" customWidth="1"/>
    <col min="3" max="3" width="16.5703125" customWidth="1"/>
    <col min="4" max="4" width="16.140625" customWidth="1"/>
    <col min="5" max="5" width="14.42578125" customWidth="1"/>
    <col min="6" max="6" width="15.42578125" customWidth="1"/>
    <col min="7" max="7" width="15.28515625" customWidth="1"/>
    <col min="8" max="8" width="17.140625" customWidth="1"/>
    <col min="9" max="9" width="15.7109375" customWidth="1"/>
    <col min="10" max="10" width="16.28515625" customWidth="1"/>
    <col min="11" max="11" width="18.140625" customWidth="1"/>
    <col min="12" max="12" width="14.42578125" customWidth="1"/>
    <col min="13" max="14" width="16.7109375" customWidth="1"/>
    <col min="15" max="15" width="2.85546875" customWidth="1"/>
    <col min="16" max="17" width="23.7109375" customWidth="1"/>
    <col min="18" max="18" width="5.42578125" customWidth="1"/>
    <col min="19" max="19" width="27.7109375" customWidth="1"/>
    <col min="20" max="20" width="60.140625" customWidth="1"/>
    <col min="21" max="21" width="18.42578125" customWidth="1"/>
    <col min="22" max="22" width="17" customWidth="1"/>
    <col min="23" max="23" width="14.7109375" customWidth="1"/>
    <col min="24" max="24" width="16.42578125" customWidth="1"/>
    <col min="25" max="25" width="19.140625" customWidth="1"/>
    <col min="26" max="26" width="14.7109375" customWidth="1"/>
    <col min="27" max="27" width="19.5703125" customWidth="1"/>
    <col min="28" max="29" width="17.28515625" customWidth="1"/>
    <col min="30" max="31" width="17.85546875" customWidth="1"/>
    <col min="32" max="32" width="16.7109375" customWidth="1"/>
    <col min="33" max="33" width="18.28515625" customWidth="1"/>
    <col min="34" max="34" width="19" customWidth="1"/>
    <col min="35" max="36" width="19.28515625" customWidth="1"/>
    <col min="37" max="37" width="8.85546875" customWidth="1"/>
    <col min="38" max="39" width="23.7109375" customWidth="1"/>
    <col min="40" max="40" width="4.85546875" customWidth="1"/>
    <col min="41" max="41" width="12.28515625" customWidth="1"/>
    <col min="42" max="42" width="50.140625" customWidth="1"/>
    <col min="43" max="45" width="16.85546875" customWidth="1"/>
    <col min="46" max="46" width="12.7109375" customWidth="1"/>
    <col min="47" max="47" width="27.42578125" customWidth="1"/>
    <col min="48" max="48" width="25" customWidth="1"/>
    <col min="49" max="52" width="16.85546875" customWidth="1"/>
    <col min="53" max="53" width="11" customWidth="1"/>
    <col min="54" max="54" width="65.140625" customWidth="1"/>
    <col min="55" max="57" width="18.85546875" customWidth="1"/>
    <col min="58" max="58" width="17.140625" customWidth="1"/>
    <col min="59" max="59" width="72.7109375" customWidth="1"/>
    <col min="60" max="63" width="17.5703125" customWidth="1"/>
    <col min="64" max="64" width="14.140625" customWidth="1"/>
    <col min="65" max="65" width="76" customWidth="1"/>
    <col min="66" max="66" width="19.7109375" customWidth="1"/>
    <col min="67" max="67" width="22.28515625" customWidth="1"/>
    <col min="68" max="68" width="17.140625" customWidth="1"/>
    <col min="69" max="69" width="18.140625" customWidth="1"/>
    <col min="70" max="70" width="11" customWidth="1"/>
  </cols>
  <sheetData>
    <row r="1" spans="1:69" ht="24.75" customHeight="1" thickBot="1">
      <c r="A1" s="1447"/>
      <c r="B1" s="1366"/>
      <c r="C1" s="1448"/>
      <c r="D1" s="1365"/>
      <c r="E1" s="1365"/>
      <c r="F1" s="1365"/>
      <c r="G1" s="1365"/>
      <c r="H1" s="1365"/>
      <c r="I1" s="1365"/>
      <c r="J1" s="1366"/>
      <c r="K1" s="1364" t="str">
        <f>+IF(L8&gt;I8,"OJO - SUS RECAUDOS SON SUPERIORES A SUS RECONOCIMIENTOS, VERIFIQUE","")</f>
        <v/>
      </c>
      <c r="L1" s="1365"/>
      <c r="M1" s="1365"/>
      <c r="N1" s="1366"/>
      <c r="O1" s="31"/>
      <c r="P1" s="32"/>
      <c r="Q1" s="32"/>
      <c r="R1" s="31"/>
      <c r="S1" s="33"/>
      <c r="T1" s="34"/>
      <c r="U1" s="35" t="str">
        <f>+IF(AA8&gt;X8,"OJO - HA COMPROMETIDO MUCHO MAS DE LO QUE TIENE PRESUPUESTADO","")</f>
        <v/>
      </c>
      <c r="V1" s="31"/>
      <c r="W1" s="31"/>
      <c r="X1" s="35"/>
      <c r="Y1" s="35" t="str">
        <f>+IF(AD8&gt;AA8,"OJO - SUS OBLIGACIONES SUPERAN SUS COMPROMISOS, VERIFIQUE","")</f>
        <v/>
      </c>
      <c r="Z1" s="31"/>
      <c r="AA1" s="31"/>
      <c r="AB1" s="31"/>
      <c r="AC1" s="35" t="str">
        <f>+IF(AG8&gt;AD8,"OJO - SUS PAGOS NO PUEDEN SUPERAR SUS OBLIGACIONES, VERIFIQUE","")</f>
        <v/>
      </c>
      <c r="AD1" s="31"/>
      <c r="AE1" s="31"/>
      <c r="AF1" s="31"/>
      <c r="AG1" s="31"/>
      <c r="AH1" s="31"/>
      <c r="AI1" s="31"/>
      <c r="AJ1" s="31"/>
      <c r="AK1" s="36"/>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r="2" spans="1:69" ht="53.25" customHeight="1" thickBot="1">
      <c r="A2" s="524"/>
      <c r="B2" s="45" t="str">
        <f>+ENERO!B2</f>
        <v>SECRETARIA SECCIONAL DE SALUD Y PROTECCION SOCIAL DE ANTIOQUIA DE ANTIOQUIA</v>
      </c>
      <c r="C2" s="39"/>
      <c r="D2" s="1346" t="str">
        <f>+IF(F2="","","MUNICIPIO:")</f>
        <v>MUNICIPIO:</v>
      </c>
      <c r="E2" s="1327"/>
      <c r="F2" s="40" t="str">
        <f>IF(INSTRUCCIONES!B3=0,"",INSTRUCCIONES!B3)</f>
        <v>BELLO</v>
      </c>
      <c r="G2" s="41"/>
      <c r="H2" s="41"/>
      <c r="I2" s="41"/>
      <c r="J2" s="41"/>
      <c r="K2" s="42"/>
      <c r="L2" s="1368" t="s">
        <v>37</v>
      </c>
      <c r="M2" s="1340"/>
      <c r="N2" s="43" t="s">
        <v>38</v>
      </c>
      <c r="O2" s="31"/>
      <c r="P2" s="1341" t="s">
        <v>346</v>
      </c>
      <c r="Q2" s="1338"/>
      <c r="R2" s="31"/>
      <c r="S2" s="44"/>
      <c r="T2" s="45" t="str">
        <f>+ENERO!T2</f>
        <v>SECRETARIA SECCIONAL DE SALUD Y PROTECCION SOCIAL DE ANTIOQUIA DE ANTIOQUIA</v>
      </c>
      <c r="U2" s="39"/>
      <c r="V2" s="1369" t="str">
        <f>+IF(Y2="","","M U N I C I P I O:")</f>
        <v>M U N I C I P I O:</v>
      </c>
      <c r="W2" s="1337"/>
      <c r="X2" s="1327"/>
      <c r="Y2" s="1336" t="str">
        <f>IF(INSTRUCCIONES!B3=0,"",INSTRUCCIONES!B3)</f>
        <v>BELLO</v>
      </c>
      <c r="Z2" s="1337"/>
      <c r="AA2" s="1337"/>
      <c r="AB2" s="1337"/>
      <c r="AC2" s="1337"/>
      <c r="AD2" s="1337"/>
      <c r="AE2" s="1337"/>
      <c r="AF2" s="1337"/>
      <c r="AG2" s="1338"/>
      <c r="AH2" s="1339" t="s">
        <v>37</v>
      </c>
      <c r="AI2" s="1340"/>
      <c r="AJ2" s="43" t="s">
        <v>38</v>
      </c>
      <c r="AK2" s="36"/>
      <c r="AL2" s="1341" t="s">
        <v>346</v>
      </c>
      <c r="AM2" s="1338"/>
      <c r="AN2" s="31"/>
      <c r="AO2" s="46">
        <v>7</v>
      </c>
      <c r="AP2" s="1342" t="s">
        <v>40</v>
      </c>
      <c r="AQ2" s="1322"/>
      <c r="AR2" s="1322"/>
      <c r="AS2" s="1322"/>
      <c r="AT2" s="1322"/>
      <c r="AU2" s="1322"/>
      <c r="AV2" s="1322"/>
      <c r="AW2" s="1322"/>
      <c r="AX2" s="1322"/>
      <c r="AY2" s="1322"/>
      <c r="AZ2" s="1323"/>
      <c r="BA2" s="31"/>
      <c r="BB2" s="1341" t="s">
        <v>41</v>
      </c>
      <c r="BC2" s="1327"/>
      <c r="BD2" s="47" t="s">
        <v>37</v>
      </c>
      <c r="BE2" s="43" t="str">
        <f>+L3</f>
        <v>JULIO</v>
      </c>
      <c r="BF2" s="35"/>
      <c r="BG2" s="1341" t="s">
        <v>42</v>
      </c>
      <c r="BH2" s="1337"/>
      <c r="BI2" s="1327"/>
      <c r="BJ2" s="47" t="s">
        <v>37</v>
      </c>
      <c r="BK2" s="43" t="str">
        <f>+BE2</f>
        <v>JULIO</v>
      </c>
      <c r="BL2" s="31"/>
      <c r="BM2" s="1343" t="s">
        <v>42</v>
      </c>
      <c r="BN2" s="1344"/>
      <c r="BO2" s="1345"/>
      <c r="BP2" s="732" t="s">
        <v>37</v>
      </c>
      <c r="BQ2" s="733" t="str">
        <f>+BK2</f>
        <v>JULIO</v>
      </c>
    </row>
    <row r="3" spans="1:69" ht="24.75" customHeight="1" thickBot="1">
      <c r="A3" s="525"/>
      <c r="B3" s="1332" t="s">
        <v>43</v>
      </c>
      <c r="C3" s="49"/>
      <c r="D3" s="1347" t="str">
        <f>+IF(F3="","","INSTITUCION:")</f>
        <v>INSTITUCION:</v>
      </c>
      <c r="E3" s="1348"/>
      <c r="F3" s="1308" t="str">
        <f>IF(INSTRUCCIONES!B5=0,"",INSTRUCCIONES!B5)</f>
        <v>ESE HOSPITAL MARCO FIDEL SUAREZ</v>
      </c>
      <c r="G3" s="1309"/>
      <c r="H3" s="1309"/>
      <c r="I3" s="1309"/>
      <c r="J3" s="1309"/>
      <c r="K3" s="1310"/>
      <c r="L3" s="1312" t="s">
        <v>379</v>
      </c>
      <c r="M3" s="1313"/>
      <c r="N3" s="1331">
        <f>SUM(ENERO!N3)</f>
        <v>2025</v>
      </c>
      <c r="O3" s="31"/>
      <c r="P3" s="1315" t="s">
        <v>380</v>
      </c>
      <c r="Q3" s="1318" t="s">
        <v>381</v>
      </c>
      <c r="R3" s="31"/>
      <c r="S3" s="50"/>
      <c r="T3" s="1332" t="s">
        <v>47</v>
      </c>
      <c r="U3" s="51"/>
      <c r="V3" s="1357" t="str">
        <f>+IF(Y3="","","E.S.E. H O S P I T A L:")</f>
        <v>E.S.E. H O S P I T A L:</v>
      </c>
      <c r="W3" s="1309"/>
      <c r="X3" s="1348"/>
      <c r="Y3" s="1308" t="str">
        <f>IF(INSTRUCCIONES!B5=0,"",INSTRUCCIONES!B5)</f>
        <v>ESE HOSPITAL MARCO FIDEL SUAREZ</v>
      </c>
      <c r="Z3" s="1309"/>
      <c r="AA3" s="1309"/>
      <c r="AB3" s="1309"/>
      <c r="AC3" s="1309"/>
      <c r="AD3" s="1309"/>
      <c r="AE3" s="1309"/>
      <c r="AF3" s="1309"/>
      <c r="AG3" s="1310"/>
      <c r="AH3" s="1334" t="str">
        <f>+L3</f>
        <v>JULIO</v>
      </c>
      <c r="AI3" s="1313"/>
      <c r="AJ3" s="1331">
        <f>SUM(N3)</f>
        <v>2025</v>
      </c>
      <c r="AK3" s="36"/>
      <c r="AL3" s="1315" t="s">
        <v>382</v>
      </c>
      <c r="AM3" s="1318" t="s">
        <v>383</v>
      </c>
      <c r="AN3" s="31"/>
      <c r="AO3" s="52"/>
      <c r="AP3" s="1373" t="s">
        <v>50</v>
      </c>
      <c r="AQ3" s="1374"/>
      <c r="AR3" s="1374"/>
      <c r="AS3" s="1374"/>
      <c r="AT3" s="1374"/>
      <c r="AU3" s="1374"/>
      <c r="AV3" s="1374"/>
      <c r="AW3" s="1374"/>
      <c r="AX3" s="1374"/>
      <c r="AY3" s="1374"/>
      <c r="AZ3" s="1375"/>
      <c r="BA3" s="31"/>
      <c r="BB3" s="1376" t="str">
        <f>+CONCATENATE(INSTRUCCIONES!B5, " - ", INSTRUCCIONES!B3)</f>
        <v>ESE HOSPITAL MARCO FIDEL SUAREZ - BELLO</v>
      </c>
      <c r="BC3" s="1377"/>
      <c r="BD3" s="53" t="s">
        <v>38</v>
      </c>
      <c r="BE3" s="54">
        <f>+N3</f>
        <v>2025</v>
      </c>
      <c r="BF3" s="55" t="s">
        <v>51</v>
      </c>
      <c r="BG3" s="1376" t="str">
        <f>+CONCATENATE(INSTRUCCIONES!B5, " - ", INSTRUCCIONES!B3)</f>
        <v>ESE HOSPITAL MARCO FIDEL SUAREZ - BELLO</v>
      </c>
      <c r="BH3" s="1378"/>
      <c r="BI3" s="1377"/>
      <c r="BJ3" s="53" t="s">
        <v>38</v>
      </c>
      <c r="BK3" s="54">
        <f>+BE3</f>
        <v>2025</v>
      </c>
      <c r="BL3" s="31"/>
      <c r="BM3" s="1379" t="str">
        <f>+CONCATENATE(INSTRUCCIONES!B5, " - ", INSTRUCCIONES!B3)</f>
        <v>ESE HOSPITAL MARCO FIDEL SUAREZ - BELLO</v>
      </c>
      <c r="BN3" s="1380"/>
      <c r="BO3" s="1381"/>
      <c r="BP3" s="53" t="s">
        <v>38</v>
      </c>
      <c r="BQ3" s="734">
        <f>+BK3</f>
        <v>2025</v>
      </c>
    </row>
    <row r="4" spans="1:69" ht="24.75" customHeight="1" thickBot="1">
      <c r="A4" s="525"/>
      <c r="B4" s="1363"/>
      <c r="C4" s="56"/>
      <c r="D4" s="1311"/>
      <c r="E4" s="1349"/>
      <c r="F4" s="1311"/>
      <c r="G4" s="1295"/>
      <c r="H4" s="1295"/>
      <c r="I4" s="1295"/>
      <c r="J4" s="1295"/>
      <c r="K4" s="1296"/>
      <c r="L4" s="1300"/>
      <c r="M4" s="1314"/>
      <c r="N4" s="1320"/>
      <c r="O4" s="31"/>
      <c r="P4" s="1316"/>
      <c r="Q4" s="1319"/>
      <c r="R4" s="31"/>
      <c r="S4" s="50"/>
      <c r="T4" s="1333"/>
      <c r="U4" s="56"/>
      <c r="V4" s="1311"/>
      <c r="W4" s="1295"/>
      <c r="X4" s="1349"/>
      <c r="Y4" s="1311"/>
      <c r="Z4" s="1295"/>
      <c r="AA4" s="1295"/>
      <c r="AB4" s="1295"/>
      <c r="AC4" s="1295"/>
      <c r="AD4" s="1295"/>
      <c r="AE4" s="1295"/>
      <c r="AF4" s="1295"/>
      <c r="AG4" s="1296"/>
      <c r="AH4" s="1311"/>
      <c r="AI4" s="1314"/>
      <c r="AJ4" s="1320"/>
      <c r="AK4" s="36"/>
      <c r="AL4" s="1316"/>
      <c r="AM4" s="1319"/>
      <c r="AN4" s="31"/>
      <c r="AO4" s="52"/>
      <c r="AP4" s="57"/>
      <c r="AQ4" s="58" t="s">
        <v>52</v>
      </c>
      <c r="AR4" s="58" t="s">
        <v>53</v>
      </c>
      <c r="AS4" s="58" t="s">
        <v>54</v>
      </c>
      <c r="AT4" s="58" t="s">
        <v>55</v>
      </c>
      <c r="AU4" s="58" t="s">
        <v>55</v>
      </c>
      <c r="AV4" s="59" t="s">
        <v>55</v>
      </c>
      <c r="AW4" s="1382" t="str">
        <f>+CONCATENATE("PROYECCION A DICIEMBRE 31 DEL ",N3)</f>
        <v>PROYECCION A DICIEMBRE 31 DEL 2025</v>
      </c>
      <c r="AX4" s="1374"/>
      <c r="AY4" s="1374"/>
      <c r="AZ4" s="1375"/>
      <c r="BA4" s="31"/>
      <c r="BB4" s="60"/>
      <c r="BC4" s="61"/>
      <c r="BD4" s="61"/>
      <c r="BE4" s="63"/>
      <c r="BF4" s="64"/>
      <c r="BG4" s="60"/>
      <c r="BH4" s="61"/>
      <c r="BI4" s="61"/>
      <c r="BJ4" s="62"/>
      <c r="BK4" s="65"/>
      <c r="BL4" s="66"/>
      <c r="BM4" s="735"/>
      <c r="BN4" s="736"/>
      <c r="BO4" s="737"/>
      <c r="BP4" s="737"/>
      <c r="BQ4" s="738"/>
    </row>
    <row r="5" spans="1:69" ht="42" customHeight="1" thickTop="1" thickBot="1">
      <c r="A5" s="1446" t="s">
        <v>56</v>
      </c>
      <c r="B5" s="1359" t="s">
        <v>61</v>
      </c>
      <c r="C5" s="1354" t="s">
        <v>57</v>
      </c>
      <c r="D5" s="1322"/>
      <c r="E5" s="1322"/>
      <c r="F5" s="1323"/>
      <c r="G5" s="1321" t="s">
        <v>384</v>
      </c>
      <c r="H5" s="1322"/>
      <c r="I5" s="1323"/>
      <c r="J5" s="1324" t="str">
        <f>+IF(L8&gt;I8,"OJO - RECAUDOS MAYORES QUE RECONOCIMIENTOS","RECAUDO")</f>
        <v>RECAUDO</v>
      </c>
      <c r="K5" s="1322"/>
      <c r="L5" s="1323"/>
      <c r="M5" s="1325" t="s">
        <v>59</v>
      </c>
      <c r="N5" s="1323"/>
      <c r="O5" s="31"/>
      <c r="P5" s="1317"/>
      <c r="Q5" s="1320"/>
      <c r="R5" s="31"/>
      <c r="S5" s="1358" t="s">
        <v>60</v>
      </c>
      <c r="T5" s="1359" t="s">
        <v>61</v>
      </c>
      <c r="U5" s="1360" t="s">
        <v>57</v>
      </c>
      <c r="V5" s="1322"/>
      <c r="W5" s="1322"/>
      <c r="X5" s="1323"/>
      <c r="Y5" s="1335" t="s">
        <v>385</v>
      </c>
      <c r="Z5" s="1322"/>
      <c r="AA5" s="1340"/>
      <c r="AB5" s="1335" t="s">
        <v>386</v>
      </c>
      <c r="AC5" s="1322"/>
      <c r="AD5" s="1323"/>
      <c r="AE5" s="1335" t="s">
        <v>34</v>
      </c>
      <c r="AF5" s="1322"/>
      <c r="AG5" s="1323"/>
      <c r="AH5" s="1335" t="s">
        <v>64</v>
      </c>
      <c r="AI5" s="1322"/>
      <c r="AJ5" s="1323"/>
      <c r="AK5" s="36"/>
      <c r="AL5" s="1317"/>
      <c r="AM5" s="1320"/>
      <c r="AN5" s="31"/>
      <c r="AO5" s="68"/>
      <c r="AP5" s="69" t="s">
        <v>65</v>
      </c>
      <c r="AQ5" s="58"/>
      <c r="AR5" s="58" t="s">
        <v>66</v>
      </c>
      <c r="AS5" s="58" t="s">
        <v>66</v>
      </c>
      <c r="AT5" s="58" t="s">
        <v>67</v>
      </c>
      <c r="AU5" s="58" t="s">
        <v>68</v>
      </c>
      <c r="AV5" s="58" t="s">
        <v>68</v>
      </c>
      <c r="AW5" s="58" t="s">
        <v>23</v>
      </c>
      <c r="AX5" s="58" t="s">
        <v>26</v>
      </c>
      <c r="AY5" s="58" t="s">
        <v>69</v>
      </c>
      <c r="AZ5" s="70" t="s">
        <v>69</v>
      </c>
      <c r="BA5" s="31"/>
      <c r="BB5" s="71" t="s">
        <v>70</v>
      </c>
      <c r="BC5" s="1445" t="str">
        <f>+CONCATENATE("ACUMULADO ",N3)</f>
        <v>ACUMULADO 2025</v>
      </c>
      <c r="BD5" s="1322"/>
      <c r="BE5" s="1323"/>
      <c r="BF5" s="1440" t="s">
        <v>352</v>
      </c>
      <c r="BG5" s="549" t="s">
        <v>71</v>
      </c>
      <c r="BH5" s="1361" t="str">
        <f>+CONCATENATE("ACUMULADO ",N3)</f>
        <v>ACUMULADO 2025</v>
      </c>
      <c r="BI5" s="1322"/>
      <c r="BJ5" s="1322"/>
      <c r="BK5" s="1442"/>
      <c r="BL5" s="1443" t="s">
        <v>353</v>
      </c>
      <c r="BM5" s="1384" t="s">
        <v>71</v>
      </c>
      <c r="BN5" s="1370" t="str">
        <f>+CONCATENATE("ACUMULADO ",BQ3)</f>
        <v>ACUMULADO 2025</v>
      </c>
      <c r="BO5" s="1371"/>
      <c r="BP5" s="1371"/>
      <c r="BQ5" s="1372"/>
    </row>
    <row r="6" spans="1:69" ht="32.25" customHeight="1" thickBot="1">
      <c r="A6" s="1398"/>
      <c r="B6" s="1401"/>
      <c r="C6" s="76" t="s">
        <v>72</v>
      </c>
      <c r="D6" s="77" t="s">
        <v>73</v>
      </c>
      <c r="E6" s="77" t="s">
        <v>74</v>
      </c>
      <c r="F6" s="78" t="s">
        <v>75</v>
      </c>
      <c r="G6" s="76" t="s">
        <v>76</v>
      </c>
      <c r="H6" s="77" t="s">
        <v>77</v>
      </c>
      <c r="I6" s="78" t="s">
        <v>78</v>
      </c>
      <c r="J6" s="76" t="s">
        <v>76</v>
      </c>
      <c r="K6" s="77" t="s">
        <v>77</v>
      </c>
      <c r="L6" s="78" t="s">
        <v>78</v>
      </c>
      <c r="M6" s="76" t="s">
        <v>79</v>
      </c>
      <c r="N6" s="78" t="s">
        <v>80</v>
      </c>
      <c r="O6" s="31"/>
      <c r="P6" s="79" t="s">
        <v>39</v>
      </c>
      <c r="Q6" s="80" t="s">
        <v>82</v>
      </c>
      <c r="R6" s="31"/>
      <c r="S6" s="1317"/>
      <c r="T6" s="1320"/>
      <c r="U6" s="81" t="s">
        <v>72</v>
      </c>
      <c r="V6" s="82" t="s">
        <v>73</v>
      </c>
      <c r="W6" s="82" t="s">
        <v>74</v>
      </c>
      <c r="X6" s="83" t="s">
        <v>75</v>
      </c>
      <c r="Y6" s="84" t="s">
        <v>76</v>
      </c>
      <c r="Z6" s="82" t="s">
        <v>77</v>
      </c>
      <c r="AA6" s="82" t="s">
        <v>78</v>
      </c>
      <c r="AB6" s="84" t="s">
        <v>76</v>
      </c>
      <c r="AC6" s="82" t="s">
        <v>77</v>
      </c>
      <c r="AD6" s="82" t="s">
        <v>78</v>
      </c>
      <c r="AE6" s="84" t="s">
        <v>76</v>
      </c>
      <c r="AF6" s="82" t="s">
        <v>77</v>
      </c>
      <c r="AG6" s="82" t="s">
        <v>78</v>
      </c>
      <c r="AH6" s="84" t="s">
        <v>29</v>
      </c>
      <c r="AI6" s="82" t="s">
        <v>31</v>
      </c>
      <c r="AJ6" s="83" t="s">
        <v>34</v>
      </c>
      <c r="AK6" s="36"/>
      <c r="AL6" s="76" t="s">
        <v>39</v>
      </c>
      <c r="AM6" s="78" t="s">
        <v>82</v>
      </c>
      <c r="AN6" s="31"/>
      <c r="AO6" s="85"/>
      <c r="AP6" s="86"/>
      <c r="AQ6" s="87" t="s">
        <v>75</v>
      </c>
      <c r="AR6" s="87" t="str">
        <f>+L3</f>
        <v>JULIO</v>
      </c>
      <c r="AS6" s="87" t="str">
        <f>AR6</f>
        <v>JULIO</v>
      </c>
      <c r="AT6" s="87" t="str">
        <f>AR6</f>
        <v>JULIO</v>
      </c>
      <c r="AU6" s="87" t="s">
        <v>53</v>
      </c>
      <c r="AV6" s="87" t="s">
        <v>26</v>
      </c>
      <c r="AW6" s="87"/>
      <c r="AX6" s="87"/>
      <c r="AY6" s="87" t="s">
        <v>53</v>
      </c>
      <c r="AZ6" s="88" t="s">
        <v>26</v>
      </c>
      <c r="BA6" s="31"/>
      <c r="BB6" s="89"/>
      <c r="BC6" s="90" t="s">
        <v>83</v>
      </c>
      <c r="BD6" s="91" t="s">
        <v>84</v>
      </c>
      <c r="BE6" s="92" t="s">
        <v>85</v>
      </c>
      <c r="BF6" s="1441"/>
      <c r="BG6" s="550"/>
      <c r="BH6" s="551" t="s">
        <v>83</v>
      </c>
      <c r="BI6" s="551" t="s">
        <v>86</v>
      </c>
      <c r="BJ6" s="551" t="s">
        <v>87</v>
      </c>
      <c r="BK6" s="552" t="s">
        <v>88</v>
      </c>
      <c r="BL6" s="1444"/>
      <c r="BM6" s="1385"/>
      <c r="BN6" s="96" t="s">
        <v>83</v>
      </c>
      <c r="BO6" s="739" t="s">
        <v>86</v>
      </c>
      <c r="BP6" s="739" t="s">
        <v>87</v>
      </c>
      <c r="BQ6" s="740" t="s">
        <v>88</v>
      </c>
    </row>
    <row r="7" spans="1:69" ht="24.75" customHeight="1" thickBot="1">
      <c r="A7" s="526"/>
      <c r="B7" s="103"/>
      <c r="C7" s="104"/>
      <c r="D7" s="104"/>
      <c r="E7" s="104"/>
      <c r="F7" s="104"/>
      <c r="G7" s="104"/>
      <c r="H7" s="104"/>
      <c r="I7" s="104"/>
      <c r="J7" s="104"/>
      <c r="K7" s="104"/>
      <c r="L7" s="104"/>
      <c r="M7" s="104"/>
      <c r="N7" s="105"/>
      <c r="O7" s="31"/>
      <c r="P7" s="527"/>
      <c r="Q7" s="105"/>
      <c r="R7" s="101"/>
      <c r="S7" s="102"/>
      <c r="T7" s="103"/>
      <c r="U7" s="104"/>
      <c r="V7" s="104"/>
      <c r="W7" s="104"/>
      <c r="X7" s="104"/>
      <c r="Y7" s="104"/>
      <c r="Z7" s="104"/>
      <c r="AA7" s="104"/>
      <c r="AB7" s="104"/>
      <c r="AC7" s="104"/>
      <c r="AD7" s="104"/>
      <c r="AE7" s="104"/>
      <c r="AF7" s="104"/>
      <c r="AG7" s="104"/>
      <c r="AH7" s="104"/>
      <c r="AI7" s="104"/>
      <c r="AJ7" s="105"/>
      <c r="AK7" s="36"/>
      <c r="AL7" s="106"/>
      <c r="AM7" s="107"/>
      <c r="AN7" s="101"/>
      <c r="AO7" s="108"/>
      <c r="AP7" s="109" t="s">
        <v>89</v>
      </c>
      <c r="AQ7" s="110">
        <f>F22</f>
        <v>56030749893.586876</v>
      </c>
      <c r="AR7" s="110">
        <f>I22</f>
        <v>53508565930</v>
      </c>
      <c r="AS7" s="110">
        <f>L22</f>
        <v>33030670834</v>
      </c>
      <c r="AT7" s="101"/>
      <c r="AU7" s="111">
        <f t="shared" ref="AU7:AU17" si="0">IF(AQ7=0," ",AR7/AQ7)</f>
        <v>0.9549857182283481</v>
      </c>
      <c r="AV7" s="111">
        <f t="shared" ref="AV7:AV17" si="1">IF(AQ7=0," ",AS7/AQ7)</f>
        <v>0.58950970488047316</v>
      </c>
      <c r="AW7" s="110">
        <f>I23/AO$2*12+I24</f>
        <v>82076797962.142853</v>
      </c>
      <c r="AX7" s="110">
        <f>L23/AO$2*12+L24</f>
        <v>46971834940.428574</v>
      </c>
      <c r="AY7" s="110">
        <f t="shared" ref="AY7:AY16" si="2">AW7-AQ7</f>
        <v>26046048068.555977</v>
      </c>
      <c r="AZ7" s="112">
        <f t="shared" ref="AZ7:AZ16" si="3">AX7-AQ7</f>
        <v>-9058914953.1583023</v>
      </c>
      <c r="BA7" s="101"/>
      <c r="BB7" s="113" t="s">
        <v>90</v>
      </c>
      <c r="BC7" s="114">
        <f>F10</f>
        <v>1179477265</v>
      </c>
      <c r="BD7" s="115">
        <f>I10</f>
        <v>1179477265</v>
      </c>
      <c r="BE7" s="116">
        <f>K10</f>
        <v>0</v>
      </c>
      <c r="BF7" s="553">
        <f>MARZO!BF7+ABRIL!BE7+MAYO!BE7+JUNIO!BE7</f>
        <v>1179477265</v>
      </c>
      <c r="BG7" s="227" t="s">
        <v>91</v>
      </c>
      <c r="BH7" s="554">
        <f>+SUM(BH8:BH11)</f>
        <v>96199401860.611267</v>
      </c>
      <c r="BI7" s="554">
        <f>+SUM(BI8:BI11)</f>
        <v>79108905198</v>
      </c>
      <c r="BJ7" s="554">
        <f>+SUM(BJ8:BJ11)</f>
        <v>55252801711</v>
      </c>
      <c r="BK7" s="554">
        <f>+SUM(BK8:BK11)</f>
        <v>8683748272</v>
      </c>
      <c r="BL7" s="555">
        <f>+BK7+MAYO!BK7+ABRIL!BK7+MARZO!BL7</f>
        <v>26954928216</v>
      </c>
      <c r="BM7" s="741" t="s">
        <v>91</v>
      </c>
      <c r="BN7" s="121">
        <f>BN8+BN15+BN22</f>
        <v>96199401860.611282</v>
      </c>
      <c r="BO7" s="121">
        <f>BO8+BO15+BO22</f>
        <v>79108905198</v>
      </c>
      <c r="BP7" s="121">
        <f>BP8+BP15+BP22</f>
        <v>55252801711</v>
      </c>
      <c r="BQ7" s="121">
        <f>BQ8+BQ15+BQ22</f>
        <v>8683748272</v>
      </c>
    </row>
    <row r="8" spans="1:69" ht="24.75" customHeight="1" thickBot="1">
      <c r="A8" s="123">
        <f>+IF(JUNIO!A8=0,"",JUNIO!A8)</f>
        <v>1</v>
      </c>
      <c r="B8" s="124" t="str">
        <f>+IF(JUNIO!B8=0,"",JUNIO!B8)</f>
        <v>INGRESOS</v>
      </c>
      <c r="C8" s="125">
        <f t="shared" ref="C8:N8" si="4">C10+C17+C113</f>
        <v>158143153137.47653</v>
      </c>
      <c r="D8" s="125">
        <f t="shared" si="4"/>
        <v>0</v>
      </c>
      <c r="E8" s="125">
        <f t="shared" si="4"/>
        <v>29662380392</v>
      </c>
      <c r="F8" s="125">
        <f t="shared" si="4"/>
        <v>187805533529.47653</v>
      </c>
      <c r="G8" s="125">
        <f t="shared" si="4"/>
        <v>131271892995</v>
      </c>
      <c r="H8" s="125">
        <f t="shared" si="4"/>
        <v>16498902548</v>
      </c>
      <c r="I8" s="125">
        <f t="shared" si="4"/>
        <v>147770795543</v>
      </c>
      <c r="J8" s="125">
        <f t="shared" si="4"/>
        <v>76111098733</v>
      </c>
      <c r="K8" s="125">
        <f t="shared" si="4"/>
        <v>11543871470</v>
      </c>
      <c r="L8" s="125">
        <f t="shared" si="4"/>
        <v>87654970203</v>
      </c>
      <c r="M8" s="125">
        <f t="shared" si="4"/>
        <v>40034737986.476517</v>
      </c>
      <c r="N8" s="125">
        <f t="shared" si="4"/>
        <v>100150563326.47652</v>
      </c>
      <c r="O8" s="126"/>
      <c r="P8" s="127">
        <f>P10+P17+P113</f>
        <v>0</v>
      </c>
      <c r="Q8" s="128">
        <f>Q10+Q17+Q113</f>
        <v>0</v>
      </c>
      <c r="R8" s="101"/>
      <c r="S8" s="129" t="str">
        <f>+IF(JUNIO!S8=0,"",JUNIO!S8)</f>
        <v>2</v>
      </c>
      <c r="T8" s="130" t="str">
        <f>+IF(JUNIO!T8=0,"",JUNIO!T8)</f>
        <v>GASTOS</v>
      </c>
      <c r="U8" s="131">
        <f t="shared" ref="U8:AJ8" si="5">U10+U192+U219+U231</f>
        <v>158143153137.16666</v>
      </c>
      <c r="V8" s="132">
        <f t="shared" si="5"/>
        <v>0</v>
      </c>
      <c r="W8" s="132">
        <f t="shared" si="5"/>
        <v>29662380392</v>
      </c>
      <c r="X8" s="133">
        <f t="shared" si="5"/>
        <v>187805533529.16666</v>
      </c>
      <c r="Y8" s="134">
        <f t="shared" si="5"/>
        <v>127051371586</v>
      </c>
      <c r="Z8" s="132">
        <f t="shared" si="5"/>
        <v>30272427765</v>
      </c>
      <c r="AA8" s="133">
        <f t="shared" si="5"/>
        <v>157323799351</v>
      </c>
      <c r="AB8" s="134">
        <f t="shared" si="5"/>
        <v>106453246056</v>
      </c>
      <c r="AC8" s="132">
        <f t="shared" si="5"/>
        <v>13648260300</v>
      </c>
      <c r="AD8" s="133">
        <f t="shared" si="5"/>
        <v>120101506356</v>
      </c>
      <c r="AE8" s="134">
        <f t="shared" si="5"/>
        <v>71010703370.5</v>
      </c>
      <c r="AF8" s="132">
        <f t="shared" si="5"/>
        <v>13075750801</v>
      </c>
      <c r="AG8" s="133">
        <f t="shared" si="5"/>
        <v>84086454171.5</v>
      </c>
      <c r="AH8" s="134">
        <f t="shared" si="5"/>
        <v>30481734178.166664</v>
      </c>
      <c r="AI8" s="132">
        <f t="shared" si="5"/>
        <v>67704027173.166664</v>
      </c>
      <c r="AJ8" s="135">
        <f t="shared" si="5"/>
        <v>103719079357.66666</v>
      </c>
      <c r="AK8" s="101"/>
      <c r="AL8" s="136">
        <f>AL10+AL192+AL219+AL231</f>
        <v>0</v>
      </c>
      <c r="AM8" s="137">
        <f>AM10+AM192+AM219+AM231</f>
        <v>0</v>
      </c>
      <c r="AN8" s="101"/>
      <c r="AO8" s="108"/>
      <c r="AP8" s="109" t="s">
        <v>93</v>
      </c>
      <c r="AQ8" s="138">
        <f>F25</f>
        <v>98449887678</v>
      </c>
      <c r="AR8" s="138">
        <f>I25</f>
        <v>75067580438</v>
      </c>
      <c r="AS8" s="138">
        <f>L25</f>
        <v>42079750854</v>
      </c>
      <c r="AT8" s="101"/>
      <c r="AU8" s="139">
        <f t="shared" si="0"/>
        <v>0.7624953385779728</v>
      </c>
      <c r="AV8" s="139">
        <f t="shared" si="1"/>
        <v>0.4274230458406435</v>
      </c>
      <c r="AW8" s="138">
        <f>I26/AO$2*12+I27</f>
        <v>107903719765.14285</v>
      </c>
      <c r="AX8" s="138">
        <f>L26/AO$2*12+L27</f>
        <v>51353154764</v>
      </c>
      <c r="AY8" s="138">
        <f t="shared" si="2"/>
        <v>9453832087.1428528</v>
      </c>
      <c r="AZ8" s="140">
        <f t="shared" si="3"/>
        <v>-47096732914</v>
      </c>
      <c r="BA8" s="101"/>
      <c r="BB8" s="141" t="s">
        <v>94</v>
      </c>
      <c r="BC8" s="142">
        <f>BC9+BC19</f>
        <v>160562213924.37653</v>
      </c>
      <c r="BD8" s="143">
        <f>BD9+BD19</f>
        <v>101866391685</v>
      </c>
      <c r="BE8" s="142">
        <f>SUM(BE9+BE19+BE18)</f>
        <v>10486237939</v>
      </c>
      <c r="BF8" s="553">
        <f>MARZO!BF8+ABRIL!BE8+MAYO!BE8+JUNIO!BE8</f>
        <v>31282077404</v>
      </c>
      <c r="BG8" s="145" t="s">
        <v>95</v>
      </c>
      <c r="BH8" s="146">
        <f>BN9+BN13</f>
        <v>10326167331.212667</v>
      </c>
      <c r="BI8" s="146">
        <f>BO9+BO13</f>
        <v>4911934888</v>
      </c>
      <c r="BJ8" s="146">
        <f>BP9+BP13</f>
        <v>4911934888</v>
      </c>
      <c r="BK8" s="146">
        <f>BQ9+BQ13</f>
        <v>1085447258</v>
      </c>
      <c r="BL8" s="555">
        <f>+BK8+MAYO!BK8+ABRIL!BK8+MARZO!BL8</f>
        <v>4324339612</v>
      </c>
      <c r="BM8" s="743" t="s">
        <v>96</v>
      </c>
      <c r="BN8" s="148">
        <f>BN9+BN14+BN13</f>
        <v>74813473588.212677</v>
      </c>
      <c r="BO8" s="146">
        <f>BO9+BO14+BO13</f>
        <v>66729503914</v>
      </c>
      <c r="BP8" s="146">
        <f>BP9+BP14+BP13</f>
        <v>46026562749</v>
      </c>
      <c r="BQ8" s="744">
        <f>BQ9+BQ14+BQ13</f>
        <v>7283895458</v>
      </c>
    </row>
    <row r="9" spans="1:69" ht="24.75" customHeight="1" thickBot="1">
      <c r="A9" s="149"/>
      <c r="B9" s="150"/>
      <c r="C9" s="151"/>
      <c r="D9" s="151"/>
      <c r="E9" s="151"/>
      <c r="F9" s="151"/>
      <c r="G9" s="151"/>
      <c r="H9" s="151"/>
      <c r="I9" s="151"/>
      <c r="J9" s="151"/>
      <c r="K9" s="151"/>
      <c r="L9" s="151"/>
      <c r="M9" s="151"/>
      <c r="N9" s="152"/>
      <c r="O9" s="126"/>
      <c r="P9" s="153"/>
      <c r="Q9" s="152"/>
      <c r="R9" s="101"/>
      <c r="S9" s="102"/>
      <c r="T9" s="103"/>
      <c r="U9" s="104"/>
      <c r="V9" s="104"/>
      <c r="W9" s="104"/>
      <c r="X9" s="104"/>
      <c r="Y9" s="104"/>
      <c r="Z9" s="104"/>
      <c r="AA9" s="104"/>
      <c r="AB9" s="104"/>
      <c r="AC9" s="104"/>
      <c r="AD9" s="104"/>
      <c r="AE9" s="104"/>
      <c r="AF9" s="104"/>
      <c r="AG9" s="104"/>
      <c r="AH9" s="104"/>
      <c r="AI9" s="104"/>
      <c r="AJ9" s="105"/>
      <c r="AK9" s="101"/>
      <c r="AL9" s="154"/>
      <c r="AM9" s="155"/>
      <c r="AN9" s="101"/>
      <c r="AO9" s="156"/>
      <c r="AP9" s="109" t="s">
        <v>97</v>
      </c>
      <c r="AQ9" s="138">
        <f>F28+F75</f>
        <v>2299679776</v>
      </c>
      <c r="AR9" s="138">
        <f>I28+I75</f>
        <v>1428143408</v>
      </c>
      <c r="AS9" s="138">
        <f>L28+L75</f>
        <v>1015452235</v>
      </c>
      <c r="AT9" s="101"/>
      <c r="AU9" s="157">
        <f t="shared" si="0"/>
        <v>0.6210183795606854</v>
      </c>
      <c r="AV9" s="157">
        <f t="shared" si="1"/>
        <v>0.4415624495190586</v>
      </c>
      <c r="AW9" s="158">
        <f>(I30+I33+I36+I76)/AO$2*12+I31+I34+I37+I38+I39+I40+I77</f>
        <v>2237641073.7142859</v>
      </c>
      <c r="AX9" s="158">
        <f>(L30+L33+L36+L76)/AO$2*12+L31+L34+L37+L38+L39+L40+L77</f>
        <v>1530170491.4285715</v>
      </c>
      <c r="AY9" s="158">
        <f t="shared" si="2"/>
        <v>-62038702.285714149</v>
      </c>
      <c r="AZ9" s="159">
        <f t="shared" si="3"/>
        <v>-769509284.57142854</v>
      </c>
      <c r="BA9" s="101"/>
      <c r="BB9" s="160" t="s">
        <v>98</v>
      </c>
      <c r="BC9" s="161">
        <f>BC10+BC18</f>
        <v>159649989034.37653</v>
      </c>
      <c r="BD9" s="162">
        <f>BD10+BD18</f>
        <v>100402024274</v>
      </c>
      <c r="BE9" s="161">
        <f>BE10+BE16</f>
        <v>9768801700</v>
      </c>
      <c r="BF9" s="553">
        <f>MARZO!BF9+ABRIL!BE9+MAYO!BE9+JUNIO!BE9</f>
        <v>30552431532</v>
      </c>
      <c r="BG9" s="165" t="s">
        <v>99</v>
      </c>
      <c r="BH9" s="166">
        <f t="shared" ref="BH9:BK10" si="6">BN14</f>
        <v>64487306257</v>
      </c>
      <c r="BI9" s="166">
        <f t="shared" si="6"/>
        <v>61817569026</v>
      </c>
      <c r="BJ9" s="166">
        <f t="shared" si="6"/>
        <v>41114627861</v>
      </c>
      <c r="BK9" s="166">
        <f t="shared" si="6"/>
        <v>6198448200</v>
      </c>
      <c r="BL9" s="555">
        <f>+BK9+MAYO!BK9+ABRIL!BK9+MARZO!BL9</f>
        <v>17073985892</v>
      </c>
      <c r="BM9" s="745" t="s">
        <v>100</v>
      </c>
      <c r="BN9" s="168">
        <f>SUM(BN10:BN12)</f>
        <v>7660515927.916667</v>
      </c>
      <c r="BO9" s="574">
        <f>SUM(BO10:BO12)</f>
        <v>3772771525</v>
      </c>
      <c r="BP9" s="166">
        <f>SUM(BP10:BP12)</f>
        <v>3772771525</v>
      </c>
      <c r="BQ9" s="746">
        <f>SUM(BQ10:BQ12)</f>
        <v>868628092</v>
      </c>
    </row>
    <row r="10" spans="1:69" ht="24.75" customHeight="1">
      <c r="A10" s="169" t="str">
        <f>+IF(JUNIO!A10=0,"",JUNIO!A10)</f>
        <v>1.0</v>
      </c>
      <c r="B10" s="170" t="str">
        <f>+IF(JUNIO!B10=0,"",JUNIO!B10)</f>
        <v>DISPONIBILIDAD INICIAL</v>
      </c>
      <c r="C10" s="171">
        <f t="shared" ref="C10:N10" si="7">SUM(C12:C15)</f>
        <v>0</v>
      </c>
      <c r="D10" s="172">
        <f t="shared" si="7"/>
        <v>0</v>
      </c>
      <c r="E10" s="172">
        <f t="shared" si="7"/>
        <v>1179477265</v>
      </c>
      <c r="F10" s="173">
        <f t="shared" si="7"/>
        <v>1179477265</v>
      </c>
      <c r="G10" s="174">
        <f t="shared" si="7"/>
        <v>1179477265</v>
      </c>
      <c r="H10" s="172">
        <f t="shared" si="7"/>
        <v>0</v>
      </c>
      <c r="I10" s="175">
        <f t="shared" si="7"/>
        <v>1179477265</v>
      </c>
      <c r="J10" s="171">
        <f t="shared" si="7"/>
        <v>1179477265</v>
      </c>
      <c r="K10" s="172">
        <f t="shared" si="7"/>
        <v>0</v>
      </c>
      <c r="L10" s="173">
        <f t="shared" si="7"/>
        <v>1179477265</v>
      </c>
      <c r="M10" s="171">
        <f t="shared" si="7"/>
        <v>0</v>
      </c>
      <c r="N10" s="173">
        <f t="shared" si="7"/>
        <v>0</v>
      </c>
      <c r="O10" s="101"/>
      <c r="P10" s="171">
        <f>SUM(P12:P15)</f>
        <v>0</v>
      </c>
      <c r="Q10" s="173">
        <f>SUM(Q12:Q15)</f>
        <v>0</v>
      </c>
      <c r="R10" s="101"/>
      <c r="S10" s="176" t="str">
        <f>+IF(JUNIO!S10=0,"",JUNIO!S10)</f>
        <v>2.1</v>
      </c>
      <c r="T10" s="177" t="str">
        <f>+IF(JUNIO!T10=0,"",JUNIO!T10)</f>
        <v>GASTOS DE FUNCIONAMIENTO</v>
      </c>
      <c r="U10" s="178">
        <f t="shared" ref="U10:AJ10" si="8">U12+U110+U168</f>
        <v>112528788023.5</v>
      </c>
      <c r="V10" s="179">
        <f t="shared" si="8"/>
        <v>0</v>
      </c>
      <c r="W10" s="179">
        <f t="shared" si="8"/>
        <v>4956877497</v>
      </c>
      <c r="X10" s="182">
        <f t="shared" si="8"/>
        <v>117485665520.5</v>
      </c>
      <c r="Y10" s="181">
        <f t="shared" si="8"/>
        <v>75374578399</v>
      </c>
      <c r="Z10" s="179">
        <f t="shared" si="8"/>
        <v>22654373649</v>
      </c>
      <c r="AA10" s="182">
        <f t="shared" si="8"/>
        <v>98028952048</v>
      </c>
      <c r="AB10" s="181">
        <f t="shared" si="8"/>
        <v>65405515669</v>
      </c>
      <c r="AC10" s="179">
        <f t="shared" si="8"/>
        <v>8767332892</v>
      </c>
      <c r="AD10" s="182">
        <f t="shared" si="8"/>
        <v>74172848561</v>
      </c>
      <c r="AE10" s="181">
        <f t="shared" si="8"/>
        <v>44633028372.5</v>
      </c>
      <c r="AF10" s="179">
        <f t="shared" si="8"/>
        <v>8730654908</v>
      </c>
      <c r="AG10" s="182">
        <f t="shared" si="8"/>
        <v>53363683280.5</v>
      </c>
      <c r="AH10" s="181">
        <f t="shared" si="8"/>
        <v>19456713472.5</v>
      </c>
      <c r="AI10" s="179">
        <f t="shared" si="8"/>
        <v>43312816959.5</v>
      </c>
      <c r="AJ10" s="180">
        <f t="shared" si="8"/>
        <v>64121982240</v>
      </c>
      <c r="AK10" s="101"/>
      <c r="AL10" s="183">
        <f>AL12+AL110+AL168</f>
        <v>0</v>
      </c>
      <c r="AM10" s="184">
        <f>AM12+AM110+AM168</f>
        <v>0</v>
      </c>
      <c r="AN10" s="101"/>
      <c r="AO10" s="156"/>
      <c r="AP10" s="109" t="s">
        <v>102</v>
      </c>
      <c r="AQ10" s="138">
        <f>F42</f>
        <v>287170800</v>
      </c>
      <c r="AR10" s="138">
        <f>I42</f>
        <v>93349271</v>
      </c>
      <c r="AS10" s="138">
        <f>L42</f>
        <v>75044358</v>
      </c>
      <c r="AT10" s="101"/>
      <c r="AU10" s="157">
        <f t="shared" si="0"/>
        <v>0.3250653304583892</v>
      </c>
      <c r="AV10" s="157">
        <f t="shared" si="1"/>
        <v>0.26132308020174755</v>
      </c>
      <c r="AW10" s="158">
        <f>I43/AO$2*12+I44</f>
        <v>115457870.28571428</v>
      </c>
      <c r="AX10" s="158">
        <f>L43/AO$2*12+L44</f>
        <v>84078019.428571433</v>
      </c>
      <c r="AY10" s="158">
        <f t="shared" si="2"/>
        <v>-171712929.71428573</v>
      </c>
      <c r="AZ10" s="159">
        <f t="shared" si="3"/>
        <v>-203092780.57142857</v>
      </c>
      <c r="BA10" s="101"/>
      <c r="BB10" s="185" t="s">
        <v>103</v>
      </c>
      <c r="BC10" s="161">
        <f>BC11+BC12+BC13+BC14+BC16+BC17+BC15</f>
        <v>159649989034.37653</v>
      </c>
      <c r="BD10" s="162">
        <f>BD11+BD12+BD13+BD14+BD16+BD17+BD15</f>
        <v>100402024274</v>
      </c>
      <c r="BE10" s="161">
        <f>SUM(BE11+BE12+BE13+BE14+BE17)</f>
        <v>9650974703</v>
      </c>
      <c r="BF10" s="553">
        <f>MARZO!BF10+ABRIL!BE10+MAYO!BE10+JUNIO!BE10</f>
        <v>24439062842</v>
      </c>
      <c r="BG10" s="145" t="s">
        <v>104</v>
      </c>
      <c r="BH10" s="186">
        <f t="shared" si="6"/>
        <v>18171867687.398609</v>
      </c>
      <c r="BI10" s="186">
        <f t="shared" si="6"/>
        <v>11352517174</v>
      </c>
      <c r="BJ10" s="186">
        <f t="shared" si="6"/>
        <v>8199384752</v>
      </c>
      <c r="BK10" s="186">
        <f t="shared" si="6"/>
        <v>1226776547</v>
      </c>
      <c r="BL10" s="555">
        <f>+BK10+MAYO!BK10+ABRIL!BK10+MARZO!BL10</f>
        <v>4862736553</v>
      </c>
      <c r="BM10" s="747" t="s">
        <v>105</v>
      </c>
      <c r="BN10" s="188">
        <f>X17+X66</f>
        <v>6034913230</v>
      </c>
      <c r="BO10" s="575">
        <f>AA17+AA66</f>
        <v>3028838556</v>
      </c>
      <c r="BP10" s="186">
        <f>AD17+AD66</f>
        <v>3028838556</v>
      </c>
      <c r="BQ10" s="748">
        <f>AF17+AF66</f>
        <v>585196947</v>
      </c>
    </row>
    <row r="11" spans="1:69" ht="24.75" customHeight="1">
      <c r="A11" s="149"/>
      <c r="B11" s="150"/>
      <c r="C11" s="151"/>
      <c r="D11" s="151"/>
      <c r="E11" s="151"/>
      <c r="F11" s="151"/>
      <c r="G11" s="151"/>
      <c r="H11" s="151"/>
      <c r="I11" s="151"/>
      <c r="J11" s="151"/>
      <c r="K11" s="151"/>
      <c r="L11" s="151"/>
      <c r="M11" s="151"/>
      <c r="N11" s="152"/>
      <c r="O11" s="126"/>
      <c r="P11" s="153"/>
      <c r="Q11" s="152"/>
      <c r="R11" s="101"/>
      <c r="S11" s="189"/>
      <c r="T11" s="488"/>
      <c r="U11" s="191"/>
      <c r="V11" s="191"/>
      <c r="W11" s="191"/>
      <c r="X11" s="191"/>
      <c r="Y11" s="191"/>
      <c r="Z11" s="191"/>
      <c r="AA11" s="191"/>
      <c r="AB11" s="191"/>
      <c r="AC11" s="191"/>
      <c r="AD11" s="191"/>
      <c r="AE11" s="191"/>
      <c r="AF11" s="191"/>
      <c r="AG11" s="191"/>
      <c r="AH11" s="191"/>
      <c r="AI11" s="191"/>
      <c r="AJ11" s="192"/>
      <c r="AK11" s="101"/>
      <c r="AL11" s="194"/>
      <c r="AM11" s="195"/>
      <c r="AN11" s="101"/>
      <c r="AO11" s="196" t="s">
        <v>50</v>
      </c>
      <c r="AP11" s="197" t="s">
        <v>106</v>
      </c>
      <c r="AQ11" s="138">
        <f>F88</f>
        <v>2337265046</v>
      </c>
      <c r="AR11" s="138">
        <f>I88</f>
        <v>2337265046</v>
      </c>
      <c r="AS11" s="138">
        <f>L88</f>
        <v>2278833420</v>
      </c>
      <c r="AT11" s="198">
        <f>AO2/12</f>
        <v>0.58333333333333337</v>
      </c>
      <c r="AU11" s="157">
        <f t="shared" si="0"/>
        <v>1</v>
      </c>
      <c r="AV11" s="157">
        <f t="shared" si="1"/>
        <v>0.97500000006417753</v>
      </c>
      <c r="AW11" s="158">
        <f>I88</f>
        <v>2337265046</v>
      </c>
      <c r="AX11" s="158">
        <f>L88</f>
        <v>2278833420</v>
      </c>
      <c r="AY11" s="158">
        <f t="shared" si="2"/>
        <v>0</v>
      </c>
      <c r="AZ11" s="159">
        <f t="shared" si="3"/>
        <v>-58431626</v>
      </c>
      <c r="BA11" s="101"/>
      <c r="BB11" s="185" t="s">
        <v>107</v>
      </c>
      <c r="BC11" s="161">
        <f>F26</f>
        <v>81866799864</v>
      </c>
      <c r="BD11" s="162">
        <f>I26</f>
        <v>45970595058</v>
      </c>
      <c r="BE11" s="161">
        <f>SUM(K26)</f>
        <v>4529746511</v>
      </c>
      <c r="BF11" s="553">
        <f>MARZO!BF11+ABRIL!BE11+MAYO!BE11+JUNIO!BE11</f>
        <v>8453018963</v>
      </c>
      <c r="BG11" s="145" t="s">
        <v>108</v>
      </c>
      <c r="BH11" s="199">
        <f>BN22</f>
        <v>3214060585</v>
      </c>
      <c r="BI11" s="199">
        <f>BO22</f>
        <v>1026884110</v>
      </c>
      <c r="BJ11" s="199">
        <f>BP22</f>
        <v>1026854210</v>
      </c>
      <c r="BK11" s="199">
        <f>BQ22</f>
        <v>173076267</v>
      </c>
      <c r="BL11" s="555">
        <f>+BK11+MAYO!BK11+ABRIL!BK11+MARZO!BL11</f>
        <v>693866159</v>
      </c>
      <c r="BM11" s="749" t="s">
        <v>109</v>
      </c>
      <c r="BN11" s="201">
        <f>X18+X67</f>
        <v>17000000</v>
      </c>
      <c r="BO11" s="576">
        <f>AA18+AA67</f>
        <v>8524051</v>
      </c>
      <c r="BP11" s="199">
        <f>AD18+AD67</f>
        <v>8524051</v>
      </c>
      <c r="BQ11" s="750">
        <f>AF18+AF67</f>
        <v>2073157</v>
      </c>
    </row>
    <row r="12" spans="1:69" ht="24.75" customHeight="1">
      <c r="A12" s="202" t="str">
        <f>+IF(JUNIO!A12=0,"",JUNIO!A12)</f>
        <v>1.0.01</v>
      </c>
      <c r="B12" s="203" t="str">
        <f>+IF(JUNIO!B12=0,"",JUNIO!B12)</f>
        <v>Caja</v>
      </c>
      <c r="C12" s="204">
        <f>+ENERO!C12</f>
        <v>0</v>
      </c>
      <c r="D12" s="205">
        <f>JUNIO!D12+JULIO!P12</f>
        <v>0</v>
      </c>
      <c r="E12" s="205">
        <f>JUNIO!E12+JULIO!Q12</f>
        <v>3941159</v>
      </c>
      <c r="F12" s="206">
        <f>SUM(C12:E12)</f>
        <v>3941159</v>
      </c>
      <c r="G12" s="207">
        <f>JUNIO!I12</f>
        <v>3941159</v>
      </c>
      <c r="H12" s="208">
        <v>0</v>
      </c>
      <c r="I12" s="206">
        <f>SUM(G12:H12)</f>
        <v>3941159</v>
      </c>
      <c r="J12" s="207">
        <f>JUNIO!L12</f>
        <v>3941159</v>
      </c>
      <c r="K12" s="209">
        <f>+H12</f>
        <v>0</v>
      </c>
      <c r="L12" s="206">
        <f>SUM(J12:K12)</f>
        <v>3941159</v>
      </c>
      <c r="M12" s="207">
        <f>F12-I12</f>
        <v>0</v>
      </c>
      <c r="N12" s="206">
        <f>F12-L12</f>
        <v>0</v>
      </c>
      <c r="O12" s="67"/>
      <c r="P12" s="204">
        <v>0</v>
      </c>
      <c r="Q12" s="210">
        <v>0</v>
      </c>
      <c r="R12" s="101"/>
      <c r="S12" s="211" t="str">
        <f>+IF(JUNIO!S12=0,"",JUNIO!S12)</f>
        <v>2.1.1</v>
      </c>
      <c r="T12" s="212" t="str">
        <f>+IF(JUNIO!T12=0,"",JUNIO!T12)</f>
        <v>GASTOS DE PERSONAL</v>
      </c>
      <c r="U12" s="213">
        <f t="shared" ref="U12:AJ12" si="9">U14+U63</f>
        <v>88367557767.879166</v>
      </c>
      <c r="V12" s="214">
        <f t="shared" si="9"/>
        <v>514062130</v>
      </c>
      <c r="W12" s="214">
        <f t="shared" si="9"/>
        <v>2928182761</v>
      </c>
      <c r="X12" s="215">
        <f t="shared" si="9"/>
        <v>91809802658.879166</v>
      </c>
      <c r="Y12" s="183">
        <f t="shared" si="9"/>
        <v>62535387627</v>
      </c>
      <c r="Z12" s="214">
        <f t="shared" si="9"/>
        <v>21177311376</v>
      </c>
      <c r="AA12" s="215">
        <f t="shared" si="9"/>
        <v>83712699003</v>
      </c>
      <c r="AB12" s="183">
        <f t="shared" si="9"/>
        <v>55737304726</v>
      </c>
      <c r="AC12" s="214">
        <f t="shared" si="9"/>
        <v>7272453112</v>
      </c>
      <c r="AD12" s="215">
        <f t="shared" si="9"/>
        <v>63009757838</v>
      </c>
      <c r="AE12" s="183">
        <f t="shared" si="9"/>
        <v>37522393439</v>
      </c>
      <c r="AF12" s="214">
        <f t="shared" si="9"/>
        <v>7283895458</v>
      </c>
      <c r="AG12" s="215">
        <f t="shared" si="9"/>
        <v>44806288897</v>
      </c>
      <c r="AH12" s="183">
        <f t="shared" si="9"/>
        <v>8097103655.8791676</v>
      </c>
      <c r="AI12" s="214">
        <f t="shared" si="9"/>
        <v>28800044820.879166</v>
      </c>
      <c r="AJ12" s="184">
        <f t="shared" si="9"/>
        <v>47003513761.879166</v>
      </c>
      <c r="AK12" s="216"/>
      <c r="AL12" s="217">
        <f>AL14+AL63</f>
        <v>0</v>
      </c>
      <c r="AM12" s="218">
        <f>AM14+AM63</f>
        <v>0</v>
      </c>
      <c r="AN12" s="101"/>
      <c r="AO12" s="196"/>
      <c r="AP12" s="197" t="s">
        <v>111</v>
      </c>
      <c r="AQ12" s="138">
        <f>F89+F92</f>
        <v>9574697797</v>
      </c>
      <c r="AR12" s="138">
        <f>I89+I92</f>
        <v>2218208529</v>
      </c>
      <c r="AS12" s="138">
        <f>L89+L92</f>
        <v>2197204714</v>
      </c>
      <c r="AT12" s="101"/>
      <c r="AU12" s="157">
        <f t="shared" si="0"/>
        <v>0.2316739991203714</v>
      </c>
      <c r="AV12" s="157">
        <f t="shared" si="1"/>
        <v>0.2294803199625205</v>
      </c>
      <c r="AW12" s="158">
        <f>I89</f>
        <v>2218208529</v>
      </c>
      <c r="AX12" s="158">
        <f>L89</f>
        <v>2197204714</v>
      </c>
      <c r="AY12" s="158">
        <f t="shared" si="2"/>
        <v>-7356489268</v>
      </c>
      <c r="AZ12" s="159">
        <f t="shared" si="3"/>
        <v>-7377493083</v>
      </c>
      <c r="BA12" s="101"/>
      <c r="BB12" s="185" t="s">
        <v>112</v>
      </c>
      <c r="BC12" s="161">
        <f>F23</f>
        <v>49300076925.586876</v>
      </c>
      <c r="BD12" s="162">
        <f>I23</f>
        <v>39995524845</v>
      </c>
      <c r="BE12" s="161">
        <f>SUM(K23)</f>
        <v>4950780944</v>
      </c>
      <c r="BF12" s="553">
        <f>MARZO!BF12+ABRIL!BE12+MAYO!BE12+JUNIO!BE12</f>
        <v>14566848805</v>
      </c>
      <c r="BG12" s="219" t="s">
        <v>113</v>
      </c>
      <c r="BH12" s="199">
        <f>BN25</f>
        <v>36675849515.333328</v>
      </c>
      <c r="BI12" s="199">
        <f>BO25</f>
        <v>33889252074</v>
      </c>
      <c r="BJ12" s="199">
        <f>BP25</f>
        <v>26188262126</v>
      </c>
      <c r="BK12" s="199">
        <f>BQ25</f>
        <v>3436832543</v>
      </c>
      <c r="BL12" s="555">
        <f>+BK12+MAYO!BK12+ABRIL!BK12+MARZO!BL12</f>
        <v>10910025289</v>
      </c>
      <c r="BM12" s="751" t="s">
        <v>114</v>
      </c>
      <c r="BN12" s="201">
        <f>X16+X65-X81-X33-BN10-BN11</f>
        <v>1608602697.916667</v>
      </c>
      <c r="BO12" s="576">
        <f>AA16+AA65-AA81-AA33-BO10-BO11</f>
        <v>735408918</v>
      </c>
      <c r="BP12" s="199">
        <f>AD16+AD65-AD81-AD33-BP10-BP11</f>
        <v>735408918</v>
      </c>
      <c r="BQ12" s="750">
        <f>AF16+AF65-AF81-AF33-BQ10-BQ11</f>
        <v>281357988</v>
      </c>
    </row>
    <row r="13" spans="1:69" ht="24.75" customHeight="1">
      <c r="A13" s="202" t="str">
        <f>+IF(JUNIO!A13=0,"",JUNIO!A13)</f>
        <v>1.0.02</v>
      </c>
      <c r="B13" s="203" t="str">
        <f>+IF(JUNIO!B13=0,"",JUNIO!B13)</f>
        <v>Bancos</v>
      </c>
      <c r="C13" s="204">
        <f>+ENERO!C13</f>
        <v>0</v>
      </c>
      <c r="D13" s="205">
        <f>JUNIO!D13+JULIO!P13</f>
        <v>0</v>
      </c>
      <c r="E13" s="205">
        <f>JUNIO!E13+JULIO!Q13</f>
        <v>554873586</v>
      </c>
      <c r="F13" s="206">
        <f>SUM(C13:E13)</f>
        <v>554873586</v>
      </c>
      <c r="G13" s="207">
        <f>JUNIO!I13</f>
        <v>554873586</v>
      </c>
      <c r="H13" s="208">
        <v>0</v>
      </c>
      <c r="I13" s="206">
        <f>SUM(G13:H13)</f>
        <v>554873586</v>
      </c>
      <c r="J13" s="207">
        <f>JUNIO!L13</f>
        <v>554873586</v>
      </c>
      <c r="K13" s="209">
        <f>+H13</f>
        <v>0</v>
      </c>
      <c r="L13" s="206">
        <f>SUM(J13:K13)</f>
        <v>554873586</v>
      </c>
      <c r="M13" s="207">
        <f>F13-I13</f>
        <v>0</v>
      </c>
      <c r="N13" s="206">
        <f>F13-L13</f>
        <v>0</v>
      </c>
      <c r="O13" s="67"/>
      <c r="P13" s="204">
        <v>0</v>
      </c>
      <c r="Q13" s="210">
        <v>0</v>
      </c>
      <c r="R13" s="101"/>
      <c r="S13" s="189"/>
      <c r="T13" s="488"/>
      <c r="U13" s="191"/>
      <c r="V13" s="191"/>
      <c r="W13" s="191"/>
      <c r="X13" s="191"/>
      <c r="Y13" s="191"/>
      <c r="Z13" s="191"/>
      <c r="AA13" s="191"/>
      <c r="AB13" s="191"/>
      <c r="AC13" s="191"/>
      <c r="AD13" s="191"/>
      <c r="AE13" s="191"/>
      <c r="AF13" s="191"/>
      <c r="AG13" s="191"/>
      <c r="AH13" s="191"/>
      <c r="AI13" s="191"/>
      <c r="AJ13" s="192"/>
      <c r="AK13" s="216"/>
      <c r="AL13" s="194"/>
      <c r="AM13" s="195"/>
      <c r="AN13" s="101"/>
      <c r="AO13" s="221"/>
      <c r="AP13" s="197" t="s">
        <v>115</v>
      </c>
      <c r="AQ13" s="138">
        <f>F90</f>
        <v>9662757523</v>
      </c>
      <c r="AR13" s="138">
        <f>I90</f>
        <v>5769719986</v>
      </c>
      <c r="AS13" s="138">
        <f>L90</f>
        <v>1755157553</v>
      </c>
      <c r="AT13" s="101"/>
      <c r="AU13" s="157">
        <f t="shared" si="0"/>
        <v>0.59710905217961763</v>
      </c>
      <c r="AV13" s="157">
        <f t="shared" si="1"/>
        <v>0.18164147747909912</v>
      </c>
      <c r="AW13" s="158">
        <f>I90</f>
        <v>5769719986</v>
      </c>
      <c r="AX13" s="158">
        <f>L90</f>
        <v>1755157553</v>
      </c>
      <c r="AY13" s="158">
        <f t="shared" si="2"/>
        <v>-3893037537</v>
      </c>
      <c r="AZ13" s="159">
        <f t="shared" si="3"/>
        <v>-7907599970</v>
      </c>
      <c r="BA13" s="67"/>
      <c r="BB13" s="236" t="s">
        <v>116</v>
      </c>
      <c r="BC13" s="223">
        <f>+F30+F33+F36+F38+F39+F40</f>
        <v>1140706891</v>
      </c>
      <c r="BD13" s="224">
        <f>+I30+I33+I36+I38+I39+I40</f>
        <v>1020880465</v>
      </c>
      <c r="BE13" s="161">
        <f>SUM(K33)</f>
        <v>6654611</v>
      </c>
      <c r="BF13" s="553">
        <f>MARZO!BF13+ABRIL!BE13+MAYO!BE13+JUNIO!BE13</f>
        <v>713778648</v>
      </c>
      <c r="BG13" s="227" t="s">
        <v>117</v>
      </c>
      <c r="BH13" s="199">
        <f t="shared" ref="BH13:BK15" si="10">BN29</f>
        <v>21574720366</v>
      </c>
      <c r="BI13" s="199">
        <f t="shared" si="10"/>
        <v>16368940991</v>
      </c>
      <c r="BJ13" s="199">
        <f t="shared" si="10"/>
        <v>10709941431</v>
      </c>
      <c r="BK13" s="199">
        <f t="shared" si="10"/>
        <v>786536536</v>
      </c>
      <c r="BL13" s="555">
        <f>+BK13+MAYO!BK13+ABRIL!BK13+MARZO!BL13</f>
        <v>5448779698</v>
      </c>
      <c r="BM13" s="745" t="s">
        <v>118</v>
      </c>
      <c r="BN13" s="188">
        <f>X43-X55+X57-X61+X90-X102+X104-X108</f>
        <v>2665651403.2960005</v>
      </c>
      <c r="BO13" s="575">
        <f>AA43-AA55+AA57-AA61+AA90-AA102+AA104-AA108</f>
        <v>1139163363</v>
      </c>
      <c r="BP13" s="186">
        <f>AD43-AD55+AD57-AD61+AD90-AD102+AD104-AD108</f>
        <v>1139163363</v>
      </c>
      <c r="BQ13" s="748">
        <f>AF43-AF55+AF57-AF61+AF90-AF102+AF104-AF108</f>
        <v>216819166</v>
      </c>
    </row>
    <row r="14" spans="1:69" ht="24.75" customHeight="1">
      <c r="A14" s="202" t="str">
        <f>+IF(JUNIO!A14=0,"",JUNIO!A14)</f>
        <v>1.0.03</v>
      </c>
      <c r="B14" s="203" t="str">
        <f>+IF(JUNIO!B14=0,"",JUNIO!B14)</f>
        <v>Inversiones Temporales</v>
      </c>
      <c r="C14" s="204">
        <f>+ENERO!C14</f>
        <v>0</v>
      </c>
      <c r="D14" s="205">
        <f>JUNIO!D14+JULIO!P14</f>
        <v>0</v>
      </c>
      <c r="E14" s="205">
        <f>JUNIO!E14+JULIO!Q14</f>
        <v>620662520</v>
      </c>
      <c r="F14" s="206">
        <f>SUM(C14:E14)</f>
        <v>620662520</v>
      </c>
      <c r="G14" s="207">
        <f>JUNIO!I14</f>
        <v>620662520</v>
      </c>
      <c r="H14" s="208">
        <v>0</v>
      </c>
      <c r="I14" s="206">
        <f>SUM(G14:H14)</f>
        <v>620662520</v>
      </c>
      <c r="J14" s="207">
        <f>JUNIO!L14</f>
        <v>620662520</v>
      </c>
      <c r="K14" s="1174">
        <f>+H14</f>
        <v>0</v>
      </c>
      <c r="L14" s="206">
        <f>SUM(J14:K14)</f>
        <v>620662520</v>
      </c>
      <c r="M14" s="207">
        <f>F14-I14</f>
        <v>0</v>
      </c>
      <c r="N14" s="206">
        <f>F14-L14</f>
        <v>0</v>
      </c>
      <c r="O14" s="67"/>
      <c r="P14" s="204">
        <v>0</v>
      </c>
      <c r="Q14" s="210">
        <v>0</v>
      </c>
      <c r="R14" s="101"/>
      <c r="S14" s="228" t="str">
        <f>+IF(JUNIO!S14=0,"",JUNIO!S14)</f>
        <v>2.1.1.01</v>
      </c>
      <c r="T14" s="229" t="str">
        <f>+IF(JUNIO!T14=0,"",JUNIO!T14)</f>
        <v>Gastos de Administración</v>
      </c>
      <c r="U14" s="230">
        <f t="shared" ref="U14:AJ14" si="11">U16+U35+U43+U57</f>
        <v>23848754297.879169</v>
      </c>
      <c r="V14" s="231">
        <f t="shared" si="11"/>
        <v>3037062130</v>
      </c>
      <c r="W14" s="231">
        <f t="shared" si="11"/>
        <v>0</v>
      </c>
      <c r="X14" s="234">
        <f t="shared" si="11"/>
        <v>26885816427.879169</v>
      </c>
      <c r="Y14" s="233">
        <f t="shared" si="11"/>
        <v>15335802906</v>
      </c>
      <c r="Z14" s="231">
        <f t="shared" si="11"/>
        <v>5954368126</v>
      </c>
      <c r="AA14" s="234">
        <f t="shared" si="11"/>
        <v>21290171032</v>
      </c>
      <c r="AB14" s="233">
        <f t="shared" si="11"/>
        <v>14256154852</v>
      </c>
      <c r="AC14" s="231">
        <f t="shared" si="11"/>
        <v>2517825531</v>
      </c>
      <c r="AD14" s="234">
        <f t="shared" si="11"/>
        <v>16773980383</v>
      </c>
      <c r="AE14" s="233">
        <f t="shared" si="11"/>
        <v>10364386895</v>
      </c>
      <c r="AF14" s="231">
        <f t="shared" si="11"/>
        <v>2533630092</v>
      </c>
      <c r="AG14" s="234">
        <f t="shared" si="11"/>
        <v>12898016987</v>
      </c>
      <c r="AH14" s="233">
        <f t="shared" si="11"/>
        <v>5595645395.8791676</v>
      </c>
      <c r="AI14" s="231">
        <f t="shared" si="11"/>
        <v>10111836044.879168</v>
      </c>
      <c r="AJ14" s="232">
        <f t="shared" si="11"/>
        <v>13987799440.879168</v>
      </c>
      <c r="AK14" s="216"/>
      <c r="AL14" s="233">
        <f>AL16+AL35+AL43+AL57</f>
        <v>0</v>
      </c>
      <c r="AM14" s="232">
        <f>AM16+AM35+AM43+AM57</f>
        <v>0</v>
      </c>
      <c r="AN14" s="101"/>
      <c r="AO14" s="108"/>
      <c r="AP14" s="109" t="s">
        <v>120</v>
      </c>
      <c r="AQ14" s="138">
        <f>F19-AQ7-AQ8-AQ9-AQ10-AQ11-AQ12-AQ13+F104+F94</f>
        <v>7983847750.8896484</v>
      </c>
      <c r="AR14" s="138">
        <f>I19-AR7-AR8-AR9-AR10-AR11-AR12-AR13+I94+I104</f>
        <v>6168485670</v>
      </c>
      <c r="AS14" s="138">
        <f>L19-AS7-AS8-AS9-AS10-AS11-AS12-AS13+L94+L104</f>
        <v>4043378970</v>
      </c>
      <c r="AT14" s="67"/>
      <c r="AU14" s="157">
        <f t="shared" si="0"/>
        <v>0.77262065390871704</v>
      </c>
      <c r="AV14" s="157">
        <f t="shared" si="1"/>
        <v>0.50644489927171299</v>
      </c>
      <c r="AW14" s="158">
        <f>(I41+I46+I49+I52+I55+I58+I61+I64+I67+I70+I73+I78+I81+I82+I83+I85+I94+I104)/AO$2*12+I47+I50+I53+I56+I59+I62+I65+I68+I71+I74</f>
        <v>27414199396.285713</v>
      </c>
      <c r="AX14" s="158">
        <f>(L41+L46+L49+L52+L55+L58+L61+L64+L67+L70+L73+L78+L81+L82+L83+L85+L94+L104)/AO$2*12+L47+L50+L53+L56+L59+L62+L65+L68+L71+L74</f>
        <v>16683161202</v>
      </c>
      <c r="AY14" s="158">
        <f t="shared" si="2"/>
        <v>19430351645.396065</v>
      </c>
      <c r="AZ14" s="159">
        <f t="shared" si="3"/>
        <v>8699313451.1103516</v>
      </c>
      <c r="BA14" s="101"/>
      <c r="BB14" s="236" t="s">
        <v>121</v>
      </c>
      <c r="BC14" s="237">
        <f>+F64</f>
        <v>2137731076.9417498</v>
      </c>
      <c r="BD14" s="238">
        <f>+I64</f>
        <v>1075138815</v>
      </c>
      <c r="BE14" s="239">
        <f>K64</f>
        <v>57763498</v>
      </c>
      <c r="BF14" s="553">
        <f>MARZO!BF14+ABRIL!BE14+MAYO!BE14+JUNIO!BE14</f>
        <v>382641166</v>
      </c>
      <c r="BG14" s="227" t="s">
        <v>122</v>
      </c>
      <c r="BH14" s="186">
        <f t="shared" si="10"/>
        <v>3239175000</v>
      </c>
      <c r="BI14" s="186">
        <f t="shared" si="10"/>
        <v>786228840</v>
      </c>
      <c r="BJ14" s="186">
        <f t="shared" si="10"/>
        <v>786228840</v>
      </c>
      <c r="BK14" s="186">
        <f t="shared" si="10"/>
        <v>121726814</v>
      </c>
      <c r="BL14" s="555">
        <f>+BK14+MAYO!BK14+ABRIL!BK14+MARZO!BL14</f>
        <v>671258102</v>
      </c>
      <c r="BM14" s="752" t="s">
        <v>123</v>
      </c>
      <c r="BN14" s="201">
        <f>X35-X41+X83-X88</f>
        <v>64487306257</v>
      </c>
      <c r="BO14" s="199">
        <f>AA35-AA41+AA83-AA88</f>
        <v>61817569026</v>
      </c>
      <c r="BP14" s="199">
        <f>AD35-AD41+AD83-AD88</f>
        <v>41114627861</v>
      </c>
      <c r="BQ14" s="753">
        <f>AF35-AF41+AF83-AF88</f>
        <v>6198448200</v>
      </c>
    </row>
    <row r="15" spans="1:69" ht="24.75" customHeight="1" thickBot="1">
      <c r="A15" s="241">
        <f>+IF(JUNIO!A15=0,"",JUNIO!A15)</f>
        <v>1004</v>
      </c>
      <c r="B15" s="203" t="str">
        <f>+IF(JUNIO!B15=0,"",JUNIO!B15)</f>
        <v>Cesantias Ley 50/1990 a Dic-31-2024</v>
      </c>
      <c r="C15" s="242">
        <f>+ENERO!C15</f>
        <v>0</v>
      </c>
      <c r="D15" s="243">
        <f>JUNIO!D15+JULIO!P15</f>
        <v>0</v>
      </c>
      <c r="E15" s="243">
        <f>JUNIO!E15+JULIO!Q15</f>
        <v>0</v>
      </c>
      <c r="F15" s="244">
        <f>SUM(C15:E15)</f>
        <v>0</v>
      </c>
      <c r="G15" s="245">
        <f>JUNIO!I15</f>
        <v>0</v>
      </c>
      <c r="H15" s="246">
        <v>0</v>
      </c>
      <c r="I15" s="244">
        <f>SUM(G15:H15)</f>
        <v>0</v>
      </c>
      <c r="J15" s="245">
        <f>JUNIO!L15</f>
        <v>0</v>
      </c>
      <c r="K15" s="1175">
        <f>+H15</f>
        <v>0</v>
      </c>
      <c r="L15" s="244">
        <f>SUM(J15:K15)</f>
        <v>0</v>
      </c>
      <c r="M15" s="245">
        <f>F15-I15</f>
        <v>0</v>
      </c>
      <c r="N15" s="244">
        <f>F15-L15</f>
        <v>0</v>
      </c>
      <c r="O15" s="67"/>
      <c r="P15" s="242">
        <v>0</v>
      </c>
      <c r="Q15" s="248">
        <v>0</v>
      </c>
      <c r="R15" s="101"/>
      <c r="S15" s="189" t="str">
        <f>+IF(JUNIO!S15=0,"",JUNIO!S15)</f>
        <v/>
      </c>
      <c r="T15" s="488" t="str">
        <f>+IF(JUNIO!T15=0,"",JUNIO!T15)</f>
        <v xml:space="preserve"> </v>
      </c>
      <c r="U15" s="191"/>
      <c r="V15" s="191"/>
      <c r="W15" s="191"/>
      <c r="X15" s="191"/>
      <c r="Y15" s="191"/>
      <c r="Z15" s="191"/>
      <c r="AA15" s="191"/>
      <c r="AB15" s="191"/>
      <c r="AC15" s="191"/>
      <c r="AD15" s="191"/>
      <c r="AE15" s="191"/>
      <c r="AF15" s="191"/>
      <c r="AG15" s="191"/>
      <c r="AH15" s="191"/>
      <c r="AI15" s="191"/>
      <c r="AJ15" s="192"/>
      <c r="AK15" s="216"/>
      <c r="AL15" s="249"/>
      <c r="AM15" s="250"/>
      <c r="AN15" s="101"/>
      <c r="AO15" s="221"/>
      <c r="AP15" s="109" t="s">
        <v>124</v>
      </c>
      <c r="AQ15" s="138">
        <f>F113</f>
        <v>0</v>
      </c>
      <c r="AR15" s="138">
        <f>I113</f>
        <v>0</v>
      </c>
      <c r="AS15" s="138">
        <f>L113</f>
        <v>0</v>
      </c>
      <c r="AT15" s="101"/>
      <c r="AU15" s="139" t="str">
        <f t="shared" si="0"/>
        <v xml:space="preserve"> </v>
      </c>
      <c r="AV15" s="139" t="str">
        <f t="shared" si="1"/>
        <v xml:space="preserve"> </v>
      </c>
      <c r="AW15" s="138">
        <f>+AR15</f>
        <v>0</v>
      </c>
      <c r="AX15" s="138">
        <f>+AS15</f>
        <v>0</v>
      </c>
      <c r="AY15" s="138">
        <f t="shared" si="2"/>
        <v>0</v>
      </c>
      <c r="AZ15" s="140">
        <f t="shared" si="3"/>
        <v>0</v>
      </c>
      <c r="BA15" s="67"/>
      <c r="BB15" s="236" t="s">
        <v>125</v>
      </c>
      <c r="BC15" s="237">
        <f>F46+F49</f>
        <v>976431378</v>
      </c>
      <c r="BD15" s="238">
        <f>I46+I49</f>
        <v>274047707</v>
      </c>
      <c r="BE15" s="239">
        <f>K46</f>
        <v>0</v>
      </c>
      <c r="BF15" s="553">
        <f>MARZO!BF15+ABRIL!BE15+MAYO!BE15+JUNIO!BE15</f>
        <v>4215387</v>
      </c>
      <c r="BG15" s="227" t="s">
        <v>126</v>
      </c>
      <c r="BH15" s="186">
        <f t="shared" si="10"/>
        <v>30116386787.222057</v>
      </c>
      <c r="BI15" s="186">
        <f t="shared" si="10"/>
        <v>27170472248</v>
      </c>
      <c r="BJ15" s="186">
        <f t="shared" si="10"/>
        <v>27164272248</v>
      </c>
      <c r="BK15" s="186">
        <f t="shared" si="10"/>
        <v>46906636</v>
      </c>
      <c r="BL15" s="555">
        <f>+BK15+MAYO!BK15+ABRIL!BK15+MARZO!BL15</f>
        <v>26932718510</v>
      </c>
      <c r="BM15" s="743" t="s">
        <v>104</v>
      </c>
      <c r="BN15" s="188">
        <f>SUM(BN16:BN21)</f>
        <v>18171867687.398609</v>
      </c>
      <c r="BO15" s="186">
        <f>SUM(BO16:BO21)</f>
        <v>11352517174</v>
      </c>
      <c r="BP15" s="186">
        <f>SUM(BP16:BP21)</f>
        <v>8199384752</v>
      </c>
      <c r="BQ15" s="754">
        <f>SUM(BQ16:BQ21)</f>
        <v>1226776547</v>
      </c>
    </row>
    <row r="16" spans="1:69" ht="24.75" customHeight="1" thickBot="1">
      <c r="A16" s="251" t="str">
        <f>+IF(JUNIO!A16=0,"",JUNIO!A16)</f>
        <v/>
      </c>
      <c r="B16" s="252" t="str">
        <f>+IF(JUNIO!B16=0,"",JUNIO!B16)</f>
        <v/>
      </c>
      <c r="C16" s="253"/>
      <c r="D16" s="253"/>
      <c r="E16" s="253"/>
      <c r="F16" s="253"/>
      <c r="G16" s="253"/>
      <c r="H16" s="253"/>
      <c r="I16" s="253"/>
      <c r="J16" s="253"/>
      <c r="K16" s="1176"/>
      <c r="L16" s="253"/>
      <c r="M16" s="253"/>
      <c r="N16" s="254"/>
      <c r="O16" s="67"/>
      <c r="P16" s="255"/>
      <c r="Q16" s="256"/>
      <c r="R16" s="101"/>
      <c r="S16" s="257" t="str">
        <f>+IF(JUNIO!S16=0,"",JUNIO!S16)</f>
        <v>2.1.1.01.01</v>
      </c>
      <c r="T16" s="546" t="str">
        <f>+IF(JUNIO!T16=0,"",JUNIO!T16)</f>
        <v>Servicios Personales Asociados a Nómina</v>
      </c>
      <c r="U16" s="230">
        <f t="shared" ref="U16:AJ16" si="12">SUM(U17:U20)+U33</f>
        <v>8136453797.916667</v>
      </c>
      <c r="V16" s="231">
        <f t="shared" si="12"/>
        <v>-475937870</v>
      </c>
      <c r="W16" s="231">
        <f t="shared" si="12"/>
        <v>0</v>
      </c>
      <c r="X16" s="234">
        <f t="shared" si="12"/>
        <v>7660515927.916667</v>
      </c>
      <c r="Y16" s="233">
        <f t="shared" si="12"/>
        <v>2893404580</v>
      </c>
      <c r="Z16" s="231">
        <f t="shared" si="12"/>
        <v>879366945</v>
      </c>
      <c r="AA16" s="234">
        <f t="shared" si="12"/>
        <v>3772771525</v>
      </c>
      <c r="AB16" s="233">
        <f t="shared" si="12"/>
        <v>2893404580</v>
      </c>
      <c r="AC16" s="231">
        <f t="shared" si="12"/>
        <v>879366945</v>
      </c>
      <c r="AD16" s="234">
        <f t="shared" si="12"/>
        <v>3772771525</v>
      </c>
      <c r="AE16" s="233">
        <f t="shared" si="12"/>
        <v>2893404580</v>
      </c>
      <c r="AF16" s="231">
        <f t="shared" si="12"/>
        <v>868628092</v>
      </c>
      <c r="AG16" s="234">
        <f t="shared" si="12"/>
        <v>3762032672</v>
      </c>
      <c r="AH16" s="233">
        <f t="shared" si="12"/>
        <v>3887744402.9166665</v>
      </c>
      <c r="AI16" s="231">
        <f t="shared" si="12"/>
        <v>3887744402.9166665</v>
      </c>
      <c r="AJ16" s="232">
        <f t="shared" si="12"/>
        <v>3898483255.9166665</v>
      </c>
      <c r="AK16" s="216"/>
      <c r="AL16" s="233">
        <f>SUM(AL17:AL20)+AL33</f>
        <v>-430000000</v>
      </c>
      <c r="AM16" s="232">
        <f>SUM(AM17:AM20)+AM33</f>
        <v>0</v>
      </c>
      <c r="AN16" s="101"/>
      <c r="AO16" s="108"/>
      <c r="AP16" s="259" t="s">
        <v>128</v>
      </c>
      <c r="AQ16" s="260">
        <f>F10</f>
        <v>1179477265</v>
      </c>
      <c r="AR16" s="260">
        <f>I10</f>
        <v>1179477265</v>
      </c>
      <c r="AS16" s="260">
        <f>L10</f>
        <v>1179477265</v>
      </c>
      <c r="AT16" s="67"/>
      <c r="AU16" s="261">
        <f t="shared" si="0"/>
        <v>1</v>
      </c>
      <c r="AV16" s="261">
        <f t="shared" si="1"/>
        <v>1</v>
      </c>
      <c r="AW16" s="260">
        <f>+AR16</f>
        <v>1179477265</v>
      </c>
      <c r="AX16" s="260">
        <f>+AS16</f>
        <v>1179477265</v>
      </c>
      <c r="AY16" s="138">
        <f t="shared" si="2"/>
        <v>0</v>
      </c>
      <c r="AZ16" s="262">
        <f t="shared" si="3"/>
        <v>0</v>
      </c>
      <c r="BA16" s="67"/>
      <c r="BB16" s="185" t="s">
        <v>129</v>
      </c>
      <c r="BC16" s="161">
        <f>F43</f>
        <v>0</v>
      </c>
      <c r="BD16" s="162">
        <f>I43</f>
        <v>30952039</v>
      </c>
      <c r="BE16" s="237">
        <f>SUM(K86:K91)</f>
        <v>117826997</v>
      </c>
      <c r="BF16" s="553">
        <f>MARZO!BF16+ABRIL!BE16+MAYO!BE16+JUNIO!BE16</f>
        <v>6113368690</v>
      </c>
      <c r="BG16" s="227" t="s">
        <v>130</v>
      </c>
      <c r="BH16" s="263">
        <f>BH7+BH12+BH13+BH14+BH15</f>
        <v>187805533529.16663</v>
      </c>
      <c r="BI16" s="263">
        <f>BI7+BI12+BI13+BI14+BI15</f>
        <v>157323799351</v>
      </c>
      <c r="BJ16" s="263">
        <f>BJ7+BJ12+BJ13+BJ14+BJ15</f>
        <v>120101506356</v>
      </c>
      <c r="BK16" s="263">
        <f>BK7+BK12+BK13+BK14+BK15</f>
        <v>13075750801</v>
      </c>
      <c r="BL16" s="555">
        <f>+BK16+MAYO!BK16+ABRIL!BK16+MARZO!BL16</f>
        <v>70917709815</v>
      </c>
      <c r="BM16" s="745" t="s">
        <v>131</v>
      </c>
      <c r="BN16" s="188">
        <f>SUM(X115+X116+X117+X149)</f>
        <v>1778007702.1208334</v>
      </c>
      <c r="BO16" s="188">
        <f>SUM(AA115+AA116+AA117+AA149)</f>
        <v>1172491150</v>
      </c>
      <c r="BP16" s="188">
        <f>SUM(AD115+AD116+AD117+AD149)</f>
        <v>989595947</v>
      </c>
      <c r="BQ16" s="188">
        <f>SUM(AF115+AF116+AF117+AF149)</f>
        <v>80289080</v>
      </c>
    </row>
    <row r="17" spans="1:69" ht="24.75" customHeight="1" thickBot="1">
      <c r="A17" s="169" t="str">
        <f>+IF(JUNIO!A17=0,"",JUNIO!A17)</f>
        <v>1.1</v>
      </c>
      <c r="B17" s="265" t="str">
        <f>+IF(JUNIO!B17=0,"",JUNIO!B17)</f>
        <v>INGRESOS  CORRIENTES</v>
      </c>
      <c r="C17" s="127">
        <f t="shared" ref="C17:N17" si="13">C19+C94+C104</f>
        <v>158143153137.47653</v>
      </c>
      <c r="D17" s="125">
        <f t="shared" si="13"/>
        <v>0</v>
      </c>
      <c r="E17" s="125">
        <f t="shared" si="13"/>
        <v>28482903127</v>
      </c>
      <c r="F17" s="125">
        <f t="shared" si="13"/>
        <v>186626056264.47653</v>
      </c>
      <c r="G17" s="125">
        <f t="shared" si="13"/>
        <v>130092415730</v>
      </c>
      <c r="H17" s="125">
        <f t="shared" si="13"/>
        <v>16498902548</v>
      </c>
      <c r="I17" s="125">
        <f t="shared" si="13"/>
        <v>146591318278</v>
      </c>
      <c r="J17" s="125">
        <f t="shared" si="13"/>
        <v>74931621468</v>
      </c>
      <c r="K17" s="1177">
        <f t="shared" si="13"/>
        <v>11543871470</v>
      </c>
      <c r="L17" s="125">
        <f t="shared" si="13"/>
        <v>86475492938</v>
      </c>
      <c r="M17" s="125">
        <f t="shared" si="13"/>
        <v>40034737986.476517</v>
      </c>
      <c r="N17" s="128">
        <f t="shared" si="13"/>
        <v>100150563326.47652</v>
      </c>
      <c r="O17" s="67"/>
      <c r="P17" s="171">
        <f>P19+P94+P104</f>
        <v>0</v>
      </c>
      <c r="Q17" s="173">
        <f>Q19+Q94+Q104</f>
        <v>0</v>
      </c>
      <c r="R17" s="101"/>
      <c r="S17" s="266" t="str">
        <f>+IF(JUNIO!S17=0,"",JUNIO!S17)</f>
        <v>2.1.1.01.01.001.01</v>
      </c>
      <c r="T17" s="267" t="str">
        <f>+IF(JUNIO!T17=0,"",JUNIO!T17)</f>
        <v>Sueldos del Personal de nómina</v>
      </c>
      <c r="U17" s="373">
        <f>+ENERO!U17</f>
        <v>6531851100</v>
      </c>
      <c r="V17" s="220">
        <f>JUNIO!V17+JULIO!AL17</f>
        <v>-496937870</v>
      </c>
      <c r="W17" s="220">
        <f>JUNIO!W17+JULIO!AM17</f>
        <v>0</v>
      </c>
      <c r="X17" s="271">
        <f>SUM(U17:W17)</f>
        <v>6034913230</v>
      </c>
      <c r="Y17" s="270">
        <f>JUNIO!AA17</f>
        <v>2439605037</v>
      </c>
      <c r="Z17" s="208">
        <v>589233519</v>
      </c>
      <c r="AA17" s="271">
        <f>SUM(Y17:Z17)</f>
        <v>3028838556</v>
      </c>
      <c r="AB17" s="270">
        <f>JUNIO!AD17</f>
        <v>2439605037</v>
      </c>
      <c r="AC17" s="208">
        <v>589233519</v>
      </c>
      <c r="AD17" s="271">
        <f>SUM(AB17:AC17)</f>
        <v>3028838556</v>
      </c>
      <c r="AE17" s="270">
        <f>JUNIO!AG17</f>
        <v>2439605037</v>
      </c>
      <c r="AF17" s="208">
        <v>585196947</v>
      </c>
      <c r="AG17" s="271">
        <f>SUM(AE17:AF17)</f>
        <v>3024801984</v>
      </c>
      <c r="AH17" s="270">
        <f>X17-AA17</f>
        <v>3006074674</v>
      </c>
      <c r="AI17" s="220">
        <f>X17-AD17</f>
        <v>3006074674</v>
      </c>
      <c r="AJ17" s="269">
        <f>X17-AG17</f>
        <v>3010111246</v>
      </c>
      <c r="AK17" s="101"/>
      <c r="AL17" s="204">
        <v>-430000000</v>
      </c>
      <c r="AM17" s="210">
        <v>0</v>
      </c>
      <c r="AN17" s="101"/>
      <c r="AO17" s="156"/>
      <c r="AP17" s="272" t="s">
        <v>134</v>
      </c>
      <c r="AQ17" s="981">
        <f>SUM(AQ7:AQ16)</f>
        <v>187805533529.47653</v>
      </c>
      <c r="AR17" s="982">
        <f>SUM(AR7:AR16)</f>
        <v>147770795543</v>
      </c>
      <c r="AS17" s="983">
        <f>SUM(AS7:AS16)</f>
        <v>87654970203</v>
      </c>
      <c r="AT17" s="276"/>
      <c r="AU17" s="274">
        <f t="shared" si="0"/>
        <v>0.78682876252848544</v>
      </c>
      <c r="AV17" s="274">
        <f t="shared" si="1"/>
        <v>0.4667326279246311</v>
      </c>
      <c r="AW17" s="277">
        <f>SUM(AX7:AX16)</f>
        <v>124033072369.28572</v>
      </c>
      <c r="AX17" s="277">
        <f>SUM(AX7:AX16)</f>
        <v>124033072369.28572</v>
      </c>
      <c r="AY17" s="277">
        <f>SUM(AY7:AY16)</f>
        <v>43446953364.094894</v>
      </c>
      <c r="AZ17" s="278">
        <f>SUM(AZ7:AZ16)</f>
        <v>-63772461160.190796</v>
      </c>
      <c r="BA17" s="101"/>
      <c r="BB17" s="185" t="s">
        <v>135</v>
      </c>
      <c r="BC17" s="161">
        <f>F41+F52+F55+F58+F61+F67+F70+F73+F76+F79+F82+F86+F87+F88+F89+F90+F91</f>
        <v>24228242898.847889</v>
      </c>
      <c r="BD17" s="162">
        <f>I41+I52+I55+I58+I61+I67+I70+I73+I76+I79+I82+I86+I87+I88+I89+I90+I91</f>
        <v>12034885345</v>
      </c>
      <c r="BE17" s="161">
        <f>SUM(K43+K49+K46+K49+K52+K55+K58+K61+K67+K70+K73+K79+K76+K82)</f>
        <v>106029139</v>
      </c>
      <c r="BF17" s="553">
        <f>MARZO!BF17+ABRIL!BE17+MAYO!BE17+JUNIO!BE17</f>
        <v>322775260</v>
      </c>
      <c r="BG17" s="279" t="s">
        <v>136</v>
      </c>
      <c r="BH17" s="280">
        <f>BC22-BH16</f>
        <v>0.309906005859375</v>
      </c>
      <c r="BI17" s="280"/>
      <c r="BJ17" s="280"/>
      <c r="BK17" s="280"/>
      <c r="BL17" s="555">
        <f>+BK17+MAYO!BK17+ABRIL!BK17+MARZO!BL17</f>
        <v>0</v>
      </c>
      <c r="BM17" s="745" t="s">
        <v>137</v>
      </c>
      <c r="BN17" s="188">
        <f>X124+X127+X128+X129+X130+X131+X132+X133+X134+X135+X136+X125+X137+X138</f>
        <v>4727970291.2777777</v>
      </c>
      <c r="BO17" s="188">
        <f>AA124+AA127+AA128+AA129+AA130+AA131+AA132+AA133+AA134+AA135+AA136+AA125+AA137+AA138</f>
        <v>4311480150</v>
      </c>
      <c r="BP17" s="188">
        <f>AD124+AD127+AD128+AD129+AD130+AD131+AD132+AD133+AD134+AD135+AD136+AD125+AD137+AD138</f>
        <v>2804204207</v>
      </c>
      <c r="BQ17" s="188">
        <f>AF124+AF127+AF128+AF129+AF130+AF131+AF132+AF133+AF134+AF135+AF136+AF125+AF137+AF138</f>
        <v>452097093</v>
      </c>
    </row>
    <row r="18" spans="1:69" ht="24.75" customHeight="1" thickBot="1">
      <c r="A18" s="202">
        <f>+IF(JUNIO!A18=0,"",JUNIO!A18)</f>
        <v>399373312</v>
      </c>
      <c r="B18" s="282">
        <f>+IF(JUNIO!B18=0,"",JUNIO!B18)</f>
        <v>399373312</v>
      </c>
      <c r="C18" s="67"/>
      <c r="D18" s="67"/>
      <c r="E18" s="67"/>
      <c r="F18" s="67"/>
      <c r="G18" s="67"/>
      <c r="H18" s="67"/>
      <c r="I18" s="67"/>
      <c r="J18" s="67"/>
      <c r="K18" s="1178"/>
      <c r="L18" s="67"/>
      <c r="M18" s="67"/>
      <c r="N18" s="283"/>
      <c r="O18" s="101"/>
      <c r="P18" s="284"/>
      <c r="Q18" s="285"/>
      <c r="R18" s="101"/>
      <c r="S18" s="266" t="str">
        <f>+IF(JUNIO!S18=0,"",JUNIO!S18)</f>
        <v>2.1.1.01.01.001.02</v>
      </c>
      <c r="T18" s="267" t="str">
        <f>+IF(JUNIO!T18=0,"",JUNIO!T18)</f>
        <v>Horas Extras,Dominic.,Festivos y Rec. Nocturnos</v>
      </c>
      <c r="U18" s="373">
        <f>+ENERO!U18</f>
        <v>17000000</v>
      </c>
      <c r="V18" s="220">
        <f>JUNIO!V18+JULIO!AL18</f>
        <v>0</v>
      </c>
      <c r="W18" s="220">
        <f>JUNIO!W18+JULIO!AM18</f>
        <v>0</v>
      </c>
      <c r="X18" s="271">
        <f>SUM(U18:W18)</f>
        <v>17000000</v>
      </c>
      <c r="Y18" s="270">
        <f>JUNIO!AA18</f>
        <v>6450894</v>
      </c>
      <c r="Z18" s="208">
        <v>2073157</v>
      </c>
      <c r="AA18" s="271">
        <f>SUM(Y18:Z18)</f>
        <v>8524051</v>
      </c>
      <c r="AB18" s="270">
        <f>JUNIO!AD18</f>
        <v>6450894</v>
      </c>
      <c r="AC18" s="208">
        <v>2073157</v>
      </c>
      <c r="AD18" s="271">
        <f>SUM(AB18:AC18)</f>
        <v>8524051</v>
      </c>
      <c r="AE18" s="270">
        <f>JUNIO!AG18</f>
        <v>6450894</v>
      </c>
      <c r="AF18" s="208">
        <v>2073157</v>
      </c>
      <c r="AG18" s="271">
        <f>SUM(AE18:AF18)</f>
        <v>8524051</v>
      </c>
      <c r="AH18" s="270">
        <f>X18-AA18</f>
        <v>8475949</v>
      </c>
      <c r="AI18" s="220">
        <f>X18-AD18</f>
        <v>8475949</v>
      </c>
      <c r="AJ18" s="269">
        <f>X18-AG18</f>
        <v>8475949</v>
      </c>
      <c r="AK18" s="101"/>
      <c r="AL18" s="204">
        <v>0</v>
      </c>
      <c r="AM18" s="210">
        <v>0</v>
      </c>
      <c r="AN18" s="101"/>
      <c r="AO18" s="108"/>
      <c r="AP18" s="67" t="s">
        <v>92</v>
      </c>
      <c r="AQ18" s="67"/>
      <c r="AR18" s="67"/>
      <c r="AS18" s="67"/>
      <c r="AT18" s="67"/>
      <c r="AU18" s="67"/>
      <c r="AV18" s="67"/>
      <c r="AW18" s="67"/>
      <c r="AX18" s="67"/>
      <c r="AY18" s="67"/>
      <c r="AZ18" s="67"/>
      <c r="BA18" s="67"/>
      <c r="BB18" s="236" t="s">
        <v>139</v>
      </c>
      <c r="BC18" s="161">
        <f>+F95+F96+F97+F99</f>
        <v>0</v>
      </c>
      <c r="BD18" s="162">
        <f>+I95+I96+I97+I99</f>
        <v>0</v>
      </c>
      <c r="BE18" s="163">
        <f>+K95+K96+K97+K99</f>
        <v>0</v>
      </c>
      <c r="BF18" s="553">
        <f>MARZO!BF18+ABRIL!BE18+MAYO!BE18+JUNIO!BE18</f>
        <v>0</v>
      </c>
      <c r="BG18" s="101"/>
      <c r="BH18" s="101"/>
      <c r="BI18" s="101"/>
      <c r="BJ18" s="101"/>
      <c r="BK18" s="101"/>
      <c r="BL18" s="101"/>
      <c r="BM18" s="745" t="s">
        <v>140</v>
      </c>
      <c r="BN18" s="188">
        <f>X118+X120+X148+X156+X157-X166</f>
        <v>8493867034.999999</v>
      </c>
      <c r="BO18" s="188">
        <f>AA118+AA120+AA148+AA156+AA157-AA166</f>
        <v>3841990315</v>
      </c>
      <c r="BP18" s="188">
        <f>AD118+AD120+AD148+AD156+AD157-AD166</f>
        <v>2388589939</v>
      </c>
      <c r="BQ18" s="188">
        <f>AF118+AF120+AF148+AF156+AF157-AF166</f>
        <v>356151392</v>
      </c>
    </row>
    <row r="19" spans="1:69" ht="24.75" customHeight="1" thickBot="1">
      <c r="A19" s="286">
        <f>+IF(JUNIO!A19=0,"",JUNIO!A19)</f>
        <v>113</v>
      </c>
      <c r="B19" s="287" t="str">
        <f>+IF(JUNIO!B19=0,"",JUNIO!B19)</f>
        <v>VENTA DE SERVICIOS</v>
      </c>
      <c r="C19" s="127">
        <f t="shared" ref="C19:N19" si="14">C21+C85</f>
        <v>157258153137.47653</v>
      </c>
      <c r="D19" s="125">
        <f t="shared" si="14"/>
        <v>0</v>
      </c>
      <c r="E19" s="125">
        <f t="shared" si="14"/>
        <v>28435941448</v>
      </c>
      <c r="F19" s="128">
        <f t="shared" si="14"/>
        <v>185694094585.47653</v>
      </c>
      <c r="G19" s="127">
        <f t="shared" si="14"/>
        <v>129313182178</v>
      </c>
      <c r="H19" s="125">
        <f t="shared" si="14"/>
        <v>15794031900</v>
      </c>
      <c r="I19" s="128">
        <f t="shared" si="14"/>
        <v>145107214078</v>
      </c>
      <c r="J19" s="127">
        <f t="shared" si="14"/>
        <v>74182238807</v>
      </c>
      <c r="K19" s="1177">
        <f t="shared" si="14"/>
        <v>10826435231</v>
      </c>
      <c r="L19" s="128">
        <f t="shared" si="14"/>
        <v>85008674038</v>
      </c>
      <c r="M19" s="127">
        <f t="shared" si="14"/>
        <v>40586880507.476517</v>
      </c>
      <c r="N19" s="128">
        <f t="shared" si="14"/>
        <v>100685420547.47652</v>
      </c>
      <c r="O19" s="67"/>
      <c r="P19" s="288">
        <f>P21+P85</f>
        <v>0</v>
      </c>
      <c r="Q19" s="289">
        <f>Q21+Q85</f>
        <v>0</v>
      </c>
      <c r="R19" s="101"/>
      <c r="S19" s="266">
        <f>+IF(JUNIO!S19=0,"",JUNIO!S19)</f>
        <v>1010103</v>
      </c>
      <c r="T19" s="267" t="str">
        <f>+IF(JUNIO!T19=0,"",JUNIO!T19)</f>
        <v>Prima Técnica</v>
      </c>
      <c r="U19" s="373">
        <f>+ENERO!U19</f>
        <v>0</v>
      </c>
      <c r="V19" s="220">
        <f>JUNIO!V19+JULIO!AL19</f>
        <v>0</v>
      </c>
      <c r="W19" s="220">
        <f>JUNIO!W19+JULIO!AM19</f>
        <v>0</v>
      </c>
      <c r="X19" s="271">
        <f>SUM(U19:W19)</f>
        <v>0</v>
      </c>
      <c r="Y19" s="270">
        <f>JUNIO!AA19</f>
        <v>0</v>
      </c>
      <c r="Z19" s="208"/>
      <c r="AA19" s="271">
        <f>SUM(Y19:Z19)</f>
        <v>0</v>
      </c>
      <c r="AB19" s="270">
        <f>JUNIO!AD19</f>
        <v>0</v>
      </c>
      <c r="AC19" s="208"/>
      <c r="AD19" s="271">
        <f>SUM(AB19:AC19)</f>
        <v>0</v>
      </c>
      <c r="AE19" s="270">
        <f>JUNIO!AG19</f>
        <v>0</v>
      </c>
      <c r="AF19" s="208"/>
      <c r="AG19" s="271">
        <f>SUM(AE19:AF19)</f>
        <v>0</v>
      </c>
      <c r="AH19" s="270">
        <f>X19-AA19</f>
        <v>0</v>
      </c>
      <c r="AI19" s="220">
        <f>X19-AD19</f>
        <v>0</v>
      </c>
      <c r="AJ19" s="269">
        <f>X19-AG19</f>
        <v>0</v>
      </c>
      <c r="AK19" s="101"/>
      <c r="AL19" s="204">
        <v>0</v>
      </c>
      <c r="AM19" s="210">
        <v>0</v>
      </c>
      <c r="AN19" s="101"/>
      <c r="AO19" s="108"/>
      <c r="AP19" s="290"/>
      <c r="AQ19" s="291" t="s">
        <v>52</v>
      </c>
      <c r="AR19" s="292" t="s">
        <v>31</v>
      </c>
      <c r="AS19" s="293" t="s">
        <v>143</v>
      </c>
      <c r="AT19" s="292" t="s">
        <v>55</v>
      </c>
      <c r="AU19" s="294" t="s">
        <v>55</v>
      </c>
      <c r="AV19" s="295" t="s">
        <v>55</v>
      </c>
      <c r="AW19" s="1328" t="str">
        <f>+CONCATENATE("PROYECCION A DICIEMBRE 31 DEL ",N3)</f>
        <v>PROYECCION A DICIEMBRE 31 DEL 2025</v>
      </c>
      <c r="AX19" s="1322"/>
      <c r="AY19" s="1322"/>
      <c r="AZ19" s="1323"/>
      <c r="BA19" s="67"/>
      <c r="BB19" s="296" t="s">
        <v>144</v>
      </c>
      <c r="BC19" s="297">
        <f>+F105+F106+F107+F108+F109+F110+F98+F100+F101</f>
        <v>912224890</v>
      </c>
      <c r="BD19" s="238">
        <f>+I105+I106+I107+I108+I109+I110+I98+I100+I101</f>
        <v>1464367411</v>
      </c>
      <c r="BE19" s="239">
        <f>+K105+K106+K107+K108+K109+K110+K98+K100+K101</f>
        <v>717436239</v>
      </c>
      <c r="BF19" s="553">
        <f>MARZO!BF19+ABRIL!BE19+MAYO!BE19+JUNIO!BE19</f>
        <v>729645872</v>
      </c>
      <c r="BG19" s="67"/>
      <c r="BH19" s="67"/>
      <c r="BI19" s="67"/>
      <c r="BJ19" s="67"/>
      <c r="BK19" s="67"/>
      <c r="BL19" s="101"/>
      <c r="BM19" s="745" t="s">
        <v>145</v>
      </c>
      <c r="BN19" s="188">
        <f>X126</f>
        <v>2624022659</v>
      </c>
      <c r="BO19" s="188">
        <f>AA126</f>
        <v>1772238801</v>
      </c>
      <c r="BP19" s="188">
        <f>AD126</f>
        <v>1762677901</v>
      </c>
      <c r="BQ19" s="755">
        <f>AF126</f>
        <v>304521587</v>
      </c>
    </row>
    <row r="20" spans="1:69" ht="24.75" customHeight="1" thickBot="1">
      <c r="A20" s="202" t="str">
        <f>+IF(JUNIO!A20=0,"",JUNIO!A20)</f>
        <v/>
      </c>
      <c r="B20" s="298" t="str">
        <f>+IF(JUNIO!B20=0,"",JUNIO!B20)</f>
        <v/>
      </c>
      <c r="C20" s="67"/>
      <c r="D20" s="67"/>
      <c r="E20" s="67"/>
      <c r="F20" s="67"/>
      <c r="G20" s="67"/>
      <c r="H20" s="67"/>
      <c r="I20" s="67"/>
      <c r="J20" s="67"/>
      <c r="K20" s="1178"/>
      <c r="L20" s="67"/>
      <c r="M20" s="67"/>
      <c r="N20" s="283"/>
      <c r="O20" s="101"/>
      <c r="P20" s="284"/>
      <c r="Q20" s="285"/>
      <c r="R20" s="101"/>
      <c r="S20" s="266">
        <f>+IF(JUNIO!S20=0,"",JUNIO!S20)</f>
        <v>1010104</v>
      </c>
      <c r="T20" s="267" t="str">
        <f>+IF(JUNIO!T20=0,"",JUNIO!T20)</f>
        <v>Otros</v>
      </c>
      <c r="U20" s="373">
        <f t="shared" ref="U20:AJ20" si="15">SUM(U21:U32)</f>
        <v>1587602697.9166667</v>
      </c>
      <c r="V20" s="220">
        <f t="shared" si="15"/>
        <v>21000000</v>
      </c>
      <c r="W20" s="220">
        <f t="shared" si="15"/>
        <v>0</v>
      </c>
      <c r="X20" s="271">
        <f t="shared" si="15"/>
        <v>1608602697.9166667</v>
      </c>
      <c r="Y20" s="270">
        <f t="shared" si="15"/>
        <v>447348649</v>
      </c>
      <c r="Z20" s="300">
        <f t="shared" si="15"/>
        <v>288060269</v>
      </c>
      <c r="AA20" s="271">
        <f t="shared" si="15"/>
        <v>735408918</v>
      </c>
      <c r="AB20" s="270">
        <f t="shared" si="15"/>
        <v>447348649</v>
      </c>
      <c r="AC20" s="300">
        <f t="shared" si="15"/>
        <v>288060269</v>
      </c>
      <c r="AD20" s="271">
        <f t="shared" si="15"/>
        <v>735408918</v>
      </c>
      <c r="AE20" s="270">
        <f t="shared" si="15"/>
        <v>447348649</v>
      </c>
      <c r="AF20" s="300">
        <f t="shared" si="15"/>
        <v>281357988</v>
      </c>
      <c r="AG20" s="271">
        <f t="shared" si="15"/>
        <v>728706637</v>
      </c>
      <c r="AH20" s="270">
        <f t="shared" si="15"/>
        <v>873193779.91666663</v>
      </c>
      <c r="AI20" s="220">
        <f t="shared" si="15"/>
        <v>873193779.91666663</v>
      </c>
      <c r="AJ20" s="269">
        <f t="shared" si="15"/>
        <v>879896060.91666663</v>
      </c>
      <c r="AK20" s="101"/>
      <c r="AL20" s="301">
        <f>SUM(AL21:AL32)</f>
        <v>0</v>
      </c>
      <c r="AM20" s="302">
        <f>SUM(AM21:AM32)</f>
        <v>0</v>
      </c>
      <c r="AN20" s="101"/>
      <c r="AO20" s="156"/>
      <c r="AP20" s="303" t="s">
        <v>65</v>
      </c>
      <c r="AQ20" s="304" t="s">
        <v>75</v>
      </c>
      <c r="AR20" s="304" t="s">
        <v>66</v>
      </c>
      <c r="AS20" s="305" t="s">
        <v>66</v>
      </c>
      <c r="AT20" s="304" t="s">
        <v>67</v>
      </c>
      <c r="AU20" s="306" t="s">
        <v>68</v>
      </c>
      <c r="AV20" s="306" t="s">
        <v>68</v>
      </c>
      <c r="AW20" s="306" t="s">
        <v>31</v>
      </c>
      <c r="AX20" s="306" t="s">
        <v>34</v>
      </c>
      <c r="AY20" s="306" t="s">
        <v>147</v>
      </c>
      <c r="AZ20" s="307" t="s">
        <v>147</v>
      </c>
      <c r="BA20" s="67"/>
      <c r="BB20" s="308" t="s">
        <v>148</v>
      </c>
      <c r="BC20" s="142">
        <f>+F115+F117+F119+F120+F121+F123+F124</f>
        <v>0</v>
      </c>
      <c r="BD20" s="143">
        <f>+I115+I117+I119+I120+I121+I123+I124</f>
        <v>0</v>
      </c>
      <c r="BE20" s="144">
        <f>+K115+K117+K119+K120+K121+K123+K124</f>
        <v>0</v>
      </c>
      <c r="BF20" s="553">
        <f>MARZO!BF20+ABRIL!BE20+MAYO!BE20+JUNIO!BE20</f>
        <v>0</v>
      </c>
      <c r="BG20" s="67"/>
      <c r="BH20" s="67"/>
      <c r="BI20" s="67"/>
      <c r="BJ20" s="67"/>
      <c r="BK20" s="67"/>
      <c r="BL20" s="67"/>
      <c r="BM20" s="745" t="s">
        <v>149</v>
      </c>
      <c r="BN20" s="188">
        <f>+X141</f>
        <v>548000000</v>
      </c>
      <c r="BO20" s="188">
        <f>+AA141</f>
        <v>254316758</v>
      </c>
      <c r="BP20" s="188">
        <f>+AD141</f>
        <v>254316758</v>
      </c>
      <c r="BQ20" s="755">
        <f>+AF141</f>
        <v>33717395</v>
      </c>
    </row>
    <row r="21" spans="1:69" ht="24.75" customHeight="1" thickBot="1">
      <c r="A21" s="309" t="str">
        <f>+IF(JUNIO!A21=0,"",JUNIO!A21)</f>
        <v>1.1.02.05.001.09.02</v>
      </c>
      <c r="B21" s="310" t="str">
        <f>+IF(JUNIO!B21=0,"",JUNIO!B21)</f>
        <v>Venta de Servicios de Salud</v>
      </c>
      <c r="C21" s="171">
        <f t="shared" ref="C21:N21" si="16">C22+C25+C28+C41+C42+C45+C48+C51+C54+C57+C60+C63+C66+C69+C72+C75+C78+C81</f>
        <v>157258153137.47653</v>
      </c>
      <c r="D21" s="172">
        <f t="shared" si="16"/>
        <v>0</v>
      </c>
      <c r="E21" s="172">
        <f t="shared" si="16"/>
        <v>6861221082</v>
      </c>
      <c r="F21" s="172">
        <f t="shared" si="16"/>
        <v>164119374219.47653</v>
      </c>
      <c r="G21" s="172">
        <f t="shared" si="16"/>
        <v>119940668947</v>
      </c>
      <c r="H21" s="172">
        <f t="shared" si="16"/>
        <v>14841351570</v>
      </c>
      <c r="I21" s="172">
        <f t="shared" si="16"/>
        <v>134782020517</v>
      </c>
      <c r="J21" s="172">
        <f t="shared" si="16"/>
        <v>68068870117</v>
      </c>
      <c r="K21" s="1179">
        <f t="shared" si="16"/>
        <v>10708608234</v>
      </c>
      <c r="L21" s="172">
        <f t="shared" si="16"/>
        <v>78777478351</v>
      </c>
      <c r="M21" s="172">
        <f t="shared" si="16"/>
        <v>29337353702.476513</v>
      </c>
      <c r="N21" s="173">
        <f t="shared" si="16"/>
        <v>85341895868.476517</v>
      </c>
      <c r="O21" s="67"/>
      <c r="P21" s="288">
        <f>P22+P25+P28+P41+P42+P45+P48+P51+P54+P57+P60+P63+P66+P69+P72+P75+P78+P81</f>
        <v>0</v>
      </c>
      <c r="Q21" s="289">
        <f>Q22+Q25+Q28+Q41+Q42+Q45+Q48+Q51+Q54+Q57+Q60+Q63+Q66+Q69+Q72+Q75+Q78+Q81</f>
        <v>0</v>
      </c>
      <c r="R21" s="101"/>
      <c r="S21" s="311" t="str">
        <f>+IF(JUNIO!S21=0,"",JUNIO!S21)</f>
        <v>2.1.1.01.01.001.08.01</v>
      </c>
      <c r="T21" s="312" t="str">
        <f>+IF(JUNIO!T21=0,"",JUNIO!T21)</f>
        <v xml:space="preserve">Prima de Navidad </v>
      </c>
      <c r="U21" s="373">
        <f>+ENERO!U21</f>
        <v>544320925</v>
      </c>
      <c r="V21" s="220">
        <f>JUNIO!V21+JULIO!AL21</f>
        <v>0</v>
      </c>
      <c r="W21" s="220">
        <f>JUNIO!W21+JULIO!AM21</f>
        <v>0</v>
      </c>
      <c r="X21" s="271">
        <f t="shared" ref="X21:X33" si="17">SUM(U21:W21)</f>
        <v>544320925</v>
      </c>
      <c r="Y21" s="270">
        <f>JUNIO!AA21</f>
        <v>6473230</v>
      </c>
      <c r="Z21" s="208">
        <v>407394</v>
      </c>
      <c r="AA21" s="271">
        <f t="shared" ref="AA21:AA33" si="18">SUM(Y21:Z21)</f>
        <v>6880624</v>
      </c>
      <c r="AB21" s="270">
        <f>JUNIO!AD21</f>
        <v>6473230</v>
      </c>
      <c r="AC21" s="208">
        <v>407394</v>
      </c>
      <c r="AD21" s="271">
        <f t="shared" ref="AD21:AD33" si="19">SUM(AB21:AC21)</f>
        <v>6880624</v>
      </c>
      <c r="AE21" s="270">
        <f>JUNIO!AG21</f>
        <v>6473230</v>
      </c>
      <c r="AF21" s="208">
        <v>0</v>
      </c>
      <c r="AG21" s="271">
        <f t="shared" ref="AG21:AG33" si="20">SUM(AE21:AF21)</f>
        <v>6473230</v>
      </c>
      <c r="AH21" s="270">
        <f t="shared" ref="AH21:AH33" si="21">X21-AA21</f>
        <v>537440301</v>
      </c>
      <c r="AI21" s="220">
        <f t="shared" ref="AI21:AI33" si="22">X21-AD21</f>
        <v>537440301</v>
      </c>
      <c r="AJ21" s="269">
        <f t="shared" ref="AJ21:AJ33" si="23">X21-AG21</f>
        <v>537847695</v>
      </c>
      <c r="AK21" s="101"/>
      <c r="AL21" s="204">
        <v>0</v>
      </c>
      <c r="AM21" s="210">
        <v>0</v>
      </c>
      <c r="AN21" s="101"/>
      <c r="AO21" s="156"/>
      <c r="AP21" s="313"/>
      <c r="AQ21" s="314"/>
      <c r="AR21" s="315" t="str">
        <f>AR6</f>
        <v>JULIO</v>
      </c>
      <c r="AS21" s="316" t="str">
        <f>AR6</f>
        <v>JULIO</v>
      </c>
      <c r="AT21" s="315" t="str">
        <f>AR6</f>
        <v>JULIO</v>
      </c>
      <c r="AU21" s="315" t="s">
        <v>31</v>
      </c>
      <c r="AV21" s="315" t="s">
        <v>34</v>
      </c>
      <c r="AW21" s="317"/>
      <c r="AX21" s="317"/>
      <c r="AY21" s="315" t="s">
        <v>31</v>
      </c>
      <c r="AZ21" s="318" t="s">
        <v>34</v>
      </c>
      <c r="BA21" s="101"/>
      <c r="BB21" s="308" t="s">
        <v>152</v>
      </c>
      <c r="BC21" s="142">
        <f>SUMIF($B8:B122,$B24,F8:F122)+F122+F92+F111</f>
        <v>26063842340.099998</v>
      </c>
      <c r="BD21" s="143">
        <f>SUMIF($B8:B122,$B24,I8:I122)+I122+I92+I111</f>
        <v>44724926593</v>
      </c>
      <c r="BE21" s="142">
        <f>SUM(K128)</f>
        <v>1070103179</v>
      </c>
      <c r="BF21" s="553">
        <f>MARZO!BF21+ABRIL!BE21+MAYO!BE21+JUNIO!BE21</f>
        <v>43654823414</v>
      </c>
      <c r="BG21" s="67"/>
      <c r="BH21" s="67"/>
      <c r="BI21" s="67"/>
      <c r="BJ21" s="67"/>
      <c r="BK21" s="67"/>
      <c r="BL21" s="67"/>
      <c r="BM21" s="745" t="s">
        <v>153</v>
      </c>
      <c r="BN21" s="188">
        <v>0</v>
      </c>
      <c r="BO21" s="186">
        <v>0</v>
      </c>
      <c r="BP21" s="186">
        <v>0</v>
      </c>
      <c r="BQ21" s="754">
        <v>0</v>
      </c>
    </row>
    <row r="22" spans="1:69" ht="24.75" customHeight="1" thickBot="1">
      <c r="A22" s="286" t="str">
        <f>+IF(JUNIO!A22=0,"",JUNIO!A22)</f>
        <v>1.1.02.05.001.09.02.02</v>
      </c>
      <c r="B22" s="319" t="str">
        <f>+IF(JUNIO!B22=0,"",JUNIO!B22)</f>
        <v>EPS - REGIMEN CONTRIBUTIVO</v>
      </c>
      <c r="C22" s="288">
        <f t="shared" ref="C22:N22" si="24">SUM(C23:C24)</f>
        <v>56030749893.586876</v>
      </c>
      <c r="D22" s="320">
        <f t="shared" si="24"/>
        <v>0</v>
      </c>
      <c r="E22" s="320">
        <f t="shared" si="24"/>
        <v>0</v>
      </c>
      <c r="F22" s="320">
        <f t="shared" si="24"/>
        <v>56030749893.586876</v>
      </c>
      <c r="G22" s="320">
        <f t="shared" si="24"/>
        <v>46615380681</v>
      </c>
      <c r="H22" s="320">
        <f t="shared" si="24"/>
        <v>6893185249</v>
      </c>
      <c r="I22" s="320">
        <f t="shared" si="24"/>
        <v>53508565930</v>
      </c>
      <c r="J22" s="320">
        <f t="shared" si="24"/>
        <v>27689547740</v>
      </c>
      <c r="K22" s="1180">
        <f t="shared" si="24"/>
        <v>5341123094</v>
      </c>
      <c r="L22" s="320">
        <f t="shared" si="24"/>
        <v>33030670834</v>
      </c>
      <c r="M22" s="320">
        <f t="shared" si="24"/>
        <v>2522183963.5868759</v>
      </c>
      <c r="N22" s="289">
        <f t="shared" si="24"/>
        <v>23000079059.586876</v>
      </c>
      <c r="O22" s="101"/>
      <c r="P22" s="288">
        <f>SUM(P23:P24)</f>
        <v>0</v>
      </c>
      <c r="Q22" s="289">
        <f>SUM(Q23:Q24)</f>
        <v>0</v>
      </c>
      <c r="R22" s="101"/>
      <c r="S22" s="311" t="str">
        <f>+IF(JUNIO!S22=0,"",JUNIO!S22)</f>
        <v>2.1.1.01.01.001.08.02</v>
      </c>
      <c r="T22" s="312" t="str">
        <f>+IF(JUNIO!T22=0,"",JUNIO!T22)</f>
        <v>Prima de Vacaciones</v>
      </c>
      <c r="U22" s="373">
        <f>+ENERO!U22</f>
        <v>272160462.5</v>
      </c>
      <c r="V22" s="220">
        <f>JUNIO!V22+JULIO!AL22</f>
        <v>0</v>
      </c>
      <c r="W22" s="220">
        <f>JUNIO!W22+JULIO!AM22</f>
        <v>0</v>
      </c>
      <c r="X22" s="271">
        <f t="shared" si="17"/>
        <v>272160462.5</v>
      </c>
      <c r="Y22" s="270">
        <f>JUNIO!AA22</f>
        <v>118617776</v>
      </c>
      <c r="Z22" s="208">
        <v>23763722</v>
      </c>
      <c r="AA22" s="271">
        <f t="shared" si="18"/>
        <v>142381498</v>
      </c>
      <c r="AB22" s="270">
        <f>JUNIO!AD22</f>
        <v>118617776</v>
      </c>
      <c r="AC22" s="208">
        <v>23763722</v>
      </c>
      <c r="AD22" s="271">
        <f t="shared" si="19"/>
        <v>142381498</v>
      </c>
      <c r="AE22" s="270">
        <f>JUNIO!AG22</f>
        <v>118617776</v>
      </c>
      <c r="AF22" s="208">
        <v>22166433</v>
      </c>
      <c r="AG22" s="271">
        <f>SUM(AE22:AF22)</f>
        <v>140784209</v>
      </c>
      <c r="AH22" s="270">
        <f t="shared" si="21"/>
        <v>129778964.5</v>
      </c>
      <c r="AI22" s="220">
        <f t="shared" si="22"/>
        <v>129778964.5</v>
      </c>
      <c r="AJ22" s="269">
        <f t="shared" si="23"/>
        <v>131376253.5</v>
      </c>
      <c r="AK22" s="101"/>
      <c r="AL22" s="204">
        <v>0</v>
      </c>
      <c r="AM22" s="210">
        <v>0</v>
      </c>
      <c r="AN22" s="101"/>
      <c r="AO22" s="108"/>
      <c r="AP22" s="536" t="s">
        <v>156</v>
      </c>
      <c r="AQ22" s="537">
        <f>X17+X66</f>
        <v>6034913230</v>
      </c>
      <c r="AR22" s="537">
        <f>AD17+AD66</f>
        <v>3028838556</v>
      </c>
      <c r="AS22" s="537">
        <f>AG17+AG66</f>
        <v>3024801984</v>
      </c>
      <c r="AT22" s="338"/>
      <c r="AU22" s="325">
        <f t="shared" ref="AU22:AU32" si="25">IF(AQ22=0," ",AR22/AQ22)</f>
        <v>0.50188601568344338</v>
      </c>
      <c r="AV22" s="325">
        <f t="shared" ref="AV22:AV32" si="26">IF(AQ22=0," ",AS22/AQ22)</f>
        <v>0.5012171457517377</v>
      </c>
      <c r="AW22" s="323">
        <f>AR22/$AO$2*12</f>
        <v>5192294667.4285717</v>
      </c>
      <c r="AX22" s="323">
        <f>AS22/$AO$2*12</f>
        <v>5185374829.7142859</v>
      </c>
      <c r="AY22" s="323">
        <f t="shared" ref="AY22:AY31" si="27">AW22-AQ22</f>
        <v>-842618562.5714283</v>
      </c>
      <c r="AZ22" s="326">
        <f t="shared" ref="AZ22:AZ31" si="28">AQ22-AX22</f>
        <v>849538400.28571415</v>
      </c>
      <c r="BA22" s="67"/>
      <c r="BB22" s="327" t="s">
        <v>157</v>
      </c>
      <c r="BC22" s="328">
        <f>BC7+BC8+BC20+BC21</f>
        <v>187805533529.47653</v>
      </c>
      <c r="BD22" s="329">
        <f>BD7+BD8+BD20+BD21</f>
        <v>147770795543</v>
      </c>
      <c r="BE22" s="328">
        <f>SUM(BE8+BE21)</f>
        <v>11556341118</v>
      </c>
      <c r="BF22" s="553">
        <f>MARZO!BF22+ABRIL!BE22+MAYO!BE22+JUNIO!BE22</f>
        <v>74936900818</v>
      </c>
      <c r="BG22" s="67"/>
      <c r="BH22" s="67"/>
      <c r="BI22" s="67"/>
      <c r="BJ22" s="67"/>
      <c r="BK22" s="67"/>
      <c r="BL22" s="101"/>
      <c r="BM22" s="743" t="s">
        <v>108</v>
      </c>
      <c r="BN22" s="188">
        <f>BN23+BN24</f>
        <v>3214060585</v>
      </c>
      <c r="BO22" s="186">
        <f>BO23+BO24</f>
        <v>1026884110</v>
      </c>
      <c r="BP22" s="186">
        <f>BP23+BP24</f>
        <v>1026854210</v>
      </c>
      <c r="BQ22" s="748">
        <f>BQ23+BQ24</f>
        <v>173076267</v>
      </c>
    </row>
    <row r="23" spans="1:69" ht="24.75" customHeight="1">
      <c r="A23" s="202" t="str">
        <f>+IF(JUNIO!A23=0,"",JUNIO!A23)</f>
        <v>1.1.02.05.001.09.02.02</v>
      </c>
      <c r="B23" s="331" t="str">
        <f>+CONCATENATE("Vigencia ",INSTRUCCIONES!$F$3)</f>
        <v>Vigencia 2025</v>
      </c>
      <c r="C23" s="204">
        <f>+ENERO!C23</f>
        <v>49300076925.586876</v>
      </c>
      <c r="D23" s="205">
        <f>JUNIO!D23+JULIO!P23</f>
        <v>0</v>
      </c>
      <c r="E23" s="205">
        <f>JUNIO!E23+JULIO!Q23</f>
        <v>0</v>
      </c>
      <c r="F23" s="205">
        <f>SUM(C23:E23)</f>
        <v>49300076925.586876</v>
      </c>
      <c r="G23" s="205">
        <f>JUNIO!I23</f>
        <v>33492681746</v>
      </c>
      <c r="H23" s="208">
        <f>6438747799+64095300</f>
        <v>6502843099</v>
      </c>
      <c r="I23" s="205">
        <f>SUM(G23:H23)</f>
        <v>39995524845</v>
      </c>
      <c r="J23" s="205">
        <f>JUNIO!L23</f>
        <v>14566848805</v>
      </c>
      <c r="K23" s="765">
        <f>4886344864+340780+64095300</f>
        <v>4950780944</v>
      </c>
      <c r="L23" s="205">
        <f>SUM(J23:K23)</f>
        <v>19517629749</v>
      </c>
      <c r="M23" s="205">
        <f>F23-I23</f>
        <v>9304552080.5868759</v>
      </c>
      <c r="N23" s="206">
        <f>F23-L23</f>
        <v>29782447176.586876</v>
      </c>
      <c r="O23" s="101"/>
      <c r="P23" s="204">
        <v>0</v>
      </c>
      <c r="Q23" s="210">
        <v>0</v>
      </c>
      <c r="R23" s="101"/>
      <c r="S23" s="311" t="str">
        <f>+IF(JUNIO!S23=0,"",JUNIO!S23)</f>
        <v>2.1.1.01.01.001.07</v>
      </c>
      <c r="T23" s="312" t="str">
        <f>+IF(JUNIO!T23=0,"",JUNIO!T23)</f>
        <v>Bonificación  por servicios prestados</v>
      </c>
      <c r="U23" s="373">
        <f>+ENERO!U23</f>
        <v>190512323.74999997</v>
      </c>
      <c r="V23" s="220">
        <f>JUNIO!V23+JULIO!AL23</f>
        <v>0</v>
      </c>
      <c r="W23" s="220">
        <f>JUNIO!W23+JULIO!AM23</f>
        <v>0</v>
      </c>
      <c r="X23" s="271">
        <f t="shared" si="17"/>
        <v>190512323.74999997</v>
      </c>
      <c r="Y23" s="270">
        <f>JUNIO!AA23</f>
        <v>111848623</v>
      </c>
      <c r="Z23" s="208">
        <v>7675207</v>
      </c>
      <c r="AA23" s="271">
        <f t="shared" si="18"/>
        <v>119523830</v>
      </c>
      <c r="AB23" s="270">
        <f>JUNIO!AD23</f>
        <v>111848623</v>
      </c>
      <c r="AC23" s="208">
        <v>7675207</v>
      </c>
      <c r="AD23" s="271">
        <f t="shared" si="19"/>
        <v>119523830</v>
      </c>
      <c r="AE23" s="270">
        <f>JUNIO!AG23</f>
        <v>111848623</v>
      </c>
      <c r="AF23" s="208">
        <v>6853618</v>
      </c>
      <c r="AG23" s="271">
        <f t="shared" si="20"/>
        <v>118702241</v>
      </c>
      <c r="AH23" s="270">
        <f t="shared" si="21"/>
        <v>70988493.74999997</v>
      </c>
      <c r="AI23" s="220">
        <f t="shared" si="22"/>
        <v>70988493.74999997</v>
      </c>
      <c r="AJ23" s="269">
        <f t="shared" si="23"/>
        <v>71810082.74999997</v>
      </c>
      <c r="AK23" s="101"/>
      <c r="AL23" s="204">
        <v>0</v>
      </c>
      <c r="AM23" s="210">
        <v>0</v>
      </c>
      <c r="AN23" s="101"/>
      <c r="AO23" s="196"/>
      <c r="AP23" s="538" t="s">
        <v>159</v>
      </c>
      <c r="AQ23" s="334">
        <f>X16+X65-AQ22</f>
        <v>1625602697.916667</v>
      </c>
      <c r="AR23" s="334">
        <f>AD16+AD65-AR22</f>
        <v>743932969</v>
      </c>
      <c r="AS23" s="334">
        <f>AG16+AG65-AS22</f>
        <v>737230688</v>
      </c>
      <c r="AT23" s="110"/>
      <c r="AU23" s="139">
        <f t="shared" si="25"/>
        <v>0.457635171221976</v>
      </c>
      <c r="AV23" s="139">
        <f t="shared" si="26"/>
        <v>0.45351221977228323</v>
      </c>
      <c r="AW23" s="334">
        <f>(AR23-AD21-AD22-AD23-AD25-AD30-AD33-AD70-AD71-AD72-AD74-AD78-AD81)/$AO$2*12+AX22/12*2.5+AD30+AD33+AD78+AD81</f>
        <v>1882115450.5714288</v>
      </c>
      <c r="AX23" s="334">
        <f>(AS23-AG21-AG22-AG23-AG25-AG30-AG33-AG70-AG71-AG72-AG74-AG78-AG81)/$AO$2*12+AX22/12*2.5+AG30+AG33+AG78+AG81</f>
        <v>1875631351.5714288</v>
      </c>
      <c r="AY23" s="334">
        <f t="shared" si="27"/>
        <v>256512752.65476179</v>
      </c>
      <c r="AZ23" s="335">
        <f t="shared" si="28"/>
        <v>-250028653.65476179</v>
      </c>
      <c r="BA23" s="67"/>
      <c r="BB23" s="336"/>
      <c r="BC23" s="336"/>
      <c r="BD23" s="336"/>
      <c r="BE23" s="336"/>
      <c r="BF23" s="67"/>
      <c r="BG23" s="67"/>
      <c r="BH23" s="67"/>
      <c r="BI23" s="67"/>
      <c r="BJ23" s="67"/>
      <c r="BK23" s="67"/>
      <c r="BL23" s="67"/>
      <c r="BM23" s="745" t="s">
        <v>160</v>
      </c>
      <c r="BN23" s="188">
        <f>X176</f>
        <v>0</v>
      </c>
      <c r="BO23" s="186">
        <f>AA176</f>
        <v>0</v>
      </c>
      <c r="BP23" s="186">
        <f>AD176</f>
        <v>0</v>
      </c>
      <c r="BQ23" s="748">
        <f>AF176</f>
        <v>0</v>
      </c>
    </row>
    <row r="24" spans="1:69" ht="24.75" customHeight="1">
      <c r="A24" s="202" t="str">
        <f>+IF(JUNIO!A24=0,"",JUNIO!A24)</f>
        <v>1.1.02.05.001.09.02.02,99</v>
      </c>
      <c r="B24" s="331" t="str">
        <f>+IF(JUNIO!B24=0,"",JUNIO!B24)</f>
        <v>Vigencia Anterior</v>
      </c>
      <c r="C24" s="204">
        <f>+ENERO!C24</f>
        <v>6730672968</v>
      </c>
      <c r="D24" s="205">
        <f>JUNIO!D24+JULIO!P24</f>
        <v>0</v>
      </c>
      <c r="E24" s="205">
        <f>JUNIO!E24+JULIO!Q24</f>
        <v>0</v>
      </c>
      <c r="F24" s="205">
        <f>SUM(C24:E24)</f>
        <v>6730672968</v>
      </c>
      <c r="G24" s="205">
        <f>JUNIO!I24</f>
        <v>13122698935</v>
      </c>
      <c r="H24" s="208">
        <v>390342150</v>
      </c>
      <c r="I24" s="205">
        <f>SUM(G24:H24)</f>
        <v>13513041085</v>
      </c>
      <c r="J24" s="205">
        <f>JUNIO!L24</f>
        <v>13122698935</v>
      </c>
      <c r="K24" s="765">
        <v>390342150</v>
      </c>
      <c r="L24" s="205">
        <f>SUM(J24:K24)</f>
        <v>13513041085</v>
      </c>
      <c r="M24" s="205">
        <f>F24-I24</f>
        <v>-6782368117</v>
      </c>
      <c r="N24" s="206">
        <f>F24-L24</f>
        <v>-6782368117</v>
      </c>
      <c r="O24" s="67"/>
      <c r="P24" s="204">
        <v>0</v>
      </c>
      <c r="Q24" s="210">
        <v>0</v>
      </c>
      <c r="R24" s="101"/>
      <c r="S24" s="311" t="str">
        <f>+IF(JUNIO!S24=0,"",JUNIO!S24)</f>
        <v>2.1.1.01.01.001.06</v>
      </c>
      <c r="T24" s="312" t="str">
        <f>+IF(JUNIO!T24=0,"",JUNIO!T24)</f>
        <v>Prima de Servicios</v>
      </c>
      <c r="U24" s="373">
        <f>+ENERO!U24</f>
        <v>272160462.5</v>
      </c>
      <c r="V24" s="220">
        <f>JUNIO!V24+JULIO!AL24</f>
        <v>0</v>
      </c>
      <c r="W24" s="220">
        <f>JUNIO!W24+JULIO!AM24</f>
        <v>0</v>
      </c>
      <c r="X24" s="271">
        <f t="shared" si="17"/>
        <v>272160462.5</v>
      </c>
      <c r="Y24" s="270">
        <f>JUNIO!AA24</f>
        <v>18364031</v>
      </c>
      <c r="Z24" s="208">
        <v>216290937</v>
      </c>
      <c r="AA24" s="271">
        <f>SUM(Y24:Z24)</f>
        <v>234654968</v>
      </c>
      <c r="AB24" s="270">
        <f>JUNIO!AD24</f>
        <v>18364031</v>
      </c>
      <c r="AC24" s="208">
        <v>216290937</v>
      </c>
      <c r="AD24" s="271">
        <f t="shared" si="19"/>
        <v>234654968</v>
      </c>
      <c r="AE24" s="270">
        <f>JUNIO!AG24</f>
        <v>18364031</v>
      </c>
      <c r="AF24" s="208">
        <v>215148445</v>
      </c>
      <c r="AG24" s="271">
        <f t="shared" si="20"/>
        <v>233512476</v>
      </c>
      <c r="AH24" s="270">
        <f t="shared" si="21"/>
        <v>37505494.5</v>
      </c>
      <c r="AI24" s="220">
        <f t="shared" si="22"/>
        <v>37505494.5</v>
      </c>
      <c r="AJ24" s="269">
        <f t="shared" si="23"/>
        <v>38647986.5</v>
      </c>
      <c r="AK24" s="101"/>
      <c r="AL24" s="204">
        <v>0</v>
      </c>
      <c r="AM24" s="210">
        <v>0</v>
      </c>
      <c r="AN24" s="101"/>
      <c r="AO24" s="196"/>
      <c r="AP24" s="303" t="s">
        <v>163</v>
      </c>
      <c r="AQ24" s="338">
        <f>X35+X83</f>
        <v>80931494238</v>
      </c>
      <c r="AR24" s="338">
        <f>AD35+AD83</f>
        <v>57555253745</v>
      </c>
      <c r="AS24" s="338">
        <f>AG35+AG83</f>
        <v>39366642621</v>
      </c>
      <c r="AT24" s="338"/>
      <c r="AU24" s="205">
        <f t="shared" si="25"/>
        <v>0.71116015201379923</v>
      </c>
      <c r="AV24" s="205">
        <f t="shared" si="26"/>
        <v>0.48641932280691869</v>
      </c>
      <c r="AW24" s="205">
        <f>(AR24-AD41-AD88)/$AO$2*12+AD41+AD88</f>
        <v>86922845074.285706</v>
      </c>
      <c r="AX24" s="205">
        <f>(AS24-AG41-AG88)/$AO$2*12+AG41+AG88</f>
        <v>55742368861.714287</v>
      </c>
      <c r="AY24" s="205">
        <f t="shared" si="27"/>
        <v>5991350836.2857056</v>
      </c>
      <c r="AZ24" s="206">
        <f t="shared" si="28"/>
        <v>25189125376.285713</v>
      </c>
      <c r="BA24" s="101"/>
      <c r="BB24" s="339"/>
      <c r="BC24" s="67"/>
      <c r="BD24" s="67"/>
      <c r="BE24" s="67"/>
      <c r="BF24" s="67"/>
      <c r="BG24" s="67"/>
      <c r="BH24" s="67"/>
      <c r="BI24" s="67"/>
      <c r="BJ24" s="67"/>
      <c r="BK24" s="67"/>
      <c r="BL24" s="67"/>
      <c r="BM24" s="745" t="s">
        <v>164</v>
      </c>
      <c r="BN24" s="188">
        <f>X168-X190</f>
        <v>3214060585</v>
      </c>
      <c r="BO24" s="188">
        <f>AA168-AA190</f>
        <v>1026884110</v>
      </c>
      <c r="BP24" s="188">
        <f>AD168-AD190</f>
        <v>1026854210</v>
      </c>
      <c r="BQ24" s="188">
        <f>AF168-AF190</f>
        <v>173076267</v>
      </c>
    </row>
    <row r="25" spans="1:69" ht="24.75" customHeight="1">
      <c r="A25" s="286" t="str">
        <f>+IF(JUNIO!A25=0,"",JUNIO!A25)</f>
        <v>1.1.02.05.001.09.02.01</v>
      </c>
      <c r="B25" s="319" t="str">
        <f>+IF(JUNIO!B25=0,"",JUNIO!B25)</f>
        <v>ARS - REGIMEN SUBSIDIADO</v>
      </c>
      <c r="C25" s="288">
        <f t="shared" ref="C25:N25" si="29">SUM(C26:C27)</f>
        <v>91588666596</v>
      </c>
      <c r="D25" s="320">
        <f t="shared" si="29"/>
        <v>0</v>
      </c>
      <c r="E25" s="320">
        <f t="shared" si="29"/>
        <v>6861221082</v>
      </c>
      <c r="F25" s="320">
        <f t="shared" si="29"/>
        <v>98449887678</v>
      </c>
      <c r="G25" s="320">
        <f t="shared" si="29"/>
        <v>67915311315</v>
      </c>
      <c r="H25" s="320">
        <f t="shared" si="29"/>
        <v>7152269123</v>
      </c>
      <c r="I25" s="320">
        <f t="shared" si="29"/>
        <v>75067580438</v>
      </c>
      <c r="J25" s="320">
        <f t="shared" si="29"/>
        <v>37107063731</v>
      </c>
      <c r="K25" s="1180">
        <f t="shared" si="29"/>
        <v>4972687123</v>
      </c>
      <c r="L25" s="320">
        <f t="shared" si="29"/>
        <v>42079750854</v>
      </c>
      <c r="M25" s="320">
        <f t="shared" si="29"/>
        <v>23382307240</v>
      </c>
      <c r="N25" s="289">
        <f t="shared" si="29"/>
        <v>56370136824</v>
      </c>
      <c r="O25" s="67"/>
      <c r="P25" s="288">
        <f>SUM(P26:P27)</f>
        <v>0</v>
      </c>
      <c r="Q25" s="289">
        <f>SUM(Q26:Q27)</f>
        <v>0</v>
      </c>
      <c r="R25" s="101"/>
      <c r="S25" s="311" t="str">
        <f>+IF(JUNIO!S25=0,"",JUNIO!S25)</f>
        <v>1010104-5</v>
      </c>
      <c r="T25" s="312" t="str">
        <f>+IF(JUNIO!T25=0,"",JUNIO!T25)</f>
        <v>Bonificación Convencional</v>
      </c>
      <c r="U25" s="373">
        <f>+ENERO!U25</f>
        <v>0</v>
      </c>
      <c r="V25" s="220">
        <f>JUNIO!V25+JULIO!AL25</f>
        <v>0</v>
      </c>
      <c r="W25" s="220">
        <f>JUNIO!W25+JULIO!AM25</f>
        <v>0</v>
      </c>
      <c r="X25" s="271">
        <f t="shared" si="17"/>
        <v>0</v>
      </c>
      <c r="Y25" s="270">
        <f>JUNIO!AA25</f>
        <v>0</v>
      </c>
      <c r="Z25" s="208">
        <v>0</v>
      </c>
      <c r="AA25" s="271">
        <f t="shared" si="18"/>
        <v>0</v>
      </c>
      <c r="AB25" s="270">
        <f>JUNIO!AD25</f>
        <v>0</v>
      </c>
      <c r="AC25" s="208">
        <v>0</v>
      </c>
      <c r="AD25" s="271">
        <f t="shared" si="19"/>
        <v>0</v>
      </c>
      <c r="AE25" s="270">
        <f>JUNIO!AG25</f>
        <v>0</v>
      </c>
      <c r="AF25" s="208">
        <v>0</v>
      </c>
      <c r="AG25" s="271">
        <f t="shared" si="20"/>
        <v>0</v>
      </c>
      <c r="AH25" s="270">
        <f t="shared" si="21"/>
        <v>0</v>
      </c>
      <c r="AI25" s="220">
        <f t="shared" si="22"/>
        <v>0</v>
      </c>
      <c r="AJ25" s="269">
        <f t="shared" si="23"/>
        <v>0</v>
      </c>
      <c r="AK25" s="101"/>
      <c r="AL25" s="204">
        <v>0</v>
      </c>
      <c r="AM25" s="210">
        <v>0</v>
      </c>
      <c r="AN25" s="101"/>
      <c r="AO25" s="108"/>
      <c r="AP25" s="420" t="s">
        <v>168</v>
      </c>
      <c r="AQ25" s="205">
        <f>X43+X57+X90+X104</f>
        <v>3217792492.9625015</v>
      </c>
      <c r="AR25" s="205">
        <f>AD43+AD57+AD90+AD104</f>
        <v>1681732568</v>
      </c>
      <c r="AS25" s="205">
        <f>AG43+AG57+AG90+AG104</f>
        <v>1677613604</v>
      </c>
      <c r="AT25" s="338"/>
      <c r="AU25" s="205">
        <f t="shared" si="25"/>
        <v>0.52263549364293893</v>
      </c>
      <c r="AV25" s="205">
        <f t="shared" si="26"/>
        <v>0.52135543471775703</v>
      </c>
      <c r="AW25" s="205">
        <f>(AR25-AD55-AD61-AD102-AD108)/$AO$2*12+AD55+AD61+AD102+AD108</f>
        <v>2495420684.4285717</v>
      </c>
      <c r="AX25" s="205">
        <f>(AS25-AG55-AG61-AG102-AG108)/$AO$2*12+AG55+AG61+AG102+AG108</f>
        <v>2488359603.2857141</v>
      </c>
      <c r="AY25" s="205">
        <f t="shared" si="27"/>
        <v>-722371808.53392982</v>
      </c>
      <c r="AZ25" s="206">
        <f t="shared" si="28"/>
        <v>729432889.67678738</v>
      </c>
      <c r="BA25" s="67"/>
      <c r="BB25" s="67"/>
      <c r="BC25" s="67"/>
      <c r="BD25" s="67"/>
      <c r="BE25" s="67"/>
      <c r="BF25" s="67"/>
      <c r="BG25" s="67"/>
      <c r="BH25" s="67"/>
      <c r="BI25" s="67"/>
      <c r="BJ25" s="67"/>
      <c r="BK25" s="67"/>
      <c r="BL25" s="67"/>
      <c r="BM25" s="756" t="s">
        <v>169</v>
      </c>
      <c r="BN25" s="340">
        <f>+SUM(BN26:BN28)</f>
        <v>36675849515.333328</v>
      </c>
      <c r="BO25" s="341">
        <f>+SUM(BO26:BO28)</f>
        <v>33889252074</v>
      </c>
      <c r="BP25" s="341">
        <f>+SUM(BP26:BP28)</f>
        <v>26188262126</v>
      </c>
      <c r="BQ25" s="757">
        <f>+SUM(BQ26:BQ28)</f>
        <v>3436832543</v>
      </c>
    </row>
    <row r="26" spans="1:69" ht="24.75" customHeight="1">
      <c r="A26" s="202" t="str">
        <f>+IF(JUNIO!A26=0,"",JUNIO!A26)</f>
        <v>1.1.02.05.001.09.02.01</v>
      </c>
      <c r="B26" s="331" t="str">
        <f>+CONCATENATE("Vigencia ",INSTRUCCIONES!$F$3)</f>
        <v>Vigencia 2025</v>
      </c>
      <c r="C26" s="204">
        <f>+ENERO!C26</f>
        <v>81866799864</v>
      </c>
      <c r="D26" s="205">
        <f>JUNIO!D26+JULIO!P26</f>
        <v>0</v>
      </c>
      <c r="E26" s="205">
        <f>JUNIO!E26+JULIO!Q26</f>
        <v>0</v>
      </c>
      <c r="F26" s="205">
        <f>SUM(C26:E26)</f>
        <v>81866799864</v>
      </c>
      <c r="G26" s="205">
        <f>JUNIO!I26</f>
        <v>39261266547</v>
      </c>
      <c r="H26" s="208">
        <f>6691004611+18323900</f>
        <v>6709328511</v>
      </c>
      <c r="I26" s="205">
        <f>SUM(G26:H26)</f>
        <v>45970595058</v>
      </c>
      <c r="J26" s="205">
        <f>JUNIO!L26</f>
        <v>8453018963</v>
      </c>
      <c r="K26" s="765">
        <f>4511422611+18323900</f>
        <v>4529746511</v>
      </c>
      <c r="L26" s="205">
        <f>SUM(J26:K26)</f>
        <v>12982765474</v>
      </c>
      <c r="M26" s="205">
        <f>F26-I26</f>
        <v>35896204806</v>
      </c>
      <c r="N26" s="206">
        <f>F26-L26</f>
        <v>68884034390</v>
      </c>
      <c r="O26" s="101"/>
      <c r="P26" s="204">
        <v>0</v>
      </c>
      <c r="Q26" s="210">
        <v>0</v>
      </c>
      <c r="R26" s="101"/>
      <c r="S26" s="311" t="str">
        <f>+IF(JUNIO!S26=0,"",JUNIO!S26)</f>
        <v>2.1.1.01.01.001.05</v>
      </c>
      <c r="T26" s="312" t="str">
        <f>+IF(JUNIO!T26=0,"",JUNIO!T26)</f>
        <v>Auxilio de Transporte</v>
      </c>
      <c r="U26" s="373">
        <f>+ENERO!U26</f>
        <v>0</v>
      </c>
      <c r="V26" s="220">
        <f>JUNIO!V26+JULIO!AL26</f>
        <v>21000000</v>
      </c>
      <c r="W26" s="220">
        <f>JUNIO!W26+JULIO!AM26</f>
        <v>0</v>
      </c>
      <c r="X26" s="271">
        <f t="shared" si="17"/>
        <v>21000000</v>
      </c>
      <c r="Y26" s="270">
        <f>JUNIO!AA26</f>
        <v>12933331</v>
      </c>
      <c r="Z26" s="208">
        <v>0</v>
      </c>
      <c r="AA26" s="271">
        <f t="shared" si="18"/>
        <v>12933331</v>
      </c>
      <c r="AB26" s="270">
        <f>JUNIO!AD26</f>
        <v>12933331</v>
      </c>
      <c r="AC26" s="208">
        <v>0</v>
      </c>
      <c r="AD26" s="271">
        <f t="shared" si="19"/>
        <v>12933331</v>
      </c>
      <c r="AE26" s="270">
        <f>JUNIO!AG26</f>
        <v>12933331</v>
      </c>
      <c r="AF26" s="208">
        <v>0</v>
      </c>
      <c r="AG26" s="271">
        <f t="shared" si="20"/>
        <v>12933331</v>
      </c>
      <c r="AH26" s="270">
        <f t="shared" si="21"/>
        <v>8066669</v>
      </c>
      <c r="AI26" s="220">
        <f t="shared" si="22"/>
        <v>8066669</v>
      </c>
      <c r="AJ26" s="269">
        <f t="shared" si="23"/>
        <v>8066669</v>
      </c>
      <c r="AK26" s="101"/>
      <c r="AL26" s="204">
        <v>0</v>
      </c>
      <c r="AM26" s="210">
        <v>0</v>
      </c>
      <c r="AN26" s="101"/>
      <c r="AO26" s="108"/>
      <c r="AP26" s="539" t="s">
        <v>171</v>
      </c>
      <c r="AQ26" s="110">
        <f>X110</f>
        <v>22061802276.620834</v>
      </c>
      <c r="AR26" s="110">
        <f>AD110</f>
        <v>9933462304</v>
      </c>
      <c r="AS26" s="110">
        <f>AG110</f>
        <v>7544193011</v>
      </c>
      <c r="AT26" s="198">
        <f>AO2/12</f>
        <v>0.58333333333333337</v>
      </c>
      <c r="AU26" s="139">
        <f t="shared" si="25"/>
        <v>0.45025615674774738</v>
      </c>
      <c r="AV26" s="139">
        <f t="shared" si="26"/>
        <v>0.34195723977612996</v>
      </c>
      <c r="AW26" s="334" t="e">
        <f>(AR26-AD121-AD139-AD143-AD153-#REF!)/$AO$2*12+AD121+AD139+AD143+AD153+#REF!</f>
        <v>#REF!</v>
      </c>
      <c r="AX26" s="334" t="e">
        <f>(AS26-AG121-AG139-AG143-AG153-#REF!)/$AO$2*12+AG121+AG139+AG143+AG153+#REF!</f>
        <v>#REF!</v>
      </c>
      <c r="AY26" s="334" t="e">
        <f t="shared" si="27"/>
        <v>#REF!</v>
      </c>
      <c r="AZ26" s="335" t="e">
        <f t="shared" si="28"/>
        <v>#REF!</v>
      </c>
      <c r="BA26" s="67"/>
      <c r="BB26" s="67"/>
      <c r="BC26" s="67"/>
      <c r="BD26" s="67"/>
      <c r="BE26" s="67"/>
      <c r="BF26" s="67"/>
      <c r="BG26" s="67"/>
      <c r="BH26" s="67"/>
      <c r="BI26" s="67"/>
      <c r="BJ26" s="67"/>
      <c r="BK26" s="67"/>
      <c r="BL26" s="101"/>
      <c r="BM26" s="758" t="s">
        <v>172</v>
      </c>
      <c r="BN26" s="199">
        <f>+X197</f>
        <v>6764066391.666666</v>
      </c>
      <c r="BO26" s="199">
        <f>+AA197</f>
        <v>6071363172</v>
      </c>
      <c r="BP26" s="199">
        <f>+AD197</f>
        <v>5127815699</v>
      </c>
      <c r="BQ26" s="750">
        <f>+AF197</f>
        <v>592482572</v>
      </c>
    </row>
    <row r="27" spans="1:69" ht="24.75" customHeight="1">
      <c r="A27" s="202" t="str">
        <f>+IF(JUNIO!A27=0,"",JUNIO!A27)</f>
        <v>1.1.02.05.001.09.02.01.99</v>
      </c>
      <c r="B27" s="331" t="str">
        <f>+IF(JUNIO!B27=0,"",JUNIO!B27)</f>
        <v>Vigencia Anterior</v>
      </c>
      <c r="C27" s="204">
        <f>+ENERO!C27</f>
        <v>9721866732</v>
      </c>
      <c r="D27" s="205">
        <f>JUNIO!D27+JULIO!P27</f>
        <v>0</v>
      </c>
      <c r="E27" s="205">
        <f>JUNIO!E27+JULIO!Q27</f>
        <v>6861221082</v>
      </c>
      <c r="F27" s="205">
        <f>SUM(C27:E27)</f>
        <v>16583087814</v>
      </c>
      <c r="G27" s="205">
        <f>JUNIO!I27</f>
        <v>28654044768</v>
      </c>
      <c r="H27" s="208">
        <v>442940612</v>
      </c>
      <c r="I27" s="205">
        <f>SUM(G27:H27)</f>
        <v>29096985380</v>
      </c>
      <c r="J27" s="205">
        <f>JUNIO!L27</f>
        <v>28654044768</v>
      </c>
      <c r="K27" s="765">
        <v>442940612</v>
      </c>
      <c r="L27" s="205">
        <f>SUM(J27:K27)</f>
        <v>29096985380</v>
      </c>
      <c r="M27" s="205">
        <f>F27-I27</f>
        <v>-12513897566</v>
      </c>
      <c r="N27" s="206">
        <f>F27-L27</f>
        <v>-12513897566</v>
      </c>
      <c r="O27" s="67"/>
      <c r="P27" s="204">
        <v>0</v>
      </c>
      <c r="Q27" s="210">
        <v>0</v>
      </c>
      <c r="R27" s="101"/>
      <c r="S27" s="311" t="str">
        <f>+IF(JUNIO!S27=0,"",JUNIO!S27)</f>
        <v>2.1.1.01.01.001.04</v>
      </c>
      <c r="T27" s="312" t="str">
        <f>+IF(JUNIO!T27=0,"",JUNIO!T27)</f>
        <v>Auxilio de Alimentación</v>
      </c>
      <c r="U27" s="373">
        <f>+ENERO!U27</f>
        <v>0</v>
      </c>
      <c r="V27" s="220">
        <f>JUNIO!V27+JULIO!AL27</f>
        <v>0</v>
      </c>
      <c r="W27" s="220">
        <f>JUNIO!W27+JULIO!AM27</f>
        <v>0</v>
      </c>
      <c r="X27" s="271">
        <f t="shared" si="17"/>
        <v>0</v>
      </c>
      <c r="Y27" s="270">
        <f>JUNIO!AA27</f>
        <v>0</v>
      </c>
      <c r="Z27" s="208">
        <v>0</v>
      </c>
      <c r="AA27" s="271">
        <f t="shared" si="18"/>
        <v>0</v>
      </c>
      <c r="AB27" s="270">
        <f>JUNIO!AD27</f>
        <v>0</v>
      </c>
      <c r="AC27" s="208">
        <v>0</v>
      </c>
      <c r="AD27" s="271">
        <f t="shared" si="19"/>
        <v>0</v>
      </c>
      <c r="AE27" s="270">
        <f>JUNIO!AG27</f>
        <v>0</v>
      </c>
      <c r="AF27" s="208">
        <v>0</v>
      </c>
      <c r="AG27" s="271">
        <f t="shared" si="20"/>
        <v>0</v>
      </c>
      <c r="AH27" s="270">
        <f t="shared" si="21"/>
        <v>0</v>
      </c>
      <c r="AI27" s="220">
        <f t="shared" si="22"/>
        <v>0</v>
      </c>
      <c r="AJ27" s="269">
        <f t="shared" si="23"/>
        <v>0</v>
      </c>
      <c r="AK27" s="101"/>
      <c r="AL27" s="204">
        <v>0</v>
      </c>
      <c r="AM27" s="210">
        <v>0</v>
      </c>
      <c r="AN27" s="101"/>
      <c r="AO27" s="156"/>
      <c r="AP27" s="420" t="s">
        <v>174</v>
      </c>
      <c r="AQ27" s="205">
        <f>X168</f>
        <v>3614060585</v>
      </c>
      <c r="AR27" s="205">
        <f>AD168</f>
        <v>1229628419</v>
      </c>
      <c r="AS27" s="205">
        <f>AG168</f>
        <v>1013201372.5</v>
      </c>
      <c r="AT27" s="338"/>
      <c r="AU27" s="205">
        <f t="shared" si="25"/>
        <v>0.34023458934349882</v>
      </c>
      <c r="AV27" s="205">
        <f t="shared" si="26"/>
        <v>0.28034985819143371</v>
      </c>
      <c r="AW27" s="205">
        <f>(AR27-AD172-AD181-AD190)/$AO$2*12+AD172+AD181+AD190</f>
        <v>1844380394.7142859</v>
      </c>
      <c r="AX27" s="205">
        <f>(AS27-AG172-AG181-AG190)/$AO$2*12+AG172+AG181+AG190</f>
        <v>1473362600.7142859</v>
      </c>
      <c r="AY27" s="205">
        <f t="shared" si="27"/>
        <v>-1769680190.2857141</v>
      </c>
      <c r="AZ27" s="206">
        <f t="shared" si="28"/>
        <v>2140697984.2857141</v>
      </c>
      <c r="BA27" s="101"/>
      <c r="BB27" s="67"/>
      <c r="BC27" s="67"/>
      <c r="BD27" s="67"/>
      <c r="BE27" s="67"/>
      <c r="BF27" s="67"/>
      <c r="BG27" s="67"/>
      <c r="BH27" s="67"/>
      <c r="BI27" s="67"/>
      <c r="BJ27" s="67"/>
      <c r="BK27" s="67"/>
      <c r="BL27" s="67"/>
      <c r="BM27" s="758" t="s">
        <v>175</v>
      </c>
      <c r="BN27" s="201">
        <f>+X210</f>
        <v>3000000</v>
      </c>
      <c r="BO27" s="199">
        <f>+AA210</f>
        <v>0</v>
      </c>
      <c r="BP27" s="199">
        <f>+AD210</f>
        <v>0</v>
      </c>
      <c r="BQ27" s="750">
        <f>+AF210</f>
        <v>0</v>
      </c>
    </row>
    <row r="28" spans="1:69" ht="24.75" customHeight="1">
      <c r="A28" s="286">
        <f>+IF(JUNIO!A28=0,"",JUNIO!A28)</f>
        <v>1130103</v>
      </c>
      <c r="B28" s="344" t="str">
        <f>+IF(JUNIO!B28=0,"",JUNIO!B28)</f>
        <v>SUBSIDIO A LA OFERTA- ATENCION PERSONAS POBRES NO CUBIERTOS CON SUBSIDIO A LA DEMANDA</v>
      </c>
      <c r="C28" s="288">
        <f>C29+C32+C35+C38+C39+C40</f>
        <v>1850957800</v>
      </c>
      <c r="D28" s="320">
        <f>+D29+D32+D35+D38+D39+D40</f>
        <v>0</v>
      </c>
      <c r="E28" s="320">
        <f>+E29+E32+E35+E38+E39+E40</f>
        <v>0</v>
      </c>
      <c r="F28" s="320">
        <f>+F29+F32+F35+F38+F39+F40</f>
        <v>1850957800</v>
      </c>
      <c r="G28" s="320">
        <f t="shared" ref="G28:N28" si="30">G29+G32+G35+G38+G39+G40</f>
        <v>1055887401</v>
      </c>
      <c r="H28" s="320">
        <f t="shared" si="30"/>
        <v>238434461</v>
      </c>
      <c r="I28" s="320">
        <f t="shared" si="30"/>
        <v>1294321862</v>
      </c>
      <c r="J28" s="320">
        <f t="shared" si="30"/>
        <v>987220045</v>
      </c>
      <c r="K28" s="1180">
        <f t="shared" si="30"/>
        <v>6654611</v>
      </c>
      <c r="L28" s="320">
        <f t="shared" si="30"/>
        <v>993874656</v>
      </c>
      <c r="M28" s="320">
        <f t="shared" si="30"/>
        <v>556635938</v>
      </c>
      <c r="N28" s="289">
        <f t="shared" si="30"/>
        <v>857083144</v>
      </c>
      <c r="O28" s="67"/>
      <c r="P28" s="288">
        <f>P29+P32+P35+P38+P39+P939</f>
        <v>0</v>
      </c>
      <c r="Q28" s="289">
        <f>Q29+Q32+Q35+Q38+Q39+Q40</f>
        <v>0</v>
      </c>
      <c r="R28" s="101"/>
      <c r="S28" s="311" t="str">
        <f>+IF(JUNIO!S28=0,"",JUNIO!S28)</f>
        <v>1010104-8</v>
      </c>
      <c r="T28" s="312" t="str">
        <f>+IF(JUNIO!T28=0,"",JUNIO!T28)</f>
        <v>Indemnizaciones por Vacaciones o Supresión de Cargos por Reestructuración</v>
      </c>
      <c r="U28" s="373">
        <f>+ENERO!U28</f>
        <v>0</v>
      </c>
      <c r="V28" s="220">
        <f>JUNIO!V28+JULIO!AL28</f>
        <v>0</v>
      </c>
      <c r="W28" s="220">
        <f>JUNIO!W28+JULIO!AM28</f>
        <v>0</v>
      </c>
      <c r="X28" s="271">
        <f t="shared" si="17"/>
        <v>0</v>
      </c>
      <c r="Y28" s="270">
        <f>JUNIO!AA28</f>
        <v>0</v>
      </c>
      <c r="Z28" s="208">
        <v>0</v>
      </c>
      <c r="AA28" s="271">
        <f t="shared" si="18"/>
        <v>0</v>
      </c>
      <c r="AB28" s="270">
        <f>JUNIO!AD28</f>
        <v>0</v>
      </c>
      <c r="AC28" s="208">
        <v>0</v>
      </c>
      <c r="AD28" s="271">
        <f t="shared" si="19"/>
        <v>0</v>
      </c>
      <c r="AE28" s="270">
        <f>JUNIO!AG28</f>
        <v>0</v>
      </c>
      <c r="AF28" s="208">
        <v>0</v>
      </c>
      <c r="AG28" s="271">
        <f t="shared" si="20"/>
        <v>0</v>
      </c>
      <c r="AH28" s="270">
        <f t="shared" si="21"/>
        <v>0</v>
      </c>
      <c r="AI28" s="220">
        <f t="shared" si="22"/>
        <v>0</v>
      </c>
      <c r="AJ28" s="269">
        <f t="shared" si="23"/>
        <v>0</v>
      </c>
      <c r="AK28" s="101"/>
      <c r="AL28" s="204">
        <v>0</v>
      </c>
      <c r="AM28" s="210">
        <v>0</v>
      </c>
      <c r="AN28" s="101"/>
      <c r="AO28" s="156"/>
      <c r="AP28" s="333" t="s">
        <v>179</v>
      </c>
      <c r="AQ28" s="205">
        <f>X194</f>
        <v>40389630478.666664</v>
      </c>
      <c r="AR28" s="205">
        <f>AD194</f>
        <v>29836324681</v>
      </c>
      <c r="AS28" s="205">
        <f>AG194</f>
        <v>18218110465</v>
      </c>
      <c r="AT28" s="338"/>
      <c r="AU28" s="205">
        <f t="shared" si="25"/>
        <v>0.7387124944547141</v>
      </c>
      <c r="AV28" s="205">
        <f t="shared" si="26"/>
        <v>0.45105910227682317</v>
      </c>
      <c r="AW28" s="205">
        <f>(AR28-AD206)/$AO$2*12+AD206</f>
        <v>48542226199.571426</v>
      </c>
      <c r="AX28" s="205">
        <f>(AS28-AG206)/$AO$2*12+AG206</f>
        <v>28625287545</v>
      </c>
      <c r="AY28" s="205">
        <f t="shared" si="27"/>
        <v>8152595720.9047623</v>
      </c>
      <c r="AZ28" s="206">
        <f t="shared" si="28"/>
        <v>11764342933.666664</v>
      </c>
      <c r="BA28" s="67"/>
      <c r="BB28" s="67"/>
      <c r="BC28" s="67"/>
      <c r="BD28" s="67"/>
      <c r="BE28" s="67"/>
      <c r="BF28" s="67"/>
      <c r="BG28" s="67"/>
      <c r="BH28" s="67"/>
      <c r="BI28" s="67"/>
      <c r="BJ28" s="67"/>
      <c r="BK28" s="67"/>
      <c r="BL28" s="67"/>
      <c r="BM28" s="743" t="s">
        <v>180</v>
      </c>
      <c r="BN28" s="186">
        <f>+X196-X197+X204</f>
        <v>29908783123.666664</v>
      </c>
      <c r="BO28" s="186">
        <f>+AA196-AA197+AA204</f>
        <v>27817888902</v>
      </c>
      <c r="BP28" s="186">
        <f>+AD196-AD197+AD204</f>
        <v>21060446427</v>
      </c>
      <c r="BQ28" s="748">
        <f>+AF196-AF197+AF204</f>
        <v>2844349971</v>
      </c>
    </row>
    <row r="29" spans="1:69" ht="24.75" customHeight="1">
      <c r="A29" s="202" t="str">
        <f>+IF(JUNIO!A29=0,"",JUNIO!A29)</f>
        <v>1130103-1</v>
      </c>
      <c r="B29" s="345" t="str">
        <f>+IF(JUNIO!B29=0,"",JUNIO!B29)</f>
        <v>Prestación de Servicios de salud  1er Nivel</v>
      </c>
      <c r="C29" s="270">
        <f t="shared" ref="C29:N29" si="31">SUM(C30:C31)</f>
        <v>0</v>
      </c>
      <c r="D29" s="220">
        <f t="shared" si="31"/>
        <v>0</v>
      </c>
      <c r="E29" s="220">
        <f t="shared" si="31"/>
        <v>0</v>
      </c>
      <c r="F29" s="220">
        <f t="shared" si="31"/>
        <v>0</v>
      </c>
      <c r="G29" s="220">
        <f t="shared" si="31"/>
        <v>0</v>
      </c>
      <c r="H29" s="220">
        <f t="shared" si="31"/>
        <v>0</v>
      </c>
      <c r="I29" s="220">
        <f t="shared" si="31"/>
        <v>0</v>
      </c>
      <c r="J29" s="220">
        <f t="shared" si="31"/>
        <v>0</v>
      </c>
      <c r="K29" s="1181">
        <f t="shared" si="31"/>
        <v>0</v>
      </c>
      <c r="L29" s="220">
        <f t="shared" si="31"/>
        <v>0</v>
      </c>
      <c r="M29" s="220">
        <f t="shared" si="31"/>
        <v>0</v>
      </c>
      <c r="N29" s="269">
        <f t="shared" si="31"/>
        <v>0</v>
      </c>
      <c r="O29" s="67"/>
      <c r="P29" s="346">
        <f>SUM(P30:P31)</f>
        <v>0</v>
      </c>
      <c r="Q29" s="347">
        <f>SUM(Q30:Q31)</f>
        <v>0</v>
      </c>
      <c r="R29" s="101"/>
      <c r="S29" s="311" t="str">
        <f>+IF(JUNIO!S29=0,"",JUNIO!S29)</f>
        <v>1010104-9</v>
      </c>
      <c r="T29" s="312" t="str">
        <f>+IF(JUNIO!T29=0,"",JUNIO!T29)</f>
        <v>Gastos de Representacion</v>
      </c>
      <c r="U29" s="373">
        <f>+ENERO!U29</f>
        <v>0</v>
      </c>
      <c r="V29" s="220">
        <f>JUNIO!V29+JULIO!AL29</f>
        <v>0</v>
      </c>
      <c r="W29" s="220">
        <f>JUNIO!W29+JULIO!AM29</f>
        <v>0</v>
      </c>
      <c r="X29" s="271">
        <f t="shared" si="17"/>
        <v>0</v>
      </c>
      <c r="Y29" s="270">
        <f>JUNIO!AA29</f>
        <v>0</v>
      </c>
      <c r="Z29" s="208">
        <v>0</v>
      </c>
      <c r="AA29" s="271">
        <f t="shared" si="18"/>
        <v>0</v>
      </c>
      <c r="AB29" s="270">
        <f>JUNIO!AD29</f>
        <v>0</v>
      </c>
      <c r="AC29" s="208">
        <v>0</v>
      </c>
      <c r="AD29" s="271">
        <f t="shared" si="19"/>
        <v>0</v>
      </c>
      <c r="AE29" s="270">
        <f>JUNIO!AG29</f>
        <v>0</v>
      </c>
      <c r="AF29" s="208">
        <v>0</v>
      </c>
      <c r="AG29" s="271">
        <f t="shared" si="20"/>
        <v>0</v>
      </c>
      <c r="AH29" s="270">
        <f t="shared" si="21"/>
        <v>0</v>
      </c>
      <c r="AI29" s="220">
        <f t="shared" si="22"/>
        <v>0</v>
      </c>
      <c r="AJ29" s="269">
        <f t="shared" si="23"/>
        <v>0</v>
      </c>
      <c r="AK29" s="101"/>
      <c r="AL29" s="204">
        <v>0</v>
      </c>
      <c r="AM29" s="210">
        <v>0</v>
      </c>
      <c r="AN29" s="101"/>
      <c r="AO29" s="108"/>
      <c r="AP29" s="333" t="s">
        <v>185</v>
      </c>
      <c r="AQ29" s="205">
        <f>X208</f>
        <v>4665559635</v>
      </c>
      <c r="AR29" s="205">
        <f>AD208</f>
        <v>4596162843</v>
      </c>
      <c r="AS29" s="205">
        <f>AG208</f>
        <v>4596162843</v>
      </c>
      <c r="AT29" s="110"/>
      <c r="AU29" s="139">
        <f t="shared" si="25"/>
        <v>0.98512573036696383</v>
      </c>
      <c r="AV29" s="139">
        <f t="shared" si="26"/>
        <v>0.98512573036696383</v>
      </c>
      <c r="AW29" s="334">
        <f>(AR29-AD217)/$AO$2*12+AD217</f>
        <v>4596162843</v>
      </c>
      <c r="AX29" s="334">
        <f>(AS29-AG217)/$AO$2*12+AG217</f>
        <v>4596162843</v>
      </c>
      <c r="AY29" s="334">
        <f t="shared" si="27"/>
        <v>-69396792</v>
      </c>
      <c r="AZ29" s="335">
        <f t="shared" si="28"/>
        <v>69396792</v>
      </c>
      <c r="BA29" s="67"/>
      <c r="BB29" s="336"/>
      <c r="BC29" s="336"/>
      <c r="BD29" s="336"/>
      <c r="BE29" s="336"/>
      <c r="BF29" s="336"/>
      <c r="BG29" s="67"/>
      <c r="BH29" s="67"/>
      <c r="BI29" s="67"/>
      <c r="BJ29" s="67"/>
      <c r="BK29" s="67"/>
      <c r="BL29" s="101"/>
      <c r="BM29" s="759" t="s">
        <v>117</v>
      </c>
      <c r="BN29" s="340">
        <f>X234-X240</f>
        <v>21574720366</v>
      </c>
      <c r="BO29" s="340">
        <f>AA234-AA240</f>
        <v>16368940991</v>
      </c>
      <c r="BP29" s="340">
        <f>AD234-AD240</f>
        <v>10709941431</v>
      </c>
      <c r="BQ29" s="340">
        <f>AF234-AF240</f>
        <v>786536536</v>
      </c>
    </row>
    <row r="30" spans="1:69" ht="24.75" customHeight="1">
      <c r="A30" s="202" t="str">
        <f>+IF(JUNIO!A30=0,"",JUNIO!A30)</f>
        <v>1130103-1-1</v>
      </c>
      <c r="B30" s="331" t="str">
        <f>+CONCATENATE("Vigencia ",INSTRUCCIONES!$F$3)</f>
        <v>Vigencia 2025</v>
      </c>
      <c r="C30" s="204">
        <f>+ENERO!C30</f>
        <v>0</v>
      </c>
      <c r="D30" s="205">
        <f>JUNIO!D30+JULIO!P30</f>
        <v>0</v>
      </c>
      <c r="E30" s="205">
        <f>JUNIO!E30+JULIO!Q30</f>
        <v>0</v>
      </c>
      <c r="F30" s="205">
        <f>SUM(C30:E30)</f>
        <v>0</v>
      </c>
      <c r="G30" s="205">
        <f>JUNIO!I30</f>
        <v>0</v>
      </c>
      <c r="H30" s="208">
        <v>0</v>
      </c>
      <c r="I30" s="205">
        <f>SUM(G30:H30)</f>
        <v>0</v>
      </c>
      <c r="J30" s="205">
        <f>JUNIO!L30</f>
        <v>0</v>
      </c>
      <c r="K30" s="765">
        <v>0</v>
      </c>
      <c r="L30" s="205">
        <f>SUM(J30:K30)</f>
        <v>0</v>
      </c>
      <c r="M30" s="205">
        <f>F30-I30</f>
        <v>0</v>
      </c>
      <c r="N30" s="206">
        <f>F30-L30</f>
        <v>0</v>
      </c>
      <c r="O30" s="101"/>
      <c r="P30" s="204">
        <v>0</v>
      </c>
      <c r="Q30" s="210">
        <v>0</v>
      </c>
      <c r="R30" s="101"/>
      <c r="S30" s="311" t="str">
        <f>+IF(JUNIO!S30=0,"",JUNIO!S30)</f>
        <v>2.1.1.01.03.001.03</v>
      </c>
      <c r="T30" s="312" t="str">
        <f>+IF(JUNIO!T30=0,"",JUNIO!T30)</f>
        <v>Bonificación Especial por Recreación</v>
      </c>
      <c r="U30" s="373">
        <f>+ENERO!U30</f>
        <v>36288061.666666657</v>
      </c>
      <c r="V30" s="220">
        <f>JUNIO!V30+JULIO!AL30</f>
        <v>0</v>
      </c>
      <c r="W30" s="220">
        <f>JUNIO!W30+JULIO!AM30</f>
        <v>0</v>
      </c>
      <c r="X30" s="271">
        <f t="shared" si="17"/>
        <v>36288061.666666657</v>
      </c>
      <c r="Y30" s="270">
        <f>JUNIO!AA30</f>
        <v>14844551</v>
      </c>
      <c r="Z30" s="208">
        <v>2947651</v>
      </c>
      <c r="AA30" s="271">
        <f t="shared" si="18"/>
        <v>17792202</v>
      </c>
      <c r="AB30" s="270">
        <f>JUNIO!AD30</f>
        <v>14844551</v>
      </c>
      <c r="AC30" s="208">
        <v>2947651</v>
      </c>
      <c r="AD30" s="271">
        <f t="shared" si="19"/>
        <v>17792202</v>
      </c>
      <c r="AE30" s="270">
        <f>JUNIO!AG30</f>
        <v>14844551</v>
      </c>
      <c r="AF30" s="208">
        <v>2722968</v>
      </c>
      <c r="AG30" s="271">
        <f t="shared" si="20"/>
        <v>17567519</v>
      </c>
      <c r="AH30" s="270">
        <f t="shared" si="21"/>
        <v>18495859.666666657</v>
      </c>
      <c r="AI30" s="220">
        <f t="shared" si="22"/>
        <v>18495859.666666657</v>
      </c>
      <c r="AJ30" s="269">
        <f t="shared" si="23"/>
        <v>18720542.666666657</v>
      </c>
      <c r="AK30" s="101"/>
      <c r="AL30" s="204">
        <v>0</v>
      </c>
      <c r="AM30" s="210">
        <v>0</v>
      </c>
      <c r="AN30" s="101"/>
      <c r="AO30" s="196" t="s">
        <v>92</v>
      </c>
      <c r="AP30" s="420" t="s">
        <v>188</v>
      </c>
      <c r="AQ30" s="205">
        <f>X219+X231</f>
        <v>25264677895</v>
      </c>
      <c r="AR30" s="205">
        <f>AD219+AD231</f>
        <v>11496170271</v>
      </c>
      <c r="AS30" s="205">
        <f>AG219+AG231</f>
        <v>7908497583</v>
      </c>
      <c r="AT30" s="338"/>
      <c r="AU30" s="205">
        <f t="shared" si="25"/>
        <v>0.45502936228904572</v>
      </c>
      <c r="AV30" s="205">
        <f t="shared" si="26"/>
        <v>0.31302586226777618</v>
      </c>
      <c r="AW30" s="205">
        <f>(AR30-AD224-AD229-AD240-AD255)/$AO$2*12+AD224+AD229+AD240+AD255</f>
        <v>19707720464.571426</v>
      </c>
      <c r="AX30" s="205">
        <f>(AS30-AG224-AG229-AG240-AG255)/$AO$2*12+AG224+AG229+AG240+AG255</f>
        <v>13557424428</v>
      </c>
      <c r="AY30" s="205">
        <f t="shared" si="27"/>
        <v>-5556957430.4285736</v>
      </c>
      <c r="AZ30" s="206">
        <f t="shared" si="28"/>
        <v>11707253467</v>
      </c>
      <c r="BA30" s="67"/>
      <c r="BB30" s="336"/>
      <c r="BC30" s="336"/>
      <c r="BD30" s="336"/>
      <c r="BE30" s="336"/>
      <c r="BF30" s="336"/>
      <c r="BG30" s="67"/>
      <c r="BH30" s="67"/>
      <c r="BI30" s="67"/>
      <c r="BJ30" s="67"/>
      <c r="BK30" s="67"/>
      <c r="BL30" s="67"/>
      <c r="BM30" s="759" t="s">
        <v>122</v>
      </c>
      <c r="BN30" s="340">
        <f>X219-X229</f>
        <v>3239175000</v>
      </c>
      <c r="BO30" s="340">
        <f>AA219-AA229</f>
        <v>786228840</v>
      </c>
      <c r="BP30" s="340">
        <f>AD219-AD229</f>
        <v>786228840</v>
      </c>
      <c r="BQ30" s="340">
        <f>AF219-AF229</f>
        <v>121726814</v>
      </c>
    </row>
    <row r="31" spans="1:69" ht="24.75" customHeight="1">
      <c r="A31" s="202" t="str">
        <f>+IF(JUNIO!A31=0,"",JUNIO!A31)</f>
        <v>1130103-1-2</v>
      </c>
      <c r="B31" s="331" t="str">
        <f>+IF(JUNIO!B31=0,"",JUNIO!B31)</f>
        <v>Vigencia Anterior</v>
      </c>
      <c r="C31" s="204">
        <f>+ENERO!C31</f>
        <v>0</v>
      </c>
      <c r="D31" s="205">
        <f>JUNIO!D31+JULIO!P31</f>
        <v>0</v>
      </c>
      <c r="E31" s="205">
        <f>JUNIO!E31+JULIO!Q31</f>
        <v>0</v>
      </c>
      <c r="F31" s="205">
        <f>SUM(C31:E31)</f>
        <v>0</v>
      </c>
      <c r="G31" s="205">
        <f>JUNIO!I31</f>
        <v>0</v>
      </c>
      <c r="H31" s="208">
        <v>0</v>
      </c>
      <c r="I31" s="205">
        <f>SUM(G31:H31)</f>
        <v>0</v>
      </c>
      <c r="J31" s="205">
        <f>JUNIO!L31</f>
        <v>0</v>
      </c>
      <c r="K31" s="765">
        <v>0</v>
      </c>
      <c r="L31" s="205">
        <f>SUM(J31:K31)</f>
        <v>0</v>
      </c>
      <c r="M31" s="205">
        <f>F31-I31</f>
        <v>0</v>
      </c>
      <c r="N31" s="206">
        <f>F31-L31</f>
        <v>0</v>
      </c>
      <c r="O31" s="67"/>
      <c r="P31" s="204">
        <v>0</v>
      </c>
      <c r="Q31" s="210">
        <v>0</v>
      </c>
      <c r="R31" s="101"/>
      <c r="S31" s="311" t="str">
        <f>+IF(JUNIO!S31=0,"",JUNIO!S31)</f>
        <v>2.1.1.01.03.001.01</v>
      </c>
      <c r="T31" s="312" t="str">
        <f>+IF(JUNIO!T31=0,"",JUNIO!T31)</f>
        <v>Vacaciones</v>
      </c>
      <c r="U31" s="373">
        <f>+ENERO!U31</f>
        <v>272160462.5</v>
      </c>
      <c r="V31" s="220">
        <f>JUNIO!V31+JULIO!AL31</f>
        <v>0</v>
      </c>
      <c r="W31" s="220">
        <f>JUNIO!W31+JULIO!AM31</f>
        <v>0</v>
      </c>
      <c r="X31" s="271">
        <f t="shared" si="17"/>
        <v>272160462.5</v>
      </c>
      <c r="Y31" s="270">
        <f>JUNIO!AA31</f>
        <v>164267107</v>
      </c>
      <c r="Z31" s="208">
        <v>36975358</v>
      </c>
      <c r="AA31" s="271">
        <f t="shared" si="18"/>
        <v>201242465</v>
      </c>
      <c r="AB31" s="270">
        <f>JUNIO!AD31</f>
        <v>164267107</v>
      </c>
      <c r="AC31" s="208">
        <v>36975358</v>
      </c>
      <c r="AD31" s="271">
        <f t="shared" si="19"/>
        <v>201242465</v>
      </c>
      <c r="AE31" s="270">
        <f>JUNIO!AG31</f>
        <v>164267107</v>
      </c>
      <c r="AF31" s="208">
        <v>34466524</v>
      </c>
      <c r="AG31" s="271">
        <f t="shared" si="20"/>
        <v>198733631</v>
      </c>
      <c r="AH31" s="270">
        <f t="shared" si="21"/>
        <v>70917997.5</v>
      </c>
      <c r="AI31" s="220">
        <f t="shared" si="22"/>
        <v>70917997.5</v>
      </c>
      <c r="AJ31" s="269">
        <f t="shared" si="23"/>
        <v>73426831.5</v>
      </c>
      <c r="AK31" s="101"/>
      <c r="AL31" s="204">
        <v>0</v>
      </c>
      <c r="AM31" s="210">
        <v>0</v>
      </c>
      <c r="AN31" s="101"/>
      <c r="AO31" s="156"/>
      <c r="AP31" s="303" t="s">
        <v>190</v>
      </c>
      <c r="AQ31" s="338">
        <f>X257</f>
        <v>0.30987548828125</v>
      </c>
      <c r="AR31" s="338">
        <f>AD257</f>
        <v>-32446536153</v>
      </c>
      <c r="AS31" s="338">
        <f>AG257</f>
        <v>-84086454171.5</v>
      </c>
      <c r="AT31" s="338"/>
      <c r="AU31" s="205">
        <f t="shared" si="25"/>
        <v>-104708301818.15088</v>
      </c>
      <c r="AV31" s="205">
        <f t="shared" si="26"/>
        <v>-271355616534.53931</v>
      </c>
      <c r="AW31" s="205">
        <f>AQ31</f>
        <v>0.30987548828125</v>
      </c>
      <c r="AX31" s="205">
        <f>AQ31</f>
        <v>0.30987548828125</v>
      </c>
      <c r="AY31" s="205">
        <f t="shared" si="27"/>
        <v>0</v>
      </c>
      <c r="AZ31" s="206">
        <f t="shared" si="28"/>
        <v>0</v>
      </c>
      <c r="BA31" s="67"/>
      <c r="BB31" s="67"/>
      <c r="BC31" s="67"/>
      <c r="BD31" s="67"/>
      <c r="BE31" s="67"/>
      <c r="BF31" s="67"/>
      <c r="BG31" s="67"/>
      <c r="BH31" s="67"/>
      <c r="BI31" s="67"/>
      <c r="BJ31" s="67"/>
      <c r="BK31" s="67"/>
      <c r="BL31" s="67"/>
      <c r="BM31" s="759" t="s">
        <v>191</v>
      </c>
      <c r="BN31" s="340">
        <f>X261</f>
        <v>30116386787.222057</v>
      </c>
      <c r="BO31" s="340">
        <f>AA261</f>
        <v>27170472248</v>
      </c>
      <c r="BP31" s="340">
        <f>AD261</f>
        <v>27164272248</v>
      </c>
      <c r="BQ31" s="340">
        <f>AF261</f>
        <v>46906636</v>
      </c>
    </row>
    <row r="32" spans="1:69" ht="24.75" customHeight="1" thickBot="1">
      <c r="A32" s="202" t="str">
        <f>+IF(JUNIO!A32=0,"",JUNIO!A32)</f>
        <v>1.1.02.05.001.09.02.15</v>
      </c>
      <c r="B32" s="345" t="str">
        <f>+IF(JUNIO!B32=0,"",JUNIO!B32)</f>
        <v>Prestación de Servicios de salud  2o. Nivel</v>
      </c>
      <c r="C32" s="270">
        <f t="shared" ref="C32:N32" si="32">SUM(C33:C34)</f>
        <v>1850957800</v>
      </c>
      <c r="D32" s="220">
        <f t="shared" si="32"/>
        <v>0</v>
      </c>
      <c r="E32" s="220">
        <f t="shared" si="32"/>
        <v>0</v>
      </c>
      <c r="F32" s="220">
        <f t="shared" si="32"/>
        <v>1850957800</v>
      </c>
      <c r="G32" s="220">
        <f t="shared" si="32"/>
        <v>1055887401</v>
      </c>
      <c r="H32" s="220">
        <f t="shared" si="32"/>
        <v>238434461</v>
      </c>
      <c r="I32" s="220">
        <f t="shared" si="32"/>
        <v>1294321862</v>
      </c>
      <c r="J32" s="220">
        <f t="shared" si="32"/>
        <v>987220045</v>
      </c>
      <c r="K32" s="1181">
        <f t="shared" si="32"/>
        <v>6654611</v>
      </c>
      <c r="L32" s="220">
        <f t="shared" si="32"/>
        <v>993874656</v>
      </c>
      <c r="M32" s="220">
        <f t="shared" si="32"/>
        <v>556635938</v>
      </c>
      <c r="N32" s="269">
        <f t="shared" si="32"/>
        <v>857083144</v>
      </c>
      <c r="O32" s="67"/>
      <c r="P32" s="346">
        <f>SUM(P33:P34)</f>
        <v>0</v>
      </c>
      <c r="Q32" s="347">
        <f>SUM(Q33:Q34)</f>
        <v>0</v>
      </c>
      <c r="R32" s="101"/>
      <c r="S32" s="311" t="str">
        <f>+IF(JUNIO!S32=0,"",JUNIO!S32)</f>
        <v>1010104-12</v>
      </c>
      <c r="T32" s="312" t="str">
        <f>+IF(JUNIO!T32=0,"",JUNIO!T32)</f>
        <v/>
      </c>
      <c r="U32" s="373">
        <f>+ENERO!U32</f>
        <v>0</v>
      </c>
      <c r="V32" s="220">
        <f>JUNIO!V32+JULIO!AL32</f>
        <v>0</v>
      </c>
      <c r="W32" s="220">
        <f>JUNIO!W32+JULIO!AM32</f>
        <v>0</v>
      </c>
      <c r="X32" s="271">
        <f t="shared" si="17"/>
        <v>0</v>
      </c>
      <c r="Y32" s="270">
        <f>JUNIO!AA32</f>
        <v>0</v>
      </c>
      <c r="Z32" s="208">
        <v>0</v>
      </c>
      <c r="AA32" s="271">
        <f t="shared" si="18"/>
        <v>0</v>
      </c>
      <c r="AB32" s="270">
        <f>JUNIO!AD32</f>
        <v>0</v>
      </c>
      <c r="AC32" s="208">
        <v>0</v>
      </c>
      <c r="AD32" s="271">
        <f t="shared" si="19"/>
        <v>0</v>
      </c>
      <c r="AE32" s="270">
        <f>JUNIO!AG32</f>
        <v>0</v>
      </c>
      <c r="AF32" s="208">
        <v>0</v>
      </c>
      <c r="AG32" s="271">
        <f t="shared" si="20"/>
        <v>0</v>
      </c>
      <c r="AH32" s="270">
        <f t="shared" si="21"/>
        <v>0</v>
      </c>
      <c r="AI32" s="220">
        <f t="shared" si="22"/>
        <v>0</v>
      </c>
      <c r="AJ32" s="269">
        <f t="shared" si="23"/>
        <v>0</v>
      </c>
      <c r="AK32" s="101"/>
      <c r="AL32" s="204">
        <v>0</v>
      </c>
      <c r="AM32" s="210">
        <v>0</v>
      </c>
      <c r="AN32" s="101"/>
      <c r="AO32" s="108"/>
      <c r="AP32" s="540" t="s">
        <v>194</v>
      </c>
      <c r="AQ32" s="260">
        <f>SUM(AQ22:AQ31)</f>
        <v>187805533529.47656</v>
      </c>
      <c r="AR32" s="260">
        <f>SUM(AR22:AR31)</f>
        <v>87654970203</v>
      </c>
      <c r="AS32" s="260">
        <f>SUM(AS22:AS31)</f>
        <v>0</v>
      </c>
      <c r="AT32" s="349"/>
      <c r="AU32" s="350">
        <f t="shared" si="25"/>
        <v>0.46673262792463099</v>
      </c>
      <c r="AV32" s="350">
        <f t="shared" si="26"/>
        <v>0</v>
      </c>
      <c r="AW32" s="158" t="e">
        <f>SUM(AW22:AW31)</f>
        <v>#REF!</v>
      </c>
      <c r="AX32" s="158" t="e">
        <f>SUM(AX22:AX31)</f>
        <v>#REF!</v>
      </c>
      <c r="AY32" s="158" t="e">
        <f>SUM(AY22:AY31)</f>
        <v>#REF!</v>
      </c>
      <c r="AZ32" s="159" t="e">
        <f>SUM(AZ22:AZ31)</f>
        <v>#REF!</v>
      </c>
      <c r="BA32" s="67"/>
      <c r="BB32" s="336"/>
      <c r="BC32" s="336"/>
      <c r="BD32" s="336"/>
      <c r="BE32" s="336"/>
      <c r="BF32" s="336"/>
      <c r="BG32" s="67"/>
      <c r="BH32" s="67"/>
      <c r="BI32" s="67"/>
      <c r="BJ32" s="67"/>
      <c r="BK32" s="67"/>
      <c r="BL32" s="101"/>
      <c r="BM32" s="759" t="s">
        <v>195</v>
      </c>
      <c r="BN32" s="340">
        <f>+BN7+BN25+BN29+BN30+BN31</f>
        <v>187805533529.16666</v>
      </c>
      <c r="BO32" s="340">
        <f>+BO7+BO25+BO29+BO30+BO31</f>
        <v>157323799351</v>
      </c>
      <c r="BP32" s="340">
        <f>+BP7+BP25+BP29+BP30+BP31</f>
        <v>120101506356</v>
      </c>
      <c r="BQ32" s="760">
        <f>+BQ7+BQ25+BQ29+BQ30+BQ31</f>
        <v>13075750801</v>
      </c>
    </row>
    <row r="33" spans="1:69" ht="24.75" customHeight="1" thickBot="1">
      <c r="A33" s="202" t="str">
        <f>+IF(JUNIO!A33=0,"",JUNIO!A33)</f>
        <v>1.1.02.05.001.09.02.15</v>
      </c>
      <c r="B33" s="331" t="str">
        <f>+CONCATENATE("Vigencia ",INSTRUCCIONES!$F$3)</f>
        <v>Vigencia 2025</v>
      </c>
      <c r="C33" s="204">
        <f>+ENERO!C33</f>
        <v>1140706891</v>
      </c>
      <c r="D33" s="205">
        <f>JUNIO!D33+JULIO!P33</f>
        <v>0</v>
      </c>
      <c r="E33" s="205">
        <f>JUNIO!E33+JULIO!Q33</f>
        <v>0</v>
      </c>
      <c r="F33" s="205">
        <f>SUM(C33:E33)</f>
        <v>1140706891</v>
      </c>
      <c r="G33" s="205">
        <f>JUNIO!I33</f>
        <v>782446004</v>
      </c>
      <c r="H33" s="208">
        <f>237722306+712155</f>
        <v>238434461</v>
      </c>
      <c r="I33" s="205">
        <f>SUM(G33:H33)</f>
        <v>1020880465</v>
      </c>
      <c r="J33" s="205">
        <f>JUNIO!L33</f>
        <v>713778648</v>
      </c>
      <c r="K33" s="765">
        <v>6654611</v>
      </c>
      <c r="L33" s="205">
        <f>SUM(J33:K33)</f>
        <v>720433259</v>
      </c>
      <c r="M33" s="205">
        <f>F33-I33</f>
        <v>119826426</v>
      </c>
      <c r="N33" s="206">
        <f>F33-L33</f>
        <v>420273632</v>
      </c>
      <c r="O33" s="101"/>
      <c r="P33" s="204">
        <v>0</v>
      </c>
      <c r="Q33" s="210">
        <v>0</v>
      </c>
      <c r="R33" s="101"/>
      <c r="S33" s="266">
        <f>+IF(JUNIO!S33=0,"",JUNIO!S33)</f>
        <v>1010199</v>
      </c>
      <c r="T33" s="267" t="str">
        <f>+IF(JUNIO!T33=0,"",JUNIO!T33)</f>
        <v>Vigencias Anteriores</v>
      </c>
      <c r="U33" s="373">
        <f>+ENERO!U33</f>
        <v>0</v>
      </c>
      <c r="V33" s="220">
        <f>JUNIO!V33+JULIO!AL33</f>
        <v>0</v>
      </c>
      <c r="W33" s="220">
        <f>JUNIO!W33+JULIO!AM33</f>
        <v>0</v>
      </c>
      <c r="X33" s="271">
        <f t="shared" si="17"/>
        <v>0</v>
      </c>
      <c r="Y33" s="270">
        <f>JUNIO!AA33</f>
        <v>0</v>
      </c>
      <c r="Z33" s="208">
        <v>0</v>
      </c>
      <c r="AA33" s="271">
        <f t="shared" si="18"/>
        <v>0</v>
      </c>
      <c r="AB33" s="270">
        <f>JUNIO!AD33</f>
        <v>0</v>
      </c>
      <c r="AC33" s="208">
        <v>0</v>
      </c>
      <c r="AD33" s="271">
        <f t="shared" si="19"/>
        <v>0</v>
      </c>
      <c r="AE33" s="270">
        <f>JUNIO!AG33</f>
        <v>0</v>
      </c>
      <c r="AF33" s="208">
        <v>0</v>
      </c>
      <c r="AG33" s="271">
        <f t="shared" si="20"/>
        <v>0</v>
      </c>
      <c r="AH33" s="270">
        <f t="shared" si="21"/>
        <v>0</v>
      </c>
      <c r="AI33" s="220">
        <f t="shared" si="22"/>
        <v>0</v>
      </c>
      <c r="AJ33" s="269">
        <f t="shared" si="23"/>
        <v>0</v>
      </c>
      <c r="AK33" s="101"/>
      <c r="AL33" s="204">
        <v>0</v>
      </c>
      <c r="AM33" s="210">
        <v>0</v>
      </c>
      <c r="AN33" s="101"/>
      <c r="AO33" s="156"/>
      <c r="AP33" s="351"/>
      <c r="AQ33" s="352">
        <f>IF((AQ32-X8)&lt;&gt;0,(AQ32-X8),"")</f>
        <v>0.309906005859375</v>
      </c>
      <c r="AR33" s="352"/>
      <c r="AS33" s="352"/>
      <c r="AT33" s="352"/>
      <c r="AU33" s="353"/>
      <c r="AV33" s="325"/>
      <c r="AW33" s="323"/>
      <c r="AX33" s="323"/>
      <c r="AY33" s="323"/>
      <c r="AZ33" s="326"/>
      <c r="BA33" s="67"/>
      <c r="BB33" s="336"/>
      <c r="BC33" s="336"/>
      <c r="BD33" s="336"/>
      <c r="BE33" s="336"/>
      <c r="BF33" s="336"/>
      <c r="BG33" s="67"/>
      <c r="BH33" s="67"/>
      <c r="BI33" s="67"/>
      <c r="BJ33" s="67"/>
      <c r="BK33" s="67"/>
      <c r="BL33" s="67"/>
      <c r="BM33" s="761" t="s">
        <v>197</v>
      </c>
      <c r="BN33" s="762">
        <f>X258</f>
        <v>0</v>
      </c>
      <c r="BO33" s="763">
        <f>AA258</f>
        <v>0</v>
      </c>
      <c r="BP33" s="763">
        <f>AD258</f>
        <v>0</v>
      </c>
      <c r="BQ33" s="764">
        <f>AF258</f>
        <v>0</v>
      </c>
    </row>
    <row r="34" spans="1:69" ht="24.75" customHeight="1" thickBot="1">
      <c r="A34" s="202" t="str">
        <f>+IF(JUNIO!A34=0,"",JUNIO!A34)</f>
        <v>1.1.02.05.001.09.02.15.99</v>
      </c>
      <c r="B34" s="331" t="str">
        <f>+IF(JUNIO!B34=0,"",JUNIO!B34)</f>
        <v>Vigencia Anterior</v>
      </c>
      <c r="C34" s="204">
        <f>+ENERO!C34</f>
        <v>710250909</v>
      </c>
      <c r="D34" s="205">
        <f>JUNIO!D34+JULIO!P34</f>
        <v>0</v>
      </c>
      <c r="E34" s="205">
        <f>JUNIO!E34+JULIO!Q34</f>
        <v>0</v>
      </c>
      <c r="F34" s="205">
        <f>SUM(C34:E34)</f>
        <v>710250909</v>
      </c>
      <c r="G34" s="205">
        <f>JUNIO!I34</f>
        <v>273441397</v>
      </c>
      <c r="H34" s="208">
        <v>0</v>
      </c>
      <c r="I34" s="205">
        <f>SUM(G34:H34)</f>
        <v>273441397</v>
      </c>
      <c r="J34" s="205">
        <f>JUNIO!L34</f>
        <v>273441397</v>
      </c>
      <c r="K34" s="765">
        <v>0</v>
      </c>
      <c r="L34" s="205">
        <f>SUM(J34:K34)</f>
        <v>273441397</v>
      </c>
      <c r="M34" s="205">
        <f>F34-I34</f>
        <v>436809512</v>
      </c>
      <c r="N34" s="206">
        <f>F34-L34</f>
        <v>436809512</v>
      </c>
      <c r="O34" s="67"/>
      <c r="P34" s="204">
        <v>0</v>
      </c>
      <c r="Q34" s="210">
        <v>0</v>
      </c>
      <c r="R34" s="101"/>
      <c r="S34" s="189" t="str">
        <f>+IF(JUNIO!S34=0,"",JUNIO!S34)</f>
        <v/>
      </c>
      <c r="T34" s="488" t="str">
        <f>+IF(JUNIO!T34=0,"",JUNIO!T34)</f>
        <v/>
      </c>
      <c r="U34" s="191"/>
      <c r="V34" s="191"/>
      <c r="W34" s="191"/>
      <c r="X34" s="191"/>
      <c r="Y34" s="191"/>
      <c r="Z34" s="191"/>
      <c r="AA34" s="191"/>
      <c r="AB34" s="191"/>
      <c r="AC34" s="191"/>
      <c r="AD34" s="191"/>
      <c r="AE34" s="191"/>
      <c r="AF34" s="191"/>
      <c r="AG34" s="191"/>
      <c r="AH34" s="191"/>
      <c r="AI34" s="191"/>
      <c r="AJ34" s="192"/>
      <c r="AK34" s="101"/>
      <c r="AL34" s="249"/>
      <c r="AM34" s="250"/>
      <c r="AN34" s="101"/>
      <c r="AO34" s="156"/>
      <c r="AP34" s="354"/>
      <c r="AQ34" s="101"/>
      <c r="AR34" s="101"/>
      <c r="AS34" s="101" t="s">
        <v>198</v>
      </c>
      <c r="AT34" s="101"/>
      <c r="AU34" s="355" t="s">
        <v>199</v>
      </c>
      <c r="AV34" s="356" t="s">
        <v>200</v>
      </c>
      <c r="AW34" s="243" t="s">
        <v>198</v>
      </c>
      <c r="AX34" s="357"/>
      <c r="AY34" s="243" t="s">
        <v>201</v>
      </c>
      <c r="AZ34" s="244" t="s">
        <v>202</v>
      </c>
      <c r="BA34" s="67"/>
      <c r="BB34" s="67"/>
      <c r="BC34" s="67"/>
      <c r="BD34" s="67"/>
      <c r="BE34" s="67"/>
      <c r="BF34" s="67"/>
      <c r="BG34" s="67"/>
      <c r="BH34" s="67"/>
      <c r="BI34" s="67"/>
      <c r="BJ34" s="67"/>
      <c r="BK34" s="67"/>
      <c r="BL34" s="67"/>
      <c r="BM34" s="101"/>
      <c r="BN34" s="101"/>
      <c r="BO34" s="101"/>
      <c r="BP34" s="101"/>
      <c r="BQ34" s="101"/>
    </row>
    <row r="35" spans="1:69" ht="24.75" customHeight="1" thickBot="1">
      <c r="A35" s="202" t="str">
        <f>+IF(JUNIO!A35=0,"",JUNIO!A35)</f>
        <v>1130103-3</v>
      </c>
      <c r="B35" s="345" t="str">
        <f>+IF(JUNIO!B35=0,"",JUNIO!B35)</f>
        <v>Prestación de Servicios de salud  3o. Nivel</v>
      </c>
      <c r="C35" s="270">
        <f t="shared" ref="C35:N35" si="33">SUM(C36:C37)</f>
        <v>0</v>
      </c>
      <c r="D35" s="220">
        <f t="shared" si="33"/>
        <v>0</v>
      </c>
      <c r="E35" s="220">
        <f t="shared" si="33"/>
        <v>0</v>
      </c>
      <c r="F35" s="220">
        <f t="shared" si="33"/>
        <v>0</v>
      </c>
      <c r="G35" s="220">
        <f t="shared" si="33"/>
        <v>0</v>
      </c>
      <c r="H35" s="220">
        <f t="shared" si="33"/>
        <v>0</v>
      </c>
      <c r="I35" s="220">
        <f t="shared" si="33"/>
        <v>0</v>
      </c>
      <c r="J35" s="220">
        <f t="shared" si="33"/>
        <v>0</v>
      </c>
      <c r="K35" s="1181">
        <f t="shared" si="33"/>
        <v>0</v>
      </c>
      <c r="L35" s="220">
        <f t="shared" si="33"/>
        <v>0</v>
      </c>
      <c r="M35" s="220">
        <f t="shared" si="33"/>
        <v>0</v>
      </c>
      <c r="N35" s="269">
        <f t="shared" si="33"/>
        <v>0</v>
      </c>
      <c r="O35" s="67"/>
      <c r="P35" s="346">
        <f>SUM(P36:P37)</f>
        <v>0</v>
      </c>
      <c r="Q35" s="347">
        <f>SUM(Q36:Q37)</f>
        <v>0</v>
      </c>
      <c r="R35" s="101"/>
      <c r="S35" s="257" t="str">
        <f>+IF(JUNIO!S35=0,"",JUNIO!S35)</f>
        <v>2.1.2.02.02.008</v>
      </c>
      <c r="T35" s="546" t="str">
        <f>+IF(JUNIO!T35=0,"",JUNIO!T35)</f>
        <v>Servicios Personales Indirectos</v>
      </c>
      <c r="U35" s="230">
        <f t="shared" ref="U35:AJ35" si="34">SUM(U36:U41)</f>
        <v>12514508007</v>
      </c>
      <c r="V35" s="231">
        <f t="shared" si="34"/>
        <v>3513000000</v>
      </c>
      <c r="W35" s="231">
        <f t="shared" si="34"/>
        <v>0</v>
      </c>
      <c r="X35" s="234">
        <f t="shared" si="34"/>
        <v>16027508007</v>
      </c>
      <c r="Y35" s="233">
        <f t="shared" si="34"/>
        <v>10999865459</v>
      </c>
      <c r="Z35" s="231">
        <f t="shared" si="34"/>
        <v>4854063051</v>
      </c>
      <c r="AA35" s="234">
        <f t="shared" si="34"/>
        <v>15853928510</v>
      </c>
      <c r="AB35" s="233">
        <f t="shared" si="34"/>
        <v>9920217405</v>
      </c>
      <c r="AC35" s="231">
        <f t="shared" si="34"/>
        <v>1417520456</v>
      </c>
      <c r="AD35" s="234">
        <f t="shared" si="34"/>
        <v>11337737861</v>
      </c>
      <c r="AE35" s="233">
        <f t="shared" si="34"/>
        <v>6028449448</v>
      </c>
      <c r="AF35" s="231">
        <f t="shared" si="34"/>
        <v>1448182834</v>
      </c>
      <c r="AG35" s="234">
        <f t="shared" si="34"/>
        <v>7476632282</v>
      </c>
      <c r="AH35" s="233">
        <f t="shared" si="34"/>
        <v>173579497</v>
      </c>
      <c r="AI35" s="231">
        <f t="shared" si="34"/>
        <v>4689770146</v>
      </c>
      <c r="AJ35" s="232">
        <f t="shared" si="34"/>
        <v>8550875725</v>
      </c>
      <c r="AK35" s="101"/>
      <c r="AL35" s="233">
        <f>SUM(AL36:AL41)</f>
        <v>430000000</v>
      </c>
      <c r="AM35" s="232">
        <f>SUM(AM36:AM41)</f>
        <v>0</v>
      </c>
      <c r="AN35" s="101"/>
      <c r="AO35" s="156"/>
      <c r="AP35" s="358"/>
      <c r="AQ35" s="61"/>
      <c r="AR35" s="359"/>
      <c r="AS35" s="359"/>
      <c r="AT35" s="359"/>
      <c r="AU35" s="360">
        <f>AR17-AR32</f>
        <v>60115825340</v>
      </c>
      <c r="AV35" s="361">
        <f>AS17-AR32</f>
        <v>0</v>
      </c>
      <c r="AW35" s="1329" t="s">
        <v>205</v>
      </c>
      <c r="AX35" s="1330"/>
      <c r="AY35" s="361" t="e">
        <f>AY17+AY32</f>
        <v>#REF!</v>
      </c>
      <c r="AZ35" s="362" t="e">
        <f>AZ17+AY32</f>
        <v>#REF!</v>
      </c>
      <c r="BA35" s="67"/>
      <c r="BB35" s="336"/>
      <c r="BC35" s="336"/>
      <c r="BD35" s="336"/>
      <c r="BE35" s="336"/>
      <c r="BF35" s="336"/>
      <c r="BG35" s="67"/>
      <c r="BH35" s="67"/>
      <c r="BI35" s="67"/>
      <c r="BJ35" s="67"/>
      <c r="BK35" s="67"/>
      <c r="BL35" s="67"/>
      <c r="BM35" s="67"/>
      <c r="BN35" s="67"/>
      <c r="BO35" s="67"/>
      <c r="BP35" s="67"/>
      <c r="BQ35" s="67"/>
    </row>
    <row r="36" spans="1:69" ht="24.75" customHeight="1" thickBot="1">
      <c r="A36" s="202" t="str">
        <f>+IF(JUNIO!A36=0,"",JUNIO!A36)</f>
        <v>1130103-3-1</v>
      </c>
      <c r="B36" s="331" t="str">
        <f>+CONCATENATE("Vigencia ",INSTRUCCIONES!$F$3)</f>
        <v>Vigencia 2025</v>
      </c>
      <c r="C36" s="204">
        <f>+ENERO!C36</f>
        <v>0</v>
      </c>
      <c r="D36" s="205">
        <f>JUNIO!D36+JULIO!P36</f>
        <v>0</v>
      </c>
      <c r="E36" s="205">
        <f>JUNIO!E36+JULIO!Q36</f>
        <v>0</v>
      </c>
      <c r="F36" s="205">
        <f t="shared" ref="F36:F41" si="35">SUM(C36:E36)</f>
        <v>0</v>
      </c>
      <c r="G36" s="205">
        <f>JUNIO!I36</f>
        <v>0</v>
      </c>
      <c r="H36" s="208">
        <v>0</v>
      </c>
      <c r="I36" s="205">
        <f t="shared" ref="I36:I41" si="36">SUM(G36:H36)</f>
        <v>0</v>
      </c>
      <c r="J36" s="205">
        <f>JUNIO!L36</f>
        <v>0</v>
      </c>
      <c r="K36" s="765">
        <v>0</v>
      </c>
      <c r="L36" s="205">
        <f t="shared" ref="L36:L41" si="37">SUM(J36:K36)</f>
        <v>0</v>
      </c>
      <c r="M36" s="205">
        <f t="shared" ref="M36:M41" si="38">F36-I36</f>
        <v>0</v>
      </c>
      <c r="N36" s="206">
        <f t="shared" ref="N36:N41" si="39">F36-L36</f>
        <v>0</v>
      </c>
      <c r="O36" s="101"/>
      <c r="P36" s="204">
        <v>0</v>
      </c>
      <c r="Q36" s="210">
        <v>0</v>
      </c>
      <c r="R36" s="101"/>
      <c r="S36" s="266" t="str">
        <f>+IF(JUNIO!S36=0,"",JUNIO!S36)</f>
        <v>2.1.2.02.02.008.802</v>
      </c>
      <c r="T36" s="267" t="str">
        <f>+IF(JUNIO!T36=0,"",JUNIO!T36)</f>
        <v>Servicios Personales Administrativos (Contador, Abogado, otros)</v>
      </c>
      <c r="U36" s="373">
        <f>+ENERO!U36</f>
        <v>771615965</v>
      </c>
      <c r="V36" s="220">
        <f>JUNIO!V36+JULIO!AL36</f>
        <v>450000000</v>
      </c>
      <c r="W36" s="220">
        <f>JUNIO!W36+JULIO!AM36</f>
        <v>0</v>
      </c>
      <c r="X36" s="271">
        <f t="shared" ref="X36:X41" si="40">SUM(U36:W36)</f>
        <v>1221615965</v>
      </c>
      <c r="Y36" s="270">
        <f>JUNIO!AA36</f>
        <v>466006980</v>
      </c>
      <c r="Z36" s="208">
        <v>619009040</v>
      </c>
      <c r="AA36" s="271">
        <f t="shared" ref="AA36:AA41" si="41">SUM(Y36:Z36)</f>
        <v>1085016020</v>
      </c>
      <c r="AB36" s="270">
        <f>JUNIO!AD36</f>
        <v>306511075</v>
      </c>
      <c r="AC36" s="208">
        <v>130915575</v>
      </c>
      <c r="AD36" s="271">
        <f t="shared" ref="AD36:AD41" si="42">SUM(AB36:AC36)</f>
        <v>437426650</v>
      </c>
      <c r="AE36" s="270">
        <f>JUNIO!AG36</f>
        <v>230790370</v>
      </c>
      <c r="AF36" s="208">
        <v>115048408</v>
      </c>
      <c r="AG36" s="271">
        <f t="shared" ref="AG36:AG41" si="43">SUM(AE36:AF36)</f>
        <v>345838778</v>
      </c>
      <c r="AH36" s="270">
        <f t="shared" ref="AH36:AH41" si="44">X36-AA36</f>
        <v>136599945</v>
      </c>
      <c r="AI36" s="220">
        <f t="shared" ref="AI36:AI41" si="45">X36-AD36</f>
        <v>784189315</v>
      </c>
      <c r="AJ36" s="269">
        <f t="shared" ref="AJ36:AJ41" si="46">X36-AG36</f>
        <v>875777187</v>
      </c>
      <c r="AK36" s="101"/>
      <c r="AL36" s="204"/>
      <c r="AM36" s="210">
        <v>0</v>
      </c>
      <c r="AN36" s="101"/>
      <c r="AO36" s="363"/>
      <c r="AP36" s="364"/>
      <c r="AQ36" s="364"/>
      <c r="AR36" s="364"/>
      <c r="AS36" s="364"/>
      <c r="AT36" s="364"/>
      <c r="AU36" s="364"/>
      <c r="AV36" s="364"/>
      <c r="AW36" s="364"/>
      <c r="AX36" s="364"/>
      <c r="AY36" s="364"/>
      <c r="AZ36" s="365"/>
      <c r="BA36" s="67"/>
      <c r="BB36" s="336"/>
      <c r="BC36" s="336"/>
      <c r="BD36" s="336"/>
      <c r="BE36" s="336"/>
      <c r="BF36" s="336"/>
      <c r="BG36" s="67"/>
      <c r="BH36" s="67"/>
      <c r="BI36" s="67"/>
      <c r="BJ36" s="67"/>
      <c r="BK36" s="67"/>
      <c r="BL36" s="67"/>
      <c r="BM36" s="67"/>
      <c r="BN36" s="67"/>
      <c r="BO36" s="67"/>
      <c r="BP36" s="67"/>
      <c r="BQ36" s="67"/>
    </row>
    <row r="37" spans="1:69" ht="24.75" customHeight="1">
      <c r="A37" s="202" t="str">
        <f>+IF(JUNIO!A37=0,"",JUNIO!A37)</f>
        <v>1130103-3-2</v>
      </c>
      <c r="B37" s="331" t="str">
        <f>+IF(JUNIO!B37=0,"",JUNIO!B37)</f>
        <v>Vigencia Anterior</v>
      </c>
      <c r="C37" s="204">
        <f>+ENERO!C37</f>
        <v>0</v>
      </c>
      <c r="D37" s="205">
        <f>JUNIO!D37+JULIO!P37</f>
        <v>0</v>
      </c>
      <c r="E37" s="205">
        <f>JUNIO!E37+JULIO!Q37</f>
        <v>0</v>
      </c>
      <c r="F37" s="205">
        <f t="shared" si="35"/>
        <v>0</v>
      </c>
      <c r="G37" s="205">
        <f>JUNIO!I37</f>
        <v>0</v>
      </c>
      <c r="H37" s="208">
        <v>0</v>
      </c>
      <c r="I37" s="205">
        <f t="shared" si="36"/>
        <v>0</v>
      </c>
      <c r="J37" s="205">
        <f>JUNIO!L37</f>
        <v>0</v>
      </c>
      <c r="K37" s="765">
        <v>0</v>
      </c>
      <c r="L37" s="205">
        <f t="shared" si="37"/>
        <v>0</v>
      </c>
      <c r="M37" s="205">
        <f t="shared" si="38"/>
        <v>0</v>
      </c>
      <c r="N37" s="206">
        <f t="shared" si="39"/>
        <v>0</v>
      </c>
      <c r="O37" s="67"/>
      <c r="P37" s="204">
        <v>0</v>
      </c>
      <c r="Q37" s="210">
        <v>0</v>
      </c>
      <c r="R37" s="101"/>
      <c r="S37" s="266" t="str">
        <f>+IF(JUNIO!S37=0,"",JUNIO!S37)</f>
        <v>1010200-2</v>
      </c>
      <c r="T37" s="267" t="str">
        <f>+IF(JUNIO!T37=0,"",JUNIO!T37)</f>
        <v>Personal Supernumerario</v>
      </c>
      <c r="U37" s="373">
        <f>+ENERO!U37</f>
        <v>0</v>
      </c>
      <c r="V37" s="220">
        <f>JUNIO!V37+JULIO!AL37</f>
        <v>0</v>
      </c>
      <c r="W37" s="220">
        <f>JUNIO!W37+JULIO!AM37</f>
        <v>0</v>
      </c>
      <c r="X37" s="271">
        <f t="shared" si="40"/>
        <v>0</v>
      </c>
      <c r="Y37" s="270">
        <f>JUNIO!AA37</f>
        <v>0</v>
      </c>
      <c r="Z37" s="208">
        <v>0</v>
      </c>
      <c r="AA37" s="271">
        <f t="shared" si="41"/>
        <v>0</v>
      </c>
      <c r="AB37" s="270">
        <f>JUNIO!AD37</f>
        <v>0</v>
      </c>
      <c r="AC37" s="208">
        <v>0</v>
      </c>
      <c r="AD37" s="271">
        <f t="shared" si="42"/>
        <v>0</v>
      </c>
      <c r="AE37" s="270">
        <f>JUNIO!AG37</f>
        <v>0</v>
      </c>
      <c r="AF37" s="208"/>
      <c r="AG37" s="271">
        <f t="shared" si="43"/>
        <v>0</v>
      </c>
      <c r="AH37" s="270">
        <f t="shared" si="44"/>
        <v>0</v>
      </c>
      <c r="AI37" s="220">
        <f t="shared" si="45"/>
        <v>0</v>
      </c>
      <c r="AJ37" s="269">
        <f t="shared" si="46"/>
        <v>0</v>
      </c>
      <c r="AK37" s="101"/>
      <c r="AL37" s="204">
        <v>0</v>
      </c>
      <c r="AM37" s="210">
        <v>0</v>
      </c>
      <c r="AN37" s="101"/>
      <c r="AO37" s="366" t="s">
        <v>209</v>
      </c>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row>
    <row r="38" spans="1:69" ht="24.75" customHeight="1">
      <c r="A38" s="367" t="str">
        <f>+IF(JUNIO!A38=0,"",JUNIO!A38)</f>
        <v>1130103-4</v>
      </c>
      <c r="B38" s="368" t="str">
        <f>+IF(JUNIO!B38=0,"",JUNIO!B38)</f>
        <v xml:space="preserve"> Aportes Patronales  1o. Nivel</v>
      </c>
      <c r="C38" s="204">
        <f>+ENERO!C38</f>
        <v>0</v>
      </c>
      <c r="D38" s="205">
        <f>JUNIO!D38+JULIO!P38</f>
        <v>0</v>
      </c>
      <c r="E38" s="205">
        <f>JUNIO!E38+JULIO!Q38</f>
        <v>0</v>
      </c>
      <c r="F38" s="205">
        <f t="shared" si="35"/>
        <v>0</v>
      </c>
      <c r="G38" s="205">
        <f>JUNIO!I38</f>
        <v>0</v>
      </c>
      <c r="H38" s="208">
        <v>0</v>
      </c>
      <c r="I38" s="205">
        <f t="shared" si="36"/>
        <v>0</v>
      </c>
      <c r="J38" s="205">
        <f>JUNIO!L38</f>
        <v>0</v>
      </c>
      <c r="K38" s="765">
        <v>0</v>
      </c>
      <c r="L38" s="205">
        <f t="shared" si="37"/>
        <v>0</v>
      </c>
      <c r="M38" s="205">
        <f t="shared" si="38"/>
        <v>0</v>
      </c>
      <c r="N38" s="206">
        <f t="shared" si="39"/>
        <v>0</v>
      </c>
      <c r="O38" s="369"/>
      <c r="P38" s="204">
        <v>0</v>
      </c>
      <c r="Q38" s="210">
        <v>0</v>
      </c>
      <c r="R38" s="101"/>
      <c r="S38" s="266" t="str">
        <f>+IF(JUNIO!S38=0,"",JUNIO!S38)</f>
        <v>2.1.2.02.02.008.810</v>
      </c>
      <c r="T38" s="267" t="str">
        <f>+IF(JUNIO!T38=0,"",JUNIO!T38)</f>
        <v>Honorarios de la Junta Directiva</v>
      </c>
      <c r="U38" s="373">
        <f>+ENERO!U38</f>
        <v>38518134</v>
      </c>
      <c r="V38" s="220">
        <f>JUNIO!V38+JULIO!AL38</f>
        <v>0</v>
      </c>
      <c r="W38" s="220">
        <f>JUNIO!W38+JULIO!AM38</f>
        <v>0</v>
      </c>
      <c r="X38" s="271">
        <f t="shared" si="40"/>
        <v>38518134</v>
      </c>
      <c r="Y38" s="270">
        <f>JUNIO!AA38</f>
        <v>12099750</v>
      </c>
      <c r="Z38" s="208">
        <v>2847000</v>
      </c>
      <c r="AA38" s="271">
        <f t="shared" si="41"/>
        <v>14946750</v>
      </c>
      <c r="AB38" s="270">
        <f>JUNIO!AD38</f>
        <v>12099750</v>
      </c>
      <c r="AC38" s="208">
        <v>2847000</v>
      </c>
      <c r="AD38" s="271">
        <f t="shared" si="42"/>
        <v>14946750</v>
      </c>
      <c r="AE38" s="270">
        <f>JUNIO!AG38</f>
        <v>12099750</v>
      </c>
      <c r="AF38" s="208">
        <v>2847000</v>
      </c>
      <c r="AG38" s="271">
        <f t="shared" si="43"/>
        <v>14946750</v>
      </c>
      <c r="AH38" s="270">
        <f t="shared" si="44"/>
        <v>23571384</v>
      </c>
      <c r="AI38" s="220">
        <f t="shared" si="45"/>
        <v>23571384</v>
      </c>
      <c r="AJ38" s="269">
        <f t="shared" si="46"/>
        <v>23571384</v>
      </c>
      <c r="AK38" s="101"/>
      <c r="AL38" s="204">
        <v>0</v>
      </c>
      <c r="AM38" s="210">
        <v>0</v>
      </c>
      <c r="AN38" s="101"/>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row>
    <row r="39" spans="1:69" ht="24.75" customHeight="1">
      <c r="A39" s="367" t="str">
        <f>+IF(JUNIO!A39=0,"",JUNIO!A39)</f>
        <v>1130103-5</v>
      </c>
      <c r="B39" s="368" t="str">
        <f>+IF(JUNIO!B39=0,"",JUNIO!B39)</f>
        <v xml:space="preserve"> Aportes Patronales  2o. Nivel</v>
      </c>
      <c r="C39" s="204">
        <f>+ENERO!C39</f>
        <v>0</v>
      </c>
      <c r="D39" s="205">
        <f>JUNIO!D39+JULIO!P39</f>
        <v>0</v>
      </c>
      <c r="E39" s="205">
        <f>JUNIO!E39+JULIO!Q39</f>
        <v>0</v>
      </c>
      <c r="F39" s="205">
        <f t="shared" si="35"/>
        <v>0</v>
      </c>
      <c r="G39" s="205">
        <f>JUNIO!I39</f>
        <v>0</v>
      </c>
      <c r="H39" s="208">
        <v>0</v>
      </c>
      <c r="I39" s="205">
        <f t="shared" si="36"/>
        <v>0</v>
      </c>
      <c r="J39" s="205">
        <f>JUNIO!L39</f>
        <v>0</v>
      </c>
      <c r="K39" s="765">
        <v>0</v>
      </c>
      <c r="L39" s="205">
        <f t="shared" si="37"/>
        <v>0</v>
      </c>
      <c r="M39" s="205">
        <f t="shared" si="38"/>
        <v>0</v>
      </c>
      <c r="N39" s="206">
        <f t="shared" si="39"/>
        <v>0</v>
      </c>
      <c r="O39" s="369"/>
      <c r="P39" s="204">
        <v>0</v>
      </c>
      <c r="Q39" s="210">
        <v>0</v>
      </c>
      <c r="R39" s="101"/>
      <c r="S39" s="266" t="str">
        <f>+IF(JUNIO!S39=0,"",JUNIO!S39)</f>
        <v>2.1.2.02.02.009.906</v>
      </c>
      <c r="T39" s="267" t="str">
        <f>+IF(JUNIO!T39=0,"",JUNIO!T39)</f>
        <v>Servicios de Agremiación (administrativo)</v>
      </c>
      <c r="U39" s="373">
        <f>+ENERO!U39</f>
        <v>9849382921</v>
      </c>
      <c r="V39" s="220">
        <f>JUNIO!V39+JULIO!AL39</f>
        <v>2280000000</v>
      </c>
      <c r="W39" s="220">
        <f>JUNIO!W39+JULIO!AM39</f>
        <v>0</v>
      </c>
      <c r="X39" s="271">
        <f t="shared" si="40"/>
        <v>12129382921</v>
      </c>
      <c r="Y39" s="270">
        <f>JUNIO!AA39</f>
        <v>7884648295</v>
      </c>
      <c r="Z39" s="208">
        <v>4232207011</v>
      </c>
      <c r="AA39" s="271">
        <f t="shared" si="41"/>
        <v>12116855306</v>
      </c>
      <c r="AB39" s="270">
        <f>JUNIO!AD39</f>
        <v>6964496146</v>
      </c>
      <c r="AC39" s="208">
        <v>1283757881</v>
      </c>
      <c r="AD39" s="271">
        <f t="shared" si="42"/>
        <v>8248254027</v>
      </c>
      <c r="AE39" s="270">
        <f>JUNIO!AG39</f>
        <v>3148448894</v>
      </c>
      <c r="AF39" s="208">
        <v>1330287426</v>
      </c>
      <c r="AG39" s="271">
        <f t="shared" si="43"/>
        <v>4478736320</v>
      </c>
      <c r="AH39" s="270">
        <f t="shared" si="44"/>
        <v>12527615</v>
      </c>
      <c r="AI39" s="220">
        <f t="shared" si="45"/>
        <v>3881128894</v>
      </c>
      <c r="AJ39" s="269">
        <f t="shared" si="46"/>
        <v>7650646601</v>
      </c>
      <c r="AK39" s="101"/>
      <c r="AL39" s="204">
        <v>430000000</v>
      </c>
      <c r="AM39" s="210">
        <v>0</v>
      </c>
      <c r="AN39" s="101"/>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row>
    <row r="40" spans="1:69" ht="24.75" customHeight="1">
      <c r="A40" s="367" t="str">
        <f>+IF(JUNIO!A40=0,"",JUNIO!A40)</f>
        <v>1130103-6</v>
      </c>
      <c r="B40" s="368" t="str">
        <f>+IF(JUNIO!B40=0,"",JUNIO!B40)</f>
        <v xml:space="preserve"> Aportes Patronales  3er. Nivel</v>
      </c>
      <c r="C40" s="204">
        <f>+ENERO!C40</f>
        <v>0</v>
      </c>
      <c r="D40" s="205">
        <f>JUNIO!D40+JULIO!P40</f>
        <v>0</v>
      </c>
      <c r="E40" s="205">
        <f>JUNIO!E40+JULIO!Q40</f>
        <v>0</v>
      </c>
      <c r="F40" s="205">
        <f t="shared" si="35"/>
        <v>0</v>
      </c>
      <c r="G40" s="205">
        <f>JUNIO!I40</f>
        <v>0</v>
      </c>
      <c r="H40" s="208">
        <v>0</v>
      </c>
      <c r="I40" s="205">
        <f t="shared" si="36"/>
        <v>0</v>
      </c>
      <c r="J40" s="205">
        <f>JUNIO!L40</f>
        <v>0</v>
      </c>
      <c r="K40" s="765">
        <v>0</v>
      </c>
      <c r="L40" s="205">
        <f t="shared" si="37"/>
        <v>0</v>
      </c>
      <c r="M40" s="205">
        <f t="shared" si="38"/>
        <v>0</v>
      </c>
      <c r="N40" s="206">
        <f t="shared" si="39"/>
        <v>0</v>
      </c>
      <c r="O40" s="369"/>
      <c r="P40" s="204">
        <v>0</v>
      </c>
      <c r="Q40" s="210">
        <v>0</v>
      </c>
      <c r="R40" s="101"/>
      <c r="S40" s="266" t="str">
        <f>+IF(JUNIO!S40=0,"",JUNIO!S40)</f>
        <v/>
      </c>
      <c r="T40" s="267" t="str">
        <f>+IF(JUNIO!T40=0,"",JUNIO!T40)</f>
        <v>Certificación, Habilitación y Acreditación</v>
      </c>
      <c r="U40" s="373">
        <f>+ENERO!U40</f>
        <v>0</v>
      </c>
      <c r="V40" s="220">
        <f>JUNIO!V40+JULIO!AL40</f>
        <v>0</v>
      </c>
      <c r="W40" s="220">
        <f>JUNIO!W40+JULIO!AM40</f>
        <v>0</v>
      </c>
      <c r="X40" s="271">
        <f t="shared" si="40"/>
        <v>0</v>
      </c>
      <c r="Y40" s="270">
        <f>JUNIO!AA40</f>
        <v>0</v>
      </c>
      <c r="Z40" s="208">
        <v>0</v>
      </c>
      <c r="AA40" s="271">
        <f t="shared" si="41"/>
        <v>0</v>
      </c>
      <c r="AB40" s="270">
        <f>JUNIO!AD40</f>
        <v>0</v>
      </c>
      <c r="AC40" s="208">
        <v>0</v>
      </c>
      <c r="AD40" s="271">
        <f t="shared" si="42"/>
        <v>0</v>
      </c>
      <c r="AE40" s="270">
        <f>JUNIO!AG40</f>
        <v>0</v>
      </c>
      <c r="AF40" s="208">
        <v>0</v>
      </c>
      <c r="AG40" s="271">
        <f t="shared" si="43"/>
        <v>0</v>
      </c>
      <c r="AH40" s="270">
        <f t="shared" si="44"/>
        <v>0</v>
      </c>
      <c r="AI40" s="220">
        <f t="shared" si="45"/>
        <v>0</v>
      </c>
      <c r="AJ40" s="269">
        <f t="shared" si="46"/>
        <v>0</v>
      </c>
      <c r="AK40" s="101"/>
      <c r="AL40" s="204">
        <v>0</v>
      </c>
      <c r="AM40" s="210">
        <v>0</v>
      </c>
      <c r="AN40" s="101"/>
      <c r="AO40" s="67"/>
      <c r="AP40" s="67"/>
      <c r="AQ40" s="67"/>
      <c r="AR40" s="67"/>
      <c r="AS40" s="67"/>
      <c r="AT40" s="67"/>
      <c r="AU40" s="67"/>
      <c r="AV40" s="67"/>
      <c r="AW40" s="67"/>
      <c r="AX40" s="67"/>
      <c r="AY40" s="67"/>
      <c r="AZ40" s="67"/>
      <c r="BA40" s="67"/>
      <c r="BB40" s="336"/>
      <c r="BC40" s="336"/>
      <c r="BD40" s="336"/>
      <c r="BE40" s="336"/>
      <c r="BF40" s="67"/>
      <c r="BG40" s="67"/>
      <c r="BH40" s="67"/>
      <c r="BI40" s="67"/>
      <c r="BJ40" s="67"/>
      <c r="BK40" s="67"/>
      <c r="BL40" s="67"/>
      <c r="BM40" s="67"/>
      <c r="BN40" s="67"/>
      <c r="BO40" s="67"/>
      <c r="BP40" s="67"/>
      <c r="BQ40" s="67"/>
    </row>
    <row r="41" spans="1:69" ht="24.75" customHeight="1">
      <c r="A41" s="286">
        <f>+IF(JUNIO!A41=0,"",JUNIO!A41)</f>
        <v>1130104</v>
      </c>
      <c r="B41" s="319" t="str">
        <f>+IF(JUNIO!B41=0,"",JUNIO!B41)</f>
        <v>SUBSIDIO A LA OFERTA- ACTIVIDADES NO POS-S</v>
      </c>
      <c r="C41" s="204">
        <f>+ENERO!C41</f>
        <v>0</v>
      </c>
      <c r="D41" s="231">
        <f>JUNIO!D41+JULIO!P41</f>
        <v>0</v>
      </c>
      <c r="E41" s="231">
        <f>JUNIO!E41+JULIO!Q41</f>
        <v>0</v>
      </c>
      <c r="F41" s="231">
        <f t="shared" si="35"/>
        <v>0</v>
      </c>
      <c r="G41" s="231">
        <f>JUNIO!I41</f>
        <v>0</v>
      </c>
      <c r="H41" s="208">
        <v>0</v>
      </c>
      <c r="I41" s="231">
        <f t="shared" si="36"/>
        <v>0</v>
      </c>
      <c r="J41" s="231">
        <f>JUNIO!L41</f>
        <v>0</v>
      </c>
      <c r="K41" s="765">
        <v>0</v>
      </c>
      <c r="L41" s="231">
        <f t="shared" si="37"/>
        <v>0</v>
      </c>
      <c r="M41" s="231">
        <f t="shared" si="38"/>
        <v>0</v>
      </c>
      <c r="N41" s="232">
        <f t="shared" si="39"/>
        <v>0</v>
      </c>
      <c r="O41" s="67"/>
      <c r="P41" s="208">
        <v>0</v>
      </c>
      <c r="Q41" s="210">
        <v>0</v>
      </c>
      <c r="R41" s="101"/>
      <c r="S41" s="266" t="str">
        <f>+IF(JUNIO!S41=0,"",JUNIO!S41)</f>
        <v>2.1.2.02.02.009.99.02</v>
      </c>
      <c r="T41" s="267" t="str">
        <f>+IF(JUNIO!T41=0,"",JUNIO!T41)</f>
        <v>Vigencias Anteriores</v>
      </c>
      <c r="U41" s="373">
        <f>+ENERO!U41</f>
        <v>1854990987</v>
      </c>
      <c r="V41" s="220">
        <f>JUNIO!V41+JULIO!AL41</f>
        <v>783000000</v>
      </c>
      <c r="W41" s="220">
        <f>JUNIO!W41+JULIO!AM41</f>
        <v>0</v>
      </c>
      <c r="X41" s="271">
        <f t="shared" si="40"/>
        <v>2637990987</v>
      </c>
      <c r="Y41" s="270">
        <f>JUNIO!AA41</f>
        <v>2637110434</v>
      </c>
      <c r="Z41" s="208">
        <v>0</v>
      </c>
      <c r="AA41" s="271">
        <f t="shared" si="41"/>
        <v>2637110434</v>
      </c>
      <c r="AB41" s="270">
        <f>JUNIO!AD41</f>
        <v>2637110434</v>
      </c>
      <c r="AC41" s="208">
        <v>0</v>
      </c>
      <c r="AD41" s="271">
        <f t="shared" si="42"/>
        <v>2637110434</v>
      </c>
      <c r="AE41" s="270">
        <f>JUNIO!AG41</f>
        <v>2637110434</v>
      </c>
      <c r="AF41" s="208">
        <v>0</v>
      </c>
      <c r="AG41" s="271">
        <f t="shared" si="43"/>
        <v>2637110434</v>
      </c>
      <c r="AH41" s="270">
        <f t="shared" si="44"/>
        <v>880553</v>
      </c>
      <c r="AI41" s="220">
        <f t="shared" si="45"/>
        <v>880553</v>
      </c>
      <c r="AJ41" s="269">
        <f t="shared" si="46"/>
        <v>880553</v>
      </c>
      <c r="AK41" s="101"/>
      <c r="AL41" s="204">
        <v>0</v>
      </c>
      <c r="AM41" s="210">
        <v>0</v>
      </c>
      <c r="AN41" s="101"/>
      <c r="AO41" s="67"/>
      <c r="AP41" s="67"/>
      <c r="AQ41" s="67"/>
      <c r="AR41" s="67"/>
      <c r="AS41" s="67"/>
      <c r="AT41" s="67"/>
      <c r="AU41" s="67"/>
      <c r="AV41" s="67"/>
      <c r="AW41" s="67"/>
      <c r="AX41" s="67"/>
      <c r="AY41" s="67"/>
      <c r="AZ41" s="67"/>
      <c r="BA41" s="67"/>
      <c r="BB41" s="336"/>
      <c r="BC41" s="336"/>
      <c r="BD41" s="336"/>
      <c r="BE41" s="336"/>
      <c r="BF41" s="67"/>
      <c r="BG41" s="67"/>
      <c r="BH41" s="67"/>
      <c r="BI41" s="67"/>
      <c r="BJ41" s="67"/>
      <c r="BK41" s="67"/>
      <c r="BL41" s="67"/>
      <c r="BM41" s="336"/>
      <c r="BN41" s="336"/>
      <c r="BO41" s="336"/>
      <c r="BP41" s="336"/>
      <c r="BQ41" s="336"/>
    </row>
    <row r="42" spans="1:69" ht="24.75" customHeight="1">
      <c r="A42" s="286" t="str">
        <f>+IF(JUNIO!A42=0,"",JUNIO!A42)</f>
        <v>1.1.02.05.001.09.02.03</v>
      </c>
      <c r="B42" s="319" t="str">
        <f>+IF(JUNIO!B42=0,"",JUNIO!B42)</f>
        <v>SALUD PUBLICA - PLAN DE INTERVENCIONES COLECTIVAS</v>
      </c>
      <c r="C42" s="288">
        <f t="shared" ref="C42:N42" si="47">SUM(C43:C44)</f>
        <v>287170800</v>
      </c>
      <c r="D42" s="320">
        <f t="shared" si="47"/>
        <v>0</v>
      </c>
      <c r="E42" s="320">
        <f t="shared" si="47"/>
        <v>0</v>
      </c>
      <c r="F42" s="320">
        <f t="shared" si="47"/>
        <v>287170800</v>
      </c>
      <c r="G42" s="320">
        <f t="shared" si="47"/>
        <v>81686424</v>
      </c>
      <c r="H42" s="320">
        <f t="shared" si="47"/>
        <v>11662847</v>
      </c>
      <c r="I42" s="320">
        <f t="shared" si="47"/>
        <v>93349271</v>
      </c>
      <c r="J42" s="320">
        <f t="shared" si="47"/>
        <v>59611819</v>
      </c>
      <c r="K42" s="1180">
        <f t="shared" si="47"/>
        <v>15432539</v>
      </c>
      <c r="L42" s="320">
        <f t="shared" si="47"/>
        <v>75044358</v>
      </c>
      <c r="M42" s="320">
        <f t="shared" si="47"/>
        <v>193821529</v>
      </c>
      <c r="N42" s="289">
        <f t="shared" si="47"/>
        <v>212126442</v>
      </c>
      <c r="O42" s="67"/>
      <c r="P42" s="288">
        <f>SUM(P43:P44)</f>
        <v>0</v>
      </c>
      <c r="Q42" s="289">
        <f>SUM(Q43:Q44)</f>
        <v>0</v>
      </c>
      <c r="R42" s="101"/>
      <c r="S42" s="189">
        <f>+IF(JUNIO!S42=0,"",JUNIO!S42)</f>
        <v>1130106</v>
      </c>
      <c r="T42" s="488" t="str">
        <f>+IF(JUNIO!T42=0,"",JUNIO!T42)</f>
        <v/>
      </c>
      <c r="U42" s="191"/>
      <c r="V42" s="191"/>
      <c r="W42" s="191"/>
      <c r="X42" s="191"/>
      <c r="Y42" s="191"/>
      <c r="Z42" s="191"/>
      <c r="AA42" s="191"/>
      <c r="AB42" s="191"/>
      <c r="AC42" s="191"/>
      <c r="AD42" s="191"/>
      <c r="AE42" s="191"/>
      <c r="AF42" s="191"/>
      <c r="AG42" s="191"/>
      <c r="AH42" s="191"/>
      <c r="AI42" s="191"/>
      <c r="AJ42" s="192"/>
      <c r="AK42" s="216"/>
      <c r="AL42" s="370"/>
      <c r="AM42" s="371"/>
      <c r="AN42" s="101"/>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row>
    <row r="43" spans="1:69" ht="24.75" customHeight="1">
      <c r="A43" s="202" t="str">
        <f>+IF(JUNIO!A43=0,"",JUNIO!A43)</f>
        <v>1.1.02.05.001.09.02.03</v>
      </c>
      <c r="B43" s="331" t="str">
        <f>+CONCATENATE("Vigencia ",INSTRUCCIONES!$F$3)</f>
        <v>Vigencia 2025</v>
      </c>
      <c r="C43" s="204">
        <f>+ENERO!C43</f>
        <v>0</v>
      </c>
      <c r="D43" s="205">
        <f>JUNIO!D43+JULIO!P43</f>
        <v>0</v>
      </c>
      <c r="E43" s="205">
        <f>JUNIO!E43+JULIO!Q43</f>
        <v>0</v>
      </c>
      <c r="F43" s="205">
        <f>SUM(C43:E43)</f>
        <v>0</v>
      </c>
      <c r="G43" s="205">
        <f>JUNIO!I43</f>
        <v>24918838</v>
      </c>
      <c r="H43" s="208">
        <v>6033201</v>
      </c>
      <c r="I43" s="205">
        <f>SUM(G43:H43)</f>
        <v>30952039</v>
      </c>
      <c r="J43" s="205">
        <f>JUNIO!L43</f>
        <v>2844233</v>
      </c>
      <c r="K43" s="765">
        <v>9802893</v>
      </c>
      <c r="L43" s="205">
        <f>SUM(J43:K43)</f>
        <v>12647126</v>
      </c>
      <c r="M43" s="205">
        <f>F43-I43</f>
        <v>-30952039</v>
      </c>
      <c r="N43" s="206">
        <f>F43-L43</f>
        <v>-12647126</v>
      </c>
      <c r="O43" s="67"/>
      <c r="P43" s="204">
        <v>0</v>
      </c>
      <c r="Q43" s="210">
        <v>0</v>
      </c>
      <c r="R43" s="101"/>
      <c r="S43" s="257">
        <f>+IF(JUNIO!S43=0,"",JUNIO!S43)</f>
        <v>1010300</v>
      </c>
      <c r="T43" s="546" t="str">
        <f>+IF(JUNIO!T43=0,"",JUNIO!T43)</f>
        <v>Contribuciones Inherentes nómina al Sector Privado</v>
      </c>
      <c r="U43" s="230">
        <f t="shared" ref="U43:AJ43" si="48">U44+U49+U55</f>
        <v>2871199937.9625015</v>
      </c>
      <c r="V43" s="231">
        <f t="shared" si="48"/>
        <v>0</v>
      </c>
      <c r="W43" s="231">
        <f t="shared" si="48"/>
        <v>0</v>
      </c>
      <c r="X43" s="234">
        <f t="shared" si="48"/>
        <v>2871199937.9625015</v>
      </c>
      <c r="Y43" s="233">
        <f t="shared" si="48"/>
        <v>1307272867</v>
      </c>
      <c r="Z43" s="231">
        <f t="shared" si="48"/>
        <v>179942230</v>
      </c>
      <c r="AA43" s="234">
        <f t="shared" si="48"/>
        <v>1487215097</v>
      </c>
      <c r="AB43" s="233">
        <f t="shared" si="48"/>
        <v>1307272867</v>
      </c>
      <c r="AC43" s="231">
        <f t="shared" si="48"/>
        <v>179942230</v>
      </c>
      <c r="AD43" s="234">
        <f t="shared" si="48"/>
        <v>1487215097</v>
      </c>
      <c r="AE43" s="233">
        <f t="shared" si="48"/>
        <v>1307272867</v>
      </c>
      <c r="AF43" s="231">
        <f t="shared" si="48"/>
        <v>175823266</v>
      </c>
      <c r="AG43" s="234">
        <f t="shared" si="48"/>
        <v>1483096133</v>
      </c>
      <c r="AH43" s="233">
        <f t="shared" si="48"/>
        <v>1383984840.9625013</v>
      </c>
      <c r="AI43" s="231">
        <f t="shared" si="48"/>
        <v>1383984840.9625013</v>
      </c>
      <c r="AJ43" s="232">
        <f t="shared" si="48"/>
        <v>1388103804.9625013</v>
      </c>
      <c r="AK43" s="101"/>
      <c r="AL43" s="233">
        <f>AL44+AL49+AL55</f>
        <v>0</v>
      </c>
      <c r="AM43" s="232">
        <f>AM44+AM49+AM55</f>
        <v>0</v>
      </c>
      <c r="AN43" s="101"/>
      <c r="AO43" s="67"/>
      <c r="AP43" s="372"/>
      <c r="AQ43" s="67"/>
      <c r="AR43" s="67"/>
      <c r="AS43" s="67"/>
      <c r="AT43" s="67"/>
      <c r="AU43" s="67"/>
      <c r="AV43" s="67"/>
      <c r="AW43" s="67"/>
      <c r="AX43" s="67"/>
      <c r="AY43" s="67"/>
      <c r="AZ43" s="67"/>
      <c r="BA43" s="67"/>
      <c r="BB43" s="336"/>
      <c r="BC43" s="336"/>
      <c r="BD43" s="336"/>
      <c r="BE43" s="336"/>
      <c r="BF43" s="67"/>
      <c r="BG43" s="67"/>
      <c r="BH43" s="67"/>
      <c r="BI43" s="67"/>
      <c r="BJ43" s="67"/>
      <c r="BK43" s="67"/>
      <c r="BL43" s="67"/>
      <c r="BM43" s="67"/>
      <c r="BN43" s="67"/>
      <c r="BO43" s="67"/>
      <c r="BP43" s="67"/>
      <c r="BQ43" s="67"/>
    </row>
    <row r="44" spans="1:69" ht="24.75" customHeight="1">
      <c r="A44" s="202" t="str">
        <f>+IF(JUNIO!A44=0,"",JUNIO!A44)</f>
        <v>1.1.02.05.001.09.02.03.99</v>
      </c>
      <c r="B44" s="331" t="str">
        <f>+IF(JUNIO!B44=0,"",JUNIO!B44)</f>
        <v>Vigencia Anterior</v>
      </c>
      <c r="C44" s="204">
        <f>+ENERO!C44</f>
        <v>287170800</v>
      </c>
      <c r="D44" s="205">
        <f>JUNIO!D44+JULIO!P44</f>
        <v>0</v>
      </c>
      <c r="E44" s="205">
        <f>JUNIO!E44+JULIO!Q44</f>
        <v>0</v>
      </c>
      <c r="F44" s="205">
        <f>SUM(C44:E44)</f>
        <v>287170800</v>
      </c>
      <c r="G44" s="205">
        <f>JUNIO!I44</f>
        <v>56767586</v>
      </c>
      <c r="H44" s="208">
        <v>5629646</v>
      </c>
      <c r="I44" s="205">
        <f>SUM(G44:H44)</f>
        <v>62397232</v>
      </c>
      <c r="J44" s="205">
        <f>JUNIO!L44</f>
        <v>56767586</v>
      </c>
      <c r="K44" s="765">
        <v>5629646</v>
      </c>
      <c r="L44" s="205">
        <f>SUM(J44:K44)</f>
        <v>62397232</v>
      </c>
      <c r="M44" s="205">
        <f>F44-I44</f>
        <v>224773568</v>
      </c>
      <c r="N44" s="206">
        <f>F44-L44</f>
        <v>224773568</v>
      </c>
      <c r="O44" s="67"/>
      <c r="P44" s="204">
        <v>0</v>
      </c>
      <c r="Q44" s="210">
        <v>0</v>
      </c>
      <c r="R44" s="101"/>
      <c r="S44" s="266">
        <f>+IF(JUNIO!S44=0,"",JUNIO!S44)</f>
        <v>1010301</v>
      </c>
      <c r="T44" s="267" t="str">
        <f>+IF(JUNIO!T44=0,"",JUNIO!T44)</f>
        <v>Contribuciones - SGP - Aportes Patronales - Cuenta Maestra</v>
      </c>
      <c r="U44" s="373">
        <f t="shared" ref="U44:AJ44" si="49">SUM(U45:U48)</f>
        <v>0</v>
      </c>
      <c r="V44" s="220">
        <f t="shared" si="49"/>
        <v>0</v>
      </c>
      <c r="W44" s="220">
        <f t="shared" si="49"/>
        <v>0</v>
      </c>
      <c r="X44" s="271">
        <f t="shared" si="49"/>
        <v>0</v>
      </c>
      <c r="Y44" s="270">
        <f t="shared" si="49"/>
        <v>0</v>
      </c>
      <c r="Z44" s="300">
        <f t="shared" si="49"/>
        <v>0</v>
      </c>
      <c r="AA44" s="271">
        <f t="shared" si="49"/>
        <v>0</v>
      </c>
      <c r="AB44" s="270">
        <f t="shared" si="49"/>
        <v>0</v>
      </c>
      <c r="AC44" s="300">
        <f t="shared" si="49"/>
        <v>0</v>
      </c>
      <c r="AD44" s="271">
        <f t="shared" si="49"/>
        <v>0</v>
      </c>
      <c r="AE44" s="270">
        <f t="shared" si="49"/>
        <v>0</v>
      </c>
      <c r="AF44" s="300">
        <f t="shared" si="49"/>
        <v>0</v>
      </c>
      <c r="AG44" s="271">
        <f t="shared" si="49"/>
        <v>0</v>
      </c>
      <c r="AH44" s="270">
        <f t="shared" si="49"/>
        <v>0</v>
      </c>
      <c r="AI44" s="220">
        <f t="shared" si="49"/>
        <v>0</v>
      </c>
      <c r="AJ44" s="269">
        <f t="shared" si="49"/>
        <v>0</v>
      </c>
      <c r="AK44" s="101"/>
      <c r="AL44" s="301">
        <f>SUM(AL45:AL48)</f>
        <v>0</v>
      </c>
      <c r="AM44" s="302">
        <f>SUM(AM45:AM48)</f>
        <v>0</v>
      </c>
      <c r="AN44" s="101"/>
      <c r="AO44" s="67"/>
      <c r="AP44" s="67"/>
      <c r="AQ44" s="67"/>
      <c r="AR44" s="67"/>
      <c r="AS44" s="67"/>
      <c r="AT44" s="67"/>
      <c r="AU44" s="67"/>
      <c r="AV44" s="67"/>
      <c r="AW44" s="67"/>
      <c r="AX44" s="67"/>
      <c r="AY44" s="67"/>
      <c r="AZ44" s="67"/>
      <c r="BA44" s="67"/>
      <c r="BB44" s="336"/>
      <c r="BC44" s="336"/>
      <c r="BD44" s="336"/>
      <c r="BE44" s="336"/>
      <c r="BF44" s="67"/>
      <c r="BG44" s="67"/>
      <c r="BH44" s="67"/>
      <c r="BI44" s="67"/>
      <c r="BJ44" s="67"/>
      <c r="BK44" s="67"/>
      <c r="BL44" s="67"/>
      <c r="BM44" s="67"/>
      <c r="BN44" s="67"/>
      <c r="BO44" s="67"/>
      <c r="BP44" s="67"/>
      <c r="BQ44" s="67"/>
    </row>
    <row r="45" spans="1:69" ht="24.75" customHeight="1">
      <c r="A45" s="286" t="str">
        <f>+IF(JUNIO!A45=0,"",JUNIO!A45)</f>
        <v>1.1.02.05.001.09.02.04</v>
      </c>
      <c r="B45" s="319" t="str">
        <f>+IF(JUNIO!B45=0,"",JUNIO!B45)</f>
        <v>EVENTOS CATASTROFICOS Y ACCIDENTES DE TRANSITO</v>
      </c>
      <c r="C45" s="288">
        <f t="shared" ref="C45:N45" si="50">SUM(C46:C47)</f>
        <v>1301505717</v>
      </c>
      <c r="D45" s="320">
        <f t="shared" si="50"/>
        <v>0</v>
      </c>
      <c r="E45" s="320">
        <f t="shared" si="50"/>
        <v>0</v>
      </c>
      <c r="F45" s="320">
        <f t="shared" si="50"/>
        <v>1301505717</v>
      </c>
      <c r="G45" s="320">
        <f t="shared" si="50"/>
        <v>363546691</v>
      </c>
      <c r="H45" s="320">
        <f t="shared" si="50"/>
        <v>227624551</v>
      </c>
      <c r="I45" s="320">
        <f t="shared" si="50"/>
        <v>591171242</v>
      </c>
      <c r="J45" s="320">
        <f t="shared" si="50"/>
        <v>175862600</v>
      </c>
      <c r="K45" s="1180">
        <f t="shared" si="50"/>
        <v>209387805</v>
      </c>
      <c r="L45" s="320">
        <f t="shared" si="50"/>
        <v>385250405</v>
      </c>
      <c r="M45" s="320">
        <f t="shared" si="50"/>
        <v>710334475</v>
      </c>
      <c r="N45" s="289">
        <f t="shared" si="50"/>
        <v>916255312</v>
      </c>
      <c r="O45" s="67"/>
      <c r="P45" s="288">
        <f>SUM(P46:P47)</f>
        <v>0</v>
      </c>
      <c r="Q45" s="289">
        <f>SUM(Q46:Q47)</f>
        <v>0</v>
      </c>
      <c r="R45" s="101"/>
      <c r="S45" s="311" t="str">
        <f>+IF(JUNIO!S45=0,"",JUNIO!S45)</f>
        <v>1010301-1</v>
      </c>
      <c r="T45" s="312" t="str">
        <f>+IF(JUNIO!T45=0,"",JUNIO!T45)</f>
        <v>E.P.S. - Aportes cuenta maestra</v>
      </c>
      <c r="U45" s="373">
        <f>+ENERO!U45</f>
        <v>0</v>
      </c>
      <c r="V45" s="220">
        <f>JUNIO!V45+JULIO!AL45</f>
        <v>0</v>
      </c>
      <c r="W45" s="220">
        <f>JUNIO!W45+JULIO!AM45</f>
        <v>0</v>
      </c>
      <c r="X45" s="271">
        <f>SUM(U45:W45)</f>
        <v>0</v>
      </c>
      <c r="Y45" s="270">
        <f>JUNIO!AA45</f>
        <v>0</v>
      </c>
      <c r="Z45" s="208">
        <v>0</v>
      </c>
      <c r="AA45" s="271">
        <f>SUM(Y45:Z45)</f>
        <v>0</v>
      </c>
      <c r="AB45" s="270">
        <f>JUNIO!AD45</f>
        <v>0</v>
      </c>
      <c r="AC45" s="208">
        <v>0</v>
      </c>
      <c r="AD45" s="271">
        <f>SUM(AB45:AC45)</f>
        <v>0</v>
      </c>
      <c r="AE45" s="270">
        <f>JUNIO!AG45</f>
        <v>0</v>
      </c>
      <c r="AF45" s="208">
        <v>0</v>
      </c>
      <c r="AG45" s="271">
        <f>SUM(AE45:AF45)</f>
        <v>0</v>
      </c>
      <c r="AH45" s="270">
        <f>X45-AA45</f>
        <v>0</v>
      </c>
      <c r="AI45" s="220">
        <f>X45-AD45</f>
        <v>0</v>
      </c>
      <c r="AJ45" s="269">
        <f>X45-AG45</f>
        <v>0</v>
      </c>
      <c r="AK45" s="101"/>
      <c r="AL45" s="204">
        <v>0</v>
      </c>
      <c r="AM45" s="210">
        <v>0</v>
      </c>
      <c r="AN45" s="101"/>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row>
    <row r="46" spans="1:69" ht="24.75" customHeight="1">
      <c r="A46" s="202" t="str">
        <f>+IF(JUNIO!A46=0,"",JUNIO!A46)</f>
        <v>1.1.02.05.001.09.02.04</v>
      </c>
      <c r="B46" s="331" t="str">
        <f>+CONCATENATE("Vigencia ",INSTRUCCIONES!$F$3)</f>
        <v>Vigencia 2025</v>
      </c>
      <c r="C46" s="204">
        <f>+ENERO!C46</f>
        <v>795758987</v>
      </c>
      <c r="D46" s="205">
        <f>JUNIO!D46+JULIO!P46</f>
        <v>0</v>
      </c>
      <c r="E46" s="205">
        <f>JUNIO!E46+JULIO!Q46</f>
        <v>0</v>
      </c>
      <c r="F46" s="205">
        <f>SUM(C46:E46)</f>
        <v>795758987</v>
      </c>
      <c r="G46" s="205">
        <f>JUNIO!I46</f>
        <v>191899478</v>
      </c>
      <c r="H46" s="208">
        <v>18236746</v>
      </c>
      <c r="I46" s="205">
        <f>SUM(G46:H46)</f>
        <v>210136224</v>
      </c>
      <c r="J46" s="205">
        <f>JUNIO!L46</f>
        <v>4215387</v>
      </c>
      <c r="K46" s="765">
        <v>0</v>
      </c>
      <c r="L46" s="205">
        <f>SUM(J46:K46)</f>
        <v>4215387</v>
      </c>
      <c r="M46" s="205">
        <f>F46-I46</f>
        <v>585622763</v>
      </c>
      <c r="N46" s="206">
        <f>F46-L46</f>
        <v>791543600</v>
      </c>
      <c r="O46" s="67"/>
      <c r="P46" s="204">
        <v>0</v>
      </c>
      <c r="Q46" s="210">
        <v>0</v>
      </c>
      <c r="R46" s="101"/>
      <c r="S46" s="311" t="str">
        <f>+IF(JUNIO!S46=0,"",JUNIO!S46)</f>
        <v>1010301-2</v>
      </c>
      <c r="T46" s="312" t="str">
        <f>+IF(JUNIO!T46=0,"",JUNIO!T46)</f>
        <v>Fondos pensionales - Aportes cuenta maestra</v>
      </c>
      <c r="U46" s="373">
        <f>+ENERO!U46</f>
        <v>0</v>
      </c>
      <c r="V46" s="220">
        <f>JUNIO!V46+JULIO!AL46</f>
        <v>0</v>
      </c>
      <c r="W46" s="220">
        <f>JUNIO!W46+JULIO!AM46</f>
        <v>0</v>
      </c>
      <c r="X46" s="271">
        <f>SUM(U46:W46)</f>
        <v>0</v>
      </c>
      <c r="Y46" s="270">
        <f>JUNIO!AA46</f>
        <v>0</v>
      </c>
      <c r="Z46" s="208">
        <v>0</v>
      </c>
      <c r="AA46" s="271">
        <f>SUM(Y46:Z46)</f>
        <v>0</v>
      </c>
      <c r="AB46" s="270">
        <f>JUNIO!AD46</f>
        <v>0</v>
      </c>
      <c r="AC46" s="208">
        <v>0</v>
      </c>
      <c r="AD46" s="271">
        <f>SUM(AB46:AC46)</f>
        <v>0</v>
      </c>
      <c r="AE46" s="270">
        <f>JUNIO!AG46</f>
        <v>0</v>
      </c>
      <c r="AF46" s="208">
        <v>0</v>
      </c>
      <c r="AG46" s="271">
        <f>SUM(AE46:AF46)</f>
        <v>0</v>
      </c>
      <c r="AH46" s="270">
        <f>X46-AA46</f>
        <v>0</v>
      </c>
      <c r="AI46" s="220">
        <f>X46-AD46</f>
        <v>0</v>
      </c>
      <c r="AJ46" s="269">
        <f>X46-AG46</f>
        <v>0</v>
      </c>
      <c r="AK46" s="101"/>
      <c r="AL46" s="204">
        <v>0</v>
      </c>
      <c r="AM46" s="210">
        <v>0</v>
      </c>
      <c r="AN46" s="101"/>
      <c r="AO46" s="376"/>
      <c r="AP46" s="372"/>
      <c r="AQ46" s="67"/>
      <c r="AR46" s="67"/>
      <c r="AS46" s="67"/>
      <c r="AT46" s="67"/>
      <c r="AU46" s="67"/>
      <c r="AV46" s="67"/>
      <c r="AW46" s="67"/>
      <c r="AX46" s="67"/>
      <c r="AY46" s="67"/>
      <c r="AZ46" s="67"/>
      <c r="BA46" s="67"/>
      <c r="BB46" s="336"/>
      <c r="BC46" s="336"/>
      <c r="BD46" s="336"/>
      <c r="BE46" s="336"/>
      <c r="BF46" s="67"/>
      <c r="BG46" s="67"/>
      <c r="BH46" s="67"/>
      <c r="BI46" s="67"/>
      <c r="BJ46" s="67"/>
      <c r="BK46" s="67"/>
      <c r="BL46" s="67"/>
      <c r="BM46" s="336"/>
      <c r="BN46" s="336"/>
      <c r="BO46" s="336"/>
      <c r="BP46" s="336"/>
      <c r="BQ46" s="336"/>
    </row>
    <row r="47" spans="1:69" ht="24.75" customHeight="1">
      <c r="A47" s="202" t="str">
        <f>+IF(JUNIO!A47=0,"",JUNIO!A47)</f>
        <v>1.1.02.05.001.09.02.04.99</v>
      </c>
      <c r="B47" s="331" t="str">
        <f>+IF(JUNIO!B47=0,"",JUNIO!B47)</f>
        <v>Vigencia Anterior</v>
      </c>
      <c r="C47" s="204">
        <f>+ENERO!C47</f>
        <v>505746730</v>
      </c>
      <c r="D47" s="205">
        <f>JUNIO!D47+JULIO!P47</f>
        <v>0</v>
      </c>
      <c r="E47" s="205">
        <f>JUNIO!E47+JULIO!Q47</f>
        <v>0</v>
      </c>
      <c r="F47" s="205">
        <f>SUM(C47:E47)</f>
        <v>505746730</v>
      </c>
      <c r="G47" s="205">
        <f>JUNIO!I47</f>
        <v>171647213</v>
      </c>
      <c r="H47" s="208">
        <v>209387805</v>
      </c>
      <c r="I47" s="205">
        <f>SUM(G47:H47)</f>
        <v>381035018</v>
      </c>
      <c r="J47" s="205">
        <f>JUNIO!L47</f>
        <v>171647213</v>
      </c>
      <c r="K47" s="765">
        <v>209387805</v>
      </c>
      <c r="L47" s="205">
        <f>SUM(J47:K47)</f>
        <v>381035018</v>
      </c>
      <c r="M47" s="205">
        <f>F47-I47</f>
        <v>124711712</v>
      </c>
      <c r="N47" s="206">
        <f>F47-L47</f>
        <v>124711712</v>
      </c>
      <c r="O47" s="67"/>
      <c r="P47" s="204">
        <v>0</v>
      </c>
      <c r="Q47" s="210">
        <v>0</v>
      </c>
      <c r="R47" s="101"/>
      <c r="S47" s="311" t="str">
        <f>+IF(JUNIO!S47=0,"",JUNIO!S47)</f>
        <v>1010301-3</v>
      </c>
      <c r="T47" s="312" t="str">
        <f>+IF(JUNIO!T47=0,"",JUNIO!T47)</f>
        <v>Fondos de cesantías - Aportes cuenta maestra</v>
      </c>
      <c r="U47" s="373">
        <f>+ENERO!U47</f>
        <v>0</v>
      </c>
      <c r="V47" s="220">
        <f>JUNIO!V47+JULIO!AL47</f>
        <v>0</v>
      </c>
      <c r="W47" s="220">
        <f>JUNIO!W47+JULIO!AM47</f>
        <v>0</v>
      </c>
      <c r="X47" s="271">
        <f>SUM(U47:W47)</f>
        <v>0</v>
      </c>
      <c r="Y47" s="270">
        <f>JUNIO!AA47</f>
        <v>0</v>
      </c>
      <c r="Z47" s="208">
        <v>0</v>
      </c>
      <c r="AA47" s="271">
        <f>SUM(Y47:Z47)</f>
        <v>0</v>
      </c>
      <c r="AB47" s="270">
        <f>JUNIO!AD47</f>
        <v>0</v>
      </c>
      <c r="AC47" s="208">
        <v>0</v>
      </c>
      <c r="AD47" s="271">
        <f>SUM(AB47:AC47)</f>
        <v>0</v>
      </c>
      <c r="AE47" s="270">
        <f>JUNIO!AG47</f>
        <v>0</v>
      </c>
      <c r="AF47" s="208">
        <v>0</v>
      </c>
      <c r="AG47" s="271">
        <f>SUM(AE47:AF47)</f>
        <v>0</v>
      </c>
      <c r="AH47" s="270">
        <f>X47-AA47</f>
        <v>0</v>
      </c>
      <c r="AI47" s="220">
        <f>X47-AD47</f>
        <v>0</v>
      </c>
      <c r="AJ47" s="269">
        <f>X47-AG47</f>
        <v>0</v>
      </c>
      <c r="AK47" s="101"/>
      <c r="AL47" s="204">
        <v>0</v>
      </c>
      <c r="AM47" s="210">
        <v>0</v>
      </c>
      <c r="AN47" s="101"/>
      <c r="AO47" s="67"/>
      <c r="AP47" s="67"/>
      <c r="AQ47" s="67"/>
      <c r="AR47" s="67"/>
      <c r="AS47" s="67"/>
      <c r="AT47" s="67"/>
      <c r="AU47" s="67"/>
      <c r="AV47" s="67"/>
      <c r="AW47" s="67"/>
      <c r="AX47" s="67"/>
      <c r="AY47" s="67"/>
      <c r="AZ47" s="67"/>
      <c r="BA47" s="67"/>
      <c r="BB47" s="336"/>
      <c r="BC47" s="336"/>
      <c r="BD47" s="336"/>
      <c r="BE47" s="336"/>
      <c r="BF47" s="67"/>
      <c r="BG47" s="67"/>
      <c r="BH47" s="67"/>
      <c r="BI47" s="67"/>
      <c r="BJ47" s="67"/>
      <c r="BK47" s="67"/>
      <c r="BL47" s="67"/>
      <c r="BM47" s="67"/>
      <c r="BN47" s="67"/>
      <c r="BO47" s="67"/>
      <c r="BP47" s="67"/>
      <c r="BQ47" s="67"/>
    </row>
    <row r="48" spans="1:69" ht="24.75" customHeight="1">
      <c r="A48" s="286" t="str">
        <f>+IF(JUNIO!A48=0,"",JUNIO!A48)</f>
        <v>1.1.02.05.001.09.02.11</v>
      </c>
      <c r="B48" s="319" t="str">
        <f>+IF(JUNIO!B48=0,"",JUNIO!B48)</f>
        <v>Poblacion Especial</v>
      </c>
      <c r="C48" s="288">
        <f t="shared" ref="C48:N48" si="51">SUM(C49:C50)</f>
        <v>225672391</v>
      </c>
      <c r="D48" s="320">
        <f t="shared" si="51"/>
        <v>0</v>
      </c>
      <c r="E48" s="320">
        <f t="shared" si="51"/>
        <v>0</v>
      </c>
      <c r="F48" s="320">
        <f t="shared" si="51"/>
        <v>225672391</v>
      </c>
      <c r="G48" s="320">
        <f t="shared" si="51"/>
        <v>98749904</v>
      </c>
      <c r="H48" s="320">
        <f t="shared" si="51"/>
        <v>4363923</v>
      </c>
      <c r="I48" s="320">
        <f t="shared" si="51"/>
        <v>103113827</v>
      </c>
      <c r="J48" s="320">
        <f t="shared" si="51"/>
        <v>44481694</v>
      </c>
      <c r="K48" s="1180">
        <f t="shared" si="51"/>
        <v>12469648</v>
      </c>
      <c r="L48" s="320">
        <f t="shared" si="51"/>
        <v>56951342</v>
      </c>
      <c r="M48" s="320">
        <f t="shared" si="51"/>
        <v>122558564</v>
      </c>
      <c r="N48" s="289">
        <f t="shared" si="51"/>
        <v>168721049</v>
      </c>
      <c r="O48" s="67"/>
      <c r="P48" s="288">
        <f>SUM(P49:P50)</f>
        <v>0</v>
      </c>
      <c r="Q48" s="289">
        <f>SUM(Q49:Q50)</f>
        <v>0</v>
      </c>
      <c r="R48" s="101"/>
      <c r="S48" s="311" t="str">
        <f>+IF(JUNIO!S48=0,"",JUNIO!S48)</f>
        <v>1010301-4</v>
      </c>
      <c r="T48" s="312" t="str">
        <f>+IF(JUNIO!T48=0,"",JUNIO!T48)</f>
        <v>Riesgos laborales - Aportes cuenta maestra</v>
      </c>
      <c r="U48" s="373">
        <f>+ENERO!U48</f>
        <v>0</v>
      </c>
      <c r="V48" s="220">
        <f>JUNIO!V48+JULIO!AL48</f>
        <v>0</v>
      </c>
      <c r="W48" s="220">
        <f>JUNIO!W48+JULIO!AM48</f>
        <v>0</v>
      </c>
      <c r="X48" s="271">
        <f>SUM(U48:W48)</f>
        <v>0</v>
      </c>
      <c r="Y48" s="270">
        <f>JUNIO!AA48</f>
        <v>0</v>
      </c>
      <c r="Z48" s="208">
        <v>0</v>
      </c>
      <c r="AA48" s="271">
        <f>SUM(Y48:Z48)</f>
        <v>0</v>
      </c>
      <c r="AB48" s="270">
        <f>JUNIO!AD48</f>
        <v>0</v>
      </c>
      <c r="AC48" s="208">
        <v>0</v>
      </c>
      <c r="AD48" s="271">
        <f>SUM(AB48:AC48)</f>
        <v>0</v>
      </c>
      <c r="AE48" s="270">
        <f>JUNIO!AG48</f>
        <v>0</v>
      </c>
      <c r="AF48" s="208">
        <v>0</v>
      </c>
      <c r="AG48" s="271">
        <f>SUM(AE48:AF48)</f>
        <v>0</v>
      </c>
      <c r="AH48" s="270">
        <f>X48-AA48</f>
        <v>0</v>
      </c>
      <c r="AI48" s="220">
        <f>X48-AD48</f>
        <v>0</v>
      </c>
      <c r="AJ48" s="269">
        <f>X48-AG48</f>
        <v>0</v>
      </c>
      <c r="AK48" s="101"/>
      <c r="AL48" s="204">
        <v>0</v>
      </c>
      <c r="AM48" s="210">
        <v>0</v>
      </c>
      <c r="AN48" s="101"/>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row>
    <row r="49" spans="1:39" ht="24.75" customHeight="1">
      <c r="A49" s="202" t="str">
        <f>+IF(JUNIO!A49=0,"",JUNIO!A49)</f>
        <v>1.1.02.05.001.09.02.11</v>
      </c>
      <c r="B49" s="331" t="str">
        <f>+CONCATENATE("Vigencia ",INSTRUCCIONES!$F$3)</f>
        <v>Vigencia 2025</v>
      </c>
      <c r="C49" s="204">
        <f>+ENERO!C49</f>
        <v>180672391</v>
      </c>
      <c r="D49" s="205">
        <f>JUNIO!D49+JULIO!P49</f>
        <v>0</v>
      </c>
      <c r="E49" s="205">
        <f>JUNIO!E49+JULIO!Q49</f>
        <v>0</v>
      </c>
      <c r="F49" s="205">
        <f>SUM(C49:E49)</f>
        <v>180672391</v>
      </c>
      <c r="G49" s="205">
        <f>JUNIO!I49</f>
        <v>59547560</v>
      </c>
      <c r="H49" s="208">
        <v>4363923</v>
      </c>
      <c r="I49" s="205">
        <f>SUM(G49:H49)</f>
        <v>63911483</v>
      </c>
      <c r="J49" s="205">
        <f>JUNIO!L49</f>
        <v>5279350</v>
      </c>
      <c r="K49" s="765">
        <v>12469648</v>
      </c>
      <c r="L49" s="205">
        <f>SUM(J49:K49)</f>
        <v>17748998</v>
      </c>
      <c r="M49" s="205">
        <f>F49-I49</f>
        <v>116760908</v>
      </c>
      <c r="N49" s="206">
        <f>F49-L49</f>
        <v>162923393</v>
      </c>
      <c r="O49" s="67"/>
      <c r="P49" s="204">
        <v>0</v>
      </c>
      <c r="Q49" s="210">
        <v>0</v>
      </c>
      <c r="R49" s="101"/>
      <c r="S49" s="266">
        <f>+IF(JUNIO!S49=0,"",JUNIO!S49)</f>
        <v>1010302</v>
      </c>
      <c r="T49" s="267" t="str">
        <f>+IF(JUNIO!T49=0,"",JUNIO!T49)</f>
        <v>Contribuciones - Otros</v>
      </c>
      <c r="U49" s="373">
        <f t="shared" ref="U49:AJ49" si="52">SUM(U50:U54)</f>
        <v>2369058848.2960005</v>
      </c>
      <c r="V49" s="220">
        <f t="shared" si="52"/>
        <v>-30000000</v>
      </c>
      <c r="W49" s="220">
        <f t="shared" si="52"/>
        <v>0</v>
      </c>
      <c r="X49" s="271">
        <f t="shared" si="52"/>
        <v>2339058848.2960005</v>
      </c>
      <c r="Y49" s="270">
        <f t="shared" si="52"/>
        <v>782965233</v>
      </c>
      <c r="Z49" s="300">
        <f t="shared" si="52"/>
        <v>179942230</v>
      </c>
      <c r="AA49" s="271">
        <f t="shared" si="52"/>
        <v>962907463</v>
      </c>
      <c r="AB49" s="270">
        <f t="shared" si="52"/>
        <v>782965233</v>
      </c>
      <c r="AC49" s="300">
        <f t="shared" si="52"/>
        <v>179942230</v>
      </c>
      <c r="AD49" s="271">
        <f t="shared" si="52"/>
        <v>962907463</v>
      </c>
      <c r="AE49" s="270">
        <f t="shared" si="52"/>
        <v>782965233</v>
      </c>
      <c r="AF49" s="300">
        <f t="shared" si="52"/>
        <v>175823266</v>
      </c>
      <c r="AG49" s="271">
        <f t="shared" si="52"/>
        <v>958788499</v>
      </c>
      <c r="AH49" s="270">
        <f t="shared" si="52"/>
        <v>1376151385.2960002</v>
      </c>
      <c r="AI49" s="220">
        <f t="shared" si="52"/>
        <v>1376151385.2960002</v>
      </c>
      <c r="AJ49" s="269">
        <f t="shared" si="52"/>
        <v>1380270349.2960002</v>
      </c>
      <c r="AK49" s="101"/>
      <c r="AL49" s="301">
        <f>SUM(AL50:AL54)</f>
        <v>0</v>
      </c>
      <c r="AM49" s="302">
        <f>SUM(AM50:AM54)</f>
        <v>0</v>
      </c>
    </row>
    <row r="50" spans="1:39" ht="24.75" customHeight="1">
      <c r="A50" s="202" t="str">
        <f>+IF(JUNIO!A50=0,"",JUNIO!A50)</f>
        <v>1.1.02.05.001.09.02.11.99</v>
      </c>
      <c r="B50" s="331" t="str">
        <f>+IF(JUNIO!B50=0,"",JUNIO!B50)</f>
        <v>Vigencia Anterior</v>
      </c>
      <c r="C50" s="204">
        <f>+ENERO!C50</f>
        <v>45000000</v>
      </c>
      <c r="D50" s="205">
        <f>JUNIO!D50+JULIO!P50</f>
        <v>0</v>
      </c>
      <c r="E50" s="205">
        <f>JUNIO!E50+JULIO!Q50</f>
        <v>0</v>
      </c>
      <c r="F50" s="205">
        <f>SUM(C50:E50)</f>
        <v>45000000</v>
      </c>
      <c r="G50" s="205">
        <f>JUNIO!I50</f>
        <v>39202344</v>
      </c>
      <c r="H50" s="208">
        <v>0</v>
      </c>
      <c r="I50" s="205">
        <f>SUM(G50:H50)</f>
        <v>39202344</v>
      </c>
      <c r="J50" s="205">
        <f>JUNIO!L50</f>
        <v>39202344</v>
      </c>
      <c r="K50" s="765">
        <v>0</v>
      </c>
      <c r="L50" s="205">
        <f>SUM(J50:K50)</f>
        <v>39202344</v>
      </c>
      <c r="M50" s="205">
        <f>F50-I50</f>
        <v>5797656</v>
      </c>
      <c r="N50" s="206">
        <f>F50-L50</f>
        <v>5797656</v>
      </c>
      <c r="O50" s="67"/>
      <c r="P50" s="204">
        <v>0</v>
      </c>
      <c r="Q50" s="210">
        <v>0</v>
      </c>
      <c r="R50" s="101"/>
      <c r="S50" s="311" t="str">
        <f>+IF(JUNIO!S50=0,"",JUNIO!S50)</f>
        <v>2.1.1.01.02.002</v>
      </c>
      <c r="T50" s="312" t="str">
        <f>+IF(JUNIO!T50=0,"",JUNIO!T50)</f>
        <v>Aportes a E.P.S. - recursos propios</v>
      </c>
      <c r="U50" s="373">
        <f>+ENERO!U50</f>
        <v>555207343.50000024</v>
      </c>
      <c r="V50" s="220">
        <f>JUNIO!V50+JULIO!AL50</f>
        <v>0</v>
      </c>
      <c r="W50" s="220">
        <f>JUNIO!W50+JULIO!AM50</f>
        <v>0</v>
      </c>
      <c r="X50" s="271">
        <f t="shared" ref="X50:X55" si="53">SUM(U50:W50)</f>
        <v>555207343.50000024</v>
      </c>
      <c r="Y50" s="270">
        <f>JUNIO!AA50</f>
        <v>230233900</v>
      </c>
      <c r="Z50" s="208">
        <v>55260878</v>
      </c>
      <c r="AA50" s="271">
        <f t="shared" ref="AA50:AA55" si="54">SUM(Y50:Z50)</f>
        <v>285494778</v>
      </c>
      <c r="AB50" s="270">
        <f>JUNIO!AD50</f>
        <v>230233900</v>
      </c>
      <c r="AC50" s="208">
        <v>55260878</v>
      </c>
      <c r="AD50" s="271">
        <f t="shared" ref="AD50:AD55" si="55">SUM(AB50:AC50)</f>
        <v>285494778</v>
      </c>
      <c r="AE50" s="270">
        <f>JUNIO!AG50</f>
        <v>230233900</v>
      </c>
      <c r="AF50" s="208">
        <v>55260878</v>
      </c>
      <c r="AG50" s="271">
        <f t="shared" ref="AG50:AG55" si="56">SUM(AE50:AF50)</f>
        <v>285494778</v>
      </c>
      <c r="AH50" s="270">
        <f t="shared" ref="AH50:AH55" si="57">X50-AA50</f>
        <v>269712565.50000024</v>
      </c>
      <c r="AI50" s="220">
        <f t="shared" ref="AI50:AI55" si="58">X50-AD50</f>
        <v>269712565.50000024</v>
      </c>
      <c r="AJ50" s="269">
        <f t="shared" ref="AJ50:AJ55" si="59">X50-AG50</f>
        <v>269712565.50000024</v>
      </c>
      <c r="AK50" s="101"/>
      <c r="AL50" s="204">
        <v>0</v>
      </c>
      <c r="AM50" s="210">
        <v>0</v>
      </c>
    </row>
    <row r="51" spans="1:39" ht="24.75" customHeight="1">
      <c r="A51" s="286" t="str">
        <f>+IF(JUNIO!A51=0,"",JUNIO!A51)</f>
        <v>1.1.02.05.001.09.02.16</v>
      </c>
      <c r="B51" s="319" t="str">
        <f>+IF(JUNIO!B51=0,"",JUNIO!B51)</f>
        <v>Fondo Nacional de la Salud personas privadas de la Libertad</v>
      </c>
      <c r="C51" s="288">
        <f t="shared" ref="C51:N51" si="60">SUM(C52:C53)</f>
        <v>168856</v>
      </c>
      <c r="D51" s="320">
        <f t="shared" si="60"/>
        <v>0</v>
      </c>
      <c r="E51" s="320">
        <f t="shared" si="60"/>
        <v>0</v>
      </c>
      <c r="F51" s="320">
        <f t="shared" si="60"/>
        <v>168856</v>
      </c>
      <c r="G51" s="320">
        <f t="shared" si="60"/>
        <v>14817965</v>
      </c>
      <c r="H51" s="320">
        <f t="shared" si="60"/>
        <v>12674642</v>
      </c>
      <c r="I51" s="320">
        <f t="shared" si="60"/>
        <v>27492607</v>
      </c>
      <c r="J51" s="320">
        <f t="shared" si="60"/>
        <v>0</v>
      </c>
      <c r="K51" s="1180">
        <f t="shared" si="60"/>
        <v>0</v>
      </c>
      <c r="L51" s="320">
        <f t="shared" si="60"/>
        <v>0</v>
      </c>
      <c r="M51" s="320">
        <f t="shared" si="60"/>
        <v>-27323751</v>
      </c>
      <c r="N51" s="289">
        <f t="shared" si="60"/>
        <v>168856</v>
      </c>
      <c r="O51" s="67"/>
      <c r="P51" s="288">
        <f>SUM(P52:P53)</f>
        <v>0</v>
      </c>
      <c r="Q51" s="289">
        <f>SUM(Q52:Q53)</f>
        <v>0</v>
      </c>
      <c r="R51" s="101"/>
      <c r="S51" s="311" t="str">
        <f>+IF(JUNIO!S51=0,"",JUNIO!S51)</f>
        <v>2.1.1.01.02.001</v>
      </c>
      <c r="T51" s="312" t="str">
        <f>+IF(JUNIO!T51=0,"",JUNIO!T51)</f>
        <v>Aportes Fondos Pensionales - recursos propios</v>
      </c>
      <c r="U51" s="373">
        <f>+ENERO!U51</f>
        <v>783822132</v>
      </c>
      <c r="V51" s="220">
        <f>JUNIO!V51+JULIO!AL51</f>
        <v>0</v>
      </c>
      <c r="W51" s="220">
        <f>JUNIO!W51+JULIO!AM51</f>
        <v>0</v>
      </c>
      <c r="X51" s="271">
        <f t="shared" si="53"/>
        <v>783822132</v>
      </c>
      <c r="Y51" s="270">
        <f>JUNIO!AA51</f>
        <v>327428000</v>
      </c>
      <c r="Z51" s="208">
        <v>77100388</v>
      </c>
      <c r="AA51" s="271">
        <f t="shared" si="54"/>
        <v>404528388</v>
      </c>
      <c r="AB51" s="270">
        <f>JUNIO!AD51</f>
        <v>327428000</v>
      </c>
      <c r="AC51" s="208">
        <v>77100388</v>
      </c>
      <c r="AD51" s="271">
        <f t="shared" si="55"/>
        <v>404528388</v>
      </c>
      <c r="AE51" s="270">
        <f>JUNIO!AG51</f>
        <v>327428000</v>
      </c>
      <c r="AF51" s="208">
        <v>77100388</v>
      </c>
      <c r="AG51" s="271">
        <f t="shared" si="56"/>
        <v>404528388</v>
      </c>
      <c r="AH51" s="270">
        <f t="shared" si="57"/>
        <v>379293744</v>
      </c>
      <c r="AI51" s="220">
        <f t="shared" si="58"/>
        <v>379293744</v>
      </c>
      <c r="AJ51" s="269">
        <f t="shared" si="59"/>
        <v>379293744</v>
      </c>
      <c r="AK51" s="101"/>
      <c r="AL51" s="204">
        <v>0</v>
      </c>
      <c r="AM51" s="210">
        <v>0</v>
      </c>
    </row>
    <row r="52" spans="1:39" ht="24.75" customHeight="1">
      <c r="A52" s="202" t="str">
        <f>+IF(JUNIO!A52=0,"",JUNIO!A52)</f>
        <v>1.1.02.05.001.09.02.16</v>
      </c>
      <c r="B52" s="331" t="str">
        <f>+CONCATENATE("Vigencia ",INSTRUCCIONES!$F$3)</f>
        <v>Vigencia 2025</v>
      </c>
      <c r="C52" s="204">
        <f>+ENERO!C52</f>
        <v>168856</v>
      </c>
      <c r="D52" s="205">
        <f>JUNIO!D52+JULIO!P52</f>
        <v>0</v>
      </c>
      <c r="E52" s="205">
        <f>JUNIO!E52+JULIO!Q52</f>
        <v>0</v>
      </c>
      <c r="F52" s="205">
        <f>SUM(C52:E52)</f>
        <v>168856</v>
      </c>
      <c r="G52" s="205">
        <f>JUNIO!I52</f>
        <v>14817965</v>
      </c>
      <c r="H52" s="208">
        <v>12674642</v>
      </c>
      <c r="I52" s="205">
        <f>SUM(G52:H52)</f>
        <v>27492607</v>
      </c>
      <c r="J52" s="205">
        <f>JUNIO!L52</f>
        <v>0</v>
      </c>
      <c r="K52" s="765">
        <v>0</v>
      </c>
      <c r="L52" s="205">
        <f>SUM(J52:K52)</f>
        <v>0</v>
      </c>
      <c r="M52" s="205">
        <f>F52-I52</f>
        <v>-27323751</v>
      </c>
      <c r="N52" s="206">
        <f>F52-L52</f>
        <v>168856</v>
      </c>
      <c r="O52" s="67"/>
      <c r="P52" s="204">
        <v>0</v>
      </c>
      <c r="Q52" s="210">
        <v>0</v>
      </c>
      <c r="R52" s="101"/>
      <c r="S52" s="311" t="str">
        <f>+IF(JUNIO!S52=0,"",JUNIO!S52)</f>
        <v>2.1.1.01.02.003</v>
      </c>
      <c r="T52" s="312" t="str">
        <f>+IF(JUNIO!T52=0,"",JUNIO!T52)</f>
        <v>Aportes a Fondos de Cesantia - recursos propios</v>
      </c>
      <c r="U52" s="373">
        <f>+ENERO!U52</f>
        <v>609639436</v>
      </c>
      <c r="V52" s="220">
        <f>JUNIO!V52+JULIO!AL52</f>
        <v>-30000000</v>
      </c>
      <c r="W52" s="220">
        <f>JUNIO!W52+JULIO!AM52</f>
        <v>0</v>
      </c>
      <c r="X52" s="271">
        <f t="shared" si="53"/>
        <v>579639436</v>
      </c>
      <c r="Y52" s="270">
        <f>JUNIO!AA52</f>
        <v>71797233</v>
      </c>
      <c r="Z52" s="208">
        <v>4118964</v>
      </c>
      <c r="AA52" s="271">
        <f t="shared" si="54"/>
        <v>75916197</v>
      </c>
      <c r="AB52" s="270">
        <f>JUNIO!AD52</f>
        <v>71797233</v>
      </c>
      <c r="AC52" s="208">
        <v>4118964</v>
      </c>
      <c r="AD52" s="271">
        <f t="shared" si="55"/>
        <v>75916197</v>
      </c>
      <c r="AE52" s="270">
        <f>JUNIO!AG52</f>
        <v>71797233</v>
      </c>
      <c r="AF52" s="208">
        <v>0</v>
      </c>
      <c r="AG52" s="271">
        <f t="shared" si="56"/>
        <v>71797233</v>
      </c>
      <c r="AH52" s="270">
        <f t="shared" si="57"/>
        <v>503723239</v>
      </c>
      <c r="AI52" s="220">
        <f t="shared" si="58"/>
        <v>503723239</v>
      </c>
      <c r="AJ52" s="269">
        <f t="shared" si="59"/>
        <v>507842203</v>
      </c>
      <c r="AK52" s="101"/>
      <c r="AL52" s="204">
        <v>0</v>
      </c>
      <c r="AM52" s="210">
        <v>0</v>
      </c>
    </row>
    <row r="53" spans="1:39" ht="24.75" customHeight="1">
      <c r="A53" s="202" t="str">
        <f>+IF(JUNIO!A53=0,"",JUNIO!A53)</f>
        <v>1.1.02.05.001.09.02.16.99</v>
      </c>
      <c r="B53" s="331" t="str">
        <f>+IF(JUNIO!B53=0,"",JUNIO!B53)</f>
        <v>Vigencia Anterior</v>
      </c>
      <c r="C53" s="204">
        <f>+ENERO!C53</f>
        <v>0</v>
      </c>
      <c r="D53" s="205">
        <f>JUNIO!D53+JULIO!P53</f>
        <v>0</v>
      </c>
      <c r="E53" s="205">
        <f>JUNIO!E53+JULIO!Q53</f>
        <v>0</v>
      </c>
      <c r="F53" s="205">
        <f>SUM(C53:E53)</f>
        <v>0</v>
      </c>
      <c r="G53" s="205">
        <f>JUNIO!I53</f>
        <v>0</v>
      </c>
      <c r="H53" s="208">
        <v>0</v>
      </c>
      <c r="I53" s="205">
        <f>SUM(G53:H53)</f>
        <v>0</v>
      </c>
      <c r="J53" s="205">
        <f>JUNIO!L53</f>
        <v>0</v>
      </c>
      <c r="K53" s="765">
        <v>0</v>
      </c>
      <c r="L53" s="205">
        <f>SUM(J53:K53)</f>
        <v>0</v>
      </c>
      <c r="M53" s="205">
        <f>F53-I53</f>
        <v>0</v>
      </c>
      <c r="N53" s="206">
        <f>F53-L53</f>
        <v>0</v>
      </c>
      <c r="O53" s="67"/>
      <c r="P53" s="204">
        <v>0</v>
      </c>
      <c r="Q53" s="210">
        <v>0</v>
      </c>
      <c r="R53" s="101"/>
      <c r="S53" s="311" t="str">
        <f>+IF(JUNIO!S53=0,"",JUNIO!S53)</f>
        <v>2.1.1.01.02.005</v>
      </c>
      <c r="T53" s="312" t="str">
        <f>+IF(JUNIO!T53=0,"",JUNIO!T53)</f>
        <v>Aporte a ARL. - recursos propios</v>
      </c>
      <c r="U53" s="373">
        <f>+ENERO!U53</f>
        <v>159115892.79599997</v>
      </c>
      <c r="V53" s="220">
        <f>JUNIO!V53+JULIO!AL53</f>
        <v>0</v>
      </c>
      <c r="W53" s="220">
        <f>JUNIO!W53+JULIO!AM53</f>
        <v>0</v>
      </c>
      <c r="X53" s="271">
        <f t="shared" si="53"/>
        <v>159115892.79599997</v>
      </c>
      <c r="Y53" s="270">
        <f>JUNIO!AA53</f>
        <v>45317400</v>
      </c>
      <c r="Z53" s="208">
        <v>10677400</v>
      </c>
      <c r="AA53" s="271">
        <f t="shared" si="54"/>
        <v>55994800</v>
      </c>
      <c r="AB53" s="270">
        <f>JUNIO!AD53</f>
        <v>45317400</v>
      </c>
      <c r="AC53" s="208">
        <v>10677400</v>
      </c>
      <c r="AD53" s="271">
        <f t="shared" si="55"/>
        <v>55994800</v>
      </c>
      <c r="AE53" s="270">
        <f>JUNIO!AG53</f>
        <v>45317400</v>
      </c>
      <c r="AF53" s="208">
        <v>10677400</v>
      </c>
      <c r="AG53" s="271">
        <f t="shared" si="56"/>
        <v>55994800</v>
      </c>
      <c r="AH53" s="270">
        <f t="shared" si="57"/>
        <v>103121092.79599997</v>
      </c>
      <c r="AI53" s="220">
        <f t="shared" si="58"/>
        <v>103121092.79599997</v>
      </c>
      <c r="AJ53" s="269">
        <f t="shared" si="59"/>
        <v>103121092.79599997</v>
      </c>
      <c r="AK53" s="101"/>
      <c r="AL53" s="204">
        <v>0</v>
      </c>
      <c r="AM53" s="210">
        <v>0</v>
      </c>
    </row>
    <row r="54" spans="1:39" ht="24.75" customHeight="1">
      <c r="A54" s="286" t="str">
        <f>+IF(JUNIO!A54=0,"",JUNIO!A54)</f>
        <v>1.1.02.05.001.09.02.17</v>
      </c>
      <c r="B54" s="319" t="str">
        <f>+IF(JUNIO!B54=0,"",JUNIO!B54)</f>
        <v>EMPRESAS MEDICINA PREPAGADA</v>
      </c>
      <c r="C54" s="288">
        <f t="shared" ref="C54:N54" si="61">SUM(C55:C56)</f>
        <v>968592.84788797423</v>
      </c>
      <c r="D54" s="320">
        <f t="shared" si="61"/>
        <v>0</v>
      </c>
      <c r="E54" s="320">
        <f t="shared" si="61"/>
        <v>0</v>
      </c>
      <c r="F54" s="320">
        <f t="shared" si="61"/>
        <v>968592.84788797423</v>
      </c>
      <c r="G54" s="320">
        <f t="shared" si="61"/>
        <v>13073443</v>
      </c>
      <c r="H54" s="320">
        <f t="shared" si="61"/>
        <v>0</v>
      </c>
      <c r="I54" s="320">
        <f t="shared" si="61"/>
        <v>13073443</v>
      </c>
      <c r="J54" s="320">
        <f t="shared" si="61"/>
        <v>11142773</v>
      </c>
      <c r="K54" s="1180">
        <f t="shared" si="61"/>
        <v>0</v>
      </c>
      <c r="L54" s="320">
        <f t="shared" si="61"/>
        <v>11142773</v>
      </c>
      <c r="M54" s="320">
        <f t="shared" si="61"/>
        <v>-12104850.152112026</v>
      </c>
      <c r="N54" s="289">
        <f t="shared" si="61"/>
        <v>-10174180.152112026</v>
      </c>
      <c r="O54" s="67"/>
      <c r="P54" s="288">
        <f>SUM(P55:P56)</f>
        <v>0</v>
      </c>
      <c r="Q54" s="289">
        <f>SUM(Q55:Q56)</f>
        <v>0</v>
      </c>
      <c r="R54" s="101"/>
      <c r="S54" s="311" t="str">
        <f>+IF(JUNIO!S54=0,"",JUNIO!S54)</f>
        <v>2.1.1.01.02.004</v>
      </c>
      <c r="T54" s="312" t="str">
        <f>+IF(JUNIO!T54=0,"",JUNIO!T54)</f>
        <v>Aporte a Caja Compensación Familiar</v>
      </c>
      <c r="U54" s="373">
        <f>+ENERO!U54</f>
        <v>261274044</v>
      </c>
      <c r="V54" s="220">
        <f>JUNIO!V54+JULIO!AL54</f>
        <v>0</v>
      </c>
      <c r="W54" s="220">
        <f>JUNIO!W54+JULIO!AM54</f>
        <v>0</v>
      </c>
      <c r="X54" s="271">
        <f t="shared" si="53"/>
        <v>261274044</v>
      </c>
      <c r="Y54" s="270">
        <f>JUNIO!AA54</f>
        <v>108188700</v>
      </c>
      <c r="Z54" s="208">
        <v>32784600</v>
      </c>
      <c r="AA54" s="271">
        <f t="shared" si="54"/>
        <v>140973300</v>
      </c>
      <c r="AB54" s="270">
        <f>JUNIO!AD54</f>
        <v>108188700</v>
      </c>
      <c r="AC54" s="208">
        <v>32784600</v>
      </c>
      <c r="AD54" s="271">
        <f t="shared" si="55"/>
        <v>140973300</v>
      </c>
      <c r="AE54" s="270">
        <f>JUNIO!AG54</f>
        <v>108188700</v>
      </c>
      <c r="AF54" s="208">
        <v>32784600</v>
      </c>
      <c r="AG54" s="271">
        <f t="shared" si="56"/>
        <v>140973300</v>
      </c>
      <c r="AH54" s="270">
        <f t="shared" si="57"/>
        <v>120300744</v>
      </c>
      <c r="AI54" s="220">
        <f t="shared" si="58"/>
        <v>120300744</v>
      </c>
      <c r="AJ54" s="269">
        <f t="shared" si="59"/>
        <v>120300744</v>
      </c>
      <c r="AK54" s="101"/>
      <c r="AL54" s="204">
        <v>0</v>
      </c>
      <c r="AM54" s="210">
        <v>0</v>
      </c>
    </row>
    <row r="55" spans="1:39" ht="24.75" customHeight="1">
      <c r="A55" s="202" t="str">
        <f>+IF(JUNIO!A55=0,"",JUNIO!A55)</f>
        <v>1.1.02.05.001.09.02.17</v>
      </c>
      <c r="B55" s="331" t="str">
        <f>+CONCATENATE("Vigencia ",INSTRUCCIONES!$F$3)</f>
        <v>Vigencia 2025</v>
      </c>
      <c r="C55" s="204">
        <f>+ENERO!C55</f>
        <v>968592.84788797423</v>
      </c>
      <c r="D55" s="205">
        <f>JUNIO!D55+JULIO!P55</f>
        <v>0</v>
      </c>
      <c r="E55" s="205">
        <f>JUNIO!E55+JULIO!Q55</f>
        <v>0</v>
      </c>
      <c r="F55" s="205">
        <f>SUM(C55:E55)</f>
        <v>968592.84788797423</v>
      </c>
      <c r="G55" s="205">
        <f>JUNIO!I55</f>
        <v>2732534</v>
      </c>
      <c r="H55" s="208">
        <v>0</v>
      </c>
      <c r="I55" s="205">
        <f>SUM(G55:H55)</f>
        <v>2732534</v>
      </c>
      <c r="J55" s="205">
        <f>JUNIO!L55</f>
        <v>801864</v>
      </c>
      <c r="K55" s="765">
        <v>0</v>
      </c>
      <c r="L55" s="205">
        <f>SUM(J55:K55)</f>
        <v>801864</v>
      </c>
      <c r="M55" s="205">
        <f>F55-I55</f>
        <v>-1763941.1521120258</v>
      </c>
      <c r="N55" s="206">
        <f>F55-L55</f>
        <v>166728.84788797423</v>
      </c>
      <c r="O55" s="67"/>
      <c r="P55" s="204">
        <v>0</v>
      </c>
      <c r="Q55" s="210">
        <v>0</v>
      </c>
      <c r="R55" s="101"/>
      <c r="S55" s="266" t="str">
        <f>+IF(JUNIO!S55=0,"",JUNIO!S55)</f>
        <v>2.1.1.01.02.003.99</v>
      </c>
      <c r="T55" s="267" t="str">
        <f>+IF(JUNIO!T55=0,"",JUNIO!T55)</f>
        <v>Vigencias Anteriores</v>
      </c>
      <c r="U55" s="373">
        <f>+ENERO!U55</f>
        <v>502141089.6665011</v>
      </c>
      <c r="V55" s="220">
        <f>JUNIO!V55+JULIO!AL55</f>
        <v>30000000</v>
      </c>
      <c r="W55" s="220">
        <f>JUNIO!W55+JULIO!AM55</f>
        <v>0</v>
      </c>
      <c r="X55" s="271">
        <f t="shared" si="53"/>
        <v>532141089.6665011</v>
      </c>
      <c r="Y55" s="270">
        <f>JUNIO!AA55</f>
        <v>524307634</v>
      </c>
      <c r="Z55" s="208">
        <v>0</v>
      </c>
      <c r="AA55" s="271">
        <f t="shared" si="54"/>
        <v>524307634</v>
      </c>
      <c r="AB55" s="270">
        <f>JUNIO!AD55</f>
        <v>524307634</v>
      </c>
      <c r="AC55" s="208">
        <v>0</v>
      </c>
      <c r="AD55" s="271">
        <f t="shared" si="55"/>
        <v>524307634</v>
      </c>
      <c r="AE55" s="270">
        <f>JUNIO!AG55</f>
        <v>524307634</v>
      </c>
      <c r="AF55" s="208">
        <v>0</v>
      </c>
      <c r="AG55" s="271">
        <f t="shared" si="56"/>
        <v>524307634</v>
      </c>
      <c r="AH55" s="270">
        <f t="shared" si="57"/>
        <v>7833455.6665011048</v>
      </c>
      <c r="AI55" s="220">
        <f t="shared" si="58"/>
        <v>7833455.6665011048</v>
      </c>
      <c r="AJ55" s="269">
        <f t="shared" si="59"/>
        <v>7833455.6665011048</v>
      </c>
      <c r="AK55" s="101"/>
      <c r="AL55" s="204">
        <v>0</v>
      </c>
      <c r="AM55" s="210">
        <v>0</v>
      </c>
    </row>
    <row r="56" spans="1:39" ht="24.75" customHeight="1">
      <c r="A56" s="202" t="str">
        <f>+IF(JUNIO!A56=0,"",JUNIO!A56)</f>
        <v>1.1.02.05.001.09.02.17.99</v>
      </c>
      <c r="B56" s="331" t="str">
        <f>+IF(JUNIO!B56=0,"",JUNIO!B56)</f>
        <v>Vigencia Anterior</v>
      </c>
      <c r="C56" s="204">
        <f>+ENERO!C56</f>
        <v>0</v>
      </c>
      <c r="D56" s="205">
        <f>JUNIO!D56+JULIO!P56</f>
        <v>0</v>
      </c>
      <c r="E56" s="205">
        <f>JUNIO!E56+JULIO!Q56</f>
        <v>0</v>
      </c>
      <c r="F56" s="205">
        <f>SUM(C56:E56)</f>
        <v>0</v>
      </c>
      <c r="G56" s="205">
        <f>JUNIO!I56</f>
        <v>10340909</v>
      </c>
      <c r="H56" s="208">
        <v>0</v>
      </c>
      <c r="I56" s="205">
        <f>SUM(G56:H56)</f>
        <v>10340909</v>
      </c>
      <c r="J56" s="205">
        <f>JUNIO!L56</f>
        <v>10340909</v>
      </c>
      <c r="K56" s="765">
        <v>0</v>
      </c>
      <c r="L56" s="205">
        <f>SUM(J56:K56)</f>
        <v>10340909</v>
      </c>
      <c r="M56" s="205">
        <f>F56-I56</f>
        <v>-10340909</v>
      </c>
      <c r="N56" s="206">
        <f>F56-L56</f>
        <v>-10340909</v>
      </c>
      <c r="O56" s="67"/>
      <c r="P56" s="204">
        <v>0</v>
      </c>
      <c r="Q56" s="210">
        <v>0</v>
      </c>
      <c r="R56" s="101"/>
      <c r="S56" s="189">
        <f>+IF(JUNIO!S56=0,"",JUNIO!S56)</f>
        <v>10340904</v>
      </c>
      <c r="T56" s="488" t="str">
        <f>+IF(JUNIO!T56=0,"",JUNIO!T56)</f>
        <v/>
      </c>
      <c r="U56" s="191"/>
      <c r="V56" s="191"/>
      <c r="W56" s="191"/>
      <c r="X56" s="191"/>
      <c r="Y56" s="191"/>
      <c r="Z56" s="191"/>
      <c r="AA56" s="191"/>
      <c r="AB56" s="191"/>
      <c r="AC56" s="191"/>
      <c r="AD56" s="191"/>
      <c r="AE56" s="191"/>
      <c r="AF56" s="191"/>
      <c r="AG56" s="191"/>
      <c r="AH56" s="191"/>
      <c r="AI56" s="191"/>
      <c r="AJ56" s="192"/>
      <c r="AK56" s="216"/>
      <c r="AL56" s="370"/>
      <c r="AM56" s="371"/>
    </row>
    <row r="57" spans="1:39" ht="24.75" customHeight="1">
      <c r="A57" s="286" t="str">
        <f>+IF(JUNIO!A57=0,"",JUNIO!A57)</f>
        <v>1.1.02.05.001.09.02.09</v>
      </c>
      <c r="B57" s="319" t="str">
        <f>+IF(JUNIO!B57=0,"",JUNIO!B57)</f>
        <v>IPS PRIVADAS</v>
      </c>
      <c r="C57" s="288">
        <f t="shared" ref="C57:N57" si="62">SUM(C58:C59)</f>
        <v>8042608</v>
      </c>
      <c r="D57" s="320">
        <f t="shared" si="62"/>
        <v>0</v>
      </c>
      <c r="E57" s="320">
        <f t="shared" si="62"/>
        <v>0</v>
      </c>
      <c r="F57" s="320">
        <f t="shared" si="62"/>
        <v>8042608</v>
      </c>
      <c r="G57" s="320">
        <f t="shared" si="62"/>
        <v>0</v>
      </c>
      <c r="H57" s="320">
        <f t="shared" si="62"/>
        <v>0</v>
      </c>
      <c r="I57" s="320">
        <f t="shared" si="62"/>
        <v>0</v>
      </c>
      <c r="J57" s="320">
        <f t="shared" si="62"/>
        <v>0</v>
      </c>
      <c r="K57" s="1180">
        <f t="shared" si="62"/>
        <v>0</v>
      </c>
      <c r="L57" s="320">
        <f t="shared" si="62"/>
        <v>0</v>
      </c>
      <c r="M57" s="320">
        <f t="shared" si="62"/>
        <v>8042608</v>
      </c>
      <c r="N57" s="289">
        <f t="shared" si="62"/>
        <v>8042608</v>
      </c>
      <c r="O57" s="67"/>
      <c r="P57" s="288">
        <f>SUM(P58:P59)</f>
        <v>0</v>
      </c>
      <c r="Q57" s="289">
        <f>SUM(Q58:Q59)</f>
        <v>0</v>
      </c>
      <c r="R57" s="101"/>
      <c r="S57" s="257">
        <f>+IF(JUNIO!S57=0,"",JUNIO!S57)</f>
        <v>1010400</v>
      </c>
      <c r="T57" s="546" t="str">
        <f>+IF(JUNIO!T57=0,"",JUNIO!T57)</f>
        <v>Contribuciones Inherentes nómina del Sector Publico</v>
      </c>
      <c r="U57" s="230">
        <f t="shared" ref="U57:AJ57" si="63">U58+U61</f>
        <v>326592555</v>
      </c>
      <c r="V57" s="231">
        <f t="shared" si="63"/>
        <v>0</v>
      </c>
      <c r="W57" s="231">
        <f t="shared" si="63"/>
        <v>0</v>
      </c>
      <c r="X57" s="234">
        <f t="shared" si="63"/>
        <v>326592555</v>
      </c>
      <c r="Y57" s="233">
        <f t="shared" si="63"/>
        <v>135260000</v>
      </c>
      <c r="Z57" s="231">
        <f t="shared" si="63"/>
        <v>40995900</v>
      </c>
      <c r="AA57" s="234">
        <f t="shared" si="63"/>
        <v>176255900</v>
      </c>
      <c r="AB57" s="233">
        <f t="shared" si="63"/>
        <v>135260000</v>
      </c>
      <c r="AC57" s="231">
        <f t="shared" si="63"/>
        <v>40995900</v>
      </c>
      <c r="AD57" s="234">
        <f t="shared" si="63"/>
        <v>176255900</v>
      </c>
      <c r="AE57" s="233">
        <f t="shared" si="63"/>
        <v>135260000</v>
      </c>
      <c r="AF57" s="231">
        <f t="shared" si="63"/>
        <v>40995900</v>
      </c>
      <c r="AG57" s="234">
        <f t="shared" si="63"/>
        <v>176255900</v>
      </c>
      <c r="AH57" s="233">
        <f t="shared" si="63"/>
        <v>150336655</v>
      </c>
      <c r="AI57" s="231">
        <f t="shared" si="63"/>
        <v>150336655</v>
      </c>
      <c r="AJ57" s="232">
        <f t="shared" si="63"/>
        <v>150336655</v>
      </c>
      <c r="AK57" s="101"/>
      <c r="AL57" s="233">
        <f>AL58+AL61</f>
        <v>0</v>
      </c>
      <c r="AM57" s="232">
        <f>AM58+AM61</f>
        <v>0</v>
      </c>
    </row>
    <row r="58" spans="1:39" ht="24.75" customHeight="1">
      <c r="A58" s="202" t="str">
        <f>+IF(JUNIO!A58=0,"",JUNIO!A58)</f>
        <v>1.1.02.05.001.09.02.09</v>
      </c>
      <c r="B58" s="331" t="str">
        <f>+CONCATENATE("Vigencia ",INSTRUCCIONES!$F$3)</f>
        <v>Vigencia 2025</v>
      </c>
      <c r="C58" s="204">
        <f>+ENERO!C58</f>
        <v>8042608</v>
      </c>
      <c r="D58" s="205">
        <f>JUNIO!D58+JULIO!P58</f>
        <v>0</v>
      </c>
      <c r="E58" s="205">
        <f>JUNIO!E58+JULIO!Q58</f>
        <v>0</v>
      </c>
      <c r="F58" s="205">
        <f>SUM(C58:E58)</f>
        <v>8042608</v>
      </c>
      <c r="G58" s="205">
        <f>JUNIO!I58</f>
        <v>0</v>
      </c>
      <c r="H58" s="208">
        <v>0</v>
      </c>
      <c r="I58" s="205">
        <f>SUM(G58:H58)</f>
        <v>0</v>
      </c>
      <c r="J58" s="205">
        <f>JUNIO!L58</f>
        <v>0</v>
      </c>
      <c r="K58" s="765">
        <v>0</v>
      </c>
      <c r="L58" s="205">
        <f>SUM(J58:K58)</f>
        <v>0</v>
      </c>
      <c r="M58" s="205">
        <f>F58-I58</f>
        <v>8042608</v>
      </c>
      <c r="N58" s="206">
        <f>F58-L58</f>
        <v>8042608</v>
      </c>
      <c r="O58" s="67"/>
      <c r="P58" s="204">
        <v>0</v>
      </c>
      <c r="Q58" s="210">
        <v>0</v>
      </c>
      <c r="R58" s="101"/>
      <c r="S58" s="266">
        <f>+IF(JUNIO!S58=0,"",JUNIO!S58)</f>
        <v>1010402</v>
      </c>
      <c r="T58" s="267" t="str">
        <f>+IF(JUNIO!T58=0,"",JUNIO!T58)</f>
        <v>Contribuciones - Otros</v>
      </c>
      <c r="U58" s="373">
        <f t="shared" ref="U58:AJ58" si="64">SUM(U59:U60)</f>
        <v>326592555</v>
      </c>
      <c r="V58" s="220">
        <f t="shared" si="64"/>
        <v>0</v>
      </c>
      <c r="W58" s="220">
        <f t="shared" si="64"/>
        <v>0</v>
      </c>
      <c r="X58" s="271">
        <f t="shared" si="64"/>
        <v>326592555</v>
      </c>
      <c r="Y58" s="270">
        <f t="shared" si="64"/>
        <v>135260000</v>
      </c>
      <c r="Z58" s="300">
        <f t="shared" si="64"/>
        <v>40995900</v>
      </c>
      <c r="AA58" s="271">
        <f t="shared" si="64"/>
        <v>176255900</v>
      </c>
      <c r="AB58" s="270">
        <f t="shared" si="64"/>
        <v>135260000</v>
      </c>
      <c r="AC58" s="300">
        <f t="shared" si="64"/>
        <v>40995900</v>
      </c>
      <c r="AD58" s="271">
        <f t="shared" si="64"/>
        <v>176255900</v>
      </c>
      <c r="AE58" s="270">
        <f t="shared" si="64"/>
        <v>135260000</v>
      </c>
      <c r="AF58" s="300">
        <f t="shared" si="64"/>
        <v>40995900</v>
      </c>
      <c r="AG58" s="271">
        <f t="shared" si="64"/>
        <v>176255900</v>
      </c>
      <c r="AH58" s="270">
        <f t="shared" si="64"/>
        <v>150336655</v>
      </c>
      <c r="AI58" s="220">
        <f t="shared" si="64"/>
        <v>150336655</v>
      </c>
      <c r="AJ58" s="269">
        <f t="shared" si="64"/>
        <v>150336655</v>
      </c>
      <c r="AK58" s="101"/>
      <c r="AL58" s="301">
        <f>SUM(AL59:AL60)</f>
        <v>0</v>
      </c>
      <c r="AM58" s="302">
        <f>SUM(AM59:AM60)</f>
        <v>0</v>
      </c>
    </row>
    <row r="59" spans="1:39" ht="24.75" customHeight="1">
      <c r="A59" s="202" t="str">
        <f>+IF(JUNIO!A59=0,"",JUNIO!A59)</f>
        <v>1.1.02.05.001.09.02.09.99</v>
      </c>
      <c r="B59" s="331" t="str">
        <f>+IF(JUNIO!B59=0,"",JUNIO!B59)</f>
        <v>Vigencia Anterior</v>
      </c>
      <c r="C59" s="204">
        <f>+ENERO!C59</f>
        <v>0</v>
      </c>
      <c r="D59" s="205">
        <f>JUNIO!D59+JULIO!P59</f>
        <v>0</v>
      </c>
      <c r="E59" s="205">
        <f>JUNIO!E59+JULIO!Q59</f>
        <v>0</v>
      </c>
      <c r="F59" s="205">
        <f>SUM(C59:E59)</f>
        <v>0</v>
      </c>
      <c r="G59" s="205">
        <f>JUNIO!I59</f>
        <v>0</v>
      </c>
      <c r="H59" s="208"/>
      <c r="I59" s="205">
        <f>SUM(G59:H59)</f>
        <v>0</v>
      </c>
      <c r="J59" s="205">
        <f>JUNIO!L59</f>
        <v>0</v>
      </c>
      <c r="K59" s="765">
        <v>0</v>
      </c>
      <c r="L59" s="205">
        <f>SUM(J59:K59)</f>
        <v>0</v>
      </c>
      <c r="M59" s="205">
        <f>F59-I59</f>
        <v>0</v>
      </c>
      <c r="N59" s="206">
        <f>F59-L59</f>
        <v>0</v>
      </c>
      <c r="O59" s="67"/>
      <c r="P59" s="204">
        <v>0</v>
      </c>
      <c r="Q59" s="210">
        <v>0</v>
      </c>
      <c r="R59" s="101"/>
      <c r="S59" s="311" t="str">
        <f>+IF(JUNIO!S59=0,"",JUNIO!S59)</f>
        <v>2.1.1.01.02.006</v>
      </c>
      <c r="T59" s="267" t="str">
        <f>+IF(JUNIO!T59=0,"",JUNIO!T59)</f>
        <v>I.C.B.F.</v>
      </c>
      <c r="U59" s="373">
        <f>+ENERO!U59</f>
        <v>195955533</v>
      </c>
      <c r="V59" s="220">
        <f>JUNIO!V59+JULIO!AL59</f>
        <v>0</v>
      </c>
      <c r="W59" s="220">
        <f>JUNIO!W59+JULIO!AM59</f>
        <v>0</v>
      </c>
      <c r="X59" s="271">
        <f>SUM(U59:W59)</f>
        <v>195955533</v>
      </c>
      <c r="Y59" s="270">
        <f>JUNIO!AA59</f>
        <v>81144200</v>
      </c>
      <c r="Z59" s="208">
        <v>24598200</v>
      </c>
      <c r="AA59" s="271">
        <f>SUM(Y59:Z59)</f>
        <v>105742400</v>
      </c>
      <c r="AB59" s="270">
        <f>JUNIO!AD59</f>
        <v>81144200</v>
      </c>
      <c r="AC59" s="208">
        <v>24598200</v>
      </c>
      <c r="AD59" s="271">
        <f>SUM(AB59:AC59)</f>
        <v>105742400</v>
      </c>
      <c r="AE59" s="270">
        <f>JUNIO!AG59</f>
        <v>81144200</v>
      </c>
      <c r="AF59" s="208">
        <v>24598200</v>
      </c>
      <c r="AG59" s="271">
        <f>SUM(AE59:AF59)</f>
        <v>105742400</v>
      </c>
      <c r="AH59" s="270">
        <f>X59-AA59</f>
        <v>90213133</v>
      </c>
      <c r="AI59" s="220">
        <f>X59-AD59</f>
        <v>90213133</v>
      </c>
      <c r="AJ59" s="269">
        <f>X59-AG59</f>
        <v>90213133</v>
      </c>
      <c r="AK59" s="101"/>
      <c r="AL59" s="204">
        <v>0</v>
      </c>
      <c r="AM59" s="210">
        <v>0</v>
      </c>
    </row>
    <row r="60" spans="1:39" ht="24.75" customHeight="1">
      <c r="A60" s="286" t="str">
        <f>+IF(JUNIO!A60=0,"",JUNIO!A60)</f>
        <v>1.1.02.05.001.09.02.10</v>
      </c>
      <c r="B60" s="319" t="str">
        <f>+IF(JUNIO!B60=0,"",JUNIO!B60)</f>
        <v>IPS PUBLICAS</v>
      </c>
      <c r="C60" s="288">
        <f t="shared" ref="C60:N60" si="65">SUM(C61:C62)</f>
        <v>46623238</v>
      </c>
      <c r="D60" s="320">
        <f t="shared" si="65"/>
        <v>0</v>
      </c>
      <c r="E60" s="320">
        <f t="shared" si="65"/>
        <v>0</v>
      </c>
      <c r="F60" s="320">
        <f t="shared" si="65"/>
        <v>46623238</v>
      </c>
      <c r="G60" s="320">
        <f t="shared" si="65"/>
        <v>13282077</v>
      </c>
      <c r="H60" s="320">
        <f t="shared" si="65"/>
        <v>6475112</v>
      </c>
      <c r="I60" s="320">
        <f t="shared" si="65"/>
        <v>19757189</v>
      </c>
      <c r="J60" s="320">
        <f t="shared" si="65"/>
        <v>10766242</v>
      </c>
      <c r="K60" s="1180">
        <f t="shared" si="65"/>
        <v>340000</v>
      </c>
      <c r="L60" s="320">
        <f t="shared" si="65"/>
        <v>11106242</v>
      </c>
      <c r="M60" s="320">
        <f t="shared" si="65"/>
        <v>26866049</v>
      </c>
      <c r="N60" s="289">
        <f t="shared" si="65"/>
        <v>35516996</v>
      </c>
      <c r="O60" s="67"/>
      <c r="P60" s="288">
        <f>SUM(P61:P62)</f>
        <v>0</v>
      </c>
      <c r="Q60" s="289">
        <f>SUM(Q61:Q62)</f>
        <v>0</v>
      </c>
      <c r="R60" s="101"/>
      <c r="S60" s="311" t="str">
        <f>+IF(JUNIO!S60=0,"",JUNIO!S60)</f>
        <v>2.1.1.01.02.007</v>
      </c>
      <c r="T60" s="267" t="str">
        <f>+IF(JUNIO!T60=0,"",JUNIO!T60)</f>
        <v>SENA</v>
      </c>
      <c r="U60" s="373">
        <f>+ENERO!U60</f>
        <v>130637022</v>
      </c>
      <c r="V60" s="220">
        <f>JUNIO!V60+JULIO!AL60</f>
        <v>0</v>
      </c>
      <c r="W60" s="220">
        <f>JUNIO!W60+JULIO!AM60</f>
        <v>0</v>
      </c>
      <c r="X60" s="271">
        <f>SUM(U60:W60)</f>
        <v>130637022</v>
      </c>
      <c r="Y60" s="270">
        <f>JUNIO!AA60</f>
        <v>54115800</v>
      </c>
      <c r="Z60" s="208">
        <v>16397700</v>
      </c>
      <c r="AA60" s="271">
        <f>SUM(Y60:Z60)</f>
        <v>70513500</v>
      </c>
      <c r="AB60" s="270">
        <f>JUNIO!AD60</f>
        <v>54115800</v>
      </c>
      <c r="AC60" s="208">
        <v>16397700</v>
      </c>
      <c r="AD60" s="271">
        <f>SUM(AB60:AC60)</f>
        <v>70513500</v>
      </c>
      <c r="AE60" s="270">
        <f>JUNIO!AG60</f>
        <v>54115800</v>
      </c>
      <c r="AF60" s="208">
        <v>16397700</v>
      </c>
      <c r="AG60" s="271">
        <f>SUM(AE60:AF60)</f>
        <v>70513500</v>
      </c>
      <c r="AH60" s="270">
        <f>X60-AA60</f>
        <v>60123522</v>
      </c>
      <c r="AI60" s="220">
        <f>X60-AD60</f>
        <v>60123522</v>
      </c>
      <c r="AJ60" s="269">
        <f>X60-AG60</f>
        <v>60123522</v>
      </c>
      <c r="AK60" s="101"/>
      <c r="AL60" s="204">
        <v>0</v>
      </c>
      <c r="AM60" s="210">
        <v>0</v>
      </c>
    </row>
    <row r="61" spans="1:39" ht="24.75" customHeight="1">
      <c r="A61" s="202" t="str">
        <f>+IF(JUNIO!A61=0,"",JUNIO!A61)</f>
        <v>1.1.02.05.001.09.02.10</v>
      </c>
      <c r="B61" s="331" t="str">
        <f>+CONCATENATE("Vigencia ",INSTRUCCIONES!$F$3)</f>
        <v>Vigencia 2025</v>
      </c>
      <c r="C61" s="204">
        <f>+ENERO!C61</f>
        <v>46623238</v>
      </c>
      <c r="D61" s="205">
        <f>JUNIO!D61+JULIO!P61</f>
        <v>0</v>
      </c>
      <c r="E61" s="205">
        <f>JUNIO!E61+JULIO!Q61</f>
        <v>0</v>
      </c>
      <c r="F61" s="205">
        <f>SUM(C61:E61)</f>
        <v>46623238</v>
      </c>
      <c r="G61" s="205">
        <f>JUNIO!I61</f>
        <v>3479216</v>
      </c>
      <c r="H61" s="208">
        <v>6135112</v>
      </c>
      <c r="I61" s="205">
        <f>SUM(G61:H61)</f>
        <v>9614328</v>
      </c>
      <c r="J61" s="205">
        <f>JUNIO!L61</f>
        <v>963381</v>
      </c>
      <c r="K61" s="765">
        <v>0</v>
      </c>
      <c r="L61" s="205">
        <f>SUM(J61:K61)</f>
        <v>963381</v>
      </c>
      <c r="M61" s="205">
        <f>F61-I61</f>
        <v>37008910</v>
      </c>
      <c r="N61" s="206">
        <f>F61-L61</f>
        <v>45659857</v>
      </c>
      <c r="O61" s="67"/>
      <c r="P61" s="204">
        <v>0</v>
      </c>
      <c r="Q61" s="210">
        <v>0</v>
      </c>
      <c r="R61" s="101"/>
      <c r="S61" s="266">
        <f>+IF(JUNIO!S61=0,"",JUNIO!S61)</f>
        <v>1010499</v>
      </c>
      <c r="T61" s="267" t="str">
        <f>+IF(JUNIO!T61=0,"",JUNIO!T61)</f>
        <v>Vigencias Anteriores</v>
      </c>
      <c r="U61" s="373">
        <f>+ENERO!U61</f>
        <v>0</v>
      </c>
      <c r="V61" s="220">
        <f>JUNIO!V61+JULIO!AL61</f>
        <v>0</v>
      </c>
      <c r="W61" s="220">
        <f>JUNIO!W61+JULIO!AM61</f>
        <v>0</v>
      </c>
      <c r="X61" s="271">
        <f>SUM(U61:W61)</f>
        <v>0</v>
      </c>
      <c r="Y61" s="270">
        <f>JUNIO!AA61</f>
        <v>0</v>
      </c>
      <c r="Z61" s="208">
        <v>0</v>
      </c>
      <c r="AA61" s="271">
        <f>SUM(Y61:Z61)</f>
        <v>0</v>
      </c>
      <c r="AB61" s="270">
        <f>JUNIO!AD61</f>
        <v>0</v>
      </c>
      <c r="AC61" s="208">
        <v>0</v>
      </c>
      <c r="AD61" s="271">
        <f>SUM(AB61:AC61)</f>
        <v>0</v>
      </c>
      <c r="AE61" s="270">
        <f>JUNIO!AG61</f>
        <v>0</v>
      </c>
      <c r="AF61" s="208">
        <v>0</v>
      </c>
      <c r="AG61" s="271">
        <f>SUM(AE61:AF61)</f>
        <v>0</v>
      </c>
      <c r="AH61" s="270">
        <f>X61-AA61</f>
        <v>0</v>
      </c>
      <c r="AI61" s="220">
        <f>X61-AD61</f>
        <v>0</v>
      </c>
      <c r="AJ61" s="269">
        <f>X61-AG61</f>
        <v>0</v>
      </c>
      <c r="AK61" s="101"/>
      <c r="AL61" s="204">
        <v>0</v>
      </c>
      <c r="AM61" s="210">
        <v>0</v>
      </c>
    </row>
    <row r="62" spans="1:39" ht="24.75" customHeight="1">
      <c r="A62" s="202" t="str">
        <f>+IF(JUNIO!A62=0,"",JUNIO!A62)</f>
        <v>1.1.02.05.001.09.02.10.99</v>
      </c>
      <c r="B62" s="331" t="str">
        <f>+IF(JUNIO!B62=0,"",JUNIO!B62)</f>
        <v>Vigencia Anterior</v>
      </c>
      <c r="C62" s="204">
        <f>+ENERO!C62</f>
        <v>0</v>
      </c>
      <c r="D62" s="205">
        <f>JUNIO!D62+JULIO!P62</f>
        <v>0</v>
      </c>
      <c r="E62" s="205">
        <f>JUNIO!E62+JULIO!Q62</f>
        <v>0</v>
      </c>
      <c r="F62" s="205">
        <f>SUM(C62:E62)</f>
        <v>0</v>
      </c>
      <c r="G62" s="205">
        <f>JUNIO!I62</f>
        <v>9802861</v>
      </c>
      <c r="H62" s="208">
        <v>340000</v>
      </c>
      <c r="I62" s="205">
        <f>SUM(G62:H62)</f>
        <v>10142861</v>
      </c>
      <c r="J62" s="205">
        <f>JUNIO!L62</f>
        <v>9802861</v>
      </c>
      <c r="K62" s="765">
        <v>340000</v>
      </c>
      <c r="L62" s="205">
        <f>SUM(J62:K62)</f>
        <v>10142861</v>
      </c>
      <c r="M62" s="205">
        <f>F62-I62</f>
        <v>-10142861</v>
      </c>
      <c r="N62" s="206">
        <f>F62-L62</f>
        <v>-10142861</v>
      </c>
      <c r="O62" s="67"/>
      <c r="P62" s="204">
        <v>0</v>
      </c>
      <c r="Q62" s="210">
        <v>0</v>
      </c>
      <c r="R62" s="101"/>
      <c r="S62" s="189">
        <f>+IF(JUNIO!S62=0,"",JUNIO!S62)</f>
        <v>1174808</v>
      </c>
      <c r="T62" s="488" t="str">
        <f>+IF(JUNIO!T62=0,"",JUNIO!T62)</f>
        <v/>
      </c>
      <c r="U62" s="191"/>
      <c r="V62" s="191"/>
      <c r="W62" s="191"/>
      <c r="X62" s="191"/>
      <c r="Y62" s="191"/>
      <c r="Z62" s="191"/>
      <c r="AA62" s="191"/>
      <c r="AB62" s="191"/>
      <c r="AC62" s="191"/>
      <c r="AD62" s="191"/>
      <c r="AE62" s="191"/>
      <c r="AF62" s="191"/>
      <c r="AG62" s="191"/>
      <c r="AH62" s="191"/>
      <c r="AI62" s="191"/>
      <c r="AJ62" s="192"/>
      <c r="AK62" s="216"/>
      <c r="AL62" s="370"/>
      <c r="AM62" s="371"/>
    </row>
    <row r="63" spans="1:39" ht="24.75" customHeight="1">
      <c r="A63" s="286" t="str">
        <f>+IF(JUNIO!A63=0,"",JUNIO!A63)</f>
        <v>1.1.02.05.001.09.02.90.01</v>
      </c>
      <c r="B63" s="319" t="str">
        <f>+IF(JUNIO!B63=0,"",JUNIO!B63)</f>
        <v>COMPAÑIAS DE SEGUROS  - ACCIDENTES DE TRANSITO (SOAT)</v>
      </c>
      <c r="C63" s="288">
        <f t="shared" ref="C63:N63" si="66">SUM(C64:C65)</f>
        <v>2461795617.04175</v>
      </c>
      <c r="D63" s="320">
        <f t="shared" si="66"/>
        <v>0</v>
      </c>
      <c r="E63" s="320">
        <f t="shared" si="66"/>
        <v>0</v>
      </c>
      <c r="F63" s="320">
        <f t="shared" si="66"/>
        <v>2461795617.04175</v>
      </c>
      <c r="G63" s="320">
        <f t="shared" si="66"/>
        <v>1263267093</v>
      </c>
      <c r="H63" s="320">
        <f t="shared" si="66"/>
        <v>140563455</v>
      </c>
      <c r="I63" s="320">
        <f t="shared" si="66"/>
        <v>1403830548</v>
      </c>
      <c r="J63" s="320">
        <f t="shared" si="66"/>
        <v>711332899</v>
      </c>
      <c r="K63" s="1180">
        <f t="shared" si="66"/>
        <v>57763498</v>
      </c>
      <c r="L63" s="320">
        <f t="shared" si="66"/>
        <v>769096397</v>
      </c>
      <c r="M63" s="320">
        <f t="shared" si="66"/>
        <v>1057965069.0417498</v>
      </c>
      <c r="N63" s="289">
        <f t="shared" si="66"/>
        <v>1692699220.04175</v>
      </c>
      <c r="O63" s="67"/>
      <c r="P63" s="288">
        <f>SUM(P64:P65)</f>
        <v>0</v>
      </c>
      <c r="Q63" s="289">
        <f>SUM(Q64:Q65)</f>
        <v>0</v>
      </c>
      <c r="R63" s="101"/>
      <c r="S63" s="228">
        <f>+IF(JUNIO!S63=0,"",JUNIO!S63)</f>
        <v>1020010</v>
      </c>
      <c r="T63" s="229" t="str">
        <f>+IF(JUNIO!T63=0,"",JUNIO!T63)</f>
        <v>Gastos de Operación</v>
      </c>
      <c r="U63" s="230">
        <f t="shared" ref="U63:AJ63" si="67">U65+U83+U90+U104</f>
        <v>64518803470</v>
      </c>
      <c r="V63" s="231">
        <f t="shared" si="67"/>
        <v>-2523000000</v>
      </c>
      <c r="W63" s="231">
        <f t="shared" si="67"/>
        <v>2928182761</v>
      </c>
      <c r="X63" s="234">
        <f t="shared" si="67"/>
        <v>64923986231</v>
      </c>
      <c r="Y63" s="233">
        <f t="shared" si="67"/>
        <v>47199584721</v>
      </c>
      <c r="Z63" s="231">
        <f t="shared" si="67"/>
        <v>15222943250</v>
      </c>
      <c r="AA63" s="234">
        <f t="shared" si="67"/>
        <v>62422527971</v>
      </c>
      <c r="AB63" s="233">
        <f t="shared" si="67"/>
        <v>41481149874</v>
      </c>
      <c r="AC63" s="231">
        <f t="shared" si="67"/>
        <v>4754627581</v>
      </c>
      <c r="AD63" s="234">
        <f t="shared" si="67"/>
        <v>46235777455</v>
      </c>
      <c r="AE63" s="233">
        <f t="shared" si="67"/>
        <v>27158006544</v>
      </c>
      <c r="AF63" s="231">
        <f t="shared" si="67"/>
        <v>4750265366</v>
      </c>
      <c r="AG63" s="234">
        <f t="shared" si="67"/>
        <v>31908271910</v>
      </c>
      <c r="AH63" s="233">
        <f t="shared" si="67"/>
        <v>2501458260</v>
      </c>
      <c r="AI63" s="231">
        <f t="shared" si="67"/>
        <v>18688208776</v>
      </c>
      <c r="AJ63" s="232">
        <f t="shared" si="67"/>
        <v>33015714321</v>
      </c>
      <c r="AK63" s="101"/>
      <c r="AL63" s="233">
        <f>AL65+AL83+AL90+AL104</f>
        <v>0</v>
      </c>
      <c r="AM63" s="232">
        <f>AM65+AM83+AM90+AM104</f>
        <v>0</v>
      </c>
    </row>
    <row r="64" spans="1:39" ht="24.75" customHeight="1">
      <c r="A64" s="202" t="str">
        <f>+IF(JUNIO!A64=0,"",JUNIO!A64)</f>
        <v>1.1.02.05.001.09.02.90.01</v>
      </c>
      <c r="B64" s="331" t="str">
        <f>+CONCATENATE("Vigencia ",INSTRUCCIONES!$F$3)</f>
        <v>Vigencia 2025</v>
      </c>
      <c r="C64" s="204">
        <f>+ENERO!C64</f>
        <v>2137731076.9417498</v>
      </c>
      <c r="D64" s="205">
        <f>JUNIO!D64+JULIO!P64</f>
        <v>0</v>
      </c>
      <c r="E64" s="205">
        <f>JUNIO!E64+JULIO!Q64</f>
        <v>0</v>
      </c>
      <c r="F64" s="205">
        <f>SUM(C64:E64)</f>
        <v>2137731076.9417498</v>
      </c>
      <c r="G64" s="205">
        <f>JUNIO!I64</f>
        <v>934575360</v>
      </c>
      <c r="H64" s="208">
        <v>140563455</v>
      </c>
      <c r="I64" s="205">
        <f>SUM(G64:H64)</f>
        <v>1075138815</v>
      </c>
      <c r="J64" s="205">
        <f>JUNIO!L64</f>
        <v>382641166</v>
      </c>
      <c r="K64" s="765">
        <v>57763498</v>
      </c>
      <c r="L64" s="205">
        <f>SUM(J64:K64)</f>
        <v>440404664</v>
      </c>
      <c r="M64" s="205">
        <f>F64-I64</f>
        <v>1062592261.9417498</v>
      </c>
      <c r="N64" s="206">
        <f>F64-L64</f>
        <v>1697326412.9417498</v>
      </c>
      <c r="O64" s="67"/>
      <c r="P64" s="204">
        <v>0</v>
      </c>
      <c r="Q64" s="210">
        <v>0</v>
      </c>
      <c r="R64" s="101"/>
      <c r="S64" s="189">
        <f>+IF(JUNIO!S64=0,"",JUNIO!S64)</f>
        <v>2290826</v>
      </c>
      <c r="T64" s="488" t="str">
        <f>+IF(JUNIO!T64=0,"",JUNIO!T64)</f>
        <v/>
      </c>
      <c r="U64" s="191"/>
      <c r="V64" s="191"/>
      <c r="W64" s="191"/>
      <c r="X64" s="191"/>
      <c r="Y64" s="191"/>
      <c r="Z64" s="191"/>
      <c r="AA64" s="191"/>
      <c r="AB64" s="191"/>
      <c r="AC64" s="191"/>
      <c r="AD64" s="191"/>
      <c r="AE64" s="191"/>
      <c r="AF64" s="191"/>
      <c r="AG64" s="191"/>
      <c r="AH64" s="191"/>
      <c r="AI64" s="191"/>
      <c r="AJ64" s="192"/>
      <c r="AK64" s="101"/>
      <c r="AL64" s="249"/>
      <c r="AM64" s="250"/>
    </row>
    <row r="65" spans="1:39" ht="24.75" customHeight="1">
      <c r="A65" s="202" t="str">
        <f>+IF(JUNIO!A65=0,"",JUNIO!A65)</f>
        <v>1.1.02.05.001.09.02.90.01.99</v>
      </c>
      <c r="B65" s="331" t="str">
        <f>+IF(JUNIO!B65=0,"",JUNIO!B65)</f>
        <v>Vigencia Anterior</v>
      </c>
      <c r="C65" s="204">
        <f>+ENERO!C65</f>
        <v>324064540.10000002</v>
      </c>
      <c r="D65" s="205">
        <f>JUNIO!D65+JULIO!P65</f>
        <v>0</v>
      </c>
      <c r="E65" s="205">
        <f>JUNIO!E65+JULIO!Q65</f>
        <v>0</v>
      </c>
      <c r="F65" s="205">
        <f>SUM(C65:E65)</f>
        <v>324064540.10000002</v>
      </c>
      <c r="G65" s="205">
        <f>JUNIO!I65</f>
        <v>328691733</v>
      </c>
      <c r="H65" s="208">
        <v>0</v>
      </c>
      <c r="I65" s="205">
        <f>SUM(G65:H65)</f>
        <v>328691733</v>
      </c>
      <c r="J65" s="205">
        <f>JUNIO!L65</f>
        <v>328691733</v>
      </c>
      <c r="K65" s="765">
        <v>0</v>
      </c>
      <c r="L65" s="205">
        <f>SUM(J65:K65)</f>
        <v>328691733</v>
      </c>
      <c r="M65" s="205">
        <f>F65-I65</f>
        <v>-4627192.8999999762</v>
      </c>
      <c r="N65" s="206">
        <f>F65-L65</f>
        <v>-4627192.8999999762</v>
      </c>
      <c r="O65" s="67"/>
      <c r="P65" s="204">
        <v>0</v>
      </c>
      <c r="Q65" s="210">
        <v>0</v>
      </c>
      <c r="R65" s="101"/>
      <c r="S65" s="257" t="str">
        <f>+IF(JUNIO!S65=0,"",JUNIO!S65)</f>
        <v>2.1.1.01.01-1</v>
      </c>
      <c r="T65" s="546" t="str">
        <f>+IF(JUNIO!T65=0,"",JUNIO!T65)</f>
        <v>Servicios Personales Asociados a Nómina</v>
      </c>
      <c r="U65" s="230">
        <f t="shared" ref="U65:AJ65" si="68">SUM(U66:U69)+U81</f>
        <v>0</v>
      </c>
      <c r="V65" s="231">
        <f t="shared" si="68"/>
        <v>0</v>
      </c>
      <c r="W65" s="231">
        <f t="shared" si="68"/>
        <v>0</v>
      </c>
      <c r="X65" s="234">
        <f t="shared" si="68"/>
        <v>0</v>
      </c>
      <c r="Y65" s="233">
        <f t="shared" si="68"/>
        <v>0</v>
      </c>
      <c r="Z65" s="231">
        <f t="shared" si="68"/>
        <v>0</v>
      </c>
      <c r="AA65" s="234">
        <f t="shared" si="68"/>
        <v>0</v>
      </c>
      <c r="AB65" s="233">
        <f t="shared" si="68"/>
        <v>0</v>
      </c>
      <c r="AC65" s="231">
        <f t="shared" si="68"/>
        <v>0</v>
      </c>
      <c r="AD65" s="234">
        <f t="shared" si="68"/>
        <v>0</v>
      </c>
      <c r="AE65" s="233">
        <f t="shared" si="68"/>
        <v>0</v>
      </c>
      <c r="AF65" s="231">
        <f t="shared" si="68"/>
        <v>0</v>
      </c>
      <c r="AG65" s="234">
        <f t="shared" si="68"/>
        <v>0</v>
      </c>
      <c r="AH65" s="233">
        <f t="shared" si="68"/>
        <v>0</v>
      </c>
      <c r="AI65" s="231">
        <f t="shared" si="68"/>
        <v>0</v>
      </c>
      <c r="AJ65" s="232">
        <f t="shared" si="68"/>
        <v>0</v>
      </c>
      <c r="AK65" s="101"/>
      <c r="AL65" s="233">
        <f>SUM(AL66:AL69)+AL81</f>
        <v>0</v>
      </c>
      <c r="AM65" s="232">
        <f>SUM(AM66:AM69)+AM81</f>
        <v>0</v>
      </c>
    </row>
    <row r="66" spans="1:39" ht="24.75" customHeight="1">
      <c r="A66" s="286" t="str">
        <f>+IF(JUNIO!A66=0,"",JUNIO!A66)</f>
        <v>1.1.02.05.001.09.02.18.01</v>
      </c>
      <c r="B66" s="319" t="str">
        <f>+IF(JUNIO!B66=0,"",JUNIO!B66)</f>
        <v xml:space="preserve">COMPAÑIAS DE SEGUROS  - PLANES DE SALUD </v>
      </c>
      <c r="C66" s="288">
        <f t="shared" ref="C66:N66" si="69">SUM(C67:C68)</f>
        <v>185631948</v>
      </c>
      <c r="D66" s="320">
        <f t="shared" si="69"/>
        <v>0</v>
      </c>
      <c r="E66" s="320">
        <f t="shared" si="69"/>
        <v>0</v>
      </c>
      <c r="F66" s="320">
        <f t="shared" si="69"/>
        <v>185631948</v>
      </c>
      <c r="G66" s="320">
        <f t="shared" si="69"/>
        <v>76460569</v>
      </c>
      <c r="H66" s="320">
        <f t="shared" si="69"/>
        <v>12200392</v>
      </c>
      <c r="I66" s="320">
        <f t="shared" si="69"/>
        <v>88660961</v>
      </c>
      <c r="J66" s="320">
        <f t="shared" si="69"/>
        <v>16245471</v>
      </c>
      <c r="K66" s="1180">
        <f t="shared" si="69"/>
        <v>20155478</v>
      </c>
      <c r="L66" s="320">
        <f t="shared" si="69"/>
        <v>36400949</v>
      </c>
      <c r="M66" s="320">
        <f t="shared" si="69"/>
        <v>96970987</v>
      </c>
      <c r="N66" s="289">
        <f t="shared" si="69"/>
        <v>149230999</v>
      </c>
      <c r="O66" s="67"/>
      <c r="P66" s="288">
        <f>SUM(P67:P68)</f>
        <v>0</v>
      </c>
      <c r="Q66" s="289">
        <f>SUM(Q67:Q68)</f>
        <v>0</v>
      </c>
      <c r="R66" s="101"/>
      <c r="S66" s="266" t="str">
        <f>+IF(JUNIO!S66=0,"",JUNIO!S66)</f>
        <v>2.1.1.01.01.001.01-1</v>
      </c>
      <c r="T66" s="267" t="str">
        <f>+IF(JUNIO!T66=0,"",JUNIO!T66)</f>
        <v>Sueldos del Personal de nómina</v>
      </c>
      <c r="U66" s="373">
        <f>+ENERO!U66</f>
        <v>0</v>
      </c>
      <c r="V66" s="220">
        <f>JUNIO!V66+JULIO!AL66</f>
        <v>0</v>
      </c>
      <c r="W66" s="220">
        <f>JUNIO!W66+JULIO!AM66</f>
        <v>0</v>
      </c>
      <c r="X66" s="271">
        <f>SUM(U66:W66)</f>
        <v>0</v>
      </c>
      <c r="Y66" s="270">
        <f>JUNIO!AA66</f>
        <v>0</v>
      </c>
      <c r="Z66" s="208">
        <v>0</v>
      </c>
      <c r="AA66" s="271">
        <f>SUM(Y66:Z66)</f>
        <v>0</v>
      </c>
      <c r="AB66" s="270">
        <f>JUNIO!AD66</f>
        <v>0</v>
      </c>
      <c r="AC66" s="208">
        <v>0</v>
      </c>
      <c r="AD66" s="271">
        <f>SUM(AB66:AC66)</f>
        <v>0</v>
      </c>
      <c r="AE66" s="270">
        <f>JUNIO!AG66</f>
        <v>0</v>
      </c>
      <c r="AF66" s="208">
        <v>0</v>
      </c>
      <c r="AG66" s="271">
        <f>SUM(AE66:AF66)</f>
        <v>0</v>
      </c>
      <c r="AH66" s="270">
        <f>X66-AA66</f>
        <v>0</v>
      </c>
      <c r="AI66" s="220">
        <f>X66-AD66</f>
        <v>0</v>
      </c>
      <c r="AJ66" s="269">
        <f>X66-AG66</f>
        <v>0</v>
      </c>
      <c r="AK66" s="101"/>
      <c r="AL66" s="204">
        <v>0</v>
      </c>
      <c r="AM66" s="210">
        <v>0</v>
      </c>
    </row>
    <row r="67" spans="1:39" ht="24.75" customHeight="1">
      <c r="A67" s="202" t="str">
        <f>+IF(JUNIO!A67=0,"",JUNIO!A67)</f>
        <v>1.1.02.05.001.09.02.18.01</v>
      </c>
      <c r="B67" s="331" t="str">
        <f>+CONCATENATE("Vigencia ",INSTRUCCIONES!$F$3)</f>
        <v>Vigencia 2025</v>
      </c>
      <c r="C67" s="204">
        <f>+ENERO!C67</f>
        <v>111911928</v>
      </c>
      <c r="D67" s="205">
        <f>JUNIO!D67+JULIO!P67</f>
        <v>0</v>
      </c>
      <c r="E67" s="205">
        <f>JUNIO!E67+JULIO!Q67</f>
        <v>0</v>
      </c>
      <c r="F67" s="205">
        <f>SUM(C67:E67)</f>
        <v>111911928</v>
      </c>
      <c r="G67" s="205">
        <f>JUNIO!I67</f>
        <v>64547724</v>
      </c>
      <c r="H67" s="208">
        <v>12200392</v>
      </c>
      <c r="I67" s="205">
        <f>SUM(G67:H67)</f>
        <v>76748116</v>
      </c>
      <c r="J67" s="205">
        <f>JUNIO!L67</f>
        <v>4332626</v>
      </c>
      <c r="K67" s="765">
        <v>20155478</v>
      </c>
      <c r="L67" s="205">
        <f>SUM(J67:K67)</f>
        <v>24488104</v>
      </c>
      <c r="M67" s="205">
        <f>F67-I67</f>
        <v>35163812</v>
      </c>
      <c r="N67" s="206">
        <f>F67-L67</f>
        <v>87423824</v>
      </c>
      <c r="O67" s="67"/>
      <c r="P67" s="204">
        <v>0</v>
      </c>
      <c r="Q67" s="210">
        <v>0</v>
      </c>
      <c r="R67" s="101"/>
      <c r="S67" s="266" t="str">
        <f>+IF(JUNIO!S67=0,"",JUNIO!S67)</f>
        <v>2.1.1.01.01.001.02-1</v>
      </c>
      <c r="T67" s="267" t="str">
        <f>+IF(JUNIO!T67=0,"",JUNIO!T67)</f>
        <v>Horas Extras,Dominic.,Festivos y Rec. Nocturnos</v>
      </c>
      <c r="U67" s="373">
        <f>+ENERO!U67</f>
        <v>0</v>
      </c>
      <c r="V67" s="220">
        <f>JUNIO!V67+JULIO!AL67</f>
        <v>0</v>
      </c>
      <c r="W67" s="220">
        <f>JUNIO!W67+JULIO!AM67</f>
        <v>0</v>
      </c>
      <c r="X67" s="271">
        <f>SUM(U67:W67)</f>
        <v>0</v>
      </c>
      <c r="Y67" s="270">
        <f>JUNIO!AA67</f>
        <v>0</v>
      </c>
      <c r="Z67" s="208">
        <v>0</v>
      </c>
      <c r="AA67" s="271">
        <f>SUM(Y67:Z67)</f>
        <v>0</v>
      </c>
      <c r="AB67" s="270">
        <f>JUNIO!AD67</f>
        <v>0</v>
      </c>
      <c r="AC67" s="208">
        <v>0</v>
      </c>
      <c r="AD67" s="271">
        <f>SUM(AB67:AC67)</f>
        <v>0</v>
      </c>
      <c r="AE67" s="270">
        <f>JUNIO!AG67</f>
        <v>0</v>
      </c>
      <c r="AF67" s="208">
        <v>0</v>
      </c>
      <c r="AG67" s="271">
        <f>SUM(AE67:AF67)</f>
        <v>0</v>
      </c>
      <c r="AH67" s="270">
        <f>X67-AA67</f>
        <v>0</v>
      </c>
      <c r="AI67" s="220">
        <f>X67-AD67</f>
        <v>0</v>
      </c>
      <c r="AJ67" s="269">
        <f>X67-AG67</f>
        <v>0</v>
      </c>
      <c r="AK67" s="101"/>
      <c r="AL67" s="204">
        <v>0</v>
      </c>
      <c r="AM67" s="210">
        <v>0</v>
      </c>
    </row>
    <row r="68" spans="1:39" ht="24.75" customHeight="1">
      <c r="A68" s="202" t="str">
        <f>+IF(JUNIO!A68=0,"",JUNIO!A68)</f>
        <v>1.1.02.05.001.09.02.18.01.99</v>
      </c>
      <c r="B68" s="331" t="str">
        <f>+IF(JUNIO!B68=0,"",JUNIO!B68)</f>
        <v>Vigencia Anterior</v>
      </c>
      <c r="C68" s="204">
        <f>+ENERO!C68</f>
        <v>73720020</v>
      </c>
      <c r="D68" s="205">
        <f>JUNIO!D68+JULIO!P68</f>
        <v>0</v>
      </c>
      <c r="E68" s="205">
        <f>JUNIO!E68+JULIO!Q68</f>
        <v>0</v>
      </c>
      <c r="F68" s="205">
        <f>SUM(C68:E68)</f>
        <v>73720020</v>
      </c>
      <c r="G68" s="205">
        <f>JUNIO!I68</f>
        <v>11912845</v>
      </c>
      <c r="H68" s="208"/>
      <c r="I68" s="205">
        <f>SUM(G68:H68)</f>
        <v>11912845</v>
      </c>
      <c r="J68" s="205">
        <f>JUNIO!L68</f>
        <v>11912845</v>
      </c>
      <c r="K68" s="765"/>
      <c r="L68" s="205">
        <f>SUM(J68:K68)</f>
        <v>11912845</v>
      </c>
      <c r="M68" s="205">
        <f>F68-I68</f>
        <v>61807175</v>
      </c>
      <c r="N68" s="206">
        <f>F68-L68</f>
        <v>61807175</v>
      </c>
      <c r="O68" s="67"/>
      <c r="P68" s="204">
        <v>0</v>
      </c>
      <c r="Q68" s="210">
        <v>0</v>
      </c>
      <c r="R68" s="101"/>
      <c r="S68" s="266">
        <f>+IF(JUNIO!S68=0,"",JUNIO!S68)</f>
        <v>1010103</v>
      </c>
      <c r="T68" s="267" t="str">
        <f>+IF(JUNIO!T68=0,"",JUNIO!T68)</f>
        <v>Prima Técnica</v>
      </c>
      <c r="U68" s="373">
        <f>+ENERO!U68</f>
        <v>0</v>
      </c>
      <c r="V68" s="220">
        <f>JUNIO!V68+JULIO!AL68</f>
        <v>0</v>
      </c>
      <c r="W68" s="220">
        <f>JUNIO!W68+JULIO!AM68</f>
        <v>0</v>
      </c>
      <c r="X68" s="271">
        <f>SUM(U68:W68)</f>
        <v>0</v>
      </c>
      <c r="Y68" s="270">
        <f>JUNIO!AA68</f>
        <v>0</v>
      </c>
      <c r="Z68" s="208">
        <v>0</v>
      </c>
      <c r="AA68" s="271">
        <f>SUM(Y68:Z68)</f>
        <v>0</v>
      </c>
      <c r="AB68" s="270">
        <f>JUNIO!AD68</f>
        <v>0</v>
      </c>
      <c r="AC68" s="208">
        <v>0</v>
      </c>
      <c r="AD68" s="271">
        <f>SUM(AB68:AC68)</f>
        <v>0</v>
      </c>
      <c r="AE68" s="270">
        <f>JUNIO!AG68</f>
        <v>0</v>
      </c>
      <c r="AF68" s="208">
        <v>0</v>
      </c>
      <c r="AG68" s="271">
        <f>SUM(AE68:AF68)</f>
        <v>0</v>
      </c>
      <c r="AH68" s="270">
        <f>X68-AA68</f>
        <v>0</v>
      </c>
      <c r="AI68" s="220">
        <f>X68-AD68</f>
        <v>0</v>
      </c>
      <c r="AJ68" s="269">
        <f>X68-AG68</f>
        <v>0</v>
      </c>
      <c r="AK68" s="101"/>
      <c r="AL68" s="204">
        <v>0</v>
      </c>
      <c r="AM68" s="210">
        <v>0</v>
      </c>
    </row>
    <row r="69" spans="1:39" ht="24.75" customHeight="1">
      <c r="A69" s="286" t="str">
        <f>+IF(JUNIO!A69=0,"",JUNIO!A69)</f>
        <v>1.1.02.05.001.09.02.90.02</v>
      </c>
      <c r="B69" s="319" t="str">
        <f>+IF(JUNIO!B69=0,"",JUNIO!B69)</f>
        <v>ENTIDADES DE REGIMEN ESPECIAL (Magisterio, Fuerza Pca.)</v>
      </c>
      <c r="C69" s="288">
        <f t="shared" ref="C69:N69" si="70">SUM(C70:C71)</f>
        <v>1378696551</v>
      </c>
      <c r="D69" s="320">
        <f t="shared" si="70"/>
        <v>0</v>
      </c>
      <c r="E69" s="320">
        <f t="shared" si="70"/>
        <v>0</v>
      </c>
      <c r="F69" s="320">
        <f t="shared" si="70"/>
        <v>1378696551</v>
      </c>
      <c r="G69" s="320">
        <f t="shared" si="70"/>
        <v>1709131665</v>
      </c>
      <c r="H69" s="320">
        <f t="shared" si="70"/>
        <v>58248196</v>
      </c>
      <c r="I69" s="320">
        <f t="shared" si="70"/>
        <v>1767379861</v>
      </c>
      <c r="J69" s="320">
        <f t="shared" si="70"/>
        <v>887414759</v>
      </c>
      <c r="K69" s="1180">
        <f t="shared" si="70"/>
        <v>18590458</v>
      </c>
      <c r="L69" s="320">
        <f t="shared" si="70"/>
        <v>906005217</v>
      </c>
      <c r="M69" s="320">
        <f t="shared" si="70"/>
        <v>-388683310</v>
      </c>
      <c r="N69" s="289">
        <f t="shared" si="70"/>
        <v>472691334</v>
      </c>
      <c r="O69" s="67"/>
      <c r="P69" s="288">
        <f>SUM(P70:P71)</f>
        <v>0</v>
      </c>
      <c r="Q69" s="289">
        <f>SUM(Q70:Q71)</f>
        <v>0</v>
      </c>
      <c r="R69" s="101"/>
      <c r="S69" s="266">
        <f>+IF(JUNIO!S69=0,"",JUNIO!S69)</f>
        <v>1010104</v>
      </c>
      <c r="T69" s="267" t="str">
        <f>+IF(JUNIO!T69=0,"",JUNIO!T69)</f>
        <v>Otros</v>
      </c>
      <c r="U69" s="373">
        <f t="shared" ref="U69:AJ69" si="71">SUM(U70:U80)</f>
        <v>0</v>
      </c>
      <c r="V69" s="220">
        <f t="shared" si="71"/>
        <v>0</v>
      </c>
      <c r="W69" s="220">
        <f t="shared" si="71"/>
        <v>0</v>
      </c>
      <c r="X69" s="271">
        <f t="shared" si="71"/>
        <v>0</v>
      </c>
      <c r="Y69" s="270">
        <f t="shared" si="71"/>
        <v>0</v>
      </c>
      <c r="Z69" s="300">
        <f t="shared" si="71"/>
        <v>0</v>
      </c>
      <c r="AA69" s="271">
        <f t="shared" si="71"/>
        <v>0</v>
      </c>
      <c r="AB69" s="270">
        <f t="shared" si="71"/>
        <v>0</v>
      </c>
      <c r="AC69" s="300">
        <f t="shared" si="71"/>
        <v>0</v>
      </c>
      <c r="AD69" s="271">
        <f t="shared" si="71"/>
        <v>0</v>
      </c>
      <c r="AE69" s="270">
        <f t="shared" si="71"/>
        <v>0</v>
      </c>
      <c r="AF69" s="300">
        <f t="shared" si="71"/>
        <v>0</v>
      </c>
      <c r="AG69" s="271">
        <f t="shared" si="71"/>
        <v>0</v>
      </c>
      <c r="AH69" s="270">
        <f t="shared" si="71"/>
        <v>0</v>
      </c>
      <c r="AI69" s="220">
        <f t="shared" si="71"/>
        <v>0</v>
      </c>
      <c r="AJ69" s="269">
        <f t="shared" si="71"/>
        <v>0</v>
      </c>
      <c r="AK69" s="101"/>
      <c r="AL69" s="301">
        <f>SUM(AL70:AL80)</f>
        <v>0</v>
      </c>
      <c r="AM69" s="302">
        <f>SUM(AM70:AM80)</f>
        <v>0</v>
      </c>
    </row>
    <row r="70" spans="1:39" ht="24.75" customHeight="1">
      <c r="A70" s="202" t="str">
        <f>+IF(JUNIO!A70=0,"",JUNIO!A70)</f>
        <v>1.1.02.05.001.09.02.90.02</v>
      </c>
      <c r="B70" s="331" t="str">
        <f>+CONCATENATE("Vigencia ",INSTRUCCIONES!$F$3)</f>
        <v>Vigencia 2025</v>
      </c>
      <c r="C70" s="204">
        <f>+ENERO!C70</f>
        <v>898696551</v>
      </c>
      <c r="D70" s="205">
        <f>JUNIO!D70+JULIO!P70</f>
        <v>0</v>
      </c>
      <c r="E70" s="205">
        <f>JUNIO!E70+JULIO!Q70</f>
        <v>0</v>
      </c>
      <c r="F70" s="205">
        <f>SUM(C70:E70)</f>
        <v>898696551</v>
      </c>
      <c r="G70" s="205">
        <f>JUNIO!I70</f>
        <v>902755035</v>
      </c>
      <c r="H70" s="208">
        <v>39764830</v>
      </c>
      <c r="I70" s="205">
        <f>SUM(G70:H70)</f>
        <v>942519865</v>
      </c>
      <c r="J70" s="205">
        <f>JUNIO!L70</f>
        <v>81038129</v>
      </c>
      <c r="K70" s="765">
        <f>107092</f>
        <v>107092</v>
      </c>
      <c r="L70" s="205">
        <f>SUM(J70:K70)</f>
        <v>81145221</v>
      </c>
      <c r="M70" s="205">
        <f>F70-I70</f>
        <v>-43823314</v>
      </c>
      <c r="N70" s="206">
        <f>F70-L70</f>
        <v>817551330</v>
      </c>
      <c r="O70" s="67"/>
      <c r="P70" s="204">
        <v>0</v>
      </c>
      <c r="Q70" s="210">
        <v>0</v>
      </c>
      <c r="R70" s="101"/>
      <c r="S70" s="311" t="str">
        <f>+IF(JUNIO!S70=0,"",JUNIO!S70)</f>
        <v>2.1.1.01.01.001.08.01-1</v>
      </c>
      <c r="T70" s="312" t="str">
        <f>+IF(JUNIO!T70=0,"",JUNIO!T70)</f>
        <v xml:space="preserve">Prima de Navidad </v>
      </c>
      <c r="U70" s="373">
        <f>+ENERO!U70</f>
        <v>0</v>
      </c>
      <c r="V70" s="220">
        <f>JUNIO!V70+JULIO!AL70</f>
        <v>0</v>
      </c>
      <c r="W70" s="220">
        <f>JUNIO!W70+JULIO!AM70</f>
        <v>0</v>
      </c>
      <c r="X70" s="271">
        <f t="shared" ref="X70:X81" si="72">SUM(U70:W70)</f>
        <v>0</v>
      </c>
      <c r="Y70" s="270">
        <f>JUNIO!AA70</f>
        <v>0</v>
      </c>
      <c r="Z70" s="208">
        <v>0</v>
      </c>
      <c r="AA70" s="271">
        <f t="shared" ref="AA70:AA81" si="73">SUM(Y70:Z70)</f>
        <v>0</v>
      </c>
      <c r="AB70" s="270">
        <f>JUNIO!AD70</f>
        <v>0</v>
      </c>
      <c r="AC70" s="208">
        <v>0</v>
      </c>
      <c r="AD70" s="271">
        <f t="shared" ref="AD70:AD81" si="74">SUM(AB70:AC70)</f>
        <v>0</v>
      </c>
      <c r="AE70" s="270">
        <f>JUNIO!AG70</f>
        <v>0</v>
      </c>
      <c r="AF70" s="208">
        <v>0</v>
      </c>
      <c r="AG70" s="271">
        <f t="shared" ref="AG70:AG81" si="75">SUM(AE70:AF70)</f>
        <v>0</v>
      </c>
      <c r="AH70" s="270">
        <f t="shared" ref="AH70:AH81" si="76">X70-AA70</f>
        <v>0</v>
      </c>
      <c r="AI70" s="220">
        <f t="shared" ref="AI70:AI81" si="77">X70-AD70</f>
        <v>0</v>
      </c>
      <c r="AJ70" s="269">
        <f t="shared" ref="AJ70:AJ81" si="78">X70-AG70</f>
        <v>0</v>
      </c>
      <c r="AK70" s="101"/>
      <c r="AL70" s="204">
        <v>0</v>
      </c>
      <c r="AM70" s="210">
        <v>0</v>
      </c>
    </row>
    <row r="71" spans="1:39" ht="24.75" customHeight="1" thickBot="1">
      <c r="A71" s="202" t="str">
        <f>+IF(JUNIO!A71=0,"",JUNIO!A71)</f>
        <v>1.1.02.05.001.09.02.90.02.99</v>
      </c>
      <c r="B71" s="331" t="str">
        <f>+IF(JUNIO!B71=0,"",JUNIO!B71)</f>
        <v>Vigencia Anterior</v>
      </c>
      <c r="C71" s="204">
        <f>+ENERO!C71</f>
        <v>480000000</v>
      </c>
      <c r="D71" s="205">
        <f>JUNIO!D71+JULIO!P71</f>
        <v>0</v>
      </c>
      <c r="E71" s="205">
        <f>JUNIO!E71+JULIO!Q71</f>
        <v>0</v>
      </c>
      <c r="F71" s="205">
        <f>SUM(C71:E71)</f>
        <v>480000000</v>
      </c>
      <c r="G71" s="205">
        <f>JUNIO!I71</f>
        <v>806376630</v>
      </c>
      <c r="H71" s="246">
        <v>18483366</v>
      </c>
      <c r="I71" s="205">
        <f>SUM(G71:H71)</f>
        <v>824859996</v>
      </c>
      <c r="J71" s="205">
        <f>JUNIO!L71</f>
        <v>806376630</v>
      </c>
      <c r="K71" s="1182">
        <v>18483366</v>
      </c>
      <c r="L71" s="205">
        <f>SUM(J71:K71)</f>
        <v>824859996</v>
      </c>
      <c r="M71" s="205">
        <f>F71-I71</f>
        <v>-344859996</v>
      </c>
      <c r="N71" s="206">
        <f>F71-L71</f>
        <v>-344859996</v>
      </c>
      <c r="O71" s="67"/>
      <c r="P71" s="204">
        <v>0</v>
      </c>
      <c r="Q71" s="210">
        <v>0</v>
      </c>
      <c r="R71" s="101"/>
      <c r="S71" s="311" t="str">
        <f>+IF(JUNIO!S71=0,"",JUNIO!S71)</f>
        <v>2.1.1.01.01.001.08.02-1</v>
      </c>
      <c r="T71" s="312" t="str">
        <f>+IF(JUNIO!T71=0,"",JUNIO!T71)</f>
        <v>Prima de Vacaciones</v>
      </c>
      <c r="U71" s="373">
        <f>+ENERO!U71</f>
        <v>0</v>
      </c>
      <c r="V71" s="220">
        <f>JUNIO!V71+JULIO!AL71</f>
        <v>0</v>
      </c>
      <c r="W71" s="220">
        <f>JUNIO!W71+JULIO!AM71</f>
        <v>0</v>
      </c>
      <c r="X71" s="271">
        <f t="shared" si="72"/>
        <v>0</v>
      </c>
      <c r="Y71" s="270">
        <f>JUNIO!AA71</f>
        <v>0</v>
      </c>
      <c r="Z71" s="208">
        <v>0</v>
      </c>
      <c r="AA71" s="271">
        <f t="shared" si="73"/>
        <v>0</v>
      </c>
      <c r="AB71" s="270">
        <f>JUNIO!AD71</f>
        <v>0</v>
      </c>
      <c r="AC71" s="208">
        <v>0</v>
      </c>
      <c r="AD71" s="271">
        <f t="shared" si="74"/>
        <v>0</v>
      </c>
      <c r="AE71" s="270">
        <f>JUNIO!AG71</f>
        <v>0</v>
      </c>
      <c r="AF71" s="208">
        <v>0</v>
      </c>
      <c r="AG71" s="271">
        <f t="shared" si="75"/>
        <v>0</v>
      </c>
      <c r="AH71" s="270">
        <f t="shared" si="76"/>
        <v>0</v>
      </c>
      <c r="AI71" s="220">
        <f t="shared" si="77"/>
        <v>0</v>
      </c>
      <c r="AJ71" s="269">
        <f t="shared" si="78"/>
        <v>0</v>
      </c>
      <c r="AK71" s="101"/>
      <c r="AL71" s="204">
        <v>0</v>
      </c>
      <c r="AM71" s="210">
        <v>0</v>
      </c>
    </row>
    <row r="72" spans="1:39" ht="24.75" customHeight="1">
      <c r="A72" s="286" t="str">
        <f>+IF(JUNIO!A72=0,"",JUNIO!A72)</f>
        <v>1.1.02.05.001.09.02.06</v>
      </c>
      <c r="B72" s="319" t="str">
        <f>+IF(JUNIO!B72=0,"",JUNIO!B72)</f>
        <v>ADMINISTRADORAS DE RIESGOS LABORALES</v>
      </c>
      <c r="C72" s="288">
        <f t="shared" ref="C72:N72" si="79">SUM(C73:C74)</f>
        <v>374950682</v>
      </c>
      <c r="D72" s="320">
        <f t="shared" si="79"/>
        <v>0</v>
      </c>
      <c r="E72" s="320">
        <f t="shared" si="79"/>
        <v>0</v>
      </c>
      <c r="F72" s="320">
        <f t="shared" si="79"/>
        <v>374950682</v>
      </c>
      <c r="G72" s="320">
        <f t="shared" si="79"/>
        <v>213262574</v>
      </c>
      <c r="H72" s="320">
        <f t="shared" si="79"/>
        <v>34150188</v>
      </c>
      <c r="I72" s="320">
        <f t="shared" si="79"/>
        <v>247412762</v>
      </c>
      <c r="J72" s="320">
        <f t="shared" si="79"/>
        <v>164749461</v>
      </c>
      <c r="K72" s="1180">
        <f t="shared" si="79"/>
        <v>16001352</v>
      </c>
      <c r="L72" s="320">
        <f t="shared" si="79"/>
        <v>180750813</v>
      </c>
      <c r="M72" s="320">
        <f t="shared" si="79"/>
        <v>127537920</v>
      </c>
      <c r="N72" s="289">
        <f t="shared" si="79"/>
        <v>194199869</v>
      </c>
      <c r="O72" s="67"/>
      <c r="P72" s="288">
        <f>SUM(P73:P74)</f>
        <v>0</v>
      </c>
      <c r="Q72" s="289">
        <f>SUM(Q73:Q74)</f>
        <v>0</v>
      </c>
      <c r="R72" s="101"/>
      <c r="S72" s="311" t="str">
        <f>+IF(JUNIO!S72=0,"",JUNIO!S72)</f>
        <v>2.1.1.01.01.001.07-1</v>
      </c>
      <c r="T72" s="312" t="str">
        <f>+IF(JUNIO!T72=0,"",JUNIO!T72)</f>
        <v>Bonificación  por servicios prestados</v>
      </c>
      <c r="U72" s="373">
        <f>+ENERO!U72</f>
        <v>0</v>
      </c>
      <c r="V72" s="220">
        <f>JUNIO!V72+JULIO!AL72</f>
        <v>0</v>
      </c>
      <c r="W72" s="220">
        <f>JUNIO!W72+JULIO!AM72</f>
        <v>0</v>
      </c>
      <c r="X72" s="271">
        <f t="shared" si="72"/>
        <v>0</v>
      </c>
      <c r="Y72" s="270">
        <f>JUNIO!AA72</f>
        <v>0</v>
      </c>
      <c r="Z72" s="208">
        <v>0</v>
      </c>
      <c r="AA72" s="271">
        <f t="shared" si="73"/>
        <v>0</v>
      </c>
      <c r="AB72" s="270">
        <f>JUNIO!AD72</f>
        <v>0</v>
      </c>
      <c r="AC72" s="208">
        <v>0</v>
      </c>
      <c r="AD72" s="271">
        <f t="shared" si="74"/>
        <v>0</v>
      </c>
      <c r="AE72" s="270">
        <f>JUNIO!AG72</f>
        <v>0</v>
      </c>
      <c r="AF72" s="208">
        <v>0</v>
      </c>
      <c r="AG72" s="271">
        <f t="shared" si="75"/>
        <v>0</v>
      </c>
      <c r="AH72" s="270">
        <f t="shared" si="76"/>
        <v>0</v>
      </c>
      <c r="AI72" s="220">
        <f t="shared" si="77"/>
        <v>0</v>
      </c>
      <c r="AJ72" s="269">
        <f t="shared" si="78"/>
        <v>0</v>
      </c>
      <c r="AK72" s="101"/>
      <c r="AL72" s="204">
        <v>0</v>
      </c>
      <c r="AM72" s="210">
        <v>0</v>
      </c>
    </row>
    <row r="73" spans="1:39" ht="24.75" customHeight="1">
      <c r="A73" s="202" t="str">
        <f>+IF(JUNIO!A73=0,"",JUNIO!A73)</f>
        <v>1.1.02.05.001.09.02.06</v>
      </c>
      <c r="B73" s="331" t="str">
        <f>+CONCATENATE("Vigencia ",INSTRUCCIONES!$F$3)</f>
        <v>Vigencia 2025</v>
      </c>
      <c r="C73" s="204">
        <f>+ENERO!C73</f>
        <v>337999834</v>
      </c>
      <c r="D73" s="205">
        <f>JUNIO!D73+JULIO!P73</f>
        <v>0</v>
      </c>
      <c r="E73" s="205">
        <f>JUNIO!E73+JULIO!Q73</f>
        <v>0</v>
      </c>
      <c r="F73" s="205">
        <f>SUM(C73:E73)</f>
        <v>337999834</v>
      </c>
      <c r="G73" s="205">
        <f>JUNIO!I73</f>
        <v>156610182</v>
      </c>
      <c r="H73" s="208">
        <v>34150188</v>
      </c>
      <c r="I73" s="205">
        <f>SUM(G73:H73)</f>
        <v>190760370</v>
      </c>
      <c r="J73" s="205">
        <f>JUNIO!L73</f>
        <v>108097069</v>
      </c>
      <c r="K73" s="765">
        <v>16001352</v>
      </c>
      <c r="L73" s="205">
        <f>SUM(J73:K73)</f>
        <v>124098421</v>
      </c>
      <c r="M73" s="205">
        <f>F73-I73</f>
        <v>147239464</v>
      </c>
      <c r="N73" s="206">
        <f>F73-L73</f>
        <v>213901413</v>
      </c>
      <c r="O73" s="67"/>
      <c r="P73" s="204">
        <v>0</v>
      </c>
      <c r="Q73" s="210">
        <v>0</v>
      </c>
      <c r="R73" s="101"/>
      <c r="S73" s="311" t="str">
        <f>+IF(JUNIO!S73=0,"",JUNIO!S73)</f>
        <v>2.1.1.01.01.001.06-1</v>
      </c>
      <c r="T73" s="312" t="str">
        <f>+IF(JUNIO!T73=0,"",JUNIO!T73)</f>
        <v>Prima de Servicios</v>
      </c>
      <c r="U73" s="373">
        <f>+ENERO!U73</f>
        <v>0</v>
      </c>
      <c r="V73" s="220">
        <f>JUNIO!V73+JULIO!AL73</f>
        <v>0</v>
      </c>
      <c r="W73" s="220">
        <f>JUNIO!W73+JULIO!AM73</f>
        <v>0</v>
      </c>
      <c r="X73" s="271">
        <f t="shared" si="72"/>
        <v>0</v>
      </c>
      <c r="Y73" s="270">
        <f>JUNIO!AA73</f>
        <v>0</v>
      </c>
      <c r="Z73" s="208">
        <v>0</v>
      </c>
      <c r="AA73" s="271">
        <f t="shared" si="73"/>
        <v>0</v>
      </c>
      <c r="AB73" s="270">
        <f>JUNIO!AD73</f>
        <v>0</v>
      </c>
      <c r="AC73" s="208">
        <v>0</v>
      </c>
      <c r="AD73" s="271">
        <f t="shared" si="74"/>
        <v>0</v>
      </c>
      <c r="AE73" s="270">
        <f>JUNIO!AG73</f>
        <v>0</v>
      </c>
      <c r="AF73" s="208">
        <v>0</v>
      </c>
      <c r="AG73" s="271">
        <f t="shared" si="75"/>
        <v>0</v>
      </c>
      <c r="AH73" s="270">
        <f t="shared" si="76"/>
        <v>0</v>
      </c>
      <c r="AI73" s="220">
        <f t="shared" si="77"/>
        <v>0</v>
      </c>
      <c r="AJ73" s="269">
        <f t="shared" si="78"/>
        <v>0</v>
      </c>
      <c r="AK73" s="101"/>
      <c r="AL73" s="204">
        <v>0</v>
      </c>
      <c r="AM73" s="210">
        <v>0</v>
      </c>
    </row>
    <row r="74" spans="1:39" ht="24.75" customHeight="1">
      <c r="A74" s="202" t="str">
        <f>+IF(JUNIO!A74=0,"",JUNIO!A74)</f>
        <v>1.1.02.05.001.09.02.06.99</v>
      </c>
      <c r="B74" s="331" t="str">
        <f>+IF(JUNIO!B74=0,"",JUNIO!B74)</f>
        <v>Vigencia Anterior</v>
      </c>
      <c r="C74" s="204">
        <f>+ENERO!C74</f>
        <v>36950848</v>
      </c>
      <c r="D74" s="205">
        <f>JUNIO!D74+JULIO!P74</f>
        <v>0</v>
      </c>
      <c r="E74" s="205">
        <f>JUNIO!E74+JULIO!Q74</f>
        <v>0</v>
      </c>
      <c r="F74" s="205">
        <f>SUM(C74:E74)</f>
        <v>36950848</v>
      </c>
      <c r="G74" s="205">
        <f>JUNIO!I74</f>
        <v>56652392</v>
      </c>
      <c r="H74" s="208">
        <v>0</v>
      </c>
      <c r="I74" s="205">
        <f>SUM(G74:H74)</f>
        <v>56652392</v>
      </c>
      <c r="J74" s="205">
        <f>JUNIO!L74</f>
        <v>56652392</v>
      </c>
      <c r="K74" s="765">
        <v>0</v>
      </c>
      <c r="L74" s="205">
        <f>SUM(J74:K74)</f>
        <v>56652392</v>
      </c>
      <c r="M74" s="205">
        <f>F74-I74</f>
        <v>-19701544</v>
      </c>
      <c r="N74" s="206">
        <f>F74-L74</f>
        <v>-19701544</v>
      </c>
      <c r="O74" s="67"/>
      <c r="P74" s="204">
        <v>0</v>
      </c>
      <c r="Q74" s="210">
        <v>0</v>
      </c>
      <c r="R74" s="101"/>
      <c r="S74" s="311" t="str">
        <f>+IF(JUNIO!S74=0,"",JUNIO!S74)</f>
        <v>1010104-5</v>
      </c>
      <c r="T74" s="312" t="str">
        <f>+IF(JUNIO!T74=0,"",JUNIO!T74)</f>
        <v>Bonificación Convencional</v>
      </c>
      <c r="U74" s="373">
        <f>+ENERO!U74</f>
        <v>0</v>
      </c>
      <c r="V74" s="220">
        <f>JUNIO!V74+JULIO!AL74</f>
        <v>0</v>
      </c>
      <c r="W74" s="220">
        <f>JUNIO!W74+JULIO!AM74</f>
        <v>0</v>
      </c>
      <c r="X74" s="271">
        <f t="shared" si="72"/>
        <v>0</v>
      </c>
      <c r="Y74" s="270">
        <f>JUNIO!AA74</f>
        <v>0</v>
      </c>
      <c r="Z74" s="208">
        <v>0</v>
      </c>
      <c r="AA74" s="271">
        <f t="shared" si="73"/>
        <v>0</v>
      </c>
      <c r="AB74" s="270">
        <f>JUNIO!AD74</f>
        <v>0</v>
      </c>
      <c r="AC74" s="208">
        <v>0</v>
      </c>
      <c r="AD74" s="271">
        <f t="shared" si="74"/>
        <v>0</v>
      </c>
      <c r="AE74" s="270">
        <f>JUNIO!AG74</f>
        <v>0</v>
      </c>
      <c r="AF74" s="208">
        <v>0</v>
      </c>
      <c r="AG74" s="271">
        <f t="shared" si="75"/>
        <v>0</v>
      </c>
      <c r="AH74" s="270">
        <f t="shared" si="76"/>
        <v>0</v>
      </c>
      <c r="AI74" s="220">
        <f t="shared" si="77"/>
        <v>0</v>
      </c>
      <c r="AJ74" s="269">
        <f t="shared" si="78"/>
        <v>0</v>
      </c>
      <c r="AK74" s="101"/>
      <c r="AL74" s="204">
        <v>0</v>
      </c>
      <c r="AM74" s="210">
        <v>0</v>
      </c>
    </row>
    <row r="75" spans="1:39" ht="24.75" customHeight="1">
      <c r="A75" s="286" t="str">
        <f>+IF(JUNIO!A75=0,"",JUNIO!A75)</f>
        <v>1.1.02.05.001.09.02.07</v>
      </c>
      <c r="B75" s="319" t="str">
        <f>+IF(JUNIO!B75=0,"",JUNIO!B75)</f>
        <v>FUERZAS MILITARES</v>
      </c>
      <c r="C75" s="288">
        <f t="shared" ref="C75:N75" si="80">SUM(C76:C77)</f>
        <v>448721976</v>
      </c>
      <c r="D75" s="320">
        <f t="shared" si="80"/>
        <v>0</v>
      </c>
      <c r="E75" s="320">
        <f t="shared" si="80"/>
        <v>0</v>
      </c>
      <c r="F75" s="320">
        <f t="shared" si="80"/>
        <v>448721976</v>
      </c>
      <c r="G75" s="320">
        <f t="shared" si="80"/>
        <v>111333481</v>
      </c>
      <c r="H75" s="320">
        <f t="shared" si="80"/>
        <v>22488065</v>
      </c>
      <c r="I75" s="320">
        <f t="shared" si="80"/>
        <v>133821546</v>
      </c>
      <c r="J75" s="320">
        <f t="shared" si="80"/>
        <v>21577579</v>
      </c>
      <c r="K75" s="1180">
        <f t="shared" si="80"/>
        <v>0</v>
      </c>
      <c r="L75" s="320">
        <f t="shared" si="80"/>
        <v>21577579</v>
      </c>
      <c r="M75" s="320">
        <f t="shared" si="80"/>
        <v>314900430</v>
      </c>
      <c r="N75" s="289">
        <f t="shared" si="80"/>
        <v>427144397</v>
      </c>
      <c r="O75" s="67"/>
      <c r="P75" s="288">
        <f>SUM(P76:P77)</f>
        <v>0</v>
      </c>
      <c r="Q75" s="289">
        <f>SUM(Q76:Q77)</f>
        <v>0</v>
      </c>
      <c r="R75" s="101"/>
      <c r="S75" s="311" t="str">
        <f>+IF(JUNIO!S75=0,"",JUNIO!S75)</f>
        <v>2.1.1.01.01.001.05-1</v>
      </c>
      <c r="T75" s="312" t="str">
        <f>+IF(JUNIO!T75=0,"",JUNIO!T75)</f>
        <v>Auxilio de Transporte</v>
      </c>
      <c r="U75" s="373">
        <f>+ENERO!U75</f>
        <v>0</v>
      </c>
      <c r="V75" s="220">
        <f>JUNIO!V75+JULIO!AL75</f>
        <v>0</v>
      </c>
      <c r="W75" s="220">
        <f>JUNIO!W75+JULIO!AM75</f>
        <v>0</v>
      </c>
      <c r="X75" s="271">
        <f t="shared" si="72"/>
        <v>0</v>
      </c>
      <c r="Y75" s="270">
        <f>JUNIO!AA75</f>
        <v>0</v>
      </c>
      <c r="Z75" s="208">
        <v>0</v>
      </c>
      <c r="AA75" s="271">
        <f t="shared" si="73"/>
        <v>0</v>
      </c>
      <c r="AB75" s="270">
        <f>JUNIO!AD75</f>
        <v>0</v>
      </c>
      <c r="AC75" s="208">
        <v>0</v>
      </c>
      <c r="AD75" s="271">
        <f t="shared" si="74"/>
        <v>0</v>
      </c>
      <c r="AE75" s="270">
        <f>JUNIO!AG75</f>
        <v>0</v>
      </c>
      <c r="AF75" s="208">
        <v>0</v>
      </c>
      <c r="AG75" s="271">
        <f t="shared" si="75"/>
        <v>0</v>
      </c>
      <c r="AH75" s="270">
        <f t="shared" si="76"/>
        <v>0</v>
      </c>
      <c r="AI75" s="220">
        <f t="shared" si="77"/>
        <v>0</v>
      </c>
      <c r="AJ75" s="269">
        <f t="shared" si="78"/>
        <v>0</v>
      </c>
      <c r="AK75" s="101"/>
      <c r="AL75" s="204">
        <v>0</v>
      </c>
      <c r="AM75" s="210">
        <v>0</v>
      </c>
    </row>
    <row r="76" spans="1:39" ht="24.75" customHeight="1">
      <c r="A76" s="202" t="str">
        <f>+IF(JUNIO!A76=0,"",JUNIO!A76)</f>
        <v>1.1.02.05.001.09.02.07</v>
      </c>
      <c r="B76" s="331" t="str">
        <f>+CONCATENATE("Vigencia ",INSTRUCCIONES!$F$3)</f>
        <v>Vigencia 2025</v>
      </c>
      <c r="C76" s="204">
        <f>+ENERO!C76</f>
        <v>341067989</v>
      </c>
      <c r="D76" s="205">
        <f>JUNIO!D76+JULIO!P76</f>
        <v>0</v>
      </c>
      <c r="E76" s="205">
        <f>JUNIO!E76+JULIO!Q76</f>
        <v>0</v>
      </c>
      <c r="F76" s="205">
        <f>SUM(C76:E76)</f>
        <v>341067989</v>
      </c>
      <c r="G76" s="205">
        <f>JUNIO!I76</f>
        <v>89928202</v>
      </c>
      <c r="H76" s="208">
        <v>22488065</v>
      </c>
      <c r="I76" s="205">
        <f>SUM(G76:H76)</f>
        <v>112416267</v>
      </c>
      <c r="J76" s="205">
        <f>JUNIO!L76</f>
        <v>172300</v>
      </c>
      <c r="K76" s="765">
        <v>0</v>
      </c>
      <c r="L76" s="205">
        <f>SUM(J76:K76)</f>
        <v>172300</v>
      </c>
      <c r="M76" s="205">
        <f>F76-I76</f>
        <v>228651722</v>
      </c>
      <c r="N76" s="206">
        <f>F76-L76</f>
        <v>340895689</v>
      </c>
      <c r="O76" s="67"/>
      <c r="P76" s="204">
        <v>0</v>
      </c>
      <c r="Q76" s="210">
        <v>0</v>
      </c>
      <c r="R76" s="101"/>
      <c r="S76" s="311" t="str">
        <f>+IF(JUNIO!S76=0,"",JUNIO!S76)</f>
        <v>2.1.1.01.01.001.04-1</v>
      </c>
      <c r="T76" s="312" t="str">
        <f>+IF(JUNIO!T76=0,"",JUNIO!T76)</f>
        <v>Auxilio de Alimentación</v>
      </c>
      <c r="U76" s="373">
        <f>+ENERO!U76</f>
        <v>0</v>
      </c>
      <c r="V76" s="220">
        <f>JUNIO!V76+JULIO!AL76</f>
        <v>0</v>
      </c>
      <c r="W76" s="220">
        <f>JUNIO!W76+JULIO!AM76</f>
        <v>0</v>
      </c>
      <c r="X76" s="271">
        <f t="shared" si="72"/>
        <v>0</v>
      </c>
      <c r="Y76" s="270">
        <f>JUNIO!AA76</f>
        <v>0</v>
      </c>
      <c r="Z76" s="208">
        <v>0</v>
      </c>
      <c r="AA76" s="271">
        <f t="shared" si="73"/>
        <v>0</v>
      </c>
      <c r="AB76" s="270">
        <f>JUNIO!AD76</f>
        <v>0</v>
      </c>
      <c r="AC76" s="208">
        <v>0</v>
      </c>
      <c r="AD76" s="271">
        <f t="shared" si="74"/>
        <v>0</v>
      </c>
      <c r="AE76" s="270">
        <f>JUNIO!AG76</f>
        <v>0</v>
      </c>
      <c r="AF76" s="208">
        <v>0</v>
      </c>
      <c r="AG76" s="271">
        <f t="shared" si="75"/>
        <v>0</v>
      </c>
      <c r="AH76" s="270">
        <f t="shared" si="76"/>
        <v>0</v>
      </c>
      <c r="AI76" s="220">
        <f t="shared" si="77"/>
        <v>0</v>
      </c>
      <c r="AJ76" s="269">
        <f t="shared" si="78"/>
        <v>0</v>
      </c>
      <c r="AK76" s="101"/>
      <c r="AL76" s="204">
        <v>0</v>
      </c>
      <c r="AM76" s="210">
        <v>0</v>
      </c>
    </row>
    <row r="77" spans="1:39" ht="24.75" customHeight="1">
      <c r="A77" s="202" t="str">
        <f>+IF(JUNIO!A77=0,"",JUNIO!A77)</f>
        <v>1.1.02.05.001.09.02.07.99</v>
      </c>
      <c r="B77" s="331" t="str">
        <f>+IF(JUNIO!B77=0,"",JUNIO!B77)</f>
        <v>Vigencia Anterior</v>
      </c>
      <c r="C77" s="204">
        <f>+ENERO!C77</f>
        <v>107653987</v>
      </c>
      <c r="D77" s="205">
        <f>JUNIO!D77+JULIO!P77</f>
        <v>0</v>
      </c>
      <c r="E77" s="205">
        <f>JUNIO!E77+JULIO!Q77</f>
        <v>0</v>
      </c>
      <c r="F77" s="205">
        <f>SUM(C77:E77)</f>
        <v>107653987</v>
      </c>
      <c r="G77" s="205">
        <f>JUNIO!I77</f>
        <v>21405279</v>
      </c>
      <c r="H77" s="208">
        <v>0</v>
      </c>
      <c r="I77" s="205">
        <f>SUM(G77:H77)</f>
        <v>21405279</v>
      </c>
      <c r="J77" s="205">
        <f>JUNIO!L77</f>
        <v>21405279</v>
      </c>
      <c r="K77" s="765">
        <v>0</v>
      </c>
      <c r="L77" s="205">
        <f>SUM(J77:K77)</f>
        <v>21405279</v>
      </c>
      <c r="M77" s="205">
        <f>F77-I77</f>
        <v>86248708</v>
      </c>
      <c r="N77" s="206">
        <f>F77-L77</f>
        <v>86248708</v>
      </c>
      <c r="O77" s="67"/>
      <c r="P77" s="204">
        <v>0</v>
      </c>
      <c r="Q77" s="210">
        <v>0</v>
      </c>
      <c r="R77" s="101"/>
      <c r="S77" s="311" t="str">
        <f>+IF(JUNIO!S77=0,"",JUNIO!S77)</f>
        <v>1010104-8</v>
      </c>
      <c r="T77" s="312" t="str">
        <f>+IF(JUNIO!T77=0,"",JUNIO!T77)</f>
        <v>Indemnizaciones por Vacaciones o Supresión de Cargos por Reestructuración</v>
      </c>
      <c r="U77" s="373">
        <f>+ENERO!U77</f>
        <v>0</v>
      </c>
      <c r="V77" s="220">
        <f>JUNIO!V77+JULIO!AL77</f>
        <v>0</v>
      </c>
      <c r="W77" s="220">
        <f>JUNIO!W77+JULIO!AM77</f>
        <v>0</v>
      </c>
      <c r="X77" s="271">
        <f t="shared" si="72"/>
        <v>0</v>
      </c>
      <c r="Y77" s="270">
        <f>JUNIO!AA77</f>
        <v>0</v>
      </c>
      <c r="Z77" s="208">
        <v>0</v>
      </c>
      <c r="AA77" s="271">
        <f t="shared" si="73"/>
        <v>0</v>
      </c>
      <c r="AB77" s="270">
        <f>JUNIO!AD77</f>
        <v>0</v>
      </c>
      <c r="AC77" s="208">
        <v>0</v>
      </c>
      <c r="AD77" s="271">
        <f t="shared" si="74"/>
        <v>0</v>
      </c>
      <c r="AE77" s="270">
        <f>JUNIO!AG77</f>
        <v>0</v>
      </c>
      <c r="AF77" s="208">
        <v>0</v>
      </c>
      <c r="AG77" s="271">
        <f t="shared" si="75"/>
        <v>0</v>
      </c>
      <c r="AH77" s="270">
        <f t="shared" si="76"/>
        <v>0</v>
      </c>
      <c r="AI77" s="220">
        <f t="shared" si="77"/>
        <v>0</v>
      </c>
      <c r="AJ77" s="269">
        <f t="shared" si="78"/>
        <v>0</v>
      </c>
      <c r="AK77" s="101"/>
      <c r="AL77" s="204">
        <v>0</v>
      </c>
      <c r="AM77" s="210">
        <v>0</v>
      </c>
    </row>
    <row r="78" spans="1:39" ht="24.75" customHeight="1">
      <c r="A78" s="286" t="str">
        <f>+IF(JUNIO!A78=0,"",JUNIO!A78)</f>
        <v>1.1.02.05.001.09.02.13-1</v>
      </c>
      <c r="B78" s="319" t="str">
        <f>+IF(JUNIO!B78=0,"",JUNIO!B78)</f>
        <v>PARTICULARES   (Venta de Contado)</v>
      </c>
      <c r="C78" s="288">
        <f>SUM(C79:C80)</f>
        <v>681131551</v>
      </c>
      <c r="D78" s="320">
        <f>SUM(D79:D80)</f>
        <v>0</v>
      </c>
      <c r="E78" s="320">
        <f>SUM(E79:E80)</f>
        <v>0</v>
      </c>
      <c r="F78" s="320">
        <f>SUM(C78:E78)</f>
        <v>681131551</v>
      </c>
      <c r="G78" s="320">
        <f>SUM(G79:G80)</f>
        <v>209158300</v>
      </c>
      <c r="H78" s="320">
        <f>SUM(H79:H80)</f>
        <v>22544439</v>
      </c>
      <c r="I78" s="320">
        <f>SUM(G78:H78)</f>
        <v>231702739</v>
      </c>
      <c r="J78" s="320">
        <f>SUM(J79:J80)</f>
        <v>54911050</v>
      </c>
      <c r="K78" s="1180">
        <f>SUM(K79:K80)</f>
        <v>14826297</v>
      </c>
      <c r="L78" s="320">
        <f>SUM(J78:K78)</f>
        <v>69737347</v>
      </c>
      <c r="M78" s="320">
        <f>F78-I78</f>
        <v>449428812</v>
      </c>
      <c r="N78" s="289">
        <f>F78-L78</f>
        <v>611394204</v>
      </c>
      <c r="O78" s="67"/>
      <c r="P78" s="288">
        <f>SUM(P79:P80)</f>
        <v>0</v>
      </c>
      <c r="Q78" s="289">
        <f>SUM(Q79:Q80)</f>
        <v>0</v>
      </c>
      <c r="R78" s="101"/>
      <c r="S78" s="311" t="str">
        <f>+IF(JUNIO!S78=0,"",JUNIO!S78)</f>
        <v>1010104-9</v>
      </c>
      <c r="T78" s="312" t="str">
        <f>+IF(JUNIO!T78=0,"",JUNIO!T78)</f>
        <v/>
      </c>
      <c r="U78" s="373">
        <f>+ENERO!U78</f>
        <v>0</v>
      </c>
      <c r="V78" s="220">
        <f>JUNIO!V78+JULIO!AL78</f>
        <v>0</v>
      </c>
      <c r="W78" s="220">
        <f>JUNIO!W78+JULIO!AM78</f>
        <v>0</v>
      </c>
      <c r="X78" s="271">
        <f t="shared" si="72"/>
        <v>0</v>
      </c>
      <c r="Y78" s="270">
        <f>JUNIO!AA78</f>
        <v>0</v>
      </c>
      <c r="Z78" s="208">
        <v>0</v>
      </c>
      <c r="AA78" s="271">
        <f t="shared" si="73"/>
        <v>0</v>
      </c>
      <c r="AB78" s="270">
        <f>JUNIO!AD78</f>
        <v>0</v>
      </c>
      <c r="AC78" s="208">
        <v>0</v>
      </c>
      <c r="AD78" s="271">
        <f t="shared" si="74"/>
        <v>0</v>
      </c>
      <c r="AE78" s="270">
        <f>JUNIO!AG78</f>
        <v>0</v>
      </c>
      <c r="AF78" s="208">
        <v>0</v>
      </c>
      <c r="AG78" s="271">
        <f t="shared" si="75"/>
        <v>0</v>
      </c>
      <c r="AH78" s="270">
        <f t="shared" si="76"/>
        <v>0</v>
      </c>
      <c r="AI78" s="220">
        <f t="shared" si="77"/>
        <v>0</v>
      </c>
      <c r="AJ78" s="269">
        <f t="shared" si="78"/>
        <v>0</v>
      </c>
      <c r="AK78" s="101"/>
      <c r="AL78" s="204">
        <v>0</v>
      </c>
      <c r="AM78" s="210">
        <v>0</v>
      </c>
    </row>
    <row r="79" spans="1:39" ht="24.75" customHeight="1">
      <c r="A79" s="202" t="str">
        <f>+IF(JUNIO!A79=0,"",JUNIO!A79)</f>
        <v>1.1.02.05.001.09.02.13-1</v>
      </c>
      <c r="B79" s="331" t="str">
        <f>+CONCATENATE("Vigencia ",INSTRUCCIONES!$F$3)</f>
        <v>Vigencia 2025</v>
      </c>
      <c r="C79" s="204">
        <f>+ENERO!C79</f>
        <v>531131551</v>
      </c>
      <c r="D79" s="205">
        <f>JUNIO!D79+JULIO!P79</f>
        <v>0</v>
      </c>
      <c r="E79" s="205">
        <f>JUNIO!E79+JULIO!Q79</f>
        <v>0</v>
      </c>
      <c r="F79" s="205">
        <f>SUM(C79:E79)</f>
        <v>531131551</v>
      </c>
      <c r="G79" s="205">
        <f>JUNIO!I79</f>
        <v>193738700</v>
      </c>
      <c r="H79" s="208">
        <f>18102900+1461939</f>
        <v>19564839</v>
      </c>
      <c r="I79" s="205">
        <f>SUM(G79:H79)</f>
        <v>213303539</v>
      </c>
      <c r="J79" s="205">
        <f>JUNIO!L79</f>
        <v>39491450</v>
      </c>
      <c r="K79" s="765">
        <v>11846697</v>
      </c>
      <c r="L79" s="205">
        <f>SUM(J79:K79)</f>
        <v>51338147</v>
      </c>
      <c r="M79" s="205">
        <f>F79-I79</f>
        <v>317828012</v>
      </c>
      <c r="N79" s="206">
        <f>F79-L79</f>
        <v>479793404</v>
      </c>
      <c r="O79" s="67"/>
      <c r="P79" s="204">
        <v>0</v>
      </c>
      <c r="Q79" s="210">
        <v>0</v>
      </c>
      <c r="R79" s="101"/>
      <c r="S79" s="311" t="str">
        <f>+IF(JUNIO!S79=0,"",JUNIO!S79)</f>
        <v>2.1.1.01.03.001.03-1</v>
      </c>
      <c r="T79" s="312" t="str">
        <f>+IF(JUNIO!T79=0,"",JUNIO!T79)</f>
        <v>Bonificación Especial por Recreación</v>
      </c>
      <c r="U79" s="373">
        <f>+ENERO!U79</f>
        <v>0</v>
      </c>
      <c r="V79" s="220">
        <f>JUNIO!V79+JULIO!AL79</f>
        <v>0</v>
      </c>
      <c r="W79" s="220">
        <f>JUNIO!W79+JULIO!AM79</f>
        <v>0</v>
      </c>
      <c r="X79" s="271">
        <f t="shared" si="72"/>
        <v>0</v>
      </c>
      <c r="Y79" s="270">
        <f>JUNIO!AA79</f>
        <v>0</v>
      </c>
      <c r="Z79" s="208">
        <v>0</v>
      </c>
      <c r="AA79" s="271">
        <f t="shared" si="73"/>
        <v>0</v>
      </c>
      <c r="AB79" s="270">
        <f>JUNIO!AD79</f>
        <v>0</v>
      </c>
      <c r="AC79" s="208">
        <v>0</v>
      </c>
      <c r="AD79" s="271">
        <f t="shared" si="74"/>
        <v>0</v>
      </c>
      <c r="AE79" s="270">
        <f>JUNIO!AG79</f>
        <v>0</v>
      </c>
      <c r="AF79" s="208">
        <v>0</v>
      </c>
      <c r="AG79" s="271">
        <f t="shared" si="75"/>
        <v>0</v>
      </c>
      <c r="AH79" s="270">
        <f t="shared" si="76"/>
        <v>0</v>
      </c>
      <c r="AI79" s="220">
        <f t="shared" si="77"/>
        <v>0</v>
      </c>
      <c r="AJ79" s="269">
        <f t="shared" si="78"/>
        <v>0</v>
      </c>
      <c r="AK79" s="101"/>
      <c r="AL79" s="204">
        <v>0</v>
      </c>
      <c r="AM79" s="210">
        <v>0</v>
      </c>
    </row>
    <row r="80" spans="1:39" ht="24.75" customHeight="1">
      <c r="A80" s="202" t="str">
        <f>+IF(JUNIO!A80=0,"",JUNIO!A80)</f>
        <v>1.1.02.05.001.09.02.13.99-1</v>
      </c>
      <c r="B80" s="331" t="str">
        <f>+IF(JUNIO!B80=0,"",JUNIO!B80)</f>
        <v>Vigencia Anterior</v>
      </c>
      <c r="C80" s="204">
        <f>+ENERO!C80</f>
        <v>150000000</v>
      </c>
      <c r="D80" s="205">
        <f>JUNIO!D80+JULIO!P80</f>
        <v>0</v>
      </c>
      <c r="E80" s="205">
        <f>JUNIO!E80+JULIO!Q80</f>
        <v>0</v>
      </c>
      <c r="F80" s="205">
        <f>SUM(C80:E80)</f>
        <v>150000000</v>
      </c>
      <c r="G80" s="205">
        <f>JUNIO!I80</f>
        <v>15419600</v>
      </c>
      <c r="H80" s="208">
        <v>2979600</v>
      </c>
      <c r="I80" s="205">
        <f>SUM(G80:H80)</f>
        <v>18399200</v>
      </c>
      <c r="J80" s="205">
        <f>JUNIO!L80</f>
        <v>15419600</v>
      </c>
      <c r="K80" s="765">
        <v>2979600</v>
      </c>
      <c r="L80" s="205">
        <f>SUM(J80:K80)</f>
        <v>18399200</v>
      </c>
      <c r="M80" s="205">
        <f>F80-I80</f>
        <v>131600800</v>
      </c>
      <c r="N80" s="206">
        <f>F80-L80</f>
        <v>131600800</v>
      </c>
      <c r="O80" s="67"/>
      <c r="P80" s="204">
        <v>0</v>
      </c>
      <c r="Q80" s="210">
        <v>0</v>
      </c>
      <c r="R80" s="101"/>
      <c r="S80" s="311" t="str">
        <f>+IF(JUNIO!S80=0,"",JUNIO!S80)</f>
        <v>2.1.1.01.03.001.01-1</v>
      </c>
      <c r="T80" s="312" t="str">
        <f>+IF(JUNIO!T80=0,"",JUNIO!T80)</f>
        <v>Vacaciones</v>
      </c>
      <c r="U80" s="373">
        <f>+ENERO!U80</f>
        <v>0</v>
      </c>
      <c r="V80" s="220">
        <f>JUNIO!V80+JULIO!AL80</f>
        <v>0</v>
      </c>
      <c r="W80" s="220">
        <f>JUNIO!W80+JULIO!AM80</f>
        <v>0</v>
      </c>
      <c r="X80" s="271">
        <f t="shared" si="72"/>
        <v>0</v>
      </c>
      <c r="Y80" s="270">
        <f>JUNIO!AA80</f>
        <v>0</v>
      </c>
      <c r="Z80" s="208">
        <v>0</v>
      </c>
      <c r="AA80" s="271">
        <f t="shared" si="73"/>
        <v>0</v>
      </c>
      <c r="AB80" s="270">
        <f>JUNIO!AD80</f>
        <v>0</v>
      </c>
      <c r="AC80" s="208">
        <v>0</v>
      </c>
      <c r="AD80" s="271">
        <f t="shared" si="74"/>
        <v>0</v>
      </c>
      <c r="AE80" s="270">
        <f>JUNIO!AG80</f>
        <v>0</v>
      </c>
      <c r="AF80" s="208">
        <v>0</v>
      </c>
      <c r="AG80" s="271">
        <f t="shared" si="75"/>
        <v>0</v>
      </c>
      <c r="AH80" s="270">
        <f t="shared" si="76"/>
        <v>0</v>
      </c>
      <c r="AI80" s="220">
        <f t="shared" si="77"/>
        <v>0</v>
      </c>
      <c r="AJ80" s="269">
        <f t="shared" si="78"/>
        <v>0</v>
      </c>
      <c r="AK80" s="101"/>
      <c r="AL80" s="204">
        <v>0</v>
      </c>
      <c r="AM80" s="210">
        <v>0</v>
      </c>
    </row>
    <row r="81" spans="1:39" ht="24.75" customHeight="1">
      <c r="A81" s="286" t="str">
        <f>+IF(JUNIO!A81=0,"",JUNIO!A81)</f>
        <v>1.1.02.05.001.09.02.08</v>
      </c>
      <c r="B81" s="319" t="str">
        <f>+IF(JUNIO!B81=0,"",JUNIO!B81)</f>
        <v>POLICIA NACIONAL</v>
      </c>
      <c r="C81" s="288">
        <f>ENERO!C81</f>
        <v>386698320</v>
      </c>
      <c r="D81" s="320">
        <f t="shared" ref="D81:N81" si="81">SUM(D82:D83)</f>
        <v>0</v>
      </c>
      <c r="E81" s="320">
        <f t="shared" si="81"/>
        <v>0</v>
      </c>
      <c r="F81" s="320">
        <f t="shared" si="81"/>
        <v>386698320</v>
      </c>
      <c r="G81" s="320">
        <f t="shared" si="81"/>
        <v>186319364</v>
      </c>
      <c r="H81" s="320">
        <f t="shared" si="81"/>
        <v>4466927</v>
      </c>
      <c r="I81" s="320">
        <f t="shared" si="81"/>
        <v>190786291</v>
      </c>
      <c r="J81" s="320">
        <f t="shared" si="81"/>
        <v>126942254</v>
      </c>
      <c r="K81" s="1180">
        <f t="shared" si="81"/>
        <v>23176331</v>
      </c>
      <c r="L81" s="320">
        <f t="shared" si="81"/>
        <v>150118585</v>
      </c>
      <c r="M81" s="320">
        <f t="shared" si="81"/>
        <v>195912029</v>
      </c>
      <c r="N81" s="289">
        <f t="shared" si="81"/>
        <v>236579735</v>
      </c>
      <c r="O81" s="67"/>
      <c r="P81" s="288">
        <f>SUM(P82:P83)</f>
        <v>0</v>
      </c>
      <c r="Q81" s="289">
        <f>SUM(Q82:Q83)</f>
        <v>0</v>
      </c>
      <c r="R81" s="101"/>
      <c r="S81" s="266" t="str">
        <f>+IF(JUNIO!S81=0,"",JUNIO!S81)</f>
        <v>2.1.2.02.02.009.902.99</v>
      </c>
      <c r="T81" s="267" t="str">
        <f>+IF(JUNIO!T81=0,"",JUNIO!T81)</f>
        <v>Vigencias Anteriores</v>
      </c>
      <c r="U81" s="373">
        <f>+ENERO!U81</f>
        <v>0</v>
      </c>
      <c r="V81" s="220">
        <f>JUNIO!V81+JULIO!AL81</f>
        <v>0</v>
      </c>
      <c r="W81" s="220">
        <f>JUNIO!W81+JULIO!AM81</f>
        <v>0</v>
      </c>
      <c r="X81" s="271">
        <f t="shared" si="72"/>
        <v>0</v>
      </c>
      <c r="Y81" s="270">
        <f>JUNIO!AA81</f>
        <v>0</v>
      </c>
      <c r="Z81" s="208">
        <v>0</v>
      </c>
      <c r="AA81" s="271">
        <f t="shared" si="73"/>
        <v>0</v>
      </c>
      <c r="AB81" s="270">
        <f>JUNIO!AD81</f>
        <v>0</v>
      </c>
      <c r="AC81" s="208">
        <v>0</v>
      </c>
      <c r="AD81" s="271">
        <f t="shared" si="74"/>
        <v>0</v>
      </c>
      <c r="AE81" s="270">
        <f>JUNIO!AG81</f>
        <v>0</v>
      </c>
      <c r="AF81" s="208">
        <v>0</v>
      </c>
      <c r="AG81" s="271">
        <f t="shared" si="75"/>
        <v>0</v>
      </c>
      <c r="AH81" s="270">
        <f t="shared" si="76"/>
        <v>0</v>
      </c>
      <c r="AI81" s="220">
        <f t="shared" si="77"/>
        <v>0</v>
      </c>
      <c r="AJ81" s="269">
        <f t="shared" si="78"/>
        <v>0</v>
      </c>
      <c r="AK81" s="101"/>
      <c r="AL81" s="204"/>
      <c r="AM81" s="210">
        <v>0</v>
      </c>
    </row>
    <row r="82" spans="1:39" ht="24.75" customHeight="1">
      <c r="A82" s="202" t="str">
        <f>+IF(JUNIO!A82=0,"",JUNIO!A82)</f>
        <v>1.1.02.05.001.09.02.08</v>
      </c>
      <c r="B82" s="331" t="str">
        <f>+CONCATENATE("Vigencia ",INSTRUCCIONES!$F$3)</f>
        <v>Vigencia 2025</v>
      </c>
      <c r="C82" s="204">
        <f>+ENERO!C82</f>
        <v>376911385</v>
      </c>
      <c r="D82" s="205">
        <f>JUNIO!D82+JULIO!P82</f>
        <v>0</v>
      </c>
      <c r="E82" s="205">
        <f>JUNIO!E82+JULIO!Q82</f>
        <v>0</v>
      </c>
      <c r="F82" s="205">
        <f>SUM(C82:E82)</f>
        <v>376911385</v>
      </c>
      <c r="G82" s="205">
        <f>JUNIO!I82</f>
        <v>129637231</v>
      </c>
      <c r="H82" s="208">
        <v>4466927</v>
      </c>
      <c r="I82" s="205">
        <f>SUM(G82:H82)</f>
        <v>134104158</v>
      </c>
      <c r="J82" s="205">
        <f>JUNIO!L82</f>
        <v>70260121</v>
      </c>
      <c r="K82" s="765">
        <v>23176331</v>
      </c>
      <c r="L82" s="205">
        <f>SUM(J82:K82)</f>
        <v>93436452</v>
      </c>
      <c r="M82" s="205">
        <f>F82-I82</f>
        <v>242807227</v>
      </c>
      <c r="N82" s="206">
        <f>F82-L82</f>
        <v>283474933</v>
      </c>
      <c r="O82" s="67"/>
      <c r="P82" s="204">
        <v>0</v>
      </c>
      <c r="Q82" s="210">
        <v>0</v>
      </c>
      <c r="R82" s="101"/>
      <c r="S82" s="189" t="str">
        <f>+IF(JUNIO!S82=0,"",JUNIO!S82)</f>
        <v/>
      </c>
      <c r="T82" s="488" t="str">
        <f>+IF(JUNIO!T82=0,"",JUNIO!T82)</f>
        <v/>
      </c>
      <c r="U82" s="191"/>
      <c r="V82" s="191"/>
      <c r="W82" s="191"/>
      <c r="X82" s="191"/>
      <c r="Y82" s="191"/>
      <c r="Z82" s="191"/>
      <c r="AA82" s="191"/>
      <c r="AB82" s="191"/>
      <c r="AC82" s="191"/>
      <c r="AD82" s="191"/>
      <c r="AE82" s="191"/>
      <c r="AF82" s="191"/>
      <c r="AG82" s="191"/>
      <c r="AH82" s="191"/>
      <c r="AI82" s="191"/>
      <c r="AJ82" s="192"/>
      <c r="AK82" s="101"/>
      <c r="AL82" s="370"/>
      <c r="AM82" s="371"/>
    </row>
    <row r="83" spans="1:39" ht="24.75" customHeight="1" thickBot="1">
      <c r="A83" s="202" t="str">
        <f>+IF(JUNIO!A83=0,"",JUNIO!A83)</f>
        <v>1.1.02.05.001.09.02.08,99</v>
      </c>
      <c r="B83" s="377" t="str">
        <f>+IF(JUNIO!B83=0,"",JUNIO!B83)</f>
        <v>Vigencia Anterior</v>
      </c>
      <c r="C83" s="242">
        <f>+ENERO!C83</f>
        <v>9786935</v>
      </c>
      <c r="D83" s="243">
        <f>JUNIO!D83+JULIO!P83</f>
        <v>0</v>
      </c>
      <c r="E83" s="243">
        <f>JUNIO!E83+JULIO!Q83</f>
        <v>0</v>
      </c>
      <c r="F83" s="243">
        <f>SUM(C83:E83)</f>
        <v>9786935</v>
      </c>
      <c r="G83" s="243">
        <f>JUNIO!I83</f>
        <v>56682133</v>
      </c>
      <c r="H83" s="246">
        <v>0</v>
      </c>
      <c r="I83" s="243">
        <f>SUM(G83:H83)</f>
        <v>56682133</v>
      </c>
      <c r="J83" s="243">
        <f>JUNIO!L83</f>
        <v>56682133</v>
      </c>
      <c r="K83" s="246">
        <v>0</v>
      </c>
      <c r="L83" s="243">
        <f>SUM(J83:K83)</f>
        <v>56682133</v>
      </c>
      <c r="M83" s="243">
        <f>F83-I83</f>
        <v>-46895198</v>
      </c>
      <c r="N83" s="244">
        <f>F83-L83</f>
        <v>-46895198</v>
      </c>
      <c r="O83" s="67"/>
      <c r="P83" s="204">
        <v>0</v>
      </c>
      <c r="Q83" s="210">
        <v>0</v>
      </c>
      <c r="R83" s="101"/>
      <c r="S83" s="257">
        <f>+IF(JUNIO!S83=0,"",JUNIO!S83)</f>
        <v>1020200</v>
      </c>
      <c r="T83" s="546" t="str">
        <f>+IF(JUNIO!T83=0,"",JUNIO!T83)</f>
        <v>Servicios Personales Indirectos</v>
      </c>
      <c r="U83" s="230">
        <f t="shared" ref="U83:AJ83" si="82">SUM(U84:U88)</f>
        <v>64518803470</v>
      </c>
      <c r="V83" s="231">
        <f t="shared" si="82"/>
        <v>-2523000000</v>
      </c>
      <c r="W83" s="231">
        <f t="shared" si="82"/>
        <v>2908182761</v>
      </c>
      <c r="X83" s="234">
        <f t="shared" si="82"/>
        <v>64903986231</v>
      </c>
      <c r="Y83" s="233">
        <f t="shared" si="82"/>
        <v>47181323150</v>
      </c>
      <c r="Z83" s="231">
        <f t="shared" si="82"/>
        <v>15222943250</v>
      </c>
      <c r="AA83" s="234">
        <f t="shared" si="82"/>
        <v>62404266400</v>
      </c>
      <c r="AB83" s="233">
        <f t="shared" si="82"/>
        <v>41462888303</v>
      </c>
      <c r="AC83" s="231">
        <f t="shared" si="82"/>
        <v>4754627581</v>
      </c>
      <c r="AD83" s="234">
        <f t="shared" si="82"/>
        <v>46217515884</v>
      </c>
      <c r="AE83" s="233">
        <f t="shared" si="82"/>
        <v>27139744973</v>
      </c>
      <c r="AF83" s="231">
        <f t="shared" si="82"/>
        <v>4750265366</v>
      </c>
      <c r="AG83" s="234">
        <f t="shared" si="82"/>
        <v>31890010339</v>
      </c>
      <c r="AH83" s="233">
        <f t="shared" si="82"/>
        <v>2499719831</v>
      </c>
      <c r="AI83" s="231">
        <f t="shared" si="82"/>
        <v>18686470347</v>
      </c>
      <c r="AJ83" s="232">
        <f t="shared" si="82"/>
        <v>33013975892</v>
      </c>
      <c r="AK83" s="101"/>
      <c r="AL83" s="233">
        <f>SUM(AL84:AL88)</f>
        <v>0</v>
      </c>
      <c r="AM83" s="232">
        <f>SUM(AM84:AM88)</f>
        <v>0</v>
      </c>
    </row>
    <row r="84" spans="1:39" ht="24.75" customHeight="1" thickBot="1">
      <c r="A84" s="378" t="str">
        <f>+IF(JUNIO!A84=0,"",JUNIO!A84)</f>
        <v/>
      </c>
      <c r="B84" s="379" t="str">
        <f>+IF(JUNIO!B84=0,"",JUNIO!B84)</f>
        <v/>
      </c>
      <c r="C84" s="67"/>
      <c r="D84" s="67"/>
      <c r="E84" s="67"/>
      <c r="F84" s="67"/>
      <c r="G84" s="67"/>
      <c r="H84" s="67"/>
      <c r="I84" s="67"/>
      <c r="J84" s="67"/>
      <c r="K84" s="67"/>
      <c r="L84" s="67"/>
      <c r="M84" s="67"/>
      <c r="N84" s="283"/>
      <c r="O84" s="369"/>
      <c r="P84" s="380"/>
      <c r="Q84" s="254"/>
      <c r="R84" s="101"/>
      <c r="S84" s="266" t="str">
        <f>+IF(JUNIO!S84=0,"",JUNIO!S84)</f>
        <v>2.1.2.02.02.009.902</v>
      </c>
      <c r="T84" s="267" t="str">
        <f>+IF(JUNIO!T84=0,"",JUNIO!T84)</f>
        <v>Servicios Personales (Personal Asistencial)</v>
      </c>
      <c r="U84" s="373">
        <f>+ENERO!U84</f>
        <v>55683487770</v>
      </c>
      <c r="V84" s="220">
        <f>JUNIO!V84+JULIO!AL84</f>
        <v>-4585698533</v>
      </c>
      <c r="W84" s="220">
        <f>JUNIO!W84+JULIO!AM84</f>
        <v>0</v>
      </c>
      <c r="X84" s="271">
        <f>SUM(U84:W84)</f>
        <v>51097789237</v>
      </c>
      <c r="Y84" s="270">
        <f>JUNIO!AA84</f>
        <v>33377807700</v>
      </c>
      <c r="Z84" s="208">
        <v>15222943250</v>
      </c>
      <c r="AA84" s="271">
        <f>SUM(Y84:Z84)</f>
        <v>48600750950</v>
      </c>
      <c r="AB84" s="270">
        <f>JUNIO!AD84</f>
        <v>27659372853</v>
      </c>
      <c r="AC84" s="208">
        <v>4754627581</v>
      </c>
      <c r="AD84" s="271">
        <f>SUM(AB84:AC84)</f>
        <v>32414000434</v>
      </c>
      <c r="AE84" s="270">
        <f>JUNIO!AG84</f>
        <v>13336229523</v>
      </c>
      <c r="AF84" s="208">
        <v>4750265366</v>
      </c>
      <c r="AG84" s="271">
        <f>SUM(AE84:AF84)</f>
        <v>18086494889</v>
      </c>
      <c r="AH84" s="270">
        <f>X84-AA84</f>
        <v>2497038287</v>
      </c>
      <c r="AI84" s="220">
        <f>X84-AD84</f>
        <v>18683788803</v>
      </c>
      <c r="AJ84" s="269">
        <f>X84-AG84</f>
        <v>33011294348</v>
      </c>
      <c r="AK84" s="101"/>
      <c r="AL84" s="204">
        <v>0</v>
      </c>
      <c r="AM84" s="210">
        <v>0</v>
      </c>
    </row>
    <row r="85" spans="1:39" ht="24.75" customHeight="1">
      <c r="A85" s="381" t="str">
        <f>+IF(JUNIO!A85=0,"",JUNIO!A85)</f>
        <v>1.1.02.05.001.09.02.90</v>
      </c>
      <c r="B85" s="382" t="str">
        <f>+IF(JUNIO!B85=0,"",JUNIO!B85)</f>
        <v>Otras Ventas de Servicios de Salud</v>
      </c>
      <c r="C85" s="383">
        <f t="shared" ref="C85:N85" si="83">SUM(C86:C92)</f>
        <v>0</v>
      </c>
      <c r="D85" s="384">
        <f t="shared" si="83"/>
        <v>0</v>
      </c>
      <c r="E85" s="384">
        <f t="shared" si="83"/>
        <v>21574720366</v>
      </c>
      <c r="F85" s="384">
        <f t="shared" si="83"/>
        <v>21574720366</v>
      </c>
      <c r="G85" s="384">
        <f t="shared" si="83"/>
        <v>9372513231</v>
      </c>
      <c r="H85" s="384">
        <f t="shared" si="83"/>
        <v>952680330</v>
      </c>
      <c r="I85" s="384">
        <f t="shared" si="83"/>
        <v>10325193561</v>
      </c>
      <c r="J85" s="384">
        <f t="shared" si="83"/>
        <v>6113368690</v>
      </c>
      <c r="K85" s="384">
        <f t="shared" si="83"/>
        <v>117826997</v>
      </c>
      <c r="L85" s="384">
        <f t="shared" si="83"/>
        <v>6231195687</v>
      </c>
      <c r="M85" s="384">
        <f t="shared" si="83"/>
        <v>11249526805</v>
      </c>
      <c r="N85" s="385">
        <f t="shared" si="83"/>
        <v>15343524679</v>
      </c>
      <c r="O85" s="67"/>
      <c r="P85" s="288">
        <f>SUM(P86:P92)</f>
        <v>0</v>
      </c>
      <c r="Q85" s="289">
        <f>SUM(Q86:Q92)</f>
        <v>0</v>
      </c>
      <c r="R85" s="101"/>
      <c r="S85" s="266" t="str">
        <f>+IF(JUNIO!S85=0,"",JUNIO!S85)</f>
        <v>1020200-2</v>
      </c>
      <c r="T85" s="267" t="str">
        <f>+IF(JUNIO!T85=0,"",JUNIO!T85)</f>
        <v>Personal Supernumerario</v>
      </c>
      <c r="U85" s="373">
        <f>+ENERO!U85</f>
        <v>0</v>
      </c>
      <c r="V85" s="220">
        <f>JUNIO!V85+JULIO!AL85</f>
        <v>0</v>
      </c>
      <c r="W85" s="220">
        <f>JUNIO!W85+JULIO!AM85</f>
        <v>0</v>
      </c>
      <c r="X85" s="271">
        <f>SUM(U85:W85)</f>
        <v>0</v>
      </c>
      <c r="Y85" s="270">
        <f>JUNIO!AA85</f>
        <v>0</v>
      </c>
      <c r="Z85" s="208">
        <v>0</v>
      </c>
      <c r="AA85" s="271">
        <f>SUM(Y85:Z85)</f>
        <v>0</v>
      </c>
      <c r="AB85" s="270">
        <f>JUNIO!AD85</f>
        <v>0</v>
      </c>
      <c r="AC85" s="208">
        <v>0</v>
      </c>
      <c r="AD85" s="271">
        <f>SUM(AB85:AC85)</f>
        <v>0</v>
      </c>
      <c r="AE85" s="270">
        <f>JUNIO!AG85</f>
        <v>0</v>
      </c>
      <c r="AF85" s="208">
        <v>0</v>
      </c>
      <c r="AG85" s="271">
        <f>SUM(AE85:AF85)</f>
        <v>0</v>
      </c>
      <c r="AH85" s="270">
        <f>X85-AA85</f>
        <v>0</v>
      </c>
      <c r="AI85" s="220">
        <f>X85-AD85</f>
        <v>0</v>
      </c>
      <c r="AJ85" s="269">
        <f>X85-AG85</f>
        <v>0</v>
      </c>
      <c r="AK85" s="101"/>
      <c r="AL85" s="204">
        <v>0</v>
      </c>
      <c r="AM85" s="210">
        <v>0</v>
      </c>
    </row>
    <row r="86" spans="1:39" ht="24.75" customHeight="1">
      <c r="A86" s="386" t="str">
        <f>+IF(JUNIO!A86=0,"",JUNIO!A86)</f>
        <v>1.1.02.05.001.09.02.90.05.99</v>
      </c>
      <c r="B86" s="387" t="str">
        <f>+IF(JUNIO!B86=0,"",JUNIO!B86)</f>
        <v>Agendamiento y aplicación de la vacuna COVID 19(Res.166/2021) INSTITUCIONAL</v>
      </c>
      <c r="C86" s="268">
        <f>+ENERO!C86</f>
        <v>0</v>
      </c>
      <c r="D86" s="205">
        <f>JUNIO!D86+JULIO!P86</f>
        <v>0</v>
      </c>
      <c r="E86" s="205">
        <f>JUNIO!E86+JULIO!Q86</f>
        <v>0</v>
      </c>
      <c r="F86" s="205">
        <f t="shared" ref="F86:F92" si="84">SUM(C86:E86)</f>
        <v>0</v>
      </c>
      <c r="G86" s="205">
        <f>JUNIO!I86</f>
        <v>0</v>
      </c>
      <c r="H86" s="208">
        <v>0</v>
      </c>
      <c r="I86" s="205">
        <f t="shared" ref="I86:I92" si="85">SUM(G86:H86)</f>
        <v>0</v>
      </c>
      <c r="J86" s="205">
        <f>JUNIO!L86</f>
        <v>0</v>
      </c>
      <c r="K86" s="208">
        <v>0</v>
      </c>
      <c r="L86" s="205">
        <f t="shared" ref="L86:L92" si="86">SUM(J86:K86)</f>
        <v>0</v>
      </c>
      <c r="M86" s="205">
        <f t="shared" ref="M86:M92" si="87">F86-I86</f>
        <v>0</v>
      </c>
      <c r="N86" s="206">
        <f t="shared" ref="N86:N92" si="88">F86-L86</f>
        <v>0</v>
      </c>
      <c r="O86" s="67"/>
      <c r="P86" s="204">
        <v>0</v>
      </c>
      <c r="Q86" s="210">
        <v>0</v>
      </c>
      <c r="R86" s="101"/>
      <c r="S86" s="266" t="str">
        <f>+IF(JUNIO!S86=0,"",JUNIO!S86)</f>
        <v>1020200-3</v>
      </c>
      <c r="T86" s="267" t="str">
        <f>+IF(JUNIO!T86=0,"",JUNIO!T86)</f>
        <v>Otros Honorarios</v>
      </c>
      <c r="U86" s="373">
        <f>+ENERO!U86</f>
        <v>0</v>
      </c>
      <c r="V86" s="220">
        <f>JUNIO!V86+JULIO!AL86</f>
        <v>0</v>
      </c>
      <c r="W86" s="220">
        <f>JUNIO!W86+JULIO!AM86</f>
        <v>0</v>
      </c>
      <c r="X86" s="271">
        <f>SUM(U86:W86)</f>
        <v>0</v>
      </c>
      <c r="Y86" s="270">
        <f>JUNIO!AA86</f>
        <v>0</v>
      </c>
      <c r="Z86" s="208">
        <v>0</v>
      </c>
      <c r="AA86" s="271">
        <f>SUM(Y86:Z86)</f>
        <v>0</v>
      </c>
      <c r="AB86" s="270">
        <f>JUNIO!AD86</f>
        <v>0</v>
      </c>
      <c r="AC86" s="208">
        <v>0</v>
      </c>
      <c r="AD86" s="271">
        <f>SUM(AB86:AC86)</f>
        <v>0</v>
      </c>
      <c r="AE86" s="270">
        <f>JUNIO!AG86</f>
        <v>0</v>
      </c>
      <c r="AF86" s="208">
        <v>0</v>
      </c>
      <c r="AG86" s="271">
        <f>SUM(AE86:AF86)</f>
        <v>0</v>
      </c>
      <c r="AH86" s="270">
        <f>X86-AA86</f>
        <v>0</v>
      </c>
      <c r="AI86" s="220">
        <f>X86-AD86</f>
        <v>0</v>
      </c>
      <c r="AJ86" s="269">
        <f>X86-AG86</f>
        <v>0</v>
      </c>
      <c r="AK86" s="101"/>
      <c r="AL86" s="204">
        <v>0</v>
      </c>
      <c r="AM86" s="210">
        <v>0</v>
      </c>
    </row>
    <row r="87" spans="1:39" ht="24.75" customHeight="1">
      <c r="A87" s="386">
        <f>+IF(JUNIO!A87=0,"",JUNIO!A87)</f>
        <v>1130202</v>
      </c>
      <c r="B87" s="387">
        <f>+IF(JUNIO!B87=0,"",JUNIO!B87)</f>
        <v>1130202</v>
      </c>
      <c r="C87" s="268">
        <f>+ENERO!C87</f>
        <v>0</v>
      </c>
      <c r="D87" s="205">
        <f>JUNIO!D87+JULIO!P87</f>
        <v>0</v>
      </c>
      <c r="E87" s="205">
        <f>JUNIO!E87+JULIO!Q87</f>
        <v>0</v>
      </c>
      <c r="F87" s="205">
        <f t="shared" si="84"/>
        <v>0</v>
      </c>
      <c r="G87" s="205">
        <f>JUNIO!I87</f>
        <v>0</v>
      </c>
      <c r="H87" s="208">
        <v>0</v>
      </c>
      <c r="I87" s="205">
        <f t="shared" si="85"/>
        <v>0</v>
      </c>
      <c r="J87" s="205">
        <f>JUNIO!L87</f>
        <v>0</v>
      </c>
      <c r="K87" s="208">
        <v>0</v>
      </c>
      <c r="L87" s="205">
        <f t="shared" si="86"/>
        <v>0</v>
      </c>
      <c r="M87" s="205">
        <f t="shared" si="87"/>
        <v>0</v>
      </c>
      <c r="N87" s="206">
        <f t="shared" si="88"/>
        <v>0</v>
      </c>
      <c r="O87" s="67"/>
      <c r="P87" s="204">
        <v>0</v>
      </c>
      <c r="Q87" s="210">
        <v>0</v>
      </c>
      <c r="R87" s="101"/>
      <c r="S87" s="266" t="str">
        <f>+IF(JUNIO!S87=0,"",JUNIO!S87)</f>
        <v>1020200-4</v>
      </c>
      <c r="T87" s="267" t="str">
        <f>+IF(JUNIO!T87=0,"",JUNIO!T87)</f>
        <v>Otros Honorarios</v>
      </c>
      <c r="U87" s="373">
        <f>+ENERO!U87</f>
        <v>0</v>
      </c>
      <c r="V87" s="220">
        <f>JUNIO!V87+JULIO!AL87</f>
        <v>0</v>
      </c>
      <c r="W87" s="220">
        <f>JUNIO!W87+JULIO!AM87</f>
        <v>0</v>
      </c>
      <c r="X87" s="271">
        <f>SUM(U87:W87)</f>
        <v>0</v>
      </c>
      <c r="Y87" s="270">
        <f>JUNIO!AA87</f>
        <v>0</v>
      </c>
      <c r="Z87" s="208">
        <v>0</v>
      </c>
      <c r="AA87" s="271">
        <f>SUM(Y87:Z87)</f>
        <v>0</v>
      </c>
      <c r="AB87" s="270">
        <f>JUNIO!AD87</f>
        <v>0</v>
      </c>
      <c r="AC87" s="208">
        <v>0</v>
      </c>
      <c r="AD87" s="271">
        <f>SUM(AB87:AC87)</f>
        <v>0</v>
      </c>
      <c r="AE87" s="270">
        <f>JUNIO!AG87</f>
        <v>0</v>
      </c>
      <c r="AF87" s="208">
        <v>0</v>
      </c>
      <c r="AG87" s="271">
        <f>SUM(AE87:AF87)</f>
        <v>0</v>
      </c>
      <c r="AH87" s="270">
        <f>X87-AA87</f>
        <v>0</v>
      </c>
      <c r="AI87" s="220">
        <f>X87-AD87</f>
        <v>0</v>
      </c>
      <c r="AJ87" s="269">
        <f>X87-AG87</f>
        <v>0</v>
      </c>
      <c r="AK87" s="101"/>
      <c r="AL87" s="204">
        <v>0</v>
      </c>
      <c r="AM87" s="210">
        <v>0</v>
      </c>
    </row>
    <row r="88" spans="1:39" ht="24.75" customHeight="1">
      <c r="A88" s="386" t="str">
        <f>+IF(JUNIO!A88=0,"",JUNIO!A88)</f>
        <v>1.1.02.05.001.08</v>
      </c>
      <c r="B88" s="388" t="str">
        <f>+IF(JUNIO!B88=0,"",JUNIO!B88)</f>
        <v>Servicios Prestados a las empresas y servicios de produccion</v>
      </c>
      <c r="C88" s="268">
        <f>+ENERO!C88</f>
        <v>0</v>
      </c>
      <c r="D88" s="205">
        <f>JUNIO!D88+JULIO!P88</f>
        <v>0</v>
      </c>
      <c r="E88" s="205">
        <f>JUNIO!E88+JULIO!Q88</f>
        <v>2337265046</v>
      </c>
      <c r="F88" s="205">
        <f t="shared" si="84"/>
        <v>2337265046</v>
      </c>
      <c r="G88" s="205">
        <f>JUNIO!I88</f>
        <v>2337265046</v>
      </c>
      <c r="H88" s="208">
        <v>0</v>
      </c>
      <c r="I88" s="205">
        <f t="shared" si="85"/>
        <v>2337265046</v>
      </c>
      <c r="J88" s="205">
        <f>JUNIO!L88</f>
        <v>2278833420</v>
      </c>
      <c r="K88" s="208">
        <v>0</v>
      </c>
      <c r="L88" s="205">
        <f t="shared" si="86"/>
        <v>2278833420</v>
      </c>
      <c r="M88" s="205">
        <f t="shared" si="87"/>
        <v>0</v>
      </c>
      <c r="N88" s="206">
        <f t="shared" si="88"/>
        <v>58431626</v>
      </c>
      <c r="O88" s="67"/>
      <c r="P88" s="204">
        <v>0</v>
      </c>
      <c r="Q88" s="210"/>
      <c r="R88" s="101"/>
      <c r="S88" s="266" t="str">
        <f>+IF(JUNIO!S88=0,"",JUNIO!S88)</f>
        <v>2.1.2.02.02.009.99.01</v>
      </c>
      <c r="T88" s="267" t="str">
        <f>+IF(JUNIO!T88=0,"",JUNIO!T88)</f>
        <v>Vigencias Anteriores</v>
      </c>
      <c r="U88" s="373">
        <f>+ENERO!U88</f>
        <v>8835315700</v>
      </c>
      <c r="V88" s="220">
        <f>JUNIO!V88+JULIO!AL88</f>
        <v>2062698533</v>
      </c>
      <c r="W88" s="220">
        <f>JUNIO!W88+JULIO!AM88</f>
        <v>2908182761</v>
      </c>
      <c r="X88" s="271">
        <f>SUM(U88:W88)</f>
        <v>13806196994</v>
      </c>
      <c r="Y88" s="270">
        <f>JUNIO!AA88</f>
        <v>13803515450</v>
      </c>
      <c r="Z88" s="208">
        <v>0</v>
      </c>
      <c r="AA88" s="271">
        <f>SUM(Y88:Z88)</f>
        <v>13803515450</v>
      </c>
      <c r="AB88" s="270">
        <f>JUNIO!AD88</f>
        <v>13803515450</v>
      </c>
      <c r="AC88" s="208">
        <v>0</v>
      </c>
      <c r="AD88" s="271">
        <f>SUM(AB88:AC88)</f>
        <v>13803515450</v>
      </c>
      <c r="AE88" s="270">
        <f>JUNIO!AG88</f>
        <v>13803515450</v>
      </c>
      <c r="AF88" s="208">
        <v>0</v>
      </c>
      <c r="AG88" s="271">
        <f>SUM(AE88:AF88)</f>
        <v>13803515450</v>
      </c>
      <c r="AH88" s="270">
        <f>X88-AA88</f>
        <v>2681544</v>
      </c>
      <c r="AI88" s="220">
        <f>X88-AD88</f>
        <v>2681544</v>
      </c>
      <c r="AJ88" s="269">
        <f>X88-AG88</f>
        <v>2681544</v>
      </c>
      <c r="AK88" s="101"/>
      <c r="AL88" s="204">
        <v>0</v>
      </c>
      <c r="AM88" s="210">
        <v>0</v>
      </c>
    </row>
    <row r="89" spans="1:39" ht="24.75" customHeight="1">
      <c r="A89" s="386" t="str">
        <f>+IF(JUNIO!A89=0,"",JUNIO!A89)</f>
        <v>1.1.02.05.001.09.02.90.04</v>
      </c>
      <c r="B89" s="388" t="str">
        <f>+IF(JUNIO!B89=0,"",JUNIO!B89)</f>
        <v>CONVENIOS CON EL DEPARTAMENTO LIGADOS A LA VENTA SERVICIOS</v>
      </c>
      <c r="C89" s="268">
        <f>+ENERO!C89</f>
        <v>0</v>
      </c>
      <c r="D89" s="205">
        <f>JUNIO!D89+JULIO!P89</f>
        <v>0</v>
      </c>
      <c r="E89" s="205">
        <f>JUNIO!E89+JULIO!Q89</f>
        <v>9574697797</v>
      </c>
      <c r="F89" s="205">
        <f t="shared" si="84"/>
        <v>9574697797</v>
      </c>
      <c r="G89" s="205">
        <f>JUNIO!I89</f>
        <v>2100381532</v>
      </c>
      <c r="H89" s="208">
        <f>66309690+51517307</f>
        <v>117826997</v>
      </c>
      <c r="I89" s="205">
        <f t="shared" si="85"/>
        <v>2218208529</v>
      </c>
      <c r="J89" s="205">
        <f>JUNIO!L89</f>
        <v>2079377717</v>
      </c>
      <c r="K89" s="765">
        <v>117826997</v>
      </c>
      <c r="L89" s="205">
        <f t="shared" si="86"/>
        <v>2197204714</v>
      </c>
      <c r="M89" s="205">
        <f t="shared" si="87"/>
        <v>7356489268</v>
      </c>
      <c r="N89" s="206">
        <f t="shared" si="88"/>
        <v>7377493083</v>
      </c>
      <c r="O89" s="67"/>
      <c r="P89" s="204">
        <v>0</v>
      </c>
      <c r="Q89" s="210">
        <v>0</v>
      </c>
      <c r="R89" s="101"/>
      <c r="S89" s="189" t="str">
        <f>+IF(JUNIO!S89=0,"",JUNIO!S89)</f>
        <v/>
      </c>
      <c r="T89" s="488" t="str">
        <f>+IF(JUNIO!T89=0,"",JUNIO!T89)</f>
        <v/>
      </c>
      <c r="U89" s="191"/>
      <c r="V89" s="191"/>
      <c r="W89" s="191"/>
      <c r="X89" s="191"/>
      <c r="Y89" s="191"/>
      <c r="Z89" s="191"/>
      <c r="AA89" s="191"/>
      <c r="AB89" s="191"/>
      <c r="AC89" s="191"/>
      <c r="AD89" s="191"/>
      <c r="AE89" s="191"/>
      <c r="AF89" s="191"/>
      <c r="AG89" s="191"/>
      <c r="AH89" s="191"/>
      <c r="AI89" s="191"/>
      <c r="AJ89" s="192"/>
      <c r="AK89" s="101"/>
      <c r="AL89" s="370"/>
      <c r="AM89" s="371"/>
    </row>
    <row r="90" spans="1:39" ht="24.75" customHeight="1">
      <c r="A90" s="386" t="str">
        <f>+IF(JUNIO!A90=0,"",JUNIO!A90)</f>
        <v>1.1.02.05.001.09.02.18.03</v>
      </c>
      <c r="B90" s="388" t="str">
        <f>+IF(JUNIO!B90=0,"",JUNIO!B90)</f>
        <v xml:space="preserve">CONVENIOS CON EL MUNICIPIO LIGADOS A LA VENTA DE SERVICIOS </v>
      </c>
      <c r="C90" s="268">
        <f>+ENERO!C90</f>
        <v>0</v>
      </c>
      <c r="D90" s="205">
        <f>JUNIO!D90+JULIO!P90</f>
        <v>0</v>
      </c>
      <c r="E90" s="205">
        <f>JUNIO!E90+JULIO!Q90</f>
        <v>9662757523</v>
      </c>
      <c r="F90" s="205">
        <f t="shared" si="84"/>
        <v>9662757523</v>
      </c>
      <c r="G90" s="205">
        <f>JUNIO!I90</f>
        <v>4934866653</v>
      </c>
      <c r="H90" s="208">
        <f>175760000+175760000+400000000+83333333</f>
        <v>834853333</v>
      </c>
      <c r="I90" s="205">
        <f t="shared" si="85"/>
        <v>5769719986</v>
      </c>
      <c r="J90" s="205">
        <f>JUNIO!L90</f>
        <v>1755157553</v>
      </c>
      <c r="K90" s="208">
        <v>0</v>
      </c>
      <c r="L90" s="205">
        <f t="shared" si="86"/>
        <v>1755157553</v>
      </c>
      <c r="M90" s="205">
        <f t="shared" si="87"/>
        <v>3893037537</v>
      </c>
      <c r="N90" s="206">
        <f t="shared" si="88"/>
        <v>7907599970</v>
      </c>
      <c r="O90" s="67"/>
      <c r="P90" s="204">
        <v>0</v>
      </c>
      <c r="Q90" s="210">
        <v>0</v>
      </c>
      <c r="R90" s="389"/>
      <c r="S90" s="257">
        <f>+IF(JUNIO!S90=0,"",JUNIO!S90)</f>
        <v>1020300</v>
      </c>
      <c r="T90" s="546" t="str">
        <f>+IF(JUNIO!T90=0,"",JUNIO!T90)</f>
        <v>Contribuciones Inherentes nómina al Sector Privado</v>
      </c>
      <c r="U90" s="230">
        <f t="shared" ref="U90:AJ90" si="89">U91+U96+U102</f>
        <v>0</v>
      </c>
      <c r="V90" s="231">
        <f t="shared" si="89"/>
        <v>0</v>
      </c>
      <c r="W90" s="231">
        <f t="shared" si="89"/>
        <v>0</v>
      </c>
      <c r="X90" s="234">
        <f t="shared" si="89"/>
        <v>0</v>
      </c>
      <c r="Y90" s="233">
        <f t="shared" si="89"/>
        <v>0</v>
      </c>
      <c r="Z90" s="231">
        <f t="shared" si="89"/>
        <v>0</v>
      </c>
      <c r="AA90" s="234">
        <f t="shared" si="89"/>
        <v>0</v>
      </c>
      <c r="AB90" s="233">
        <f t="shared" si="89"/>
        <v>0</v>
      </c>
      <c r="AC90" s="231">
        <f t="shared" si="89"/>
        <v>0</v>
      </c>
      <c r="AD90" s="234">
        <f t="shared" si="89"/>
        <v>0</v>
      </c>
      <c r="AE90" s="233">
        <f t="shared" si="89"/>
        <v>0</v>
      </c>
      <c r="AF90" s="231">
        <f t="shared" si="89"/>
        <v>0</v>
      </c>
      <c r="AG90" s="234">
        <f t="shared" si="89"/>
        <v>0</v>
      </c>
      <c r="AH90" s="233">
        <f t="shared" si="89"/>
        <v>0</v>
      </c>
      <c r="AI90" s="231">
        <f t="shared" si="89"/>
        <v>0</v>
      </c>
      <c r="AJ90" s="232">
        <f t="shared" si="89"/>
        <v>0</v>
      </c>
      <c r="AK90" s="101"/>
      <c r="AL90" s="233">
        <f>AL91+AL96+AL102</f>
        <v>0</v>
      </c>
      <c r="AM90" s="232">
        <f>AM91+AM96+AM102</f>
        <v>0</v>
      </c>
    </row>
    <row r="91" spans="1:39" ht="24.75" customHeight="1">
      <c r="A91" s="386">
        <f>+IF(JUNIO!A91=0,"",JUNIO!A91)</f>
        <v>1130206</v>
      </c>
      <c r="B91" s="388" t="str">
        <f>+IF(JUNIO!B91=0,"",JUNIO!B91)</f>
        <v>OTROS CONVENIOS LIGADOS A LA VENTA DE SERVICIOS</v>
      </c>
      <c r="C91" s="268">
        <f>+ENERO!C91</f>
        <v>0</v>
      </c>
      <c r="D91" s="205">
        <f>JUNIO!D91+JULIO!P91</f>
        <v>0</v>
      </c>
      <c r="E91" s="205">
        <f>JUNIO!E91+JULIO!Q91</f>
        <v>0</v>
      </c>
      <c r="F91" s="205">
        <f t="shared" si="84"/>
        <v>0</v>
      </c>
      <c r="G91" s="205">
        <f>JUNIO!I91</f>
        <v>0</v>
      </c>
      <c r="H91" s="208">
        <v>0</v>
      </c>
      <c r="I91" s="205">
        <f t="shared" si="85"/>
        <v>0</v>
      </c>
      <c r="J91" s="205">
        <f>JUNIO!L91</f>
        <v>0</v>
      </c>
      <c r="K91" s="208">
        <v>0</v>
      </c>
      <c r="L91" s="205">
        <f t="shared" si="86"/>
        <v>0</v>
      </c>
      <c r="M91" s="205">
        <f t="shared" si="87"/>
        <v>0</v>
      </c>
      <c r="N91" s="206">
        <f t="shared" si="88"/>
        <v>0</v>
      </c>
      <c r="O91" s="67"/>
      <c r="P91" s="204">
        <v>0</v>
      </c>
      <c r="Q91" s="210">
        <v>0</v>
      </c>
      <c r="R91" s="389"/>
      <c r="S91" s="266">
        <f>+IF(JUNIO!S91=0,"",JUNIO!S91)</f>
        <v>1020301</v>
      </c>
      <c r="T91" s="267" t="str">
        <f>+IF(JUNIO!T91=0,"",JUNIO!T91)</f>
        <v>Contribuciones - SGP - Aportes Patronales - Cuenta Maestra</v>
      </c>
      <c r="U91" s="373">
        <f t="shared" ref="U91:AJ91" si="90">SUM(U92:U95)</f>
        <v>0</v>
      </c>
      <c r="V91" s="220">
        <f t="shared" si="90"/>
        <v>0</v>
      </c>
      <c r="W91" s="220">
        <f t="shared" si="90"/>
        <v>0</v>
      </c>
      <c r="X91" s="271">
        <f t="shared" si="90"/>
        <v>0</v>
      </c>
      <c r="Y91" s="270">
        <f t="shared" si="90"/>
        <v>0</v>
      </c>
      <c r="Z91" s="300">
        <f t="shared" si="90"/>
        <v>0</v>
      </c>
      <c r="AA91" s="271">
        <f t="shared" si="90"/>
        <v>0</v>
      </c>
      <c r="AB91" s="270">
        <f t="shared" si="90"/>
        <v>0</v>
      </c>
      <c r="AC91" s="300">
        <f t="shared" si="90"/>
        <v>0</v>
      </c>
      <c r="AD91" s="271">
        <f t="shared" si="90"/>
        <v>0</v>
      </c>
      <c r="AE91" s="270">
        <f t="shared" si="90"/>
        <v>0</v>
      </c>
      <c r="AF91" s="300">
        <f t="shared" si="90"/>
        <v>0</v>
      </c>
      <c r="AG91" s="271">
        <f t="shared" si="90"/>
        <v>0</v>
      </c>
      <c r="AH91" s="270">
        <f t="shared" si="90"/>
        <v>0</v>
      </c>
      <c r="AI91" s="220">
        <f t="shared" si="90"/>
        <v>0</v>
      </c>
      <c r="AJ91" s="269">
        <f t="shared" si="90"/>
        <v>0</v>
      </c>
      <c r="AK91" s="101"/>
      <c r="AL91" s="301">
        <f>SUM(AL92:AL95)</f>
        <v>0</v>
      </c>
      <c r="AM91" s="302">
        <f>SUM(AM92:AM95)</f>
        <v>0</v>
      </c>
    </row>
    <row r="92" spans="1:39" ht="24.75" customHeight="1" thickBot="1">
      <c r="A92" s="386" t="str">
        <f>+IF(JUNIO!A92=0,"",JUNIO!A92)</f>
        <v>1.1.02.05.001.09.02.90.05.99</v>
      </c>
      <c r="B92" s="390" t="str">
        <f>+IF(JUNIO!B92=0,"",JUNIO!B92)</f>
        <v>Vigencia Anterior de Otros Convenios de Salud Nacionales (vacunacion covid-19 agendamiento y aplicación)</v>
      </c>
      <c r="C92" s="391">
        <f>+ENERO!C92</f>
        <v>0</v>
      </c>
      <c r="D92" s="243">
        <f>JUNIO!D92+JULIO!P92</f>
        <v>0</v>
      </c>
      <c r="E92" s="243">
        <f>JUNIO!E92+JULIO!Q92</f>
        <v>0</v>
      </c>
      <c r="F92" s="243">
        <f t="shared" si="84"/>
        <v>0</v>
      </c>
      <c r="G92" s="243">
        <f>JUNIO!I92</f>
        <v>0</v>
      </c>
      <c r="H92" s="246">
        <v>0</v>
      </c>
      <c r="I92" s="243">
        <f t="shared" si="85"/>
        <v>0</v>
      </c>
      <c r="J92" s="243">
        <f>JUNIO!L92</f>
        <v>0</v>
      </c>
      <c r="K92" s="246">
        <v>0</v>
      </c>
      <c r="L92" s="243">
        <f t="shared" si="86"/>
        <v>0</v>
      </c>
      <c r="M92" s="243">
        <f t="shared" si="87"/>
        <v>0</v>
      </c>
      <c r="N92" s="244">
        <f t="shared" si="88"/>
        <v>0</v>
      </c>
      <c r="O92" s="67"/>
      <c r="P92" s="204">
        <v>0</v>
      </c>
      <c r="Q92" s="210">
        <v>0</v>
      </c>
      <c r="R92" s="389"/>
      <c r="S92" s="311" t="str">
        <f>+IF(JUNIO!S92=0,"",JUNIO!S92)</f>
        <v>1020301-1</v>
      </c>
      <c r="T92" s="312" t="str">
        <f>+IF(JUNIO!T92=0,"",JUNIO!T92)</f>
        <v>E.P.S. - Aportes cuenta maestra</v>
      </c>
      <c r="U92" s="373">
        <f>+ENERO!U92</f>
        <v>0</v>
      </c>
      <c r="V92" s="220">
        <f>JUNIO!V92+JULIO!AL92</f>
        <v>0</v>
      </c>
      <c r="W92" s="220">
        <f>JUNIO!W92+JULIO!AM92</f>
        <v>0</v>
      </c>
      <c r="X92" s="271">
        <f>SUM(U92:W92)</f>
        <v>0</v>
      </c>
      <c r="Y92" s="270">
        <f>JUNIO!AA92</f>
        <v>0</v>
      </c>
      <c r="Z92" s="208">
        <v>0</v>
      </c>
      <c r="AA92" s="271">
        <f>SUM(Y92:Z92)</f>
        <v>0</v>
      </c>
      <c r="AB92" s="270">
        <f>JUNIO!AD92</f>
        <v>0</v>
      </c>
      <c r="AC92" s="208">
        <v>0</v>
      </c>
      <c r="AD92" s="271">
        <f>SUM(AB92:AC92)</f>
        <v>0</v>
      </c>
      <c r="AE92" s="270">
        <f>JUNIO!AG92</f>
        <v>0</v>
      </c>
      <c r="AF92" s="208">
        <v>0</v>
      </c>
      <c r="AG92" s="271">
        <f>SUM(AE92:AF92)</f>
        <v>0</v>
      </c>
      <c r="AH92" s="270">
        <f>X92-AA92</f>
        <v>0</v>
      </c>
      <c r="AI92" s="220">
        <f>X92-AD92</f>
        <v>0</v>
      </c>
      <c r="AJ92" s="269">
        <f>X92-AG92</f>
        <v>0</v>
      </c>
      <c r="AK92" s="101"/>
      <c r="AL92" s="204">
        <v>0</v>
      </c>
      <c r="AM92" s="210">
        <v>0</v>
      </c>
    </row>
    <row r="93" spans="1:39" ht="24.75" customHeight="1" thickBot="1">
      <c r="A93" s="378" t="str">
        <f>+IF(JUNIO!A93=0,"",JUNIO!A93)</f>
        <v/>
      </c>
      <c r="B93" s="379" t="str">
        <f>+IF(JUNIO!B93=0,"",JUNIO!B93)</f>
        <v/>
      </c>
      <c r="C93" s="67"/>
      <c r="D93" s="67"/>
      <c r="E93" s="67"/>
      <c r="F93" s="67"/>
      <c r="G93" s="67"/>
      <c r="H93" s="67"/>
      <c r="I93" s="67"/>
      <c r="J93" s="67"/>
      <c r="K93" s="67"/>
      <c r="L93" s="67"/>
      <c r="M93" s="67"/>
      <c r="N93" s="283"/>
      <c r="O93" s="369"/>
      <c r="P93" s="380"/>
      <c r="Q93" s="254"/>
      <c r="R93" s="389"/>
      <c r="S93" s="311" t="str">
        <f>+IF(JUNIO!S93=0,"",JUNIO!S93)</f>
        <v>1020301-2</v>
      </c>
      <c r="T93" s="312" t="str">
        <f>+IF(JUNIO!T93=0,"",JUNIO!T93)</f>
        <v>Fondos pensionales - Aportes cuenta maestra</v>
      </c>
      <c r="U93" s="373">
        <f>+ENERO!U93</f>
        <v>0</v>
      </c>
      <c r="V93" s="220">
        <f>JUNIO!V93+JULIO!AL93</f>
        <v>0</v>
      </c>
      <c r="W93" s="220">
        <f>JUNIO!W93+JULIO!AM93</f>
        <v>0</v>
      </c>
      <c r="X93" s="271">
        <f>SUM(U93:W93)</f>
        <v>0</v>
      </c>
      <c r="Y93" s="270">
        <f>JUNIO!AA93</f>
        <v>0</v>
      </c>
      <c r="Z93" s="208">
        <v>0</v>
      </c>
      <c r="AA93" s="271">
        <f>SUM(Y93:Z93)</f>
        <v>0</v>
      </c>
      <c r="AB93" s="270">
        <f>JUNIO!AD93</f>
        <v>0</v>
      </c>
      <c r="AC93" s="208">
        <v>0</v>
      </c>
      <c r="AD93" s="271">
        <f>SUM(AB93:AC93)</f>
        <v>0</v>
      </c>
      <c r="AE93" s="270">
        <f>JUNIO!AG93</f>
        <v>0</v>
      </c>
      <c r="AF93" s="208">
        <v>0</v>
      </c>
      <c r="AG93" s="271">
        <f>SUM(AE93:AF93)</f>
        <v>0</v>
      </c>
      <c r="AH93" s="270">
        <f>X93-AA93</f>
        <v>0</v>
      </c>
      <c r="AI93" s="220">
        <f>X93-AD93</f>
        <v>0</v>
      </c>
      <c r="AJ93" s="269">
        <f>X93-AG93</f>
        <v>0</v>
      </c>
      <c r="AK93" s="101"/>
      <c r="AL93" s="204">
        <v>0</v>
      </c>
      <c r="AM93" s="210">
        <v>0</v>
      </c>
    </row>
    <row r="94" spans="1:39" ht="29.25" customHeight="1">
      <c r="A94" s="392" t="str">
        <f>+IF(JUNIO!A94=0,"",JUNIO!A94)</f>
        <v>1.1.02.06.006.06</v>
      </c>
      <c r="B94" s="393" t="str">
        <f>+IF(JUNIO!B94=0,"",JUNIO!B94)</f>
        <v>Aportes (No ligados a la venta de servicios de salud)</v>
      </c>
      <c r="C94" s="383">
        <f t="shared" ref="C94:N94" si="91">SUM(C95:C102)</f>
        <v>650000000</v>
      </c>
      <c r="D94" s="384">
        <f t="shared" si="91"/>
        <v>0</v>
      </c>
      <c r="E94" s="384">
        <f t="shared" si="91"/>
        <v>0</v>
      </c>
      <c r="F94" s="384">
        <f t="shared" si="91"/>
        <v>650000000</v>
      </c>
      <c r="G94" s="384">
        <f t="shared" si="91"/>
        <v>565171384</v>
      </c>
      <c r="H94" s="384">
        <f t="shared" si="91"/>
        <v>657553400</v>
      </c>
      <c r="I94" s="384">
        <f t="shared" si="91"/>
        <v>1222724784</v>
      </c>
      <c r="J94" s="384">
        <f t="shared" si="91"/>
        <v>565171384</v>
      </c>
      <c r="K94" s="384">
        <f t="shared" si="91"/>
        <v>657553400</v>
      </c>
      <c r="L94" s="384">
        <f t="shared" si="91"/>
        <v>1222724784</v>
      </c>
      <c r="M94" s="384">
        <f t="shared" si="91"/>
        <v>-572724784</v>
      </c>
      <c r="N94" s="385">
        <f t="shared" si="91"/>
        <v>-572724784</v>
      </c>
      <c r="O94" s="67"/>
      <c r="P94" s="288">
        <f>SUM(P95:P102)</f>
        <v>0</v>
      </c>
      <c r="Q94" s="289">
        <f>SUM(Q95:Q102)</f>
        <v>0</v>
      </c>
      <c r="R94" s="389"/>
      <c r="S94" s="311" t="str">
        <f>+IF(JUNIO!S94=0,"",JUNIO!S94)</f>
        <v>1020301-3</v>
      </c>
      <c r="T94" s="312" t="str">
        <f>+IF(JUNIO!T94=0,"",JUNIO!T94)</f>
        <v>Fondos de cesantías - Aportes cuenta maestra</v>
      </c>
      <c r="U94" s="373">
        <f>+ENERO!U94</f>
        <v>0</v>
      </c>
      <c r="V94" s="220">
        <f>JUNIO!V94+JULIO!AL94</f>
        <v>0</v>
      </c>
      <c r="W94" s="220">
        <f>JUNIO!W94+JULIO!AM94</f>
        <v>0</v>
      </c>
      <c r="X94" s="271">
        <f>SUM(U94:W94)</f>
        <v>0</v>
      </c>
      <c r="Y94" s="270">
        <f>JUNIO!AA94</f>
        <v>0</v>
      </c>
      <c r="Z94" s="208">
        <v>0</v>
      </c>
      <c r="AA94" s="271">
        <f>SUM(Y94:Z94)</f>
        <v>0</v>
      </c>
      <c r="AB94" s="270">
        <f>JUNIO!AD94</f>
        <v>0</v>
      </c>
      <c r="AC94" s="208">
        <v>0</v>
      </c>
      <c r="AD94" s="271">
        <f>SUM(AB94:AC94)</f>
        <v>0</v>
      </c>
      <c r="AE94" s="270">
        <f>JUNIO!AG94</f>
        <v>0</v>
      </c>
      <c r="AF94" s="208">
        <v>0</v>
      </c>
      <c r="AG94" s="271">
        <f>SUM(AE94:AF94)</f>
        <v>0</v>
      </c>
      <c r="AH94" s="270">
        <f>X94-AA94</f>
        <v>0</v>
      </c>
      <c r="AI94" s="220">
        <f>X94-AD94</f>
        <v>0</v>
      </c>
      <c r="AJ94" s="269">
        <f>X94-AG94</f>
        <v>0</v>
      </c>
      <c r="AK94" s="101"/>
      <c r="AL94" s="204">
        <v>0</v>
      </c>
      <c r="AM94" s="210">
        <v>0</v>
      </c>
    </row>
    <row r="95" spans="1:39" ht="24.75" customHeight="1">
      <c r="A95" s="394" t="str">
        <f>+IF(JUNIO!A95=0,"",JUNIO!A95)</f>
        <v>1.2.08.06.002</v>
      </c>
      <c r="B95" s="397" t="str">
        <f>+IF(JUNIO!B95=0,"",JUNIO!B95)</f>
        <v>Condicionadas a la adquisicion de un activo</v>
      </c>
      <c r="C95" s="268">
        <f>+ENERO!C95</f>
        <v>0</v>
      </c>
      <c r="D95" s="205">
        <f>JUNIO!D95+JULIO!P95</f>
        <v>0</v>
      </c>
      <c r="E95" s="205">
        <f>JUNIO!E95+JULIO!Q95</f>
        <v>0</v>
      </c>
      <c r="F95" s="205">
        <f t="shared" ref="F95:F102" si="92">SUM(C95:E95)</f>
        <v>0</v>
      </c>
      <c r="G95" s="205">
        <f>JUNIO!I95</f>
        <v>0</v>
      </c>
      <c r="H95" s="208">
        <v>0</v>
      </c>
      <c r="I95" s="205">
        <f t="shared" ref="I95:I102" si="93">SUM(G95:H95)</f>
        <v>0</v>
      </c>
      <c r="J95" s="205">
        <f>JUNIO!L95</f>
        <v>0</v>
      </c>
      <c r="K95" s="208">
        <v>0</v>
      </c>
      <c r="L95" s="205">
        <f t="shared" ref="L95:L102" si="94">SUM(J95:K95)</f>
        <v>0</v>
      </c>
      <c r="M95" s="205">
        <f t="shared" ref="M95:M102" si="95">F95-I95</f>
        <v>0</v>
      </c>
      <c r="N95" s="206">
        <f t="shared" ref="N95:N102" si="96">F95-L95</f>
        <v>0</v>
      </c>
      <c r="O95" s="67"/>
      <c r="P95" s="204">
        <v>0</v>
      </c>
      <c r="Q95" s="210">
        <v>0</v>
      </c>
      <c r="R95" s="389"/>
      <c r="S95" s="311" t="str">
        <f>+IF(JUNIO!S95=0,"",JUNIO!S95)</f>
        <v>1020301-4</v>
      </c>
      <c r="T95" s="312" t="str">
        <f>+IF(JUNIO!T95=0,"",JUNIO!T95)</f>
        <v>Riesgos laborales - Aportes cuenta maestra</v>
      </c>
      <c r="U95" s="373">
        <f>+ENERO!U95</f>
        <v>0</v>
      </c>
      <c r="V95" s="220">
        <f>JUNIO!V95+JULIO!AL95</f>
        <v>0</v>
      </c>
      <c r="W95" s="220">
        <f>JUNIO!W95+JULIO!AM95</f>
        <v>0</v>
      </c>
      <c r="X95" s="271">
        <f>SUM(U95:W95)</f>
        <v>0</v>
      </c>
      <c r="Y95" s="270">
        <f>JUNIO!AA95</f>
        <v>0</v>
      </c>
      <c r="Z95" s="208">
        <v>0</v>
      </c>
      <c r="AA95" s="271">
        <f>SUM(Y95:Z95)</f>
        <v>0</v>
      </c>
      <c r="AB95" s="270">
        <f>JUNIO!AD95</f>
        <v>0</v>
      </c>
      <c r="AC95" s="208">
        <v>0</v>
      </c>
      <c r="AD95" s="271">
        <f>SUM(AB95:AC95)</f>
        <v>0</v>
      </c>
      <c r="AE95" s="270">
        <f>JUNIO!AG95</f>
        <v>0</v>
      </c>
      <c r="AF95" s="208">
        <v>0</v>
      </c>
      <c r="AG95" s="271">
        <f>SUM(AE95:AF95)</f>
        <v>0</v>
      </c>
      <c r="AH95" s="270">
        <f>X95-AA95</f>
        <v>0</v>
      </c>
      <c r="AI95" s="220">
        <f>X95-AD95</f>
        <v>0</v>
      </c>
      <c r="AJ95" s="269">
        <f>X95-AG95</f>
        <v>0</v>
      </c>
      <c r="AK95" s="101"/>
      <c r="AL95" s="204">
        <v>0</v>
      </c>
      <c r="AM95" s="210">
        <v>0</v>
      </c>
    </row>
    <row r="96" spans="1:39" ht="24.75" customHeight="1">
      <c r="A96" s="394" t="str">
        <f>+IF(JUNIO!A96=0,"",JUNIO!A96)</f>
        <v>1.1.02.06.007.02.08</v>
      </c>
      <c r="B96" s="397" t="str">
        <f>+IF(JUNIO!B96=0,"",JUNIO!B96)</f>
        <v>Aportes del Departamento - Subsidio a la Oferta</v>
      </c>
      <c r="C96" s="268">
        <f>+ENERO!C96</f>
        <v>0</v>
      </c>
      <c r="D96" s="205">
        <f>JUNIO!D96+JULIO!P96</f>
        <v>0</v>
      </c>
      <c r="E96" s="205">
        <f>JUNIO!E96+JULIO!Q96</f>
        <v>0</v>
      </c>
      <c r="F96" s="205">
        <f t="shared" si="92"/>
        <v>0</v>
      </c>
      <c r="G96" s="205">
        <f>JUNIO!I96</f>
        <v>0</v>
      </c>
      <c r="H96" s="208">
        <v>0</v>
      </c>
      <c r="I96" s="205">
        <f t="shared" si="93"/>
        <v>0</v>
      </c>
      <c r="J96" s="205">
        <f>JUNIO!L96</f>
        <v>0</v>
      </c>
      <c r="K96" s="208">
        <v>0</v>
      </c>
      <c r="L96" s="205">
        <f t="shared" si="94"/>
        <v>0</v>
      </c>
      <c r="M96" s="205">
        <f t="shared" si="95"/>
        <v>0</v>
      </c>
      <c r="N96" s="206">
        <f t="shared" si="96"/>
        <v>0</v>
      </c>
      <c r="O96" s="67"/>
      <c r="P96" s="204">
        <v>0</v>
      </c>
      <c r="Q96" s="210">
        <v>0</v>
      </c>
      <c r="R96" s="389"/>
      <c r="S96" s="266">
        <f>+IF(JUNIO!S96=0,"",JUNIO!S96)</f>
        <v>1020302</v>
      </c>
      <c r="T96" s="267" t="str">
        <f>+IF(JUNIO!T96=0,"",JUNIO!T96)</f>
        <v>Contribuciones - Otros</v>
      </c>
      <c r="U96" s="373">
        <f t="shared" ref="U96:AJ96" si="97">SUM(U97:U101)</f>
        <v>0</v>
      </c>
      <c r="V96" s="220">
        <f t="shared" si="97"/>
        <v>0</v>
      </c>
      <c r="W96" s="220">
        <f t="shared" si="97"/>
        <v>0</v>
      </c>
      <c r="X96" s="271">
        <f t="shared" si="97"/>
        <v>0</v>
      </c>
      <c r="Y96" s="270">
        <f t="shared" si="97"/>
        <v>0</v>
      </c>
      <c r="Z96" s="300">
        <f t="shared" si="97"/>
        <v>0</v>
      </c>
      <c r="AA96" s="271">
        <f t="shared" si="97"/>
        <v>0</v>
      </c>
      <c r="AB96" s="270">
        <f t="shared" si="97"/>
        <v>0</v>
      </c>
      <c r="AC96" s="300">
        <f t="shared" si="97"/>
        <v>0</v>
      </c>
      <c r="AD96" s="271">
        <f t="shared" si="97"/>
        <v>0</v>
      </c>
      <c r="AE96" s="270">
        <f t="shared" si="97"/>
        <v>0</v>
      </c>
      <c r="AF96" s="300">
        <f t="shared" si="97"/>
        <v>0</v>
      </c>
      <c r="AG96" s="271">
        <f t="shared" si="97"/>
        <v>0</v>
      </c>
      <c r="AH96" s="270">
        <f t="shared" si="97"/>
        <v>0</v>
      </c>
      <c r="AI96" s="220">
        <f t="shared" si="97"/>
        <v>0</v>
      </c>
      <c r="AJ96" s="269">
        <f t="shared" si="97"/>
        <v>0</v>
      </c>
      <c r="AK96" s="389"/>
      <c r="AL96" s="395">
        <f>SUM(AL97:AL101)</f>
        <v>0</v>
      </c>
      <c r="AM96" s="396">
        <f>SUM(AM97:AM101)</f>
        <v>0</v>
      </c>
    </row>
    <row r="97" spans="1:39" ht="24.75" customHeight="1">
      <c r="A97" s="394" t="str">
        <f>+IF(JUNIO!A97=0,"",JUNIO!A97)</f>
        <v>1.1.02.06.007.02.08</v>
      </c>
      <c r="B97" s="397" t="str">
        <f>+IF(JUNIO!B97=0,"",JUNIO!B97)</f>
        <v>Aportes del Municipio para fortalecimiento</v>
      </c>
      <c r="C97" s="268">
        <f>+ENERO!C97</f>
        <v>0</v>
      </c>
      <c r="D97" s="205">
        <f>JUNIO!D97+JULIO!P97</f>
        <v>0</v>
      </c>
      <c r="E97" s="205">
        <f>JUNIO!E97+JULIO!Q97</f>
        <v>0</v>
      </c>
      <c r="F97" s="205">
        <f t="shared" si="92"/>
        <v>0</v>
      </c>
      <c r="G97" s="205">
        <f>JUNIO!I97</f>
        <v>0</v>
      </c>
      <c r="H97" s="208">
        <v>0</v>
      </c>
      <c r="I97" s="205">
        <f t="shared" si="93"/>
        <v>0</v>
      </c>
      <c r="J97" s="205">
        <f>JUNIO!L97</f>
        <v>0</v>
      </c>
      <c r="K97" s="208">
        <v>0</v>
      </c>
      <c r="L97" s="205">
        <f t="shared" si="94"/>
        <v>0</v>
      </c>
      <c r="M97" s="205">
        <f t="shared" si="95"/>
        <v>0</v>
      </c>
      <c r="N97" s="206">
        <f t="shared" si="96"/>
        <v>0</v>
      </c>
      <c r="O97" s="67"/>
      <c r="P97" s="204">
        <v>0</v>
      </c>
      <c r="Q97" s="210">
        <v>0</v>
      </c>
      <c r="R97" s="389"/>
      <c r="S97" s="311" t="str">
        <f>+IF(JUNIO!S97=0,"",JUNIO!S97)</f>
        <v>2.1.1.01.02.002-1</v>
      </c>
      <c r="T97" s="312" t="str">
        <f>+IF(JUNIO!T97=0,"",JUNIO!T97)</f>
        <v>Aportes a E.P.S. - recursos propios</v>
      </c>
      <c r="U97" s="373">
        <f>+ENERO!U97</f>
        <v>0</v>
      </c>
      <c r="V97" s="220">
        <f>JUNIO!V97+JULIO!AL97</f>
        <v>0</v>
      </c>
      <c r="W97" s="220">
        <f>JUNIO!W97+JULIO!AM97</f>
        <v>0</v>
      </c>
      <c r="X97" s="271">
        <f t="shared" ref="X97:X102" si="98">SUM(U97:W97)</f>
        <v>0</v>
      </c>
      <c r="Y97" s="270">
        <f>JUNIO!AA97</f>
        <v>0</v>
      </c>
      <c r="Z97" s="208">
        <v>0</v>
      </c>
      <c r="AA97" s="271">
        <f t="shared" ref="AA97:AA102" si="99">SUM(Y97:Z97)</f>
        <v>0</v>
      </c>
      <c r="AB97" s="270">
        <f>JUNIO!AD97</f>
        <v>0</v>
      </c>
      <c r="AC97" s="208">
        <v>0</v>
      </c>
      <c r="AD97" s="271">
        <f t="shared" ref="AD97:AD102" si="100">SUM(AB97:AC97)</f>
        <v>0</v>
      </c>
      <c r="AE97" s="270">
        <f>JUNIO!AG97</f>
        <v>0</v>
      </c>
      <c r="AF97" s="208">
        <v>0</v>
      </c>
      <c r="AG97" s="271">
        <f t="shared" ref="AG97:AG102" si="101">SUM(AE97:AF97)</f>
        <v>0</v>
      </c>
      <c r="AH97" s="270">
        <f t="shared" ref="AH97:AH102" si="102">X97-AA97</f>
        <v>0</v>
      </c>
      <c r="AI97" s="220">
        <f t="shared" ref="AI97:AI102" si="103">X97-AD97</f>
        <v>0</v>
      </c>
      <c r="AJ97" s="269">
        <f t="shared" ref="AJ97:AJ102" si="104">X97-AG97</f>
        <v>0</v>
      </c>
      <c r="AK97" s="389"/>
      <c r="AL97" s="204">
        <v>0</v>
      </c>
      <c r="AM97" s="210">
        <v>0</v>
      </c>
    </row>
    <row r="98" spans="1:39" ht="24.75" customHeight="1">
      <c r="A98" s="394" t="str">
        <f>+IF(JUNIO!A98=0,"",JUNIO!A98)</f>
        <v>1.1.02.06.007.02.08</v>
      </c>
      <c r="B98" s="397" t="str">
        <f>+IF(JUNIO!B98=0,"",JUNIO!B98)</f>
        <v>Transferencias para las Empresas Sociales del Estado</v>
      </c>
      <c r="C98" s="268">
        <f>+ENERO!C98</f>
        <v>0</v>
      </c>
      <c r="D98" s="205">
        <f>JUNIO!D98+JULIO!P98</f>
        <v>0</v>
      </c>
      <c r="E98" s="205">
        <f>JUNIO!E98+JULIO!Q98</f>
        <v>0</v>
      </c>
      <c r="F98" s="205">
        <f t="shared" si="92"/>
        <v>0</v>
      </c>
      <c r="G98" s="205">
        <f>JUNIO!I98</f>
        <v>0</v>
      </c>
      <c r="H98" s="208">
        <v>657553400</v>
      </c>
      <c r="I98" s="205">
        <f t="shared" si="93"/>
        <v>657553400</v>
      </c>
      <c r="J98" s="205">
        <f>JUNIO!L98</f>
        <v>0</v>
      </c>
      <c r="K98" s="208">
        <v>657553400</v>
      </c>
      <c r="L98" s="205">
        <f t="shared" si="94"/>
        <v>657553400</v>
      </c>
      <c r="M98" s="205">
        <f t="shared" si="95"/>
        <v>-657553400</v>
      </c>
      <c r="N98" s="206">
        <f t="shared" si="96"/>
        <v>-657553400</v>
      </c>
      <c r="O98" s="67"/>
      <c r="P98" s="204">
        <v>0</v>
      </c>
      <c r="Q98" s="210">
        <v>0</v>
      </c>
      <c r="R98" s="389"/>
      <c r="S98" s="311" t="str">
        <f>+IF(JUNIO!S98=0,"",JUNIO!S98)</f>
        <v>2.1.1.01.02.001-1</v>
      </c>
      <c r="T98" s="312" t="str">
        <f>+IF(JUNIO!T98=0,"",JUNIO!T98)</f>
        <v>Aportes Fondos Pensionales - recursos propios</v>
      </c>
      <c r="U98" s="373">
        <f>+ENERO!U98</f>
        <v>0</v>
      </c>
      <c r="V98" s="220">
        <f>JUNIO!V98+JULIO!AL98</f>
        <v>0</v>
      </c>
      <c r="W98" s="220">
        <f>JUNIO!W98+JULIO!AM98</f>
        <v>0</v>
      </c>
      <c r="X98" s="271">
        <f t="shared" si="98"/>
        <v>0</v>
      </c>
      <c r="Y98" s="270">
        <f>JUNIO!AA98</f>
        <v>0</v>
      </c>
      <c r="Z98" s="208">
        <v>0</v>
      </c>
      <c r="AA98" s="271">
        <f t="shared" si="99"/>
        <v>0</v>
      </c>
      <c r="AB98" s="270">
        <f>JUNIO!AD98</f>
        <v>0</v>
      </c>
      <c r="AC98" s="208">
        <v>0</v>
      </c>
      <c r="AD98" s="271">
        <f t="shared" si="100"/>
        <v>0</v>
      </c>
      <c r="AE98" s="270">
        <f>JUNIO!AG98</f>
        <v>0</v>
      </c>
      <c r="AF98" s="208">
        <v>0</v>
      </c>
      <c r="AG98" s="271">
        <f t="shared" si="101"/>
        <v>0</v>
      </c>
      <c r="AH98" s="270">
        <f t="shared" si="102"/>
        <v>0</v>
      </c>
      <c r="AI98" s="220">
        <f t="shared" si="103"/>
        <v>0</v>
      </c>
      <c r="AJ98" s="269">
        <f t="shared" si="104"/>
        <v>0</v>
      </c>
      <c r="AK98" s="389"/>
      <c r="AL98" s="204">
        <v>0</v>
      </c>
      <c r="AM98" s="210">
        <v>0</v>
      </c>
    </row>
    <row r="99" spans="1:39" ht="24.75" customHeight="1">
      <c r="A99" s="394" t="str">
        <f>+IF(JUNIO!A99=0,"",JUNIO!A99)</f>
        <v>11303-5</v>
      </c>
      <c r="B99" s="397" t="str">
        <f>+IF(JUNIO!B99=0,"",JUNIO!B99)</f>
        <v>RECURSOS PARA PROGRAMA DE SANEAMIENTO FINANCIERO</v>
      </c>
      <c r="C99" s="268">
        <f>+ENERO!C99</f>
        <v>0</v>
      </c>
      <c r="D99" s="205">
        <f>JUNIO!D99+JULIO!P99</f>
        <v>0</v>
      </c>
      <c r="E99" s="205">
        <f>JUNIO!E99+JULIO!Q99</f>
        <v>0</v>
      </c>
      <c r="F99" s="205">
        <f t="shared" si="92"/>
        <v>0</v>
      </c>
      <c r="G99" s="205">
        <f>JUNIO!I99</f>
        <v>0</v>
      </c>
      <c r="H99" s="208"/>
      <c r="I99" s="205">
        <f t="shared" si="93"/>
        <v>0</v>
      </c>
      <c r="J99" s="205">
        <f>JUNIO!L99</f>
        <v>0</v>
      </c>
      <c r="K99" s="208"/>
      <c r="L99" s="205">
        <f t="shared" si="94"/>
        <v>0</v>
      </c>
      <c r="M99" s="205">
        <f t="shared" si="95"/>
        <v>0</v>
      </c>
      <c r="N99" s="206">
        <f t="shared" si="96"/>
        <v>0</v>
      </c>
      <c r="O99" s="67"/>
      <c r="P99" s="204">
        <v>0</v>
      </c>
      <c r="Q99" s="210">
        <v>0</v>
      </c>
      <c r="R99" s="389"/>
      <c r="S99" s="311" t="str">
        <f>+IF(JUNIO!S99=0,"",JUNIO!S99)</f>
        <v>2.1.1.01.02.003-1</v>
      </c>
      <c r="T99" s="312" t="str">
        <f>+IF(JUNIO!T99=0,"",JUNIO!T99)</f>
        <v>Aportes a Fondos de Cesantia - recursos propios</v>
      </c>
      <c r="U99" s="373">
        <f>+ENERO!U99</f>
        <v>0</v>
      </c>
      <c r="V99" s="220">
        <f>JUNIO!V99+JULIO!AL99</f>
        <v>0</v>
      </c>
      <c r="W99" s="220">
        <f>JUNIO!W99+JULIO!AM99</f>
        <v>0</v>
      </c>
      <c r="X99" s="271">
        <f t="shared" si="98"/>
        <v>0</v>
      </c>
      <c r="Y99" s="270">
        <f>JUNIO!AA99</f>
        <v>0</v>
      </c>
      <c r="Z99" s="208">
        <v>0</v>
      </c>
      <c r="AA99" s="271">
        <f t="shared" si="99"/>
        <v>0</v>
      </c>
      <c r="AB99" s="270">
        <f>JUNIO!AD99</f>
        <v>0</v>
      </c>
      <c r="AC99" s="208">
        <v>0</v>
      </c>
      <c r="AD99" s="271">
        <f t="shared" si="100"/>
        <v>0</v>
      </c>
      <c r="AE99" s="270">
        <f>JUNIO!AG99</f>
        <v>0</v>
      </c>
      <c r="AF99" s="208">
        <v>0</v>
      </c>
      <c r="AG99" s="271">
        <f t="shared" si="101"/>
        <v>0</v>
      </c>
      <c r="AH99" s="270">
        <f t="shared" si="102"/>
        <v>0</v>
      </c>
      <c r="AI99" s="220">
        <f t="shared" si="103"/>
        <v>0</v>
      </c>
      <c r="AJ99" s="269">
        <f t="shared" si="104"/>
        <v>0</v>
      </c>
      <c r="AK99" s="389"/>
      <c r="AL99" s="204">
        <v>0</v>
      </c>
      <c r="AM99" s="210">
        <v>0</v>
      </c>
    </row>
    <row r="100" spans="1:39" ht="24.75" customHeight="1">
      <c r="A100" s="394" t="str">
        <f>+IF(JUNIO!A100=0,"",JUNIO!A100)</f>
        <v>1.1.02.06.006.07</v>
      </c>
      <c r="B100" s="397" t="str">
        <f>+IF(JUNIO!B100=0,"",JUNIO!B100)</f>
        <v>ESTAMPILLA PROHOSPITALES</v>
      </c>
      <c r="C100" s="268">
        <f>+ENERO!C100</f>
        <v>650000000</v>
      </c>
      <c r="D100" s="205">
        <f>JUNIO!D100+JULIO!P100</f>
        <v>0</v>
      </c>
      <c r="E100" s="205">
        <f>JUNIO!E100+JULIO!Q100</f>
        <v>0</v>
      </c>
      <c r="F100" s="205">
        <f t="shared" si="92"/>
        <v>650000000</v>
      </c>
      <c r="G100" s="205">
        <f>JUNIO!I100</f>
        <v>565171384</v>
      </c>
      <c r="H100" s="208"/>
      <c r="I100" s="205">
        <f t="shared" si="93"/>
        <v>565171384</v>
      </c>
      <c r="J100" s="205">
        <f>JUNIO!L100</f>
        <v>565171384</v>
      </c>
      <c r="K100" s="208"/>
      <c r="L100" s="205">
        <f t="shared" si="94"/>
        <v>565171384</v>
      </c>
      <c r="M100" s="205">
        <f t="shared" si="95"/>
        <v>84828616</v>
      </c>
      <c r="N100" s="206">
        <f t="shared" si="96"/>
        <v>84828616</v>
      </c>
      <c r="O100" s="67"/>
      <c r="P100" s="204">
        <v>0</v>
      </c>
      <c r="Q100" s="210"/>
      <c r="R100" s="101"/>
      <c r="S100" s="311" t="str">
        <f>+IF(JUNIO!S100=0,"",JUNIO!S100)</f>
        <v>2.1.1.01.02.005-1</v>
      </c>
      <c r="T100" s="312" t="str">
        <f>+IF(JUNIO!T100=0,"",JUNIO!T100)</f>
        <v>Aporte a ARL. - recursos propios</v>
      </c>
      <c r="U100" s="373">
        <f>+ENERO!U100</f>
        <v>0</v>
      </c>
      <c r="V100" s="220">
        <f>JUNIO!V100+JULIO!AL100</f>
        <v>0</v>
      </c>
      <c r="W100" s="220">
        <f>JUNIO!W100+JULIO!AM100</f>
        <v>0</v>
      </c>
      <c r="X100" s="271">
        <f t="shared" si="98"/>
        <v>0</v>
      </c>
      <c r="Y100" s="270">
        <f>JUNIO!AA100</f>
        <v>0</v>
      </c>
      <c r="Z100" s="208">
        <v>0</v>
      </c>
      <c r="AA100" s="271">
        <f t="shared" si="99"/>
        <v>0</v>
      </c>
      <c r="AB100" s="270">
        <f>JUNIO!AD100</f>
        <v>0</v>
      </c>
      <c r="AC100" s="208">
        <v>0</v>
      </c>
      <c r="AD100" s="271">
        <f t="shared" si="100"/>
        <v>0</v>
      </c>
      <c r="AE100" s="270">
        <f>JUNIO!AG100</f>
        <v>0</v>
      </c>
      <c r="AF100" s="208">
        <v>0</v>
      </c>
      <c r="AG100" s="271">
        <f t="shared" si="101"/>
        <v>0</v>
      </c>
      <c r="AH100" s="270">
        <f t="shared" si="102"/>
        <v>0</v>
      </c>
      <c r="AI100" s="220">
        <f t="shared" si="103"/>
        <v>0</v>
      </c>
      <c r="AJ100" s="269">
        <f t="shared" si="104"/>
        <v>0</v>
      </c>
      <c r="AK100" s="389"/>
      <c r="AL100" s="204">
        <v>0</v>
      </c>
      <c r="AM100" s="210">
        <v>0</v>
      </c>
    </row>
    <row r="101" spans="1:39" ht="24.75" customHeight="1">
      <c r="A101" s="394" t="str">
        <f>+IF(JUNIO!A101=0,"",JUNIO!A101)</f>
        <v>11303-7</v>
      </c>
      <c r="B101" s="397" t="str">
        <f>+IF(JUNIO!B101=0,"",JUNIO!B101)</f>
        <v>SUBSIDIO A LA OFERTA (ART. 2.4.2.6 DECRETO 268 DE 2020)</v>
      </c>
      <c r="C101" s="268">
        <f>+ENERO!C101</f>
        <v>0</v>
      </c>
      <c r="D101" s="205">
        <f>JUNIO!D101+JULIO!P101</f>
        <v>0</v>
      </c>
      <c r="E101" s="205">
        <f>JUNIO!E101+JULIO!Q101</f>
        <v>0</v>
      </c>
      <c r="F101" s="205">
        <f t="shared" si="92"/>
        <v>0</v>
      </c>
      <c r="G101" s="205">
        <f>JUNIO!I101</f>
        <v>0</v>
      </c>
      <c r="H101" s="208">
        <v>0</v>
      </c>
      <c r="I101" s="205">
        <f t="shared" si="93"/>
        <v>0</v>
      </c>
      <c r="J101" s="205">
        <f>JUNIO!L101</f>
        <v>0</v>
      </c>
      <c r="K101" s="208"/>
      <c r="L101" s="205">
        <f t="shared" si="94"/>
        <v>0</v>
      </c>
      <c r="M101" s="205">
        <f t="shared" si="95"/>
        <v>0</v>
      </c>
      <c r="N101" s="206">
        <f t="shared" si="96"/>
        <v>0</v>
      </c>
      <c r="O101" s="67"/>
      <c r="P101" s="204">
        <v>0</v>
      </c>
      <c r="Q101" s="210">
        <v>0</v>
      </c>
      <c r="R101" s="101"/>
      <c r="S101" s="311" t="str">
        <f>+IF(JUNIO!S101=0,"",JUNIO!S101)</f>
        <v>2.1.1.01.02.004-1</v>
      </c>
      <c r="T101" s="312" t="str">
        <f>+IF(JUNIO!T101=0,"",JUNIO!T101)</f>
        <v>Aporte a Caja Compensación Familiar</v>
      </c>
      <c r="U101" s="373">
        <f>+ENERO!U101</f>
        <v>0</v>
      </c>
      <c r="V101" s="220">
        <f>JUNIO!V101+JULIO!AL101</f>
        <v>0</v>
      </c>
      <c r="W101" s="220">
        <f>JUNIO!W101+JULIO!AM101</f>
        <v>0</v>
      </c>
      <c r="X101" s="271">
        <f t="shared" si="98"/>
        <v>0</v>
      </c>
      <c r="Y101" s="270">
        <f>JUNIO!AA101</f>
        <v>0</v>
      </c>
      <c r="Z101" s="208">
        <v>0</v>
      </c>
      <c r="AA101" s="271">
        <f t="shared" si="99"/>
        <v>0</v>
      </c>
      <c r="AB101" s="270">
        <f>JUNIO!AD101</f>
        <v>0</v>
      </c>
      <c r="AC101" s="208">
        <v>0</v>
      </c>
      <c r="AD101" s="271">
        <f t="shared" si="100"/>
        <v>0</v>
      </c>
      <c r="AE101" s="270">
        <f>JUNIO!AG101</f>
        <v>0</v>
      </c>
      <c r="AF101" s="208">
        <v>0</v>
      </c>
      <c r="AG101" s="271">
        <f t="shared" si="101"/>
        <v>0</v>
      </c>
      <c r="AH101" s="270">
        <f t="shared" si="102"/>
        <v>0</v>
      </c>
      <c r="AI101" s="220">
        <f t="shared" si="103"/>
        <v>0</v>
      </c>
      <c r="AJ101" s="269">
        <f t="shared" si="104"/>
        <v>0</v>
      </c>
      <c r="AK101" s="389"/>
      <c r="AL101" s="204">
        <v>0</v>
      </c>
      <c r="AM101" s="210">
        <v>0</v>
      </c>
    </row>
    <row r="102" spans="1:39" ht="24.75" customHeight="1" thickBot="1">
      <c r="A102" s="394" t="str">
        <f>+IF(JUNIO!A102=0,"",JUNIO!A102)</f>
        <v>1.1.02.06.006.07.99</v>
      </c>
      <c r="B102" s="390" t="str">
        <f>+IF(JUNIO!B102=0,"",JUNIO!B102)</f>
        <v>Vigencia Anterior estampilla</v>
      </c>
      <c r="C102" s="391">
        <f>+ENERO!C102</f>
        <v>0</v>
      </c>
      <c r="D102" s="243">
        <f>JUNIO!D102+JULIO!P102</f>
        <v>0</v>
      </c>
      <c r="E102" s="243">
        <f>JUNIO!E102+JULIO!Q102</f>
        <v>0</v>
      </c>
      <c r="F102" s="243">
        <f t="shared" si="92"/>
        <v>0</v>
      </c>
      <c r="G102" s="243">
        <f>JUNIO!I102</f>
        <v>0</v>
      </c>
      <c r="H102" s="246">
        <v>0</v>
      </c>
      <c r="I102" s="243">
        <f t="shared" si="93"/>
        <v>0</v>
      </c>
      <c r="J102" s="243">
        <f>JUNIO!L102</f>
        <v>0</v>
      </c>
      <c r="K102" s="246">
        <v>0</v>
      </c>
      <c r="L102" s="243">
        <f t="shared" si="94"/>
        <v>0</v>
      </c>
      <c r="M102" s="243">
        <f t="shared" si="95"/>
        <v>0</v>
      </c>
      <c r="N102" s="244">
        <f t="shared" si="96"/>
        <v>0</v>
      </c>
      <c r="O102" s="67"/>
      <c r="P102" s="204">
        <v>0</v>
      </c>
      <c r="Q102" s="210">
        <v>0</v>
      </c>
      <c r="R102" s="101"/>
      <c r="S102" s="266">
        <f>+IF(JUNIO!S102=0,"",JUNIO!S102)</f>
        <v>1020399</v>
      </c>
      <c r="T102" s="267" t="str">
        <f>+IF(JUNIO!T102=0,"",JUNIO!T102)</f>
        <v>Vigencias Anteriores</v>
      </c>
      <c r="U102" s="373">
        <f>+ENERO!U102</f>
        <v>0</v>
      </c>
      <c r="V102" s="220">
        <f>JUNIO!V102+JULIO!AL102</f>
        <v>0</v>
      </c>
      <c r="W102" s="220">
        <f>JUNIO!W102+JULIO!AM102</f>
        <v>0</v>
      </c>
      <c r="X102" s="271">
        <f t="shared" si="98"/>
        <v>0</v>
      </c>
      <c r="Y102" s="270">
        <f>JUNIO!AA102</f>
        <v>0</v>
      </c>
      <c r="Z102" s="208">
        <v>0</v>
      </c>
      <c r="AA102" s="271">
        <f t="shared" si="99"/>
        <v>0</v>
      </c>
      <c r="AB102" s="270">
        <f>JUNIO!AD102</f>
        <v>0</v>
      </c>
      <c r="AC102" s="208">
        <v>0</v>
      </c>
      <c r="AD102" s="271">
        <f t="shared" si="100"/>
        <v>0</v>
      </c>
      <c r="AE102" s="270">
        <f>JUNIO!AG102</f>
        <v>0</v>
      </c>
      <c r="AF102" s="208">
        <v>0</v>
      </c>
      <c r="AG102" s="271">
        <f t="shared" si="101"/>
        <v>0</v>
      </c>
      <c r="AH102" s="270">
        <f t="shared" si="102"/>
        <v>0</v>
      </c>
      <c r="AI102" s="220">
        <f t="shared" si="103"/>
        <v>0</v>
      </c>
      <c r="AJ102" s="269">
        <f t="shared" si="104"/>
        <v>0</v>
      </c>
      <c r="AK102" s="101"/>
      <c r="AL102" s="204">
        <v>0</v>
      </c>
      <c r="AM102" s="210">
        <v>0</v>
      </c>
    </row>
    <row r="103" spans="1:39" ht="24.75" customHeight="1" thickBot="1">
      <c r="A103" s="398" t="str">
        <f>+IF(JUNIO!A103=0,"",JUNIO!A103)</f>
        <v/>
      </c>
      <c r="B103" s="399" t="str">
        <f>+IF(JUNIO!B103=0,"",JUNIO!B103)</f>
        <v/>
      </c>
      <c r="C103" s="400"/>
      <c r="D103" s="400"/>
      <c r="E103" s="400"/>
      <c r="F103" s="400"/>
      <c r="G103" s="400"/>
      <c r="H103" s="400"/>
      <c r="I103" s="400"/>
      <c r="J103" s="400"/>
      <c r="K103" s="400"/>
      <c r="L103" s="400"/>
      <c r="M103" s="400"/>
      <c r="N103" s="401"/>
      <c r="O103" s="67"/>
      <c r="P103" s="402"/>
      <c r="Q103" s="401"/>
      <c r="R103" s="101"/>
      <c r="S103" s="189" t="str">
        <f>+IF(JUNIO!S103=0,"",JUNIO!S103)</f>
        <v/>
      </c>
      <c r="T103" s="488" t="str">
        <f>+IF(JUNIO!T103=0,"",JUNIO!T103)</f>
        <v/>
      </c>
      <c r="U103" s="191"/>
      <c r="V103" s="191"/>
      <c r="W103" s="191"/>
      <c r="X103" s="191"/>
      <c r="Y103" s="191"/>
      <c r="Z103" s="191"/>
      <c r="AA103" s="191"/>
      <c r="AB103" s="191"/>
      <c r="AC103" s="191"/>
      <c r="AD103" s="191"/>
      <c r="AE103" s="191"/>
      <c r="AF103" s="191"/>
      <c r="AG103" s="191"/>
      <c r="AH103" s="191"/>
      <c r="AI103" s="191"/>
      <c r="AJ103" s="192"/>
      <c r="AK103" s="101"/>
      <c r="AL103" s="370"/>
      <c r="AM103" s="371"/>
    </row>
    <row r="104" spans="1:39" ht="24.75" customHeight="1">
      <c r="A104" s="392">
        <f>+IF(JUNIO!A104=0,"",JUNIO!A104)</f>
        <v>11304</v>
      </c>
      <c r="B104" s="393" t="str">
        <f>+IF(JUNIO!B104=0,"",JUNIO!B104)</f>
        <v>Otros ingresos corrientes</v>
      </c>
      <c r="C104" s="383">
        <f t="shared" ref="C104:N104" si="105">SUM(C105:C111)</f>
        <v>235000000</v>
      </c>
      <c r="D104" s="384">
        <f t="shared" si="105"/>
        <v>0</v>
      </c>
      <c r="E104" s="384">
        <f t="shared" si="105"/>
        <v>46961679</v>
      </c>
      <c r="F104" s="384">
        <f t="shared" si="105"/>
        <v>281961679</v>
      </c>
      <c r="G104" s="384">
        <f t="shared" si="105"/>
        <v>214062168</v>
      </c>
      <c r="H104" s="384">
        <f t="shared" si="105"/>
        <v>47317248</v>
      </c>
      <c r="I104" s="384">
        <f t="shared" si="105"/>
        <v>261379416</v>
      </c>
      <c r="J104" s="384">
        <f t="shared" si="105"/>
        <v>184211277</v>
      </c>
      <c r="K104" s="384">
        <f t="shared" si="105"/>
        <v>59882839</v>
      </c>
      <c r="L104" s="384">
        <f t="shared" si="105"/>
        <v>244094116</v>
      </c>
      <c r="M104" s="384">
        <f t="shared" si="105"/>
        <v>20582263</v>
      </c>
      <c r="N104" s="385">
        <f t="shared" si="105"/>
        <v>37867563</v>
      </c>
      <c r="O104" s="67"/>
      <c r="P104" s="288">
        <f>SUM(P105:P111)</f>
        <v>0</v>
      </c>
      <c r="Q104" s="289">
        <f>SUM(Q105:Q111)</f>
        <v>0</v>
      </c>
      <c r="R104" s="101"/>
      <c r="S104" s="257">
        <f>+IF(JUNIO!S104=0,"",JUNIO!S104)</f>
        <v>1020400</v>
      </c>
      <c r="T104" s="546" t="str">
        <f>+IF(JUNIO!T104=0,"",JUNIO!T104)</f>
        <v>Contribuciones Inherentes nómina del Sector Publico</v>
      </c>
      <c r="U104" s="230">
        <f t="shared" ref="U104:AJ104" si="106">U105+U108</f>
        <v>0</v>
      </c>
      <c r="V104" s="231">
        <f t="shared" si="106"/>
        <v>0</v>
      </c>
      <c r="W104" s="231">
        <f t="shared" si="106"/>
        <v>20000000</v>
      </c>
      <c r="X104" s="234">
        <f t="shared" si="106"/>
        <v>20000000</v>
      </c>
      <c r="Y104" s="233">
        <f t="shared" si="106"/>
        <v>18261571</v>
      </c>
      <c r="Z104" s="231">
        <f t="shared" si="106"/>
        <v>0</v>
      </c>
      <c r="AA104" s="234">
        <f t="shared" si="106"/>
        <v>18261571</v>
      </c>
      <c r="AB104" s="233">
        <f t="shared" si="106"/>
        <v>18261571</v>
      </c>
      <c r="AC104" s="231">
        <f t="shared" si="106"/>
        <v>0</v>
      </c>
      <c r="AD104" s="234">
        <f t="shared" si="106"/>
        <v>18261571</v>
      </c>
      <c r="AE104" s="233">
        <f t="shared" si="106"/>
        <v>18261571</v>
      </c>
      <c r="AF104" s="231">
        <f t="shared" si="106"/>
        <v>0</v>
      </c>
      <c r="AG104" s="234">
        <f t="shared" si="106"/>
        <v>18261571</v>
      </c>
      <c r="AH104" s="233">
        <f t="shared" si="106"/>
        <v>1738429</v>
      </c>
      <c r="AI104" s="231">
        <f t="shared" si="106"/>
        <v>1738429</v>
      </c>
      <c r="AJ104" s="232">
        <f t="shared" si="106"/>
        <v>1738429</v>
      </c>
      <c r="AK104" s="101"/>
      <c r="AL104" s="233">
        <f>AL105+AL108</f>
        <v>0</v>
      </c>
      <c r="AM104" s="232">
        <f>AM105+AM108</f>
        <v>0</v>
      </c>
    </row>
    <row r="105" spans="1:39" ht="24.75" customHeight="1">
      <c r="A105" s="394" t="str">
        <f>+IF(JUNIO!A105=0,"",JUNIO!A105)</f>
        <v>1.1.02.05.002.07</v>
      </c>
      <c r="B105" s="397" t="str">
        <f>+IF(JUNIO!B105=0,"",JUNIO!B105)</f>
        <v>Servicios financieros y servicios conexos, servicios inmobiliarios y servicios de leasing (ARRENDAMIENTOS)</v>
      </c>
      <c r="C105" s="268">
        <f>+ENERO!C105</f>
        <v>235000000</v>
      </c>
      <c r="D105" s="205">
        <f>JUNIO!D105+JULIO!P105</f>
        <v>0</v>
      </c>
      <c r="E105" s="205">
        <f>JUNIO!E105+JULIO!Q105</f>
        <v>0</v>
      </c>
      <c r="F105" s="205">
        <f t="shared" ref="F105:F111" si="107">SUM(C105:E105)</f>
        <v>235000000</v>
      </c>
      <c r="G105" s="205">
        <f>JUNIO!I105</f>
        <v>160865103</v>
      </c>
      <c r="H105" s="208">
        <v>29473066</v>
      </c>
      <c r="I105" s="205">
        <f t="shared" ref="I105:I111" si="108">SUM(G105:H105)</f>
        <v>190338169</v>
      </c>
      <c r="J105" s="205">
        <f>JUNIO!L105</f>
        <v>134932434</v>
      </c>
      <c r="K105" s="765">
        <v>44633339</v>
      </c>
      <c r="L105" s="205">
        <f t="shared" ref="L105:L111" si="109">SUM(J105:K105)</f>
        <v>179565773</v>
      </c>
      <c r="M105" s="205">
        <f t="shared" ref="M105:M111" si="110">F105-I105</f>
        <v>44661831</v>
      </c>
      <c r="N105" s="206">
        <f t="shared" ref="N105:N111" si="111">F105-L105</f>
        <v>55434227</v>
      </c>
      <c r="O105" s="67"/>
      <c r="P105" s="204">
        <v>0</v>
      </c>
      <c r="Q105" s="210">
        <v>0</v>
      </c>
      <c r="R105" s="101"/>
      <c r="S105" s="266">
        <f>+IF(JUNIO!S105=0,"",JUNIO!S105)</f>
        <v>1020402</v>
      </c>
      <c r="T105" s="267" t="str">
        <f>+IF(JUNIO!T105=0,"",JUNIO!T105)</f>
        <v>Contribuciones - Otros</v>
      </c>
      <c r="U105" s="373">
        <f t="shared" ref="U105:AJ105" si="112">SUM(U106:U107)</f>
        <v>0</v>
      </c>
      <c r="V105" s="220">
        <f t="shared" si="112"/>
        <v>0</v>
      </c>
      <c r="W105" s="220">
        <f t="shared" si="112"/>
        <v>0</v>
      </c>
      <c r="X105" s="271">
        <f t="shared" si="112"/>
        <v>0</v>
      </c>
      <c r="Y105" s="270">
        <f t="shared" si="112"/>
        <v>0</v>
      </c>
      <c r="Z105" s="300">
        <f t="shared" si="112"/>
        <v>0</v>
      </c>
      <c r="AA105" s="271">
        <f t="shared" si="112"/>
        <v>0</v>
      </c>
      <c r="AB105" s="270">
        <f t="shared" si="112"/>
        <v>0</v>
      </c>
      <c r="AC105" s="300">
        <f t="shared" si="112"/>
        <v>0</v>
      </c>
      <c r="AD105" s="271">
        <f t="shared" si="112"/>
        <v>0</v>
      </c>
      <c r="AE105" s="270">
        <f t="shared" si="112"/>
        <v>0</v>
      </c>
      <c r="AF105" s="300">
        <f t="shared" si="112"/>
        <v>0</v>
      </c>
      <c r="AG105" s="271">
        <f t="shared" si="112"/>
        <v>0</v>
      </c>
      <c r="AH105" s="270">
        <f t="shared" si="112"/>
        <v>0</v>
      </c>
      <c r="AI105" s="220">
        <f t="shared" si="112"/>
        <v>0</v>
      </c>
      <c r="AJ105" s="269">
        <f t="shared" si="112"/>
        <v>0</v>
      </c>
      <c r="AK105" s="216"/>
      <c r="AL105" s="301">
        <f>SUM(AL106:AL107)</f>
        <v>0</v>
      </c>
      <c r="AM105" s="302">
        <f>SUM(AM106:AM107)</f>
        <v>0</v>
      </c>
    </row>
    <row r="106" spans="1:39" ht="24.75" customHeight="1">
      <c r="A106" s="394">
        <f>+IF(JUNIO!A106=0,"",JUNIO!A106)</f>
        <v>1020402</v>
      </c>
      <c r="B106" s="403" t="str">
        <f>+IF(JUNIO!B106=0,"",JUNIO!B106)</f>
        <v/>
      </c>
      <c r="C106" s="268">
        <f>+ENERO!C106</f>
        <v>0</v>
      </c>
      <c r="D106" s="205">
        <f>JUNIO!D106+JULIO!P106</f>
        <v>0</v>
      </c>
      <c r="E106" s="205">
        <f>JUNIO!E106+JULIO!Q106</f>
        <v>0</v>
      </c>
      <c r="F106" s="205">
        <f t="shared" si="107"/>
        <v>0</v>
      </c>
      <c r="G106" s="205">
        <f>JUNIO!I106</f>
        <v>0</v>
      </c>
      <c r="H106" s="208">
        <v>0</v>
      </c>
      <c r="I106" s="205">
        <f t="shared" si="108"/>
        <v>0</v>
      </c>
      <c r="J106" s="205">
        <f>JUNIO!L106</f>
        <v>0</v>
      </c>
      <c r="K106" s="765">
        <v>0</v>
      </c>
      <c r="L106" s="205">
        <f t="shared" si="109"/>
        <v>0</v>
      </c>
      <c r="M106" s="205">
        <f t="shared" si="110"/>
        <v>0</v>
      </c>
      <c r="N106" s="206">
        <f t="shared" si="111"/>
        <v>0</v>
      </c>
      <c r="O106" s="67"/>
      <c r="P106" s="204">
        <v>0</v>
      </c>
      <c r="Q106" s="210">
        <v>0</v>
      </c>
      <c r="R106" s="101"/>
      <c r="S106" s="311" t="str">
        <f>+IF(JUNIO!S106=0,"",JUNIO!S106)</f>
        <v>2.1.1.01.02.007-1</v>
      </c>
      <c r="T106" s="267" t="str">
        <f>+IF(JUNIO!T106=0,"",JUNIO!T106)</f>
        <v>S.E.N.A.</v>
      </c>
      <c r="U106" s="373">
        <f>+ENERO!U106</f>
        <v>0</v>
      </c>
      <c r="V106" s="220">
        <f>JUNIO!V106+JULIO!AL106</f>
        <v>0</v>
      </c>
      <c r="W106" s="220">
        <f>JUNIO!W106+JULIO!AM106</f>
        <v>0</v>
      </c>
      <c r="X106" s="271">
        <f>SUM(U106:W106)</f>
        <v>0</v>
      </c>
      <c r="Y106" s="270">
        <f>JUNIO!AA106</f>
        <v>0</v>
      </c>
      <c r="Z106" s="208">
        <v>0</v>
      </c>
      <c r="AA106" s="271">
        <f>SUM(Y106:Z106)</f>
        <v>0</v>
      </c>
      <c r="AB106" s="270">
        <f>JUNIO!AD106</f>
        <v>0</v>
      </c>
      <c r="AC106" s="208">
        <v>0</v>
      </c>
      <c r="AD106" s="271">
        <f>SUM(AB106:AC106)</f>
        <v>0</v>
      </c>
      <c r="AE106" s="270">
        <f>JUNIO!AG106</f>
        <v>0</v>
      </c>
      <c r="AF106" s="208">
        <v>0</v>
      </c>
      <c r="AG106" s="271">
        <f>SUM(AE106:AF106)</f>
        <v>0</v>
      </c>
      <c r="AH106" s="270">
        <f>X106-AA106</f>
        <v>0</v>
      </c>
      <c r="AI106" s="220">
        <f>X106-AD106</f>
        <v>0</v>
      </c>
      <c r="AJ106" s="269">
        <f>X106-AG106</f>
        <v>0</v>
      </c>
      <c r="AK106" s="101"/>
      <c r="AL106" s="204">
        <v>0</v>
      </c>
      <c r="AM106" s="210">
        <v>0</v>
      </c>
    </row>
    <row r="107" spans="1:39" ht="24.75" customHeight="1">
      <c r="A107" s="394" t="str">
        <f>+IF(JUNIO!A107=0,"",JUNIO!A107)</f>
        <v/>
      </c>
      <c r="B107" s="397" t="str">
        <f>+IF(JUNIO!B107=0,"",JUNIO!B107)</f>
        <v/>
      </c>
      <c r="C107" s="268">
        <f>+ENERO!C107</f>
        <v>0</v>
      </c>
      <c r="D107" s="205">
        <f>JUNIO!D107+JULIO!P107</f>
        <v>0</v>
      </c>
      <c r="E107" s="205">
        <f>JUNIO!E107+JULIO!Q107</f>
        <v>0</v>
      </c>
      <c r="F107" s="205">
        <f t="shared" si="107"/>
        <v>0</v>
      </c>
      <c r="G107" s="205">
        <f>JUNIO!I107</f>
        <v>0</v>
      </c>
      <c r="H107" s="208">
        <v>0</v>
      </c>
      <c r="I107" s="205">
        <f t="shared" si="108"/>
        <v>0</v>
      </c>
      <c r="J107" s="205">
        <f>JUNIO!L107</f>
        <v>0</v>
      </c>
      <c r="K107" s="765">
        <v>0</v>
      </c>
      <c r="L107" s="205">
        <f t="shared" si="109"/>
        <v>0</v>
      </c>
      <c r="M107" s="205">
        <f t="shared" si="110"/>
        <v>0</v>
      </c>
      <c r="N107" s="206">
        <f t="shared" si="111"/>
        <v>0</v>
      </c>
      <c r="O107" s="67"/>
      <c r="P107" s="204">
        <v>0</v>
      </c>
      <c r="Q107" s="210">
        <v>0</v>
      </c>
      <c r="R107" s="101"/>
      <c r="S107" s="311" t="str">
        <f>+IF(JUNIO!S107=0,"",JUNIO!S107)</f>
        <v>2.1.1.01.02.006-1</v>
      </c>
      <c r="T107" s="267" t="str">
        <f>+IF(JUNIO!T107=0,"",JUNIO!T107)</f>
        <v>I.C.B.F.</v>
      </c>
      <c r="U107" s="373">
        <f>+ENERO!U107</f>
        <v>0</v>
      </c>
      <c r="V107" s="220">
        <f>JUNIO!V107+JULIO!AL107</f>
        <v>0</v>
      </c>
      <c r="W107" s="220">
        <f>JUNIO!W107+JULIO!AM107</f>
        <v>0</v>
      </c>
      <c r="X107" s="271">
        <f>SUM(U107:W107)</f>
        <v>0</v>
      </c>
      <c r="Y107" s="270">
        <f>JUNIO!AA107</f>
        <v>0</v>
      </c>
      <c r="Z107" s="208">
        <v>0</v>
      </c>
      <c r="AA107" s="271">
        <f>SUM(Y107:Z107)</f>
        <v>0</v>
      </c>
      <c r="AB107" s="270">
        <f>JUNIO!AD107</f>
        <v>0</v>
      </c>
      <c r="AC107" s="208">
        <v>0</v>
      </c>
      <c r="AD107" s="271">
        <f>SUM(AB107:AC107)</f>
        <v>0</v>
      </c>
      <c r="AE107" s="270">
        <f>JUNIO!AG107</f>
        <v>0</v>
      </c>
      <c r="AF107" s="208">
        <v>0</v>
      </c>
      <c r="AG107" s="271">
        <f>SUM(AE107:AF107)</f>
        <v>0</v>
      </c>
      <c r="AH107" s="270">
        <f>X107-AA107</f>
        <v>0</v>
      </c>
      <c r="AI107" s="220">
        <f>X107-AD107</f>
        <v>0</v>
      </c>
      <c r="AJ107" s="269">
        <f>X107-AG107</f>
        <v>0</v>
      </c>
      <c r="AK107" s="101"/>
      <c r="AL107" s="204">
        <v>0</v>
      </c>
      <c r="AM107" s="210">
        <v>0</v>
      </c>
    </row>
    <row r="108" spans="1:39" ht="24.75" customHeight="1">
      <c r="A108" s="394" t="str">
        <f>+IF(JUNIO!A108=0,"",JUNIO!A108)</f>
        <v/>
      </c>
      <c r="B108" s="397" t="str">
        <f>+IF(JUNIO!B108=0,"",JUNIO!B108)</f>
        <v/>
      </c>
      <c r="C108" s="268">
        <f>+ENERO!C108</f>
        <v>0</v>
      </c>
      <c r="D108" s="205">
        <f>JUNIO!D108+JULIO!P108</f>
        <v>0</v>
      </c>
      <c r="E108" s="205">
        <f>JUNIO!E108+JULIO!Q108</f>
        <v>0</v>
      </c>
      <c r="F108" s="205">
        <f t="shared" si="107"/>
        <v>0</v>
      </c>
      <c r="G108" s="205">
        <f>JUNIO!I108</f>
        <v>0</v>
      </c>
      <c r="H108" s="208">
        <v>0</v>
      </c>
      <c r="I108" s="205">
        <f t="shared" si="108"/>
        <v>0</v>
      </c>
      <c r="J108" s="205">
        <f>JUNIO!L108</f>
        <v>0</v>
      </c>
      <c r="K108" s="765">
        <v>0</v>
      </c>
      <c r="L108" s="205">
        <f t="shared" si="109"/>
        <v>0</v>
      </c>
      <c r="M108" s="205">
        <f t="shared" si="110"/>
        <v>0</v>
      </c>
      <c r="N108" s="206">
        <f t="shared" si="111"/>
        <v>0</v>
      </c>
      <c r="O108" s="67"/>
      <c r="P108" s="204">
        <v>0</v>
      </c>
      <c r="Q108" s="210">
        <v>0</v>
      </c>
      <c r="R108" s="101"/>
      <c r="S108" s="266" t="str">
        <f>+IF(JUNIO!S108=0,"",JUNIO!S108)</f>
        <v>2.1.2.02.02.008.99.04</v>
      </c>
      <c r="T108" s="267" t="str">
        <f>+IF(JUNIO!T108=0,"",JUNIO!T108)</f>
        <v>Vigencias Anteriores Servicios personales administrativos</v>
      </c>
      <c r="U108" s="373">
        <f>+ENERO!U108</f>
        <v>0</v>
      </c>
      <c r="V108" s="220">
        <f>JUNIO!V108+JULIO!AL108</f>
        <v>0</v>
      </c>
      <c r="W108" s="220">
        <f>JUNIO!W108+JULIO!AM108</f>
        <v>20000000</v>
      </c>
      <c r="X108" s="271">
        <f>SUM(U108:W108)</f>
        <v>20000000</v>
      </c>
      <c r="Y108" s="270">
        <f>JUNIO!AA108</f>
        <v>18261571</v>
      </c>
      <c r="Z108" s="208">
        <v>0</v>
      </c>
      <c r="AA108" s="271">
        <f>SUM(Y108:Z108)</f>
        <v>18261571</v>
      </c>
      <c r="AB108" s="270">
        <f>JUNIO!AD108</f>
        <v>18261571</v>
      </c>
      <c r="AC108" s="208">
        <v>0</v>
      </c>
      <c r="AD108" s="271">
        <f>SUM(AB108:AC108)</f>
        <v>18261571</v>
      </c>
      <c r="AE108" s="270">
        <f>JUNIO!AG108</f>
        <v>18261571</v>
      </c>
      <c r="AF108" s="208">
        <v>0</v>
      </c>
      <c r="AG108" s="271">
        <f>SUM(AE108:AF108)</f>
        <v>18261571</v>
      </c>
      <c r="AH108" s="270">
        <f>X108-AA108</f>
        <v>1738429</v>
      </c>
      <c r="AI108" s="220">
        <f>X108-AD108</f>
        <v>1738429</v>
      </c>
      <c r="AJ108" s="269">
        <f>X108-AG108</f>
        <v>1738429</v>
      </c>
      <c r="AK108" s="101"/>
      <c r="AL108" s="204">
        <v>0</v>
      </c>
      <c r="AM108" s="210">
        <v>0</v>
      </c>
    </row>
    <row r="109" spans="1:39" ht="24.75" customHeight="1">
      <c r="A109" s="394" t="str">
        <f>+IF(JUNIO!A109=0,"",JUNIO!A109)</f>
        <v>1.1.02.05.002.08</v>
      </c>
      <c r="B109" s="397" t="str">
        <f>+IF(JUNIO!B109=0,"",JUNIO!B109)</f>
        <v>Servicios prestados a las empresas y servicios de producción(APROVECHAMIENTOS)</v>
      </c>
      <c r="C109" s="268">
        <f>+ENERO!C109</f>
        <v>0</v>
      </c>
      <c r="D109" s="205">
        <f>JUNIO!D109+JULIO!P109</f>
        <v>0</v>
      </c>
      <c r="E109" s="205">
        <f>JUNIO!E109+JULIO!Q109</f>
        <v>27224890</v>
      </c>
      <c r="F109" s="205">
        <f t="shared" si="107"/>
        <v>27224890</v>
      </c>
      <c r="G109" s="205">
        <f>JUNIO!I109</f>
        <v>33460276</v>
      </c>
      <c r="H109" s="208">
        <f>2594682+15249500</f>
        <v>17844182</v>
      </c>
      <c r="I109" s="205">
        <f t="shared" si="108"/>
        <v>51304458</v>
      </c>
      <c r="J109" s="205">
        <f>JUNIO!L109</f>
        <v>29542054</v>
      </c>
      <c r="K109" s="765">
        <v>15249500</v>
      </c>
      <c r="L109" s="205">
        <f t="shared" si="109"/>
        <v>44791554</v>
      </c>
      <c r="M109" s="205">
        <f t="shared" si="110"/>
        <v>-24079568</v>
      </c>
      <c r="N109" s="206">
        <f t="shared" si="111"/>
        <v>-17566664</v>
      </c>
      <c r="O109" s="67"/>
      <c r="P109" s="204">
        <v>0</v>
      </c>
      <c r="Q109" s="210">
        <v>0</v>
      </c>
      <c r="R109" s="101"/>
      <c r="S109" s="189">
        <f>+IF(JUNIO!S109=0,"",JUNIO!S109)</f>
        <v>23625024</v>
      </c>
      <c r="T109" s="488" t="str">
        <f>+IF(JUNIO!T109=0,"",JUNIO!T109)</f>
        <v/>
      </c>
      <c r="U109" s="191"/>
      <c r="V109" s="191"/>
      <c r="W109" s="191"/>
      <c r="X109" s="191"/>
      <c r="Y109" s="191"/>
      <c r="Z109" s="191"/>
      <c r="AA109" s="191"/>
      <c r="AB109" s="191"/>
      <c r="AC109" s="191"/>
      <c r="AD109" s="191"/>
      <c r="AE109" s="191"/>
      <c r="AF109" s="191"/>
      <c r="AG109" s="191"/>
      <c r="AH109" s="191"/>
      <c r="AI109" s="191"/>
      <c r="AJ109" s="192"/>
      <c r="AK109" s="216"/>
      <c r="AL109" s="370"/>
      <c r="AM109" s="371"/>
    </row>
    <row r="110" spans="1:39" ht="24.75" customHeight="1">
      <c r="A110" s="394" t="str">
        <f>+IF(JUNIO!A110=0,"",JUNIO!A110)</f>
        <v>1.1.02.05.002.09</v>
      </c>
      <c r="B110" s="397" t="str">
        <f>+IF(JUNIO!B110=0,"",JUNIO!B110)</f>
        <v>Convenio Docencia Servicio</v>
      </c>
      <c r="C110" s="268">
        <f>+ENERO!C110</f>
        <v>0</v>
      </c>
      <c r="D110" s="205">
        <f>JUNIO!D110+JULIO!P110</f>
        <v>0</v>
      </c>
      <c r="E110" s="205">
        <f>JUNIO!E110+JULIO!Q110</f>
        <v>0</v>
      </c>
      <c r="F110" s="205">
        <f t="shared" si="107"/>
        <v>0</v>
      </c>
      <c r="G110" s="205">
        <f>JUNIO!I110</f>
        <v>0</v>
      </c>
      <c r="H110" s="208">
        <v>0</v>
      </c>
      <c r="I110" s="205">
        <f t="shared" si="108"/>
        <v>0</v>
      </c>
      <c r="J110" s="205">
        <f>JUNIO!L110</f>
        <v>0</v>
      </c>
      <c r="K110" s="208">
        <v>0</v>
      </c>
      <c r="L110" s="205">
        <f t="shared" si="109"/>
        <v>0</v>
      </c>
      <c r="M110" s="205">
        <f t="shared" si="110"/>
        <v>0</v>
      </c>
      <c r="N110" s="206">
        <f t="shared" si="111"/>
        <v>0</v>
      </c>
      <c r="O110" s="67"/>
      <c r="P110" s="204">
        <v>0</v>
      </c>
      <c r="Q110" s="210">
        <v>0</v>
      </c>
      <c r="R110" s="101"/>
      <c r="S110" s="228">
        <f>+IF(JUNIO!S110=0,"",JUNIO!S110)</f>
        <v>2000000</v>
      </c>
      <c r="T110" s="404" t="str">
        <f>+IF(JUNIO!T110=0,"",JUNIO!T110)</f>
        <v>GASTOS GENERALES</v>
      </c>
      <c r="U110" s="405">
        <f t="shared" ref="U110:AJ110" si="113">U112+U145</f>
        <v>21968169670.620834</v>
      </c>
      <c r="V110" s="406">
        <f t="shared" si="113"/>
        <v>-535062130</v>
      </c>
      <c r="W110" s="406">
        <f t="shared" si="113"/>
        <v>628694736</v>
      </c>
      <c r="X110" s="407">
        <f t="shared" si="113"/>
        <v>22061802276.620834</v>
      </c>
      <c r="Y110" s="217">
        <f t="shared" si="113"/>
        <v>11874366807</v>
      </c>
      <c r="Z110" s="406">
        <f t="shared" si="113"/>
        <v>1212227919</v>
      </c>
      <c r="AA110" s="407">
        <f t="shared" si="113"/>
        <v>13086594726</v>
      </c>
      <c r="AB110" s="217">
        <f t="shared" si="113"/>
        <v>8703386978</v>
      </c>
      <c r="AC110" s="406">
        <f t="shared" si="113"/>
        <v>1230075326</v>
      </c>
      <c r="AD110" s="407">
        <f t="shared" si="113"/>
        <v>9933462304</v>
      </c>
      <c r="AE110" s="217">
        <f t="shared" si="113"/>
        <v>6270509828</v>
      </c>
      <c r="AF110" s="406">
        <f t="shared" si="113"/>
        <v>1273683183</v>
      </c>
      <c r="AG110" s="407">
        <f t="shared" si="113"/>
        <v>7544193011</v>
      </c>
      <c r="AH110" s="217">
        <f t="shared" si="113"/>
        <v>8975207550.6208324</v>
      </c>
      <c r="AI110" s="406">
        <f t="shared" si="113"/>
        <v>12128339972.620832</v>
      </c>
      <c r="AJ110" s="218">
        <f t="shared" si="113"/>
        <v>14517609265.620832</v>
      </c>
      <c r="AK110" s="216"/>
      <c r="AL110" s="233">
        <f>AL112+AL145</f>
        <v>-5000000</v>
      </c>
      <c r="AM110" s="232">
        <f>AM112+AM145</f>
        <v>0</v>
      </c>
    </row>
    <row r="111" spans="1:39" ht="24.75" customHeight="1" thickBot="1">
      <c r="A111" s="394" t="str">
        <f>+IF(JUNIO!A111=0,"",JUNIO!A111)</f>
        <v>1.1.02.05.002.07.99</v>
      </c>
      <c r="B111" s="408" t="str">
        <f>+IF(JUNIO!B111=0,"",JUNIO!B111)</f>
        <v>Vigencia anterior Servicios financieros y servicios conexos, servicios inmobiliarios y servicios de leasing (ARRENDAMIENTOS)</v>
      </c>
      <c r="C111" s="391">
        <f>+ENERO!C111</f>
        <v>0</v>
      </c>
      <c r="D111" s="243">
        <f>JUNIO!D111+JULIO!P111</f>
        <v>0</v>
      </c>
      <c r="E111" s="243">
        <f>JUNIO!E111+JULIO!Q111</f>
        <v>19736789</v>
      </c>
      <c r="F111" s="243">
        <f t="shared" si="107"/>
        <v>19736789</v>
      </c>
      <c r="G111" s="243">
        <f>JUNIO!I111</f>
        <v>19736789</v>
      </c>
      <c r="H111" s="246">
        <v>0</v>
      </c>
      <c r="I111" s="243">
        <f t="shared" si="108"/>
        <v>19736789</v>
      </c>
      <c r="J111" s="243">
        <f>JUNIO!L111</f>
        <v>19736789</v>
      </c>
      <c r="K111" s="246">
        <v>0</v>
      </c>
      <c r="L111" s="243">
        <f t="shared" si="109"/>
        <v>19736789</v>
      </c>
      <c r="M111" s="243">
        <f t="shared" si="110"/>
        <v>0</v>
      </c>
      <c r="N111" s="244">
        <f t="shared" si="111"/>
        <v>0</v>
      </c>
      <c r="O111" s="67"/>
      <c r="P111" s="204">
        <v>0</v>
      </c>
      <c r="Q111" s="210">
        <v>0</v>
      </c>
      <c r="R111" s="101"/>
      <c r="S111" s="189">
        <f>+IF(JUNIO!S111=0,"",JUNIO!S111)</f>
        <v>18355520</v>
      </c>
      <c r="T111" s="488" t="str">
        <f>+IF(JUNIO!T111=0,"",JUNIO!T111)</f>
        <v/>
      </c>
      <c r="U111" s="191"/>
      <c r="V111" s="191"/>
      <c r="W111" s="191"/>
      <c r="X111" s="191"/>
      <c r="Y111" s="191"/>
      <c r="Z111" s="191"/>
      <c r="AA111" s="191"/>
      <c r="AB111" s="191"/>
      <c r="AC111" s="191"/>
      <c r="AD111" s="191"/>
      <c r="AE111" s="191"/>
      <c r="AF111" s="191"/>
      <c r="AG111" s="191"/>
      <c r="AH111" s="191"/>
      <c r="AI111" s="191"/>
      <c r="AJ111" s="192"/>
      <c r="AK111" s="101"/>
      <c r="AL111" s="194"/>
      <c r="AM111" s="195"/>
    </row>
    <row r="112" spans="1:39" ht="24.75" customHeight="1" thickBot="1">
      <c r="A112" s="398">
        <f>+IF(JUNIO!A112=0,"",JUNIO!A112)</f>
        <v>18355520</v>
      </c>
      <c r="B112" s="399">
        <f>+IF(JUNIO!B112=0,"",JUNIO!B112)</f>
        <v>18355520</v>
      </c>
      <c r="C112" s="400"/>
      <c r="D112" s="400"/>
      <c r="E112" s="400"/>
      <c r="F112" s="400"/>
      <c r="G112" s="400"/>
      <c r="H112" s="400"/>
      <c r="I112" s="400"/>
      <c r="J112" s="400"/>
      <c r="K112" s="400"/>
      <c r="L112" s="400"/>
      <c r="M112" s="400"/>
      <c r="N112" s="401"/>
      <c r="O112" s="67"/>
      <c r="P112" s="402"/>
      <c r="Q112" s="401"/>
      <c r="R112" s="101"/>
      <c r="S112" s="228">
        <f>+IF(JUNIO!S112=0,"",JUNIO!S112)</f>
        <v>2010000</v>
      </c>
      <c r="T112" s="229" t="str">
        <f>+IF(JUNIO!T112=0,"",JUNIO!T112)</f>
        <v>Gastos de Administración</v>
      </c>
      <c r="U112" s="230">
        <f t="shared" ref="U112:AJ112" si="114">U114+U123+U141</f>
        <v>10075238362.444445</v>
      </c>
      <c r="V112" s="231">
        <f t="shared" si="114"/>
        <v>-730062130</v>
      </c>
      <c r="W112" s="231">
        <f t="shared" si="114"/>
        <v>169879991</v>
      </c>
      <c r="X112" s="234">
        <f t="shared" si="114"/>
        <v>9515056223.4444447</v>
      </c>
      <c r="Y112" s="233">
        <f t="shared" si="114"/>
        <v>6495420751</v>
      </c>
      <c r="Z112" s="231">
        <f t="shared" si="114"/>
        <v>470418508</v>
      </c>
      <c r="AA112" s="234">
        <f t="shared" si="114"/>
        <v>6965839259</v>
      </c>
      <c r="AB112" s="233">
        <f t="shared" si="114"/>
        <v>4760920226</v>
      </c>
      <c r="AC112" s="231">
        <f t="shared" si="114"/>
        <v>622867666</v>
      </c>
      <c r="AD112" s="234">
        <f t="shared" si="114"/>
        <v>5383787892</v>
      </c>
      <c r="AE112" s="233">
        <f t="shared" si="114"/>
        <v>3965504856</v>
      </c>
      <c r="AF112" s="231">
        <f t="shared" si="114"/>
        <v>802137251</v>
      </c>
      <c r="AG112" s="234">
        <f t="shared" si="114"/>
        <v>4767642107</v>
      </c>
      <c r="AH112" s="233">
        <f t="shared" si="114"/>
        <v>2549216964.4444442</v>
      </c>
      <c r="AI112" s="231">
        <f t="shared" si="114"/>
        <v>4131268331.4444442</v>
      </c>
      <c r="AJ112" s="232">
        <f t="shared" si="114"/>
        <v>4747414116.4444447</v>
      </c>
      <c r="AK112" s="101"/>
      <c r="AL112" s="233">
        <f>AL114+AL123+AL141</f>
        <v>-5000000</v>
      </c>
      <c r="AM112" s="232">
        <f>AM114+AM123+AM141</f>
        <v>0</v>
      </c>
    </row>
    <row r="113" spans="1:39" ht="24.75" customHeight="1" thickBot="1">
      <c r="A113" s="123">
        <f>+IF(JUNIO!A113=0,"",JUNIO!A113)</f>
        <v>2000</v>
      </c>
      <c r="B113" s="265" t="str">
        <f>+IF(JUNIO!B113=0,"",JUNIO!B113)</f>
        <v>INGRESOS DE CAPITAL</v>
      </c>
      <c r="C113" s="409">
        <f t="shared" ref="C113:N113" si="115">SUM(C115:C124)</f>
        <v>0</v>
      </c>
      <c r="D113" s="410">
        <f t="shared" si="115"/>
        <v>0</v>
      </c>
      <c r="E113" s="410">
        <f t="shared" si="115"/>
        <v>0</v>
      </c>
      <c r="F113" s="410">
        <f t="shared" si="115"/>
        <v>0</v>
      </c>
      <c r="G113" s="410">
        <f t="shared" si="115"/>
        <v>0</v>
      </c>
      <c r="H113" s="410">
        <f t="shared" si="115"/>
        <v>0</v>
      </c>
      <c r="I113" s="410">
        <f t="shared" si="115"/>
        <v>0</v>
      </c>
      <c r="J113" s="410">
        <f t="shared" si="115"/>
        <v>0</v>
      </c>
      <c r="K113" s="410">
        <f t="shared" si="115"/>
        <v>0</v>
      </c>
      <c r="L113" s="410">
        <f t="shared" si="115"/>
        <v>0</v>
      </c>
      <c r="M113" s="410">
        <f t="shared" si="115"/>
        <v>0</v>
      </c>
      <c r="N113" s="411">
        <f t="shared" si="115"/>
        <v>0</v>
      </c>
      <c r="O113" s="369"/>
      <c r="P113" s="171">
        <f>SUM(P115:P124)</f>
        <v>0</v>
      </c>
      <c r="Q113" s="173">
        <f>SUM(Q115:Q124)</f>
        <v>0</v>
      </c>
      <c r="R113" s="101"/>
      <c r="S113" s="189">
        <f>+IF(JUNIO!S113=0,"",JUNIO!S113)</f>
        <v>2000</v>
      </c>
      <c r="T113" s="488" t="str">
        <f>+IF(JUNIO!T113=0,"",JUNIO!T113)</f>
        <v/>
      </c>
      <c r="U113" s="191"/>
      <c r="V113" s="191"/>
      <c r="W113" s="191"/>
      <c r="X113" s="191"/>
      <c r="Y113" s="191"/>
      <c r="Z113" s="191"/>
      <c r="AA113" s="191"/>
      <c r="AB113" s="191"/>
      <c r="AC113" s="191"/>
      <c r="AD113" s="191"/>
      <c r="AE113" s="191"/>
      <c r="AF113" s="191"/>
      <c r="AG113" s="191"/>
      <c r="AH113" s="191"/>
      <c r="AI113" s="191"/>
      <c r="AJ113" s="192"/>
      <c r="AK113" s="101"/>
      <c r="AL113" s="194"/>
      <c r="AM113" s="195"/>
    </row>
    <row r="114" spans="1:39" ht="24.75" customHeight="1" thickBot="1">
      <c r="A114" s="398">
        <f>+IF(JUNIO!A114=0,"",JUNIO!A114)</f>
        <v>2000</v>
      </c>
      <c r="B114" s="399">
        <f>+IF(JUNIO!B114=0,"",JUNIO!B114)</f>
        <v>2000</v>
      </c>
      <c r="C114" s="400"/>
      <c r="D114" s="400"/>
      <c r="E114" s="400"/>
      <c r="F114" s="400"/>
      <c r="G114" s="400"/>
      <c r="H114" s="400"/>
      <c r="I114" s="400"/>
      <c r="J114" s="400"/>
      <c r="K114" s="400"/>
      <c r="L114" s="400"/>
      <c r="M114" s="400"/>
      <c r="N114" s="401"/>
      <c r="O114" s="67"/>
      <c r="P114" s="402"/>
      <c r="Q114" s="401"/>
      <c r="R114" s="101"/>
      <c r="S114" s="257">
        <f>+IF(JUNIO!S114=0,"",JUNIO!S114)</f>
        <v>2010100</v>
      </c>
      <c r="T114" s="546" t="str">
        <f>+IF(JUNIO!T114=0,"",JUNIO!T114)</f>
        <v>Adquisición de bienes</v>
      </c>
      <c r="U114" s="230">
        <f t="shared" ref="U114:AJ114" si="116">SUM(U115:U121)</f>
        <v>1246863273.1666665</v>
      </c>
      <c r="V114" s="231">
        <f t="shared" si="116"/>
        <v>0</v>
      </c>
      <c r="W114" s="231">
        <f t="shared" si="116"/>
        <v>0</v>
      </c>
      <c r="X114" s="234">
        <f t="shared" si="116"/>
        <v>1246863273.1666665</v>
      </c>
      <c r="Y114" s="233">
        <f t="shared" si="116"/>
        <v>369450165</v>
      </c>
      <c r="Z114" s="231">
        <f t="shared" si="116"/>
        <v>23908950</v>
      </c>
      <c r="AA114" s="234">
        <f t="shared" si="116"/>
        <v>393359115</v>
      </c>
      <c r="AB114" s="233">
        <f t="shared" si="116"/>
        <v>305096239</v>
      </c>
      <c r="AC114" s="231">
        <f t="shared" si="116"/>
        <v>23048352</v>
      </c>
      <c r="AD114" s="234">
        <f t="shared" si="116"/>
        <v>328144591</v>
      </c>
      <c r="AE114" s="233">
        <f t="shared" si="116"/>
        <v>230995110</v>
      </c>
      <c r="AF114" s="231">
        <f t="shared" si="116"/>
        <v>11801176</v>
      </c>
      <c r="AG114" s="234">
        <f t="shared" si="116"/>
        <v>242796286</v>
      </c>
      <c r="AH114" s="233">
        <f t="shared" si="116"/>
        <v>853504158.16666663</v>
      </c>
      <c r="AI114" s="231">
        <f t="shared" si="116"/>
        <v>918718682.16666663</v>
      </c>
      <c r="AJ114" s="232">
        <f t="shared" si="116"/>
        <v>1004066987.1666666</v>
      </c>
      <c r="AK114" s="101"/>
      <c r="AL114" s="233">
        <f>SUM(AL115:AL121)</f>
        <v>0</v>
      </c>
      <c r="AM114" s="232">
        <f>SUM(AM115:AM121)</f>
        <v>0</v>
      </c>
    </row>
    <row r="115" spans="1:39" ht="24.75" customHeight="1">
      <c r="A115" s="412">
        <f>+IF(JUNIO!A115=0,"",JUNIO!A115)</f>
        <v>2100</v>
      </c>
      <c r="B115" s="387" t="str">
        <f>+IF(JUNIO!B115=0,"",JUNIO!B115)</f>
        <v>CREDITO INTERNO</v>
      </c>
      <c r="C115" s="204">
        <f>+ENERO!C115</f>
        <v>0</v>
      </c>
      <c r="D115" s="413">
        <f>JUNIO!D115+JULIO!P115</f>
        <v>0</v>
      </c>
      <c r="E115" s="413">
        <f>JUNIO!E115+JULIO!Q115</f>
        <v>0</v>
      </c>
      <c r="F115" s="414">
        <f t="shared" ref="F115:F124" si="117">SUM(C115:E115)</f>
        <v>0</v>
      </c>
      <c r="G115" s="415">
        <f>JUNIO!I115</f>
        <v>0</v>
      </c>
      <c r="H115" s="208">
        <v>0</v>
      </c>
      <c r="I115" s="414">
        <f t="shared" ref="I115:I124" si="118">SUM(G115:H115)</f>
        <v>0</v>
      </c>
      <c r="J115" s="415">
        <f>JUNIO!L115</f>
        <v>0</v>
      </c>
      <c r="K115" s="208">
        <v>0</v>
      </c>
      <c r="L115" s="416">
        <f t="shared" ref="L115:L124" si="119">SUM(J115:K115)</f>
        <v>0</v>
      </c>
      <c r="M115" s="417">
        <f t="shared" ref="M115:M124" si="120">F115-I115</f>
        <v>0</v>
      </c>
      <c r="N115" s="416">
        <f t="shared" ref="N115:N124" si="121">F115-L115</f>
        <v>0</v>
      </c>
      <c r="O115" s="369"/>
      <c r="P115" s="204">
        <v>0</v>
      </c>
      <c r="Q115" s="210">
        <v>0</v>
      </c>
      <c r="R115" s="101"/>
      <c r="S115" s="266" t="str">
        <f>+IF(JUNIO!S115=0,"",JUNIO!S115)</f>
        <v>2.1.2.02.01.003.302</v>
      </c>
      <c r="T115" s="267" t="str">
        <f>+IF(JUNIO!T115=0,"",JUNIO!T115)</f>
        <v>Papeleria</v>
      </c>
      <c r="U115" s="373">
        <f>+ENERO!U115</f>
        <v>252782338.5</v>
      </c>
      <c r="V115" s="220">
        <f>JUNIO!V115+JULIO!AL115</f>
        <v>0</v>
      </c>
      <c r="W115" s="220">
        <f>JUNIO!W115+JULIO!AM115</f>
        <v>0</v>
      </c>
      <c r="X115" s="271">
        <f t="shared" ref="X115:X121" si="122">SUM(U115:W115)</f>
        <v>252782338.5</v>
      </c>
      <c r="Y115" s="270">
        <f>JUNIO!AA115</f>
        <v>135739259</v>
      </c>
      <c r="Z115" s="208">
        <v>23908950</v>
      </c>
      <c r="AA115" s="271">
        <f t="shared" ref="AA115:AA121" si="123">SUM(Y115:Z115)</f>
        <v>159648209</v>
      </c>
      <c r="AB115" s="270">
        <f>JUNIO!AD115</f>
        <v>111785931</v>
      </c>
      <c r="AC115" s="208">
        <v>19883600</v>
      </c>
      <c r="AD115" s="271">
        <f t="shared" ref="AD115:AD121" si="124">SUM(AB115:AC115)</f>
        <v>131669531</v>
      </c>
      <c r="AE115" s="270">
        <f>JUNIO!AG115</f>
        <v>42394421</v>
      </c>
      <c r="AF115" s="208">
        <v>8454910</v>
      </c>
      <c r="AG115" s="271">
        <f t="shared" ref="AG115:AG121" si="125">SUM(AE115:AF115)</f>
        <v>50849331</v>
      </c>
      <c r="AH115" s="270">
        <f t="shared" ref="AH115:AH121" si="126">X115-AA115</f>
        <v>93134129.5</v>
      </c>
      <c r="AI115" s="220">
        <f t="shared" ref="AI115:AI121" si="127">X115-AD115</f>
        <v>121112807.5</v>
      </c>
      <c r="AJ115" s="269">
        <f t="shared" ref="AJ115:AJ121" si="128">X115-AG115</f>
        <v>201933007.5</v>
      </c>
      <c r="AK115" s="101"/>
      <c r="AL115" s="204">
        <v>0</v>
      </c>
      <c r="AM115" s="210">
        <v>0</v>
      </c>
    </row>
    <row r="116" spans="1:39" ht="24.75" customHeight="1">
      <c r="A116" s="412" t="str">
        <f>+IF(JUNIO!A116=0,"",JUNIO!A116)</f>
        <v>2100-1</v>
      </c>
      <c r="B116" s="388" t="str">
        <f>+IF(JUNIO!B116=0,"",JUNIO!B116)</f>
        <v>Vigencia Anterior</v>
      </c>
      <c r="C116" s="204">
        <f>+ENERO!C116</f>
        <v>0</v>
      </c>
      <c r="D116" s="413">
        <f>JUNIO!D116+JULIO!P116</f>
        <v>0</v>
      </c>
      <c r="E116" s="413">
        <f>JUNIO!E116+JULIO!Q116</f>
        <v>0</v>
      </c>
      <c r="F116" s="414">
        <f t="shared" si="117"/>
        <v>0</v>
      </c>
      <c r="G116" s="415">
        <f>JUNIO!I116</f>
        <v>0</v>
      </c>
      <c r="H116" s="208">
        <v>0</v>
      </c>
      <c r="I116" s="414">
        <f t="shared" si="118"/>
        <v>0</v>
      </c>
      <c r="J116" s="415">
        <f>JUNIO!L116</f>
        <v>0</v>
      </c>
      <c r="K116" s="208">
        <v>0</v>
      </c>
      <c r="L116" s="416">
        <f t="shared" si="119"/>
        <v>0</v>
      </c>
      <c r="M116" s="417">
        <f t="shared" si="120"/>
        <v>0</v>
      </c>
      <c r="N116" s="416">
        <f t="shared" si="121"/>
        <v>0</v>
      </c>
      <c r="O116" s="369"/>
      <c r="P116" s="204">
        <v>0</v>
      </c>
      <c r="Q116" s="210">
        <v>0</v>
      </c>
      <c r="R116" s="101"/>
      <c r="S116" s="266" t="str">
        <f>+IF(JUNIO!S116=0,"",JUNIO!S116)</f>
        <v>2.1.2.02.01.003.301</v>
      </c>
      <c r="T116" s="267" t="str">
        <f>+IF(JUNIO!T116=0,"",JUNIO!T116)</f>
        <v>Combustible</v>
      </c>
      <c r="U116" s="373">
        <f>+ENERO!U116</f>
        <v>77916666.666666657</v>
      </c>
      <c r="V116" s="220">
        <f>JUNIO!V116+JULIO!AL116</f>
        <v>0</v>
      </c>
      <c r="W116" s="220">
        <f>JUNIO!W116+JULIO!AM116</f>
        <v>0</v>
      </c>
      <c r="X116" s="271">
        <f t="shared" si="122"/>
        <v>77916666.666666657</v>
      </c>
      <c r="Y116" s="270">
        <f>JUNIO!AA116</f>
        <v>60000000</v>
      </c>
      <c r="Z116" s="208">
        <v>0</v>
      </c>
      <c r="AA116" s="271">
        <f t="shared" si="123"/>
        <v>60000000</v>
      </c>
      <c r="AB116" s="270">
        <f>JUNIO!AD116</f>
        <v>19599402</v>
      </c>
      <c r="AC116" s="208">
        <v>3164752</v>
      </c>
      <c r="AD116" s="271">
        <f t="shared" si="124"/>
        <v>22764154</v>
      </c>
      <c r="AE116" s="270">
        <f>JUNIO!AG116</f>
        <v>14889783</v>
      </c>
      <c r="AF116" s="208">
        <v>3346266</v>
      </c>
      <c r="AG116" s="271">
        <f t="shared" si="125"/>
        <v>18236049</v>
      </c>
      <c r="AH116" s="270">
        <f t="shared" si="126"/>
        <v>17916666.666666657</v>
      </c>
      <c r="AI116" s="220">
        <f t="shared" si="127"/>
        <v>55152512.666666657</v>
      </c>
      <c r="AJ116" s="269">
        <f t="shared" si="128"/>
        <v>59680617.666666657</v>
      </c>
      <c r="AK116" s="101"/>
      <c r="AL116" s="204">
        <v>0</v>
      </c>
      <c r="AM116" s="210">
        <v>0</v>
      </c>
    </row>
    <row r="117" spans="1:39" ht="24.75" customHeight="1">
      <c r="A117" s="412">
        <f>+IF(JUNIO!A117=0,"",JUNIO!A117)</f>
        <v>2200</v>
      </c>
      <c r="B117" s="387" t="str">
        <f>+IF(JUNIO!B117=0,"",JUNIO!B117)</f>
        <v>CREDITO EXTERNO</v>
      </c>
      <c r="C117" s="204">
        <f>+ENERO!C117</f>
        <v>0</v>
      </c>
      <c r="D117" s="413">
        <f>JUNIO!D117+JULIO!P117</f>
        <v>0</v>
      </c>
      <c r="E117" s="413">
        <f>JUNIO!E117+JULIO!Q117</f>
        <v>0</v>
      </c>
      <c r="F117" s="414">
        <f t="shared" si="117"/>
        <v>0</v>
      </c>
      <c r="G117" s="415">
        <f>JUNIO!I117</f>
        <v>0</v>
      </c>
      <c r="H117" s="208">
        <v>0</v>
      </c>
      <c r="I117" s="414">
        <f t="shared" si="118"/>
        <v>0</v>
      </c>
      <c r="J117" s="415">
        <f>JUNIO!L117</f>
        <v>0</v>
      </c>
      <c r="K117" s="208">
        <v>0</v>
      </c>
      <c r="L117" s="416">
        <f t="shared" si="119"/>
        <v>0</v>
      </c>
      <c r="M117" s="417">
        <f t="shared" si="120"/>
        <v>0</v>
      </c>
      <c r="N117" s="416">
        <f t="shared" si="121"/>
        <v>0</v>
      </c>
      <c r="O117" s="369"/>
      <c r="P117" s="204">
        <v>0</v>
      </c>
      <c r="Q117" s="210">
        <v>0</v>
      </c>
      <c r="R117" s="101"/>
      <c r="S117" s="266" t="str">
        <f>+IF(JUNIO!S117=0,"",JUNIO!S117)</f>
        <v>2.1.3.07.02.031</v>
      </c>
      <c r="T117" s="267" t="str">
        <f>+IF(JUNIO!T117=0,"",JUNIO!T117)</f>
        <v>Programa de Salud Ocupacional</v>
      </c>
      <c r="U117" s="373">
        <f>+ENERO!U117</f>
        <v>20000000</v>
      </c>
      <c r="V117" s="220">
        <f>JUNIO!V117+JULIO!AL117</f>
        <v>0</v>
      </c>
      <c r="W117" s="220">
        <f>JUNIO!W117+JULIO!AM117</f>
        <v>0</v>
      </c>
      <c r="X117" s="271">
        <f t="shared" si="122"/>
        <v>20000000</v>
      </c>
      <c r="Y117" s="270">
        <f>JUNIO!AA117</f>
        <v>0</v>
      </c>
      <c r="Z117" s="208">
        <v>0</v>
      </c>
      <c r="AA117" s="271">
        <f t="shared" si="123"/>
        <v>0</v>
      </c>
      <c r="AB117" s="270">
        <f>JUNIO!AD117</f>
        <v>0</v>
      </c>
      <c r="AC117" s="208">
        <v>0</v>
      </c>
      <c r="AD117" s="271">
        <f t="shared" si="124"/>
        <v>0</v>
      </c>
      <c r="AE117" s="270">
        <f>JUNIO!AG117</f>
        <v>0</v>
      </c>
      <c r="AF117" s="208">
        <v>0</v>
      </c>
      <c r="AG117" s="271">
        <f t="shared" si="125"/>
        <v>0</v>
      </c>
      <c r="AH117" s="270">
        <f t="shared" si="126"/>
        <v>20000000</v>
      </c>
      <c r="AI117" s="220">
        <f t="shared" si="127"/>
        <v>20000000</v>
      </c>
      <c r="AJ117" s="269">
        <f t="shared" si="128"/>
        <v>20000000</v>
      </c>
      <c r="AK117" s="101"/>
      <c r="AL117" s="204">
        <v>0</v>
      </c>
      <c r="AM117" s="210">
        <v>0</v>
      </c>
    </row>
    <row r="118" spans="1:39" ht="24.75" customHeight="1">
      <c r="A118" s="412" t="str">
        <f>+IF(JUNIO!A118=0,"",JUNIO!A118)</f>
        <v>2200-1</v>
      </c>
      <c r="B118" s="388" t="str">
        <f>+IF(JUNIO!B118=0,"",JUNIO!B118)</f>
        <v>Vigencia Anterior</v>
      </c>
      <c r="C118" s="204">
        <f>+ENERO!C118</f>
        <v>0</v>
      </c>
      <c r="D118" s="413">
        <f>JUNIO!D118+JULIO!P118</f>
        <v>0</v>
      </c>
      <c r="E118" s="413">
        <f>JUNIO!E118+JULIO!Q118</f>
        <v>0</v>
      </c>
      <c r="F118" s="414">
        <f t="shared" si="117"/>
        <v>0</v>
      </c>
      <c r="G118" s="415">
        <f>JUNIO!I118</f>
        <v>0</v>
      </c>
      <c r="H118" s="208">
        <v>0</v>
      </c>
      <c r="I118" s="414">
        <f t="shared" si="118"/>
        <v>0</v>
      </c>
      <c r="J118" s="415">
        <f>JUNIO!L118</f>
        <v>0</v>
      </c>
      <c r="K118" s="208">
        <v>0</v>
      </c>
      <c r="L118" s="416">
        <f t="shared" si="119"/>
        <v>0</v>
      </c>
      <c r="M118" s="417">
        <f t="shared" si="120"/>
        <v>0</v>
      </c>
      <c r="N118" s="416">
        <f t="shared" si="121"/>
        <v>0</v>
      </c>
      <c r="O118" s="369"/>
      <c r="P118" s="204">
        <v>0</v>
      </c>
      <c r="Q118" s="210">
        <v>0</v>
      </c>
      <c r="R118" s="101"/>
      <c r="S118" s="266" t="str">
        <f>+IF(JUNIO!S118=0,"",JUNIO!S118)</f>
        <v>2.1.2.02.01.003.307</v>
      </c>
      <c r="T118" s="267" t="str">
        <f>+IF(JUNIO!T118=0,"",JUNIO!T118)</f>
        <v>Mantenimiento - Bienes Ambiental y Sanitaria</v>
      </c>
      <c r="U118" s="373">
        <f>+ENERO!U118</f>
        <v>15180000</v>
      </c>
      <c r="V118" s="220">
        <f>JUNIO!V118+JULIO!AL118</f>
        <v>0</v>
      </c>
      <c r="W118" s="220">
        <f>JUNIO!W118+JULIO!AM118</f>
        <v>0</v>
      </c>
      <c r="X118" s="271">
        <f t="shared" si="122"/>
        <v>15180000</v>
      </c>
      <c r="Y118" s="270">
        <f>JUNIO!AA118</f>
        <v>0</v>
      </c>
      <c r="Z118" s="208">
        <v>0</v>
      </c>
      <c r="AA118" s="271">
        <f t="shared" si="123"/>
        <v>0</v>
      </c>
      <c r="AB118" s="270">
        <f>JUNIO!AD118</f>
        <v>0</v>
      </c>
      <c r="AC118" s="208">
        <v>0</v>
      </c>
      <c r="AD118" s="271">
        <f t="shared" si="124"/>
        <v>0</v>
      </c>
      <c r="AE118" s="270">
        <f>JUNIO!AG118</f>
        <v>0</v>
      </c>
      <c r="AF118" s="208">
        <v>0</v>
      </c>
      <c r="AG118" s="271">
        <f t="shared" si="125"/>
        <v>0</v>
      </c>
      <c r="AH118" s="270">
        <f t="shared" si="126"/>
        <v>15180000</v>
      </c>
      <c r="AI118" s="220">
        <f t="shared" si="127"/>
        <v>15180000</v>
      </c>
      <c r="AJ118" s="269">
        <f t="shared" si="128"/>
        <v>15180000</v>
      </c>
      <c r="AK118" s="101"/>
      <c r="AL118" s="204">
        <v>0</v>
      </c>
      <c r="AM118" s="210">
        <v>0</v>
      </c>
    </row>
    <row r="119" spans="1:39" ht="24.75" customHeight="1">
      <c r="A119" s="412" t="str">
        <f>+IF(JUNIO!A119=0,"",JUNIO!A119)</f>
        <v>1.2.05.02</v>
      </c>
      <c r="B119" s="387" t="str">
        <f>+IF(JUNIO!B119=0,"",JUNIO!B119)</f>
        <v>Depositos (RENDIMIENTOS FINANCIEROS)</v>
      </c>
      <c r="C119" s="204">
        <f>+ENERO!C119</f>
        <v>0</v>
      </c>
      <c r="D119" s="413">
        <f>JUNIO!D119+JULIO!P119</f>
        <v>0</v>
      </c>
      <c r="E119" s="413">
        <f>JUNIO!E119+JULIO!Q119</f>
        <v>0</v>
      </c>
      <c r="F119" s="414">
        <f t="shared" si="117"/>
        <v>0</v>
      </c>
      <c r="G119" s="207">
        <f>JUNIO!I119</f>
        <v>0</v>
      </c>
      <c r="H119" s="208">
        <v>0</v>
      </c>
      <c r="I119" s="419">
        <f t="shared" si="118"/>
        <v>0</v>
      </c>
      <c r="J119" s="207">
        <f>JUNIO!L119</f>
        <v>0</v>
      </c>
      <c r="K119" s="208">
        <v>0</v>
      </c>
      <c r="L119" s="206">
        <f t="shared" si="119"/>
        <v>0</v>
      </c>
      <c r="M119" s="420">
        <f t="shared" si="120"/>
        <v>0</v>
      </c>
      <c r="N119" s="206">
        <f t="shared" si="121"/>
        <v>0</v>
      </c>
      <c r="O119" s="369"/>
      <c r="P119" s="204">
        <v>0</v>
      </c>
      <c r="Q119" s="210">
        <v>0</v>
      </c>
      <c r="R119" s="101"/>
      <c r="S119" s="266" t="str">
        <f>+IF(JUNIO!S119=0,"",JUNIO!S119)</f>
        <v>2.1.2.02.01.003.305</v>
      </c>
      <c r="T119" s="267" t="str">
        <f>+IF(JUNIO!T119=0,"",JUNIO!T119)</f>
        <v>Mantenimiento -  Partes, accesorios, herramientas</v>
      </c>
      <c r="U119" s="373">
        <f>+ENERO!U119</f>
        <v>0</v>
      </c>
      <c r="V119" s="220">
        <f>JUNIO!V119+JULIO!AL119</f>
        <v>0</v>
      </c>
      <c r="W119" s="220">
        <f>JUNIO!W119+JULIO!AM119</f>
        <v>0</v>
      </c>
      <c r="X119" s="271">
        <f t="shared" si="122"/>
        <v>0</v>
      </c>
      <c r="Y119" s="270">
        <f>JUNIO!AA119</f>
        <v>0</v>
      </c>
      <c r="Z119" s="208">
        <v>0</v>
      </c>
      <c r="AA119" s="271">
        <f t="shared" si="123"/>
        <v>0</v>
      </c>
      <c r="AB119" s="270">
        <f>JUNIO!AD119</f>
        <v>0</v>
      </c>
      <c r="AC119" s="208">
        <v>0</v>
      </c>
      <c r="AD119" s="271">
        <f t="shared" si="124"/>
        <v>0</v>
      </c>
      <c r="AE119" s="270">
        <f>JUNIO!AG119</f>
        <v>0</v>
      </c>
      <c r="AF119" s="208">
        <v>0</v>
      </c>
      <c r="AG119" s="271">
        <f t="shared" si="125"/>
        <v>0</v>
      </c>
      <c r="AH119" s="270">
        <f t="shared" si="126"/>
        <v>0</v>
      </c>
      <c r="AI119" s="220">
        <f t="shared" si="127"/>
        <v>0</v>
      </c>
      <c r="AJ119" s="269">
        <f t="shared" si="128"/>
        <v>0</v>
      </c>
      <c r="AK119" s="101"/>
      <c r="AL119" s="204">
        <v>0</v>
      </c>
      <c r="AM119" s="210">
        <v>0</v>
      </c>
    </row>
    <row r="120" spans="1:39" ht="24.75" customHeight="1">
      <c r="A120" s="421">
        <f>+IF(JUNIO!A120=0,"",JUNIO!A120)</f>
        <v>2400</v>
      </c>
      <c r="B120" s="388" t="str">
        <f>+IF(JUNIO!B120=0,"",JUNIO!B120)</f>
        <v>VENTA DE ACTIVOS</v>
      </c>
      <c r="C120" s="204">
        <f>+ENERO!C120</f>
        <v>0</v>
      </c>
      <c r="D120" s="413">
        <f>JUNIO!D120+JULIO!P120</f>
        <v>0</v>
      </c>
      <c r="E120" s="413">
        <f>JUNIO!E120+JULIO!Q120</f>
        <v>0</v>
      </c>
      <c r="F120" s="414">
        <f t="shared" si="117"/>
        <v>0</v>
      </c>
      <c r="G120" s="207">
        <f>JUNIO!I120</f>
        <v>0</v>
      </c>
      <c r="H120" s="208">
        <v>0</v>
      </c>
      <c r="I120" s="419">
        <f t="shared" si="118"/>
        <v>0</v>
      </c>
      <c r="J120" s="207">
        <f>JUNIO!L120</f>
        <v>0</v>
      </c>
      <c r="K120" s="208">
        <v>0</v>
      </c>
      <c r="L120" s="206">
        <f t="shared" si="119"/>
        <v>0</v>
      </c>
      <c r="M120" s="420">
        <f t="shared" si="120"/>
        <v>0</v>
      </c>
      <c r="N120" s="206">
        <f t="shared" si="121"/>
        <v>0</v>
      </c>
      <c r="O120" s="67"/>
      <c r="P120" s="204">
        <v>0</v>
      </c>
      <c r="Q120" s="210">
        <v>0</v>
      </c>
      <c r="R120" s="101"/>
      <c r="S120" s="266" t="str">
        <f>+IF(JUNIO!S120=0,"",JUNIO!S120)</f>
        <v>2.1.2.02.01.003.308</v>
      </c>
      <c r="T120" s="267" t="str">
        <f>+IF(JUNIO!T120=0,"",JUNIO!T120)</f>
        <v>Mantenimiento - Bienes Adecuaciones locativas</v>
      </c>
      <c r="U120" s="373">
        <f>+ENERO!U120</f>
        <v>704984268</v>
      </c>
      <c r="V120" s="220">
        <f>JUNIO!V120+JULIO!AL120</f>
        <v>0</v>
      </c>
      <c r="W120" s="220">
        <f>JUNIO!W120+JULIO!AM120</f>
        <v>0</v>
      </c>
      <c r="X120" s="271">
        <f t="shared" si="122"/>
        <v>704984268</v>
      </c>
      <c r="Y120" s="270">
        <f>JUNIO!AA120</f>
        <v>0</v>
      </c>
      <c r="Z120" s="208">
        <v>0</v>
      </c>
      <c r="AA120" s="271">
        <f t="shared" si="123"/>
        <v>0</v>
      </c>
      <c r="AB120" s="270">
        <f>JUNIO!AD120</f>
        <v>0</v>
      </c>
      <c r="AC120" s="208">
        <v>0</v>
      </c>
      <c r="AD120" s="271">
        <f t="shared" si="124"/>
        <v>0</v>
      </c>
      <c r="AE120" s="270">
        <f>JUNIO!AG120</f>
        <v>0</v>
      </c>
      <c r="AF120" s="208">
        <v>0</v>
      </c>
      <c r="AG120" s="271">
        <f t="shared" si="125"/>
        <v>0</v>
      </c>
      <c r="AH120" s="270">
        <f t="shared" si="126"/>
        <v>704984268</v>
      </c>
      <c r="AI120" s="220">
        <f t="shared" si="127"/>
        <v>704984268</v>
      </c>
      <c r="AJ120" s="269">
        <f t="shared" si="128"/>
        <v>704984268</v>
      </c>
      <c r="AK120" s="101"/>
      <c r="AL120" s="204">
        <v>0</v>
      </c>
      <c r="AM120" s="210">
        <v>0</v>
      </c>
    </row>
    <row r="121" spans="1:39" ht="24.75" customHeight="1">
      <c r="A121" s="421">
        <f>+IF(JUNIO!A121=0,"",JUNIO!A121)</f>
        <v>2500</v>
      </c>
      <c r="B121" s="388" t="str">
        <f>+IF(JUNIO!B121=0,"",JUNIO!B121)</f>
        <v>DONACIONES</v>
      </c>
      <c r="C121" s="204">
        <f>+ENERO!C121</f>
        <v>0</v>
      </c>
      <c r="D121" s="413">
        <f>JUNIO!D121+JULIO!P121</f>
        <v>0</v>
      </c>
      <c r="E121" s="413">
        <f>JUNIO!E121+JULIO!Q121</f>
        <v>0</v>
      </c>
      <c r="F121" s="414">
        <f t="shared" si="117"/>
        <v>0</v>
      </c>
      <c r="G121" s="207">
        <f>JUNIO!I121</f>
        <v>0</v>
      </c>
      <c r="H121" s="208">
        <v>0</v>
      </c>
      <c r="I121" s="419">
        <f t="shared" si="118"/>
        <v>0</v>
      </c>
      <c r="J121" s="207">
        <f>JUNIO!L121</f>
        <v>0</v>
      </c>
      <c r="K121" s="208">
        <v>0</v>
      </c>
      <c r="L121" s="206">
        <f t="shared" si="119"/>
        <v>0</v>
      </c>
      <c r="M121" s="420">
        <f t="shared" si="120"/>
        <v>0</v>
      </c>
      <c r="N121" s="206">
        <f t="shared" si="121"/>
        <v>0</v>
      </c>
      <c r="O121" s="67"/>
      <c r="P121" s="204">
        <v>0</v>
      </c>
      <c r="Q121" s="210">
        <v>0</v>
      </c>
      <c r="R121" s="101"/>
      <c r="S121" s="266" t="str">
        <f>+IF(JUNIO!S121=0,"",JUNIO!S121)</f>
        <v>2.1.2.02.02.008.99.02</v>
      </c>
      <c r="T121" s="267" t="str">
        <f>+IF(JUNIO!T121=0,"",JUNIO!T121)</f>
        <v>Vigencias Anteriores</v>
      </c>
      <c r="U121" s="373">
        <f>+ENERO!U121</f>
        <v>176000000</v>
      </c>
      <c r="V121" s="220">
        <f>JUNIO!V121+JULIO!AL121</f>
        <v>0</v>
      </c>
      <c r="W121" s="220">
        <f>JUNIO!W121+JULIO!AM121</f>
        <v>0</v>
      </c>
      <c r="X121" s="271">
        <f t="shared" si="122"/>
        <v>176000000</v>
      </c>
      <c r="Y121" s="270">
        <f>JUNIO!AA121</f>
        <v>173710906</v>
      </c>
      <c r="Z121" s="208">
        <v>0</v>
      </c>
      <c r="AA121" s="271">
        <f t="shared" si="123"/>
        <v>173710906</v>
      </c>
      <c r="AB121" s="270">
        <f>JUNIO!AD121</f>
        <v>173710906</v>
      </c>
      <c r="AC121" s="208">
        <v>0</v>
      </c>
      <c r="AD121" s="271">
        <f t="shared" si="124"/>
        <v>173710906</v>
      </c>
      <c r="AE121" s="270">
        <f>JUNIO!AG121</f>
        <v>173710906</v>
      </c>
      <c r="AF121" s="208">
        <v>0</v>
      </c>
      <c r="AG121" s="271">
        <f t="shared" si="125"/>
        <v>173710906</v>
      </c>
      <c r="AH121" s="270">
        <f t="shared" si="126"/>
        <v>2289094</v>
      </c>
      <c r="AI121" s="220">
        <f t="shared" si="127"/>
        <v>2289094</v>
      </c>
      <c r="AJ121" s="269">
        <f t="shared" si="128"/>
        <v>2289094</v>
      </c>
      <c r="AK121" s="101"/>
      <c r="AL121" s="204">
        <v>0</v>
      </c>
      <c r="AM121" s="210">
        <v>0</v>
      </c>
    </row>
    <row r="122" spans="1:39" ht="24.75" customHeight="1">
      <c r="A122" s="421">
        <f>+IF(JUNIO!A122=0,"",JUNIO!A122)</f>
        <v>2600</v>
      </c>
      <c r="B122" s="388" t="str">
        <f>+IF(JUNIO!B122=0,"",JUNIO!B122)</f>
        <v>RECUPERACIÓN DE CARTERA (AÑO 2023 Y ANTERIORES)</v>
      </c>
      <c r="C122" s="204">
        <f>+ENERO!C122</f>
        <v>0</v>
      </c>
      <c r="D122" s="413">
        <f>JUNIO!D122+JULIO!P122</f>
        <v>0</v>
      </c>
      <c r="E122" s="413">
        <f>JUNIO!E122+JULIO!Q122</f>
        <v>0</v>
      </c>
      <c r="F122" s="414">
        <f t="shared" si="117"/>
        <v>0</v>
      </c>
      <c r="G122" s="207">
        <f>JUNIO!I122</f>
        <v>0</v>
      </c>
      <c r="H122" s="208">
        <v>0</v>
      </c>
      <c r="I122" s="419">
        <f t="shared" si="118"/>
        <v>0</v>
      </c>
      <c r="J122" s="207">
        <f>JUNIO!L122</f>
        <v>0</v>
      </c>
      <c r="K122" s="208">
        <v>0</v>
      </c>
      <c r="L122" s="206">
        <f t="shared" si="119"/>
        <v>0</v>
      </c>
      <c r="M122" s="420">
        <f t="shared" si="120"/>
        <v>0</v>
      </c>
      <c r="N122" s="206">
        <f t="shared" si="121"/>
        <v>0</v>
      </c>
      <c r="O122" s="67"/>
      <c r="P122" s="204">
        <v>0</v>
      </c>
      <c r="Q122" s="210">
        <v>0</v>
      </c>
      <c r="R122" s="101"/>
      <c r="S122" s="189" t="str">
        <f>+IF(JUNIO!S122=0,"",JUNIO!S122)</f>
        <v/>
      </c>
      <c r="T122" s="488" t="str">
        <f>+IF(JUNIO!T122=0,"",JUNIO!T122)</f>
        <v/>
      </c>
      <c r="U122" s="191"/>
      <c r="V122" s="191"/>
      <c r="W122" s="191"/>
      <c r="X122" s="191"/>
      <c r="Y122" s="191"/>
      <c r="Z122" s="191"/>
      <c r="AA122" s="191"/>
      <c r="AB122" s="191"/>
      <c r="AC122" s="191"/>
      <c r="AD122" s="191"/>
      <c r="AE122" s="191"/>
      <c r="AF122" s="191"/>
      <c r="AG122" s="191"/>
      <c r="AH122" s="191"/>
      <c r="AI122" s="191"/>
      <c r="AJ122" s="192"/>
      <c r="AK122" s="101"/>
      <c r="AL122" s="370"/>
      <c r="AM122" s="371"/>
    </row>
    <row r="123" spans="1:39" ht="24.75" customHeight="1">
      <c r="A123" s="421">
        <f>+IF(JUNIO!A123=0,"",JUNIO!A123)</f>
        <v>2700</v>
      </c>
      <c r="B123" s="388" t="str">
        <f>+IF(JUNIO!B123=0,"",JUNIO!B123)</f>
        <v>OTROS INGRESOS DE CAPITAL</v>
      </c>
      <c r="C123" s="204">
        <f>+ENERO!C123</f>
        <v>0</v>
      </c>
      <c r="D123" s="413">
        <f>JUNIO!D123+JULIO!P123</f>
        <v>0</v>
      </c>
      <c r="E123" s="413">
        <f>JUNIO!E123+JULIO!Q123</f>
        <v>0</v>
      </c>
      <c r="F123" s="414">
        <f t="shared" si="117"/>
        <v>0</v>
      </c>
      <c r="G123" s="207">
        <f>JUNIO!I123</f>
        <v>0</v>
      </c>
      <c r="H123" s="208">
        <v>0</v>
      </c>
      <c r="I123" s="419">
        <f t="shared" si="118"/>
        <v>0</v>
      </c>
      <c r="J123" s="207">
        <f>JUNIO!L123</f>
        <v>0</v>
      </c>
      <c r="K123" s="208">
        <v>0</v>
      </c>
      <c r="L123" s="206">
        <f t="shared" si="119"/>
        <v>0</v>
      </c>
      <c r="M123" s="420">
        <f t="shared" si="120"/>
        <v>0</v>
      </c>
      <c r="N123" s="206">
        <f t="shared" si="121"/>
        <v>0</v>
      </c>
      <c r="O123" s="67"/>
      <c r="P123" s="204">
        <v>0</v>
      </c>
      <c r="Q123" s="210">
        <v>0</v>
      </c>
      <c r="R123" s="101"/>
      <c r="S123" s="257">
        <f>+IF(JUNIO!S123=0,"",JUNIO!S123)</f>
        <v>2010200</v>
      </c>
      <c r="T123" s="546" t="str">
        <f>+IF(JUNIO!T123=0,"",JUNIO!T123)</f>
        <v>Adquisición de Servicios</v>
      </c>
      <c r="U123" s="230">
        <f t="shared" ref="U123:AJ123" si="129">SUM(U124:U139)</f>
        <v>8280375089.2777777</v>
      </c>
      <c r="V123" s="231">
        <f t="shared" si="129"/>
        <v>-730062130</v>
      </c>
      <c r="W123" s="231">
        <f t="shared" si="129"/>
        <v>169879991</v>
      </c>
      <c r="X123" s="234">
        <f t="shared" si="129"/>
        <v>7720192950.2777777</v>
      </c>
      <c r="Y123" s="233">
        <f t="shared" si="129"/>
        <v>5905371223</v>
      </c>
      <c r="Z123" s="231">
        <f>SUM(Z124:Z139)</f>
        <v>412792163</v>
      </c>
      <c r="AA123" s="234">
        <f t="shared" si="129"/>
        <v>6318163386</v>
      </c>
      <c r="AB123" s="233">
        <f t="shared" si="129"/>
        <v>4235224624</v>
      </c>
      <c r="AC123" s="231">
        <f t="shared" si="129"/>
        <v>566101919</v>
      </c>
      <c r="AD123" s="234">
        <f t="shared" si="129"/>
        <v>4801326543</v>
      </c>
      <c r="AE123" s="233">
        <f t="shared" si="129"/>
        <v>3565668733</v>
      </c>
      <c r="AF123" s="231">
        <f t="shared" si="129"/>
        <v>756618680</v>
      </c>
      <c r="AG123" s="234">
        <f t="shared" si="129"/>
        <v>4322287413</v>
      </c>
      <c r="AH123" s="233">
        <f t="shared" si="129"/>
        <v>1402029564.2777774</v>
      </c>
      <c r="AI123" s="231">
        <f t="shared" si="129"/>
        <v>2918866407.2777777</v>
      </c>
      <c r="AJ123" s="232">
        <f t="shared" si="129"/>
        <v>3397905537.2777777</v>
      </c>
      <c r="AK123" s="101"/>
      <c r="AL123" s="233">
        <f>SUM(AL124:AL139)</f>
        <v>-5000000</v>
      </c>
      <c r="AM123" s="232">
        <f>SUM(AM124:AM139)</f>
        <v>0</v>
      </c>
    </row>
    <row r="124" spans="1:39" ht="24.75" customHeight="1" thickBot="1">
      <c r="A124" s="428">
        <f>+IF(JUNIO!A124=0,"",JUNIO!A124)</f>
        <v>2800</v>
      </c>
      <c r="B124" s="390" t="str">
        <f>+IF(JUNIO!B124=0,"",JUNIO!B124)</f>
        <v/>
      </c>
      <c r="C124" s="242">
        <f>+ENERO!C124</f>
        <v>0</v>
      </c>
      <c r="D124" s="429">
        <f>JUNIO!D124+JULIO!P124</f>
        <v>0</v>
      </c>
      <c r="E124" s="429">
        <f>JUNIO!E124+JULIO!Q124</f>
        <v>0</v>
      </c>
      <c r="F124" s="430">
        <f t="shared" si="117"/>
        <v>0</v>
      </c>
      <c r="G124" s="245">
        <f>JUNIO!I124</f>
        <v>0</v>
      </c>
      <c r="H124" s="246">
        <v>0</v>
      </c>
      <c r="I124" s="431">
        <f t="shared" si="118"/>
        <v>0</v>
      </c>
      <c r="J124" s="245">
        <f>JUNIO!L124</f>
        <v>0</v>
      </c>
      <c r="K124" s="246">
        <v>0</v>
      </c>
      <c r="L124" s="244">
        <f t="shared" si="119"/>
        <v>0</v>
      </c>
      <c r="M124" s="432">
        <f t="shared" si="120"/>
        <v>0</v>
      </c>
      <c r="N124" s="244">
        <f t="shared" si="121"/>
        <v>0</v>
      </c>
      <c r="O124" s="67"/>
      <c r="P124" s="242">
        <v>0</v>
      </c>
      <c r="Q124" s="248">
        <v>0</v>
      </c>
      <c r="R124" s="101"/>
      <c r="S124" s="266" t="str">
        <f>+IF(JUNIO!S124=0,"",JUNIO!S124)</f>
        <v>2.1.2.02.02.007.702</v>
      </c>
      <c r="T124" s="267" t="str">
        <f>+IF(JUNIO!T124=0,"",JUNIO!T124)</f>
        <v>Seguros</v>
      </c>
      <c r="U124" s="373">
        <f>+ENERO!U124</f>
        <v>1040000000</v>
      </c>
      <c r="V124" s="220">
        <f>JUNIO!V124+JULIO!AL124</f>
        <v>-75000000</v>
      </c>
      <c r="W124" s="220">
        <f>JUNIO!W124+JULIO!AM124</f>
        <v>0</v>
      </c>
      <c r="X124" s="271">
        <f t="shared" ref="X124:X139" si="130">SUM(U124:W124)</f>
        <v>965000000</v>
      </c>
      <c r="Y124" s="270">
        <f>JUNIO!AA124</f>
        <v>879444632</v>
      </c>
      <c r="Z124" s="208">
        <v>1573595</v>
      </c>
      <c r="AA124" s="271">
        <f>SUM(Y124:Z124)</f>
        <v>881018227</v>
      </c>
      <c r="AB124" s="270">
        <f>JUNIO!AD124</f>
        <v>879444174</v>
      </c>
      <c r="AC124" s="208">
        <v>1255400</v>
      </c>
      <c r="AD124" s="271">
        <f t="shared" ref="AD124:AD139" si="131">SUM(AB124:AC124)</f>
        <v>880699574</v>
      </c>
      <c r="AE124" s="270">
        <f>JUNIO!AG124</f>
        <v>877959268</v>
      </c>
      <c r="AF124" s="208">
        <v>1255400</v>
      </c>
      <c r="AG124" s="271">
        <f t="shared" ref="AG124:AG139" si="132">SUM(AE124:AF124)</f>
        <v>879214668</v>
      </c>
      <c r="AH124" s="270">
        <f t="shared" ref="AH124:AH139" si="133">X124-AA124</f>
        <v>83981773</v>
      </c>
      <c r="AI124" s="220">
        <f t="shared" ref="AI124:AI139" si="134">X124-AD124</f>
        <v>84300426</v>
      </c>
      <c r="AJ124" s="269">
        <f t="shared" ref="AJ124:AJ139" si="135">X124-AG124</f>
        <v>85785332</v>
      </c>
      <c r="AK124" s="101"/>
      <c r="AL124" s="204">
        <v>-5000000</v>
      </c>
      <c r="AM124" s="210">
        <v>0</v>
      </c>
    </row>
    <row r="125" spans="1:39" ht="24.75" customHeight="1" thickBot="1">
      <c r="A125" s="398"/>
      <c r="B125" s="399"/>
      <c r="C125" s="400"/>
      <c r="D125" s="400"/>
      <c r="E125" s="400"/>
      <c r="F125" s="400"/>
      <c r="G125" s="400"/>
      <c r="H125" s="400"/>
      <c r="I125" s="400"/>
      <c r="J125" s="400"/>
      <c r="K125" s="400"/>
      <c r="L125" s="400"/>
      <c r="M125" s="400"/>
      <c r="N125" s="401"/>
      <c r="O125" s="67"/>
      <c r="P125" s="402"/>
      <c r="Q125" s="401"/>
      <c r="R125" s="101"/>
      <c r="S125" s="266" t="str">
        <f>+IF(JUNIO!S125=0,"",JUNIO!S125)</f>
        <v>2.1.2.02.02.007.703</v>
      </c>
      <c r="T125" s="267" t="str">
        <f>+IF(JUNIO!T125=0,"",JUNIO!T125)</f>
        <v>Arrendamientos</v>
      </c>
      <c r="U125" s="373">
        <f>+ENERO!U125</f>
        <v>75000000</v>
      </c>
      <c r="V125" s="220">
        <f>JUNIO!V125+JULIO!AL125</f>
        <v>10000000</v>
      </c>
      <c r="W125" s="220">
        <f>JUNIO!W125+JULIO!AM125</f>
        <v>0</v>
      </c>
      <c r="X125" s="271">
        <f t="shared" si="130"/>
        <v>85000000</v>
      </c>
      <c r="Y125" s="270">
        <f>JUNIO!AA125</f>
        <v>80000000</v>
      </c>
      <c r="Z125" s="208">
        <v>0</v>
      </c>
      <c r="AA125" s="271">
        <f t="shared" ref="AA125:AA139" si="136">SUM(Y125:Z125)</f>
        <v>80000000</v>
      </c>
      <c r="AB125" s="270">
        <f>JUNIO!AD125</f>
        <v>40000000</v>
      </c>
      <c r="AC125" s="208">
        <v>5000000</v>
      </c>
      <c r="AD125" s="271">
        <f t="shared" si="131"/>
        <v>45000000</v>
      </c>
      <c r="AE125" s="270">
        <f>JUNIO!AG125</f>
        <v>20000000</v>
      </c>
      <c r="AF125" s="208">
        <v>20000000</v>
      </c>
      <c r="AG125" s="271">
        <f t="shared" si="132"/>
        <v>40000000</v>
      </c>
      <c r="AH125" s="270">
        <f t="shared" si="133"/>
        <v>5000000</v>
      </c>
      <c r="AI125" s="220">
        <f t="shared" si="134"/>
        <v>40000000</v>
      </c>
      <c r="AJ125" s="269">
        <f t="shared" si="135"/>
        <v>45000000</v>
      </c>
      <c r="AK125" s="101"/>
      <c r="AL125" s="204"/>
      <c r="AM125" s="210">
        <v>0</v>
      </c>
    </row>
    <row r="126" spans="1:39" ht="24.75" customHeight="1" thickBot="1">
      <c r="A126" s="433" t="s">
        <v>278</v>
      </c>
      <c r="B126" s="434"/>
      <c r="C126" s="435">
        <f t="shared" ref="C126:N126" si="137">C8-C128</f>
        <v>138960268668.37653</v>
      </c>
      <c r="D126" s="435">
        <f t="shared" si="137"/>
        <v>0</v>
      </c>
      <c r="E126" s="435">
        <f t="shared" si="137"/>
        <v>22781422521</v>
      </c>
      <c r="F126" s="435">
        <f t="shared" si="137"/>
        <v>161741691189.37653</v>
      </c>
      <c r="G126" s="435">
        <f t="shared" si="137"/>
        <v>87636806370</v>
      </c>
      <c r="H126" s="435">
        <f t="shared" si="137"/>
        <v>15428799369</v>
      </c>
      <c r="I126" s="435">
        <f t="shared" si="137"/>
        <v>103045868950</v>
      </c>
      <c r="J126" s="435">
        <f t="shared" si="137"/>
        <v>32476012108</v>
      </c>
      <c r="K126" s="435">
        <f t="shared" si="137"/>
        <v>10473768291</v>
      </c>
      <c r="L126" s="435">
        <f t="shared" si="137"/>
        <v>42930043610</v>
      </c>
      <c r="M126" s="435">
        <f t="shared" si="137"/>
        <v>58695822239.376518</v>
      </c>
      <c r="N126" s="436">
        <f t="shared" si="137"/>
        <v>118811647579.37653</v>
      </c>
      <c r="O126" s="67"/>
      <c r="P126" s="437">
        <f>P8-P128</f>
        <v>0</v>
      </c>
      <c r="Q126" s="438">
        <f>Q8-Q128</f>
        <v>0</v>
      </c>
      <c r="R126" s="101"/>
      <c r="S126" s="266" t="str">
        <f>+IF(JUNIO!S126=0,"",JUNIO!S126)</f>
        <v>2.1.2.02.02.008.801</v>
      </c>
      <c r="T126" s="267" t="str">
        <f>+IF(JUNIO!T126=0,"",JUNIO!T126)</f>
        <v>Servicios Publicos (energia, Gas, Agua, Internet, Telefonia Fija y Movil)</v>
      </c>
      <c r="U126" s="373">
        <f>+ENERO!U126</f>
        <v>2804022659</v>
      </c>
      <c r="V126" s="220">
        <f>JUNIO!V126+JULIO!AL126</f>
        <v>-180000000</v>
      </c>
      <c r="W126" s="220">
        <f>JUNIO!W126+JULIO!AM126</f>
        <v>0</v>
      </c>
      <c r="X126" s="271">
        <f t="shared" si="130"/>
        <v>2624022659</v>
      </c>
      <c r="Y126" s="270">
        <f>JUNIO!AA126</f>
        <v>1468204246</v>
      </c>
      <c r="Z126" s="208">
        <v>304034555</v>
      </c>
      <c r="AA126" s="271">
        <f>SUM(Y126:Z126)</f>
        <v>1772238801</v>
      </c>
      <c r="AB126" s="270">
        <f>JUNIO!AD126</f>
        <v>1457794846</v>
      </c>
      <c r="AC126" s="208">
        <v>304883055</v>
      </c>
      <c r="AD126" s="271">
        <f t="shared" si="131"/>
        <v>1762677901</v>
      </c>
      <c r="AE126" s="270">
        <f>JUNIO!AG126</f>
        <v>1388085836</v>
      </c>
      <c r="AF126" s="208">
        <v>304521587</v>
      </c>
      <c r="AG126" s="271">
        <f t="shared" si="132"/>
        <v>1692607423</v>
      </c>
      <c r="AH126" s="270">
        <f t="shared" si="133"/>
        <v>851783858</v>
      </c>
      <c r="AI126" s="220">
        <f t="shared" si="134"/>
        <v>861344758</v>
      </c>
      <c r="AJ126" s="269">
        <f t="shared" si="135"/>
        <v>931415236</v>
      </c>
      <c r="AK126" s="101"/>
      <c r="AL126" s="204">
        <v>0</v>
      </c>
      <c r="AM126" s="210">
        <v>0</v>
      </c>
    </row>
    <row r="127" spans="1:39" ht="24.75" customHeight="1" thickBot="1">
      <c r="A127" s="556"/>
      <c r="B127" s="399"/>
      <c r="C127" s="400"/>
      <c r="D127" s="400"/>
      <c r="E127" s="400"/>
      <c r="F127" s="400"/>
      <c r="G127" s="400"/>
      <c r="H127" s="400"/>
      <c r="I127" s="400"/>
      <c r="J127" s="400"/>
      <c r="K127" s="400"/>
      <c r="L127" s="400"/>
      <c r="M127" s="400"/>
      <c r="N127" s="401"/>
      <c r="O127" s="67"/>
      <c r="P127" s="402"/>
      <c r="Q127" s="401"/>
      <c r="R127" s="101"/>
      <c r="S127" s="266" t="str">
        <f>+IF(JUNIO!S127=0,"",JUNIO!S127)</f>
        <v>2.1.2.02.02.006.603</v>
      </c>
      <c r="T127" s="267" t="str">
        <f>+IF(JUNIO!T127=0,"",JUNIO!T127)</f>
        <v>Comunicaciones y Transportes</v>
      </c>
      <c r="U127" s="373">
        <f>+ENERO!U127</f>
        <v>341244561.11111116</v>
      </c>
      <c r="V127" s="220">
        <f>JUNIO!V127+JULIO!AL127</f>
        <v>0</v>
      </c>
      <c r="W127" s="220">
        <f>JUNIO!W127+JULIO!AM127</f>
        <v>0</v>
      </c>
      <c r="X127" s="271">
        <f t="shared" si="130"/>
        <v>341244561.11111116</v>
      </c>
      <c r="Y127" s="270">
        <f>JUNIO!AA127</f>
        <v>213742500</v>
      </c>
      <c r="Z127" s="208">
        <v>111150</v>
      </c>
      <c r="AA127" s="271">
        <f t="shared" si="136"/>
        <v>213853650</v>
      </c>
      <c r="AB127" s="270">
        <f>JUNIO!AD127</f>
        <v>96285539</v>
      </c>
      <c r="AC127" s="208">
        <v>13832056</v>
      </c>
      <c r="AD127" s="271">
        <f t="shared" si="131"/>
        <v>110117595</v>
      </c>
      <c r="AE127" s="270">
        <f>JUNIO!AG127</f>
        <v>59433476</v>
      </c>
      <c r="AF127" s="208">
        <v>12053311</v>
      </c>
      <c r="AG127" s="271">
        <f t="shared" si="132"/>
        <v>71486787</v>
      </c>
      <c r="AH127" s="270">
        <f t="shared" si="133"/>
        <v>127390911.11111116</v>
      </c>
      <c r="AI127" s="220">
        <f t="shared" si="134"/>
        <v>231126966.11111116</v>
      </c>
      <c r="AJ127" s="269">
        <f t="shared" si="135"/>
        <v>269757774.11111116</v>
      </c>
      <c r="AK127" s="101"/>
      <c r="AL127" s="204">
        <v>0</v>
      </c>
      <c r="AM127" s="210">
        <v>0</v>
      </c>
    </row>
    <row r="128" spans="1:39" ht="24.75" customHeight="1">
      <c r="A128" s="439" t="s">
        <v>280</v>
      </c>
      <c r="B128" s="440"/>
      <c r="C128" s="876">
        <f>SUM(C124+C111+C102+C92+C83+C80+C77+C74+C71+C68+C65+C62+C59+C56+C53+C50+C47+C44+C37+C34+C31+C27+C24)</f>
        <v>19182884469.099998</v>
      </c>
      <c r="D128" s="876">
        <f>SUMIF($B8:$B$122,$B$24,D8:D122)+D122</f>
        <v>0</v>
      </c>
      <c r="E128" s="876">
        <f>SUM(E124+E111+E102+E92+E83+E80+E77+E74+E71+E68+E65+E62+E59+E56+E53+E50+E47+E44+E37+E34+E31+E27+E24)</f>
        <v>6880957871</v>
      </c>
      <c r="F128" s="876">
        <f>SUM(F124+F111+F102+F92+F83+F80+F77+F74+F71+F68+F65+F62+F59+F56+F53+F50+F47+F44+F37+F34+F31+F27+F24)</f>
        <v>26063842340.099998</v>
      </c>
      <c r="G128" s="876">
        <f>SUMIF($B8:$B$122,$B$24,G8:G122)+G122</f>
        <v>43635086625</v>
      </c>
      <c r="H128" s="876">
        <f>SUM(H124+H111+H102+H92+H83+H80+H77+H74+H71+H68+H65+H62+H59+H56+H53+H50+H47+H44+H37+H34+H31+H27+H24)</f>
        <v>1070103179</v>
      </c>
      <c r="I128" s="876">
        <f>SUM(I124+I111+I102+I92+I83+I80+I77+I74+I71+I68+I65+I62+I59+I56+I53+I50+I47+I44+I37+I34+I31+I27+I24)</f>
        <v>44724926593</v>
      </c>
      <c r="J128" s="876">
        <f>SUMIF($B8:$B$122,$B$24,J8:J122)+J1211</f>
        <v>43635086625</v>
      </c>
      <c r="K128" s="876">
        <f>SUM(K124+K111+K102+K92+K83+K80+K77+K74+K71+K68+K65+K62+K59+K56+K53+K50+K47+K44+K37+K34+K31+K27+K24)</f>
        <v>1070103179</v>
      </c>
      <c r="L128" s="876">
        <f>SUM(L124+L111+L102+L92+L83+L80+L77+L74+L71+L68+L65+L62+L59+L56+L53+L50+L47+L44+L37+L34+L31+L27+L24)</f>
        <v>44724926593</v>
      </c>
      <c r="M128" s="876">
        <f>SUMIF($B8:$B$122,$B$24,M8:M122)+M12</f>
        <v>-18661084252.900002</v>
      </c>
      <c r="N128" s="442">
        <f>SUMIF($B8:$B$122,$B$24,N8:N122)+N122</f>
        <v>-18661084252.900002</v>
      </c>
      <c r="O128" s="369"/>
      <c r="P128" s="441">
        <f>SUMIF($B8:$B$122,$B$24,P8:P122)+P122</f>
        <v>0</v>
      </c>
      <c r="Q128" s="443">
        <f>SUMIF($B8:$B$122,$B$24,Q8:Q122)+Q122</f>
        <v>0</v>
      </c>
      <c r="R128" s="101"/>
      <c r="S128" s="266" t="str">
        <f>+IF(JUNIO!S128=0,"",JUNIO!S128)</f>
        <v>2.1.2.02.02.006.604</v>
      </c>
      <c r="T128" s="267" t="str">
        <f>+IF(JUNIO!T128=0,"",JUNIO!T128)</f>
        <v>Impresos y Publicaciones</v>
      </c>
      <c r="U128" s="373">
        <f>+ENERO!U128</f>
        <v>327220927.08333331</v>
      </c>
      <c r="V128" s="220">
        <f>JUNIO!V128+JULIO!AL128</f>
        <v>25000000</v>
      </c>
      <c r="W128" s="220">
        <f>JUNIO!W128+JULIO!AM128</f>
        <v>0</v>
      </c>
      <c r="X128" s="271">
        <f t="shared" si="130"/>
        <v>352220927.08333331</v>
      </c>
      <c r="Y128" s="270">
        <f>JUNIO!AA128</f>
        <v>250783205</v>
      </c>
      <c r="Z128" s="208">
        <v>100000000</v>
      </c>
      <c r="AA128" s="271">
        <f t="shared" si="136"/>
        <v>350783205</v>
      </c>
      <c r="AB128" s="270">
        <f>JUNIO!AD128</f>
        <v>194848445</v>
      </c>
      <c r="AC128" s="208">
        <v>33473195</v>
      </c>
      <c r="AD128" s="271">
        <f t="shared" si="131"/>
        <v>228321640</v>
      </c>
      <c r="AE128" s="270">
        <f>JUNIO!AG128</f>
        <v>61411160</v>
      </c>
      <c r="AF128" s="208">
        <v>29186911</v>
      </c>
      <c r="AG128" s="271">
        <f t="shared" si="132"/>
        <v>90598071</v>
      </c>
      <c r="AH128" s="270">
        <f t="shared" si="133"/>
        <v>1437722.0833333135</v>
      </c>
      <c r="AI128" s="220">
        <f t="shared" si="134"/>
        <v>123899287.08333331</v>
      </c>
      <c r="AJ128" s="269">
        <f t="shared" si="135"/>
        <v>261622856.08333331</v>
      </c>
      <c r="AK128" s="101"/>
      <c r="AL128" s="204">
        <v>0</v>
      </c>
      <c r="AM128" s="210">
        <v>0</v>
      </c>
    </row>
    <row r="129" spans="1:39" ht="24.75" customHeight="1">
      <c r="A129" s="556"/>
      <c r="B129" s="399"/>
      <c r="C129" s="400"/>
      <c r="D129" s="400"/>
      <c r="E129" s="400"/>
      <c r="F129" s="400"/>
      <c r="G129" s="400"/>
      <c r="H129" s="400"/>
      <c r="I129" s="400"/>
      <c r="J129" s="400"/>
      <c r="K129" s="400"/>
      <c r="L129" s="400"/>
      <c r="M129" s="400"/>
      <c r="N129" s="401"/>
      <c r="O129" s="67"/>
      <c r="P129" s="402"/>
      <c r="Q129" s="401"/>
      <c r="R129" s="101"/>
      <c r="S129" s="266" t="str">
        <f>+IF(JUNIO!S129=0,"",JUNIO!S129)</f>
        <v>2.1.2.02.02.009.905</v>
      </c>
      <c r="T129" s="267" t="str">
        <f>+IF(JUNIO!T129=0,"",JUNIO!T129)</f>
        <v>Servicios de Capacitacion</v>
      </c>
      <c r="U129" s="373">
        <f>+ENERO!U129</f>
        <v>41029431.25</v>
      </c>
      <c r="V129" s="220">
        <f>JUNIO!V129+JULIO!AL129</f>
        <v>0</v>
      </c>
      <c r="W129" s="220">
        <f>JUNIO!W129+JULIO!AM129</f>
        <v>0</v>
      </c>
      <c r="X129" s="271">
        <f t="shared" si="130"/>
        <v>41029431.25</v>
      </c>
      <c r="Y129" s="270">
        <f>JUNIO!AA129</f>
        <v>8356972</v>
      </c>
      <c r="Z129" s="208">
        <v>0</v>
      </c>
      <c r="AA129" s="271">
        <f t="shared" si="136"/>
        <v>8356972</v>
      </c>
      <c r="AB129" s="270">
        <f>JUNIO!AD129</f>
        <v>0</v>
      </c>
      <c r="AC129" s="208">
        <v>8356972</v>
      </c>
      <c r="AD129" s="271">
        <f t="shared" si="131"/>
        <v>8356972</v>
      </c>
      <c r="AE129" s="270">
        <f>JUNIO!AG129</f>
        <v>0</v>
      </c>
      <c r="AF129" s="208">
        <v>0</v>
      </c>
      <c r="AG129" s="271">
        <f t="shared" si="132"/>
        <v>0</v>
      </c>
      <c r="AH129" s="270">
        <f t="shared" si="133"/>
        <v>32672459.25</v>
      </c>
      <c r="AI129" s="220">
        <f t="shared" si="134"/>
        <v>32672459.25</v>
      </c>
      <c r="AJ129" s="269">
        <f t="shared" si="135"/>
        <v>41029431.25</v>
      </c>
      <c r="AK129" s="101"/>
      <c r="AL129" s="204">
        <v>0</v>
      </c>
      <c r="AM129" s="210">
        <v>0</v>
      </c>
    </row>
    <row r="130" spans="1:39" ht="24.75" customHeight="1">
      <c r="A130" s="444" t="s">
        <v>282</v>
      </c>
      <c r="B130" s="445"/>
      <c r="C130" s="446">
        <f t="shared" ref="C130:N130" si="138">C128+C126</f>
        <v>158143153137.47653</v>
      </c>
      <c r="D130" s="447">
        <f t="shared" si="138"/>
        <v>0</v>
      </c>
      <c r="E130" s="447">
        <f t="shared" si="138"/>
        <v>29662380392</v>
      </c>
      <c r="F130" s="448">
        <f t="shared" si="138"/>
        <v>187805533529.47653</v>
      </c>
      <c r="G130" s="446">
        <f t="shared" si="138"/>
        <v>131271892995</v>
      </c>
      <c r="H130" s="447">
        <f t="shared" si="138"/>
        <v>16498902548</v>
      </c>
      <c r="I130" s="448">
        <f t="shared" si="138"/>
        <v>147770795543</v>
      </c>
      <c r="J130" s="446">
        <f t="shared" si="138"/>
        <v>76111098733</v>
      </c>
      <c r="K130" s="447">
        <f t="shared" si="138"/>
        <v>11543871470</v>
      </c>
      <c r="L130" s="448">
        <f t="shared" si="138"/>
        <v>87654970203</v>
      </c>
      <c r="M130" s="446">
        <f t="shared" si="138"/>
        <v>40034737986.476517</v>
      </c>
      <c r="N130" s="448">
        <f t="shared" si="138"/>
        <v>100150563326.47653</v>
      </c>
      <c r="O130" s="67"/>
      <c r="P130" s="437">
        <f>P128+P126</f>
        <v>0</v>
      </c>
      <c r="Q130" s="438">
        <f>Q128+Q126</f>
        <v>0</v>
      </c>
      <c r="R130" s="101"/>
      <c r="S130" s="266" t="str">
        <f>+IF(JUNIO!S130=0,"",JUNIO!S130)</f>
        <v>2.1.2.02.02.008.804</v>
      </c>
      <c r="T130" s="267" t="str">
        <f>+IF(JUNIO!T130=0,"",JUNIO!T130)</f>
        <v xml:space="preserve">Vigilancia </v>
      </c>
      <c r="U130" s="373">
        <f>+ENERO!U130</f>
        <v>2929064955.833333</v>
      </c>
      <c r="V130" s="220">
        <f>JUNIO!V130+JULIO!AL130</f>
        <v>-566000000</v>
      </c>
      <c r="W130" s="220">
        <f>JUNIO!W130+JULIO!AM130</f>
        <v>0</v>
      </c>
      <c r="X130" s="271">
        <f t="shared" si="130"/>
        <v>2363064955.833333</v>
      </c>
      <c r="Y130" s="270">
        <f>JUNIO!AA130</f>
        <v>2320627096</v>
      </c>
      <c r="Z130" s="208">
        <v>0</v>
      </c>
      <c r="AA130" s="271">
        <f t="shared" si="136"/>
        <v>2320627096</v>
      </c>
      <c r="AB130" s="270">
        <f>JUNIO!AD130</f>
        <v>956455559</v>
      </c>
      <c r="AC130" s="208">
        <v>191284530</v>
      </c>
      <c r="AD130" s="271">
        <f t="shared" si="131"/>
        <v>1147740089</v>
      </c>
      <c r="AE130" s="270">
        <f>JUNIO!AG130</f>
        <v>765171029</v>
      </c>
      <c r="AF130" s="208">
        <v>382569060</v>
      </c>
      <c r="AG130" s="271">
        <f t="shared" si="132"/>
        <v>1147740089</v>
      </c>
      <c r="AH130" s="270">
        <f t="shared" si="133"/>
        <v>42437859.833333015</v>
      </c>
      <c r="AI130" s="220">
        <f t="shared" si="134"/>
        <v>1215324866.833333</v>
      </c>
      <c r="AJ130" s="269">
        <f t="shared" si="135"/>
        <v>1215324866.833333</v>
      </c>
      <c r="AK130" s="101"/>
      <c r="AL130" s="204">
        <v>-10000000</v>
      </c>
      <c r="AM130" s="210">
        <v>0</v>
      </c>
    </row>
    <row r="131" spans="1:39" ht="24.75" customHeight="1">
      <c r="A131" s="542"/>
      <c r="B131" s="453"/>
      <c r="C131" s="67"/>
      <c r="D131" s="67"/>
      <c r="E131" s="67"/>
      <c r="F131" s="67"/>
      <c r="G131" s="67"/>
      <c r="H131" s="67"/>
      <c r="I131" s="67"/>
      <c r="J131" s="67"/>
      <c r="K131" s="67"/>
      <c r="L131" s="67"/>
      <c r="M131" s="67"/>
      <c r="N131" s="101"/>
      <c r="O131" s="67"/>
      <c r="P131" s="67"/>
      <c r="Q131" s="67"/>
      <c r="R131" s="101"/>
      <c r="S131" s="266" t="str">
        <f>+IF(JUNIO!S131=0,"",JUNIO!S131)</f>
        <v>2.1.2.02.02.009.908</v>
      </c>
      <c r="T131" s="267" t="str">
        <f>+IF(JUNIO!T131=0,"",JUNIO!T131)</f>
        <v>Bienestar Social</v>
      </c>
      <c r="U131" s="373">
        <f>+ENERO!U131</f>
        <v>326592555</v>
      </c>
      <c r="V131" s="220">
        <f>JUNIO!V131+JULIO!AL131</f>
        <v>45937870</v>
      </c>
      <c r="W131" s="220">
        <f>JUNIO!W131+JULIO!AM131</f>
        <v>169879991</v>
      </c>
      <c r="X131" s="271">
        <f t="shared" si="130"/>
        <v>542410416</v>
      </c>
      <c r="Y131" s="270">
        <f>JUNIO!AA131</f>
        <v>448311514</v>
      </c>
      <c r="Z131" s="208">
        <v>3797800</v>
      </c>
      <c r="AA131" s="271">
        <f t="shared" si="136"/>
        <v>452109314</v>
      </c>
      <c r="AB131" s="270">
        <f>JUNIO!AD131</f>
        <v>374495003</v>
      </c>
      <c r="AC131" s="208">
        <v>5427438</v>
      </c>
      <c r="AD131" s="271">
        <f t="shared" si="131"/>
        <v>379922441</v>
      </c>
      <c r="AE131" s="270">
        <f>JUNIO!AG131</f>
        <v>157706906</v>
      </c>
      <c r="AF131" s="208">
        <v>4443138</v>
      </c>
      <c r="AG131" s="271">
        <f t="shared" si="132"/>
        <v>162150044</v>
      </c>
      <c r="AH131" s="270">
        <f t="shared" si="133"/>
        <v>90301102</v>
      </c>
      <c r="AI131" s="220">
        <f t="shared" si="134"/>
        <v>162487975</v>
      </c>
      <c r="AJ131" s="269">
        <f t="shared" si="135"/>
        <v>380260372</v>
      </c>
      <c r="AK131" s="101"/>
      <c r="AL131" s="204">
        <v>0</v>
      </c>
      <c r="AM131" s="210">
        <v>0</v>
      </c>
    </row>
    <row r="132" spans="1:39" ht="24.75" customHeight="1">
      <c r="A132" s="542"/>
      <c r="B132" s="453"/>
      <c r="C132" s="67"/>
      <c r="D132" s="67"/>
      <c r="E132" s="67"/>
      <c r="F132" s="67"/>
      <c r="G132" s="67"/>
      <c r="H132" s="67"/>
      <c r="I132" s="67"/>
      <c r="J132" s="67"/>
      <c r="K132" s="67"/>
      <c r="L132" s="67"/>
      <c r="M132" s="67"/>
      <c r="N132" s="101"/>
      <c r="O132" s="67"/>
      <c r="P132" s="67"/>
      <c r="Q132" s="67"/>
      <c r="R132" s="101"/>
      <c r="S132" s="266" t="str">
        <f>+IF(JUNIO!S132=0,"",JUNIO!S132)</f>
        <v>2.1.2.02.02.010</v>
      </c>
      <c r="T132" s="267" t="str">
        <f>+IF(JUNIO!T132=0,"",JUNIO!T132)</f>
        <v>Viáticos de los funcionarios en comisión</v>
      </c>
      <c r="U132" s="373">
        <f>+ENERO!U132</f>
        <v>3000000</v>
      </c>
      <c r="V132" s="220">
        <f>JUNIO!V132+JULIO!AL132</f>
        <v>10000000</v>
      </c>
      <c r="W132" s="220">
        <f>JUNIO!W132+JULIO!AM132</f>
        <v>0</v>
      </c>
      <c r="X132" s="271">
        <f t="shared" si="130"/>
        <v>13000000</v>
      </c>
      <c r="Y132" s="270">
        <f>JUNIO!AA132</f>
        <v>1456623</v>
      </c>
      <c r="Z132" s="208">
        <v>3275063</v>
      </c>
      <c r="AA132" s="271">
        <f t="shared" si="136"/>
        <v>4731686</v>
      </c>
      <c r="AB132" s="270">
        <f>JUNIO!AD132</f>
        <v>1456623</v>
      </c>
      <c r="AC132" s="208">
        <v>2589273</v>
      </c>
      <c r="AD132" s="271">
        <f t="shared" si="131"/>
        <v>4045896</v>
      </c>
      <c r="AE132" s="270">
        <f>JUNIO!AG132</f>
        <v>1456623</v>
      </c>
      <c r="AF132" s="208">
        <v>2589273</v>
      </c>
      <c r="AG132" s="271">
        <f t="shared" si="132"/>
        <v>4045896</v>
      </c>
      <c r="AH132" s="270">
        <f t="shared" si="133"/>
        <v>8268314</v>
      </c>
      <c r="AI132" s="220">
        <f t="shared" si="134"/>
        <v>8954104</v>
      </c>
      <c r="AJ132" s="269">
        <f t="shared" si="135"/>
        <v>8954104</v>
      </c>
      <c r="AK132" s="101"/>
      <c r="AL132" s="204">
        <v>10000000</v>
      </c>
      <c r="AM132" s="210">
        <v>0</v>
      </c>
    </row>
    <row r="133" spans="1:39" ht="24.75" customHeight="1">
      <c r="A133" s="542"/>
      <c r="B133" s="453"/>
      <c r="C133" s="67"/>
      <c r="D133" s="67"/>
      <c r="E133" s="67"/>
      <c r="F133" s="67"/>
      <c r="G133" s="67"/>
      <c r="H133" s="67"/>
      <c r="I133" s="67"/>
      <c r="J133" s="67"/>
      <c r="K133" s="67"/>
      <c r="L133" s="67"/>
      <c r="M133" s="67"/>
      <c r="N133" s="101"/>
      <c r="O133" s="67"/>
      <c r="P133" s="67"/>
      <c r="Q133" s="67"/>
      <c r="R133" s="101"/>
      <c r="S133" s="266" t="str">
        <f>+IF(JUNIO!S133=0,"",JUNIO!S133)</f>
        <v>2.1.2.02.02.009.903</v>
      </c>
      <c r="T133" s="267" t="str">
        <f>+IF(JUNIO!T133=0,"",JUNIO!T133)</f>
        <v>Servicios prestados por IPS</v>
      </c>
      <c r="U133" s="373">
        <f>+ENERO!U133</f>
        <v>5000000</v>
      </c>
      <c r="V133" s="220">
        <f>JUNIO!V133+JULIO!AL133</f>
        <v>0</v>
      </c>
      <c r="W133" s="220">
        <f>JUNIO!W133+JULIO!AM133</f>
        <v>0</v>
      </c>
      <c r="X133" s="271">
        <f t="shared" si="130"/>
        <v>5000000</v>
      </c>
      <c r="Y133" s="270">
        <f>JUNIO!AA133</f>
        <v>0</v>
      </c>
      <c r="Z133" s="208">
        <v>0</v>
      </c>
      <c r="AA133" s="271">
        <f t="shared" si="136"/>
        <v>0</v>
      </c>
      <c r="AB133" s="270">
        <f>JUNIO!AD133</f>
        <v>0</v>
      </c>
      <c r="AC133" s="208">
        <v>0</v>
      </c>
      <c r="AD133" s="271">
        <f t="shared" si="131"/>
        <v>0</v>
      </c>
      <c r="AE133" s="270">
        <f>JUNIO!AG133</f>
        <v>0</v>
      </c>
      <c r="AF133" s="208">
        <v>0</v>
      </c>
      <c r="AG133" s="271">
        <f t="shared" si="132"/>
        <v>0</v>
      </c>
      <c r="AH133" s="270">
        <f t="shared" si="133"/>
        <v>5000000</v>
      </c>
      <c r="AI133" s="220">
        <f t="shared" si="134"/>
        <v>5000000</v>
      </c>
      <c r="AJ133" s="269">
        <f t="shared" si="135"/>
        <v>5000000</v>
      </c>
      <c r="AK133" s="101"/>
      <c r="AL133" s="204">
        <v>0</v>
      </c>
      <c r="AM133" s="210">
        <v>0</v>
      </c>
    </row>
    <row r="134" spans="1:39" ht="24.75" customHeight="1">
      <c r="A134" s="542"/>
      <c r="B134" s="453"/>
      <c r="C134" s="67"/>
      <c r="D134" s="67"/>
      <c r="E134" s="67"/>
      <c r="F134" s="67"/>
      <c r="G134" s="67"/>
      <c r="H134" s="67"/>
      <c r="I134" s="67"/>
      <c r="J134" s="67"/>
      <c r="K134" s="67"/>
      <c r="L134" s="67"/>
      <c r="M134" s="67"/>
      <c r="N134" s="101"/>
      <c r="O134" s="67"/>
      <c r="P134" s="67"/>
      <c r="Q134" s="67"/>
      <c r="R134" s="101"/>
      <c r="S134" s="266" t="str">
        <f>+IF(JUNIO!S134=0,"",JUNIO!S134)</f>
        <v>2010200-11</v>
      </c>
      <c r="T134" s="267" t="str">
        <f>+IF(JUNIO!T134=0,"",JUNIO!T134)</f>
        <v>Gastos Bancarios</v>
      </c>
      <c r="U134" s="373">
        <f>+ENERO!U134</f>
        <v>0</v>
      </c>
      <c r="V134" s="220">
        <f>JUNIO!V134+JULIO!AL134</f>
        <v>0</v>
      </c>
      <c r="W134" s="220">
        <f>JUNIO!W134+JULIO!AM134</f>
        <v>0</v>
      </c>
      <c r="X134" s="271">
        <f t="shared" si="130"/>
        <v>0</v>
      </c>
      <c r="Y134" s="270">
        <f>JUNIO!AA134</f>
        <v>0</v>
      </c>
      <c r="Z134" s="208">
        <v>0</v>
      </c>
      <c r="AA134" s="271">
        <f t="shared" si="136"/>
        <v>0</v>
      </c>
      <c r="AB134" s="270">
        <f>JUNIO!AD134</f>
        <v>0</v>
      </c>
      <c r="AC134" s="208">
        <v>0</v>
      </c>
      <c r="AD134" s="271">
        <f t="shared" si="131"/>
        <v>0</v>
      </c>
      <c r="AE134" s="270">
        <f>JUNIO!AG134</f>
        <v>0</v>
      </c>
      <c r="AF134" s="208">
        <v>0</v>
      </c>
      <c r="AG134" s="271">
        <f t="shared" si="132"/>
        <v>0</v>
      </c>
      <c r="AH134" s="270">
        <f t="shared" si="133"/>
        <v>0</v>
      </c>
      <c r="AI134" s="220">
        <f t="shared" si="134"/>
        <v>0</v>
      </c>
      <c r="AJ134" s="269">
        <f t="shared" si="135"/>
        <v>0</v>
      </c>
      <c r="AK134" s="101"/>
      <c r="AL134" s="204">
        <v>0</v>
      </c>
      <c r="AM134" s="210">
        <v>0</v>
      </c>
    </row>
    <row r="135" spans="1:39" ht="24.75" customHeight="1">
      <c r="A135" s="542"/>
      <c r="B135" s="453"/>
      <c r="C135" s="67"/>
      <c r="D135" s="67"/>
      <c r="E135" s="67"/>
      <c r="F135" s="67"/>
      <c r="G135" s="67"/>
      <c r="H135" s="67"/>
      <c r="I135" s="67"/>
      <c r="J135" s="67"/>
      <c r="K135" s="67"/>
      <c r="L135" s="67"/>
      <c r="M135" s="67"/>
      <c r="N135" s="101"/>
      <c r="O135" s="67"/>
      <c r="P135" s="67"/>
      <c r="Q135" s="67"/>
      <c r="R135" s="101"/>
      <c r="S135" s="266" t="str">
        <f>+IF(JUNIO!S135=0,"",JUNIO!S135)</f>
        <v>2.1.2.02.02.009.909</v>
      </c>
      <c r="T135" s="267" t="str">
        <f>+IF(JUNIO!T135=0,"",JUNIO!T135)</f>
        <v>Convenio Docencia Servicios</v>
      </c>
      <c r="U135" s="373">
        <f>+ENERO!U135</f>
        <v>20000000</v>
      </c>
      <c r="V135" s="220">
        <f>JUNIO!V135+JULIO!AL135</f>
        <v>0</v>
      </c>
      <c r="W135" s="220">
        <f>JUNIO!W135+JULIO!AM135</f>
        <v>0</v>
      </c>
      <c r="X135" s="271">
        <f t="shared" si="130"/>
        <v>20000000</v>
      </c>
      <c r="Y135" s="270">
        <f>JUNIO!AA135</f>
        <v>0</v>
      </c>
      <c r="Z135" s="208">
        <v>0</v>
      </c>
      <c r="AA135" s="271">
        <f t="shared" si="136"/>
        <v>0</v>
      </c>
      <c r="AB135" s="270">
        <f>JUNIO!AD135</f>
        <v>0</v>
      </c>
      <c r="AC135" s="208">
        <v>0</v>
      </c>
      <c r="AD135" s="271">
        <f t="shared" si="131"/>
        <v>0</v>
      </c>
      <c r="AE135" s="270">
        <f>JUNIO!AG135</f>
        <v>0</v>
      </c>
      <c r="AF135" s="208">
        <v>0</v>
      </c>
      <c r="AG135" s="271">
        <f t="shared" si="132"/>
        <v>0</v>
      </c>
      <c r="AH135" s="270">
        <f t="shared" si="133"/>
        <v>20000000</v>
      </c>
      <c r="AI135" s="220">
        <f t="shared" si="134"/>
        <v>20000000</v>
      </c>
      <c r="AJ135" s="269">
        <f t="shared" si="135"/>
        <v>20000000</v>
      </c>
      <c r="AK135" s="101"/>
      <c r="AL135" s="204">
        <v>0</v>
      </c>
      <c r="AM135" s="210">
        <v>0</v>
      </c>
    </row>
    <row r="136" spans="1:39" ht="24.75" customHeight="1">
      <c r="A136" s="542"/>
      <c r="B136" s="453"/>
      <c r="C136" s="67"/>
      <c r="D136" s="67"/>
      <c r="E136" s="67"/>
      <c r="F136" s="67"/>
      <c r="G136" s="67"/>
      <c r="H136" s="67"/>
      <c r="I136" s="67"/>
      <c r="J136" s="67"/>
      <c r="K136" s="67"/>
      <c r="L136" s="67"/>
      <c r="M136" s="67"/>
      <c r="N136" s="101"/>
      <c r="O136" s="67"/>
      <c r="P136" s="67"/>
      <c r="Q136" s="67"/>
      <c r="R136" s="101"/>
      <c r="S136" s="266" t="str">
        <f>+IF(JUNIO!S136=0,"",JUNIO!S136)</f>
        <v>2.1.2.02.02.008.809</v>
      </c>
      <c r="T136" s="267" t="str">
        <f>+IF(JUNIO!T136=0,"",JUNIO!T136)</f>
        <v>Publicidad</v>
      </c>
      <c r="U136" s="373">
        <f>+ENERO!U136</f>
        <v>0</v>
      </c>
      <c r="V136" s="220">
        <f>JUNIO!V136+JULIO!AL136</f>
        <v>0</v>
      </c>
      <c r="W136" s="220">
        <f>JUNIO!W136+JULIO!AM136</f>
        <v>0</v>
      </c>
      <c r="X136" s="271">
        <f t="shared" si="130"/>
        <v>0</v>
      </c>
      <c r="Y136" s="270">
        <f>JUNIO!AA136</f>
        <v>0</v>
      </c>
      <c r="Z136" s="208">
        <v>0</v>
      </c>
      <c r="AA136" s="271">
        <f t="shared" si="136"/>
        <v>0</v>
      </c>
      <c r="AB136" s="270">
        <f>JUNIO!AD136</f>
        <v>0</v>
      </c>
      <c r="AC136" s="208">
        <v>0</v>
      </c>
      <c r="AD136" s="271">
        <f t="shared" si="131"/>
        <v>0</v>
      </c>
      <c r="AE136" s="270">
        <f>JUNIO!AG136</f>
        <v>0</v>
      </c>
      <c r="AF136" s="208">
        <v>0</v>
      </c>
      <c r="AG136" s="271">
        <f t="shared" si="132"/>
        <v>0</v>
      </c>
      <c r="AH136" s="270">
        <f t="shared" si="133"/>
        <v>0</v>
      </c>
      <c r="AI136" s="220">
        <f t="shared" si="134"/>
        <v>0</v>
      </c>
      <c r="AJ136" s="269">
        <f t="shared" si="135"/>
        <v>0</v>
      </c>
      <c r="AK136" s="101"/>
      <c r="AL136" s="204">
        <v>0</v>
      </c>
      <c r="AM136" s="210">
        <v>0</v>
      </c>
    </row>
    <row r="137" spans="1:39" ht="24.75" customHeight="1">
      <c r="A137" s="542"/>
      <c r="B137" s="453"/>
      <c r="C137" s="67"/>
      <c r="D137" s="67"/>
      <c r="E137" s="67"/>
      <c r="F137" s="67"/>
      <c r="G137" s="67"/>
      <c r="H137" s="67"/>
      <c r="I137" s="67"/>
      <c r="J137" s="67"/>
      <c r="K137" s="67"/>
      <c r="L137" s="67"/>
      <c r="M137" s="67"/>
      <c r="N137" s="101"/>
      <c r="O137" s="67"/>
      <c r="P137" s="67"/>
      <c r="Q137" s="67"/>
      <c r="R137" s="101"/>
      <c r="S137" s="266" t="str">
        <f>+IF(JUNIO!S137=0,"",JUNIO!S137)</f>
        <v/>
      </c>
      <c r="T137" s="267" t="str">
        <f>+IF(JUNIO!T137=0,"",JUNIO!T137)</f>
        <v/>
      </c>
      <c r="U137" s="373">
        <f>+ENERO!U137</f>
        <v>0</v>
      </c>
      <c r="V137" s="220">
        <f>JUNIO!V137+JULIO!AL137</f>
        <v>0</v>
      </c>
      <c r="W137" s="220">
        <f>JUNIO!W137+JULIO!AM137</f>
        <v>0</v>
      </c>
      <c r="X137" s="271">
        <f t="shared" si="130"/>
        <v>0</v>
      </c>
      <c r="Y137" s="270">
        <f>JUNIO!AA137</f>
        <v>0</v>
      </c>
      <c r="Z137" s="208">
        <v>0</v>
      </c>
      <c r="AA137" s="271">
        <f t="shared" si="136"/>
        <v>0</v>
      </c>
      <c r="AB137" s="270">
        <f>JUNIO!AD137</f>
        <v>0</v>
      </c>
      <c r="AC137" s="208">
        <v>0</v>
      </c>
      <c r="AD137" s="271">
        <f t="shared" si="131"/>
        <v>0</v>
      </c>
      <c r="AE137" s="270">
        <f>JUNIO!AG137</f>
        <v>0</v>
      </c>
      <c r="AF137" s="208"/>
      <c r="AG137" s="271">
        <f t="shared" si="132"/>
        <v>0</v>
      </c>
      <c r="AH137" s="270">
        <f t="shared" si="133"/>
        <v>0</v>
      </c>
      <c r="AI137" s="220">
        <f t="shared" si="134"/>
        <v>0</v>
      </c>
      <c r="AJ137" s="269">
        <f t="shared" si="135"/>
        <v>0</v>
      </c>
      <c r="AK137" s="101"/>
      <c r="AL137" s="204">
        <v>0</v>
      </c>
      <c r="AM137" s="210">
        <v>0</v>
      </c>
    </row>
    <row r="138" spans="1:39" ht="24.75" customHeight="1">
      <c r="A138" s="542"/>
      <c r="B138" s="453"/>
      <c r="C138" s="67"/>
      <c r="D138" s="67"/>
      <c r="E138" s="67"/>
      <c r="F138" s="67"/>
      <c r="G138" s="67"/>
      <c r="H138" s="67"/>
      <c r="I138" s="67"/>
      <c r="J138" s="67"/>
      <c r="K138" s="67"/>
      <c r="L138" s="67"/>
      <c r="M138" s="67"/>
      <c r="N138" s="101"/>
      <c r="O138" s="67"/>
      <c r="P138" s="67"/>
      <c r="Q138" s="67"/>
      <c r="R138" s="101"/>
      <c r="S138" s="266" t="str">
        <f>+IF(JUNIO!S138=0,"",JUNIO!S138)</f>
        <v/>
      </c>
      <c r="T138" s="267" t="str">
        <f>+IF(JUNIO!T138=0,"",JUNIO!T138)</f>
        <v/>
      </c>
      <c r="U138" s="373">
        <f>+ENERO!U138</f>
        <v>0</v>
      </c>
      <c r="V138" s="220">
        <f>JUNIO!V138+JULIO!AL138</f>
        <v>0</v>
      </c>
      <c r="W138" s="220">
        <f>JUNIO!W138+JULIO!AM138</f>
        <v>0</v>
      </c>
      <c r="X138" s="271">
        <f t="shared" si="130"/>
        <v>0</v>
      </c>
      <c r="Y138" s="270">
        <f>JUNIO!AA138</f>
        <v>0</v>
      </c>
      <c r="Z138" s="208">
        <v>0</v>
      </c>
      <c r="AA138" s="271">
        <f t="shared" si="136"/>
        <v>0</v>
      </c>
      <c r="AB138" s="270">
        <f>JUNIO!AD138</f>
        <v>0</v>
      </c>
      <c r="AC138" s="208"/>
      <c r="AD138" s="271">
        <f t="shared" si="131"/>
        <v>0</v>
      </c>
      <c r="AE138" s="270">
        <f>JUNIO!AG138</f>
        <v>0</v>
      </c>
      <c r="AF138" s="208"/>
      <c r="AG138" s="271">
        <f t="shared" si="132"/>
        <v>0</v>
      </c>
      <c r="AH138" s="270">
        <f t="shared" si="133"/>
        <v>0</v>
      </c>
      <c r="AI138" s="220">
        <f t="shared" si="134"/>
        <v>0</v>
      </c>
      <c r="AJ138" s="269">
        <f t="shared" si="135"/>
        <v>0</v>
      </c>
      <c r="AK138" s="101"/>
      <c r="AL138" s="204">
        <v>0</v>
      </c>
      <c r="AM138" s="210">
        <v>0</v>
      </c>
    </row>
    <row r="139" spans="1:39" ht="24.75" customHeight="1">
      <c r="A139" s="542"/>
      <c r="B139" s="453"/>
      <c r="C139" s="67"/>
      <c r="D139" s="67"/>
      <c r="E139" s="67"/>
      <c r="F139" s="67"/>
      <c r="G139" s="67"/>
      <c r="H139" s="67"/>
      <c r="I139" s="67"/>
      <c r="J139" s="67"/>
      <c r="K139" s="67"/>
      <c r="L139" s="67"/>
      <c r="M139" s="67"/>
      <c r="N139" s="101"/>
      <c r="O139" s="67"/>
      <c r="P139" s="67"/>
      <c r="Q139" s="67"/>
      <c r="R139" s="101"/>
      <c r="S139" s="266" t="str">
        <f>+IF(JUNIO!S139=0,"",JUNIO!S139)</f>
        <v>2.1.2.02.02.008.99.01</v>
      </c>
      <c r="T139" s="267" t="str">
        <f>+IF(JUNIO!T139=0,"",JUNIO!T139)</f>
        <v>Vigencias Anteriores</v>
      </c>
      <c r="U139" s="373">
        <f>+ENERO!U139</f>
        <v>368200000</v>
      </c>
      <c r="V139" s="220">
        <f>JUNIO!V139+JULIO!AL139</f>
        <v>0</v>
      </c>
      <c r="W139" s="220">
        <f>JUNIO!W139+JULIO!AM139</f>
        <v>0</v>
      </c>
      <c r="X139" s="271">
        <f t="shared" si="130"/>
        <v>368200000</v>
      </c>
      <c r="Y139" s="270">
        <f>JUNIO!AA139</f>
        <v>234444435</v>
      </c>
      <c r="Z139" s="208">
        <v>0</v>
      </c>
      <c r="AA139" s="271">
        <f t="shared" si="136"/>
        <v>234444435</v>
      </c>
      <c r="AB139" s="270">
        <f>JUNIO!AD139</f>
        <v>234444435</v>
      </c>
      <c r="AC139" s="208">
        <v>0</v>
      </c>
      <c r="AD139" s="271">
        <f t="shared" si="131"/>
        <v>234444435</v>
      </c>
      <c r="AE139" s="270">
        <f>JUNIO!AG139</f>
        <v>234444435</v>
      </c>
      <c r="AF139" s="208">
        <v>0</v>
      </c>
      <c r="AG139" s="271">
        <f t="shared" si="132"/>
        <v>234444435</v>
      </c>
      <c r="AH139" s="270">
        <f t="shared" si="133"/>
        <v>133755565</v>
      </c>
      <c r="AI139" s="220">
        <f t="shared" si="134"/>
        <v>133755565</v>
      </c>
      <c r="AJ139" s="269">
        <f t="shared" si="135"/>
        <v>133755565</v>
      </c>
      <c r="AK139" s="101"/>
      <c r="AL139" s="204">
        <v>0</v>
      </c>
      <c r="AM139" s="210">
        <v>0</v>
      </c>
    </row>
    <row r="140" spans="1:39" ht="24.75" customHeight="1">
      <c r="A140" s="542"/>
      <c r="B140" s="453"/>
      <c r="C140" s="67"/>
      <c r="D140" s="67"/>
      <c r="E140" s="67"/>
      <c r="F140" s="67"/>
      <c r="G140" s="67"/>
      <c r="H140" s="67"/>
      <c r="I140" s="67"/>
      <c r="J140" s="67"/>
      <c r="K140" s="67"/>
      <c r="L140" s="67"/>
      <c r="M140" s="67"/>
      <c r="N140" s="101"/>
      <c r="O140" s="67"/>
      <c r="P140" s="67"/>
      <c r="Q140" s="67"/>
      <c r="R140" s="101"/>
      <c r="S140" s="189">
        <f>+IF(JUNIO!S140=0,"",JUNIO!S140)</f>
        <v>233459072</v>
      </c>
      <c r="T140" s="488" t="str">
        <f>+IF(JUNIO!T140=0,"",JUNIO!T140)</f>
        <v/>
      </c>
      <c r="U140" s="191"/>
      <c r="V140" s="191"/>
      <c r="W140" s="191"/>
      <c r="X140" s="191"/>
      <c r="Y140" s="191"/>
      <c r="Z140" s="191"/>
      <c r="AA140" s="191"/>
      <c r="AB140" s="191"/>
      <c r="AC140" s="191"/>
      <c r="AD140" s="191"/>
      <c r="AE140" s="191"/>
      <c r="AF140" s="191"/>
      <c r="AG140" s="191"/>
      <c r="AH140" s="191"/>
      <c r="AI140" s="191"/>
      <c r="AJ140" s="192"/>
      <c r="AK140" s="216"/>
      <c r="AL140" s="370"/>
      <c r="AM140" s="371"/>
    </row>
    <row r="141" spans="1:39" ht="24.75" customHeight="1">
      <c r="A141" s="542"/>
      <c r="B141" s="453"/>
      <c r="C141" s="67"/>
      <c r="D141" s="67"/>
      <c r="E141" s="67"/>
      <c r="F141" s="67"/>
      <c r="G141" s="67"/>
      <c r="H141" s="67"/>
      <c r="I141" s="67"/>
      <c r="J141" s="67"/>
      <c r="K141" s="67"/>
      <c r="L141" s="67"/>
      <c r="M141" s="67"/>
      <c r="N141" s="101"/>
      <c r="O141" s="67"/>
      <c r="P141" s="67"/>
      <c r="Q141" s="67"/>
      <c r="R141" s="101"/>
      <c r="S141" s="257" t="str">
        <f>+IF(JUNIO!S141=0,"",JUNIO!S141)</f>
        <v>2.1.8.01</v>
      </c>
      <c r="T141" s="546" t="str">
        <f>+IF(JUNIO!T141=0,"",JUNIO!T141)</f>
        <v>Impuestos y Multas</v>
      </c>
      <c r="U141" s="230">
        <f t="shared" ref="U141:AJ141" si="139">U142+U143</f>
        <v>548000000</v>
      </c>
      <c r="V141" s="231">
        <f t="shared" si="139"/>
        <v>0</v>
      </c>
      <c r="W141" s="231">
        <f t="shared" si="139"/>
        <v>0</v>
      </c>
      <c r="X141" s="234">
        <f t="shared" si="139"/>
        <v>548000000</v>
      </c>
      <c r="Y141" s="233">
        <f t="shared" si="139"/>
        <v>220599363</v>
      </c>
      <c r="Z141" s="231">
        <f t="shared" si="139"/>
        <v>33717395</v>
      </c>
      <c r="AA141" s="234">
        <f t="shared" si="139"/>
        <v>254316758</v>
      </c>
      <c r="AB141" s="233">
        <f t="shared" si="139"/>
        <v>220599363</v>
      </c>
      <c r="AC141" s="231">
        <f t="shared" si="139"/>
        <v>33717395</v>
      </c>
      <c r="AD141" s="234">
        <f t="shared" si="139"/>
        <v>254316758</v>
      </c>
      <c r="AE141" s="233">
        <f t="shared" si="139"/>
        <v>168841013</v>
      </c>
      <c r="AF141" s="231">
        <f t="shared" si="139"/>
        <v>33717395</v>
      </c>
      <c r="AG141" s="234">
        <f t="shared" si="139"/>
        <v>202558408</v>
      </c>
      <c r="AH141" s="233">
        <f t="shared" si="139"/>
        <v>293683242</v>
      </c>
      <c r="AI141" s="231">
        <f t="shared" si="139"/>
        <v>293683242</v>
      </c>
      <c r="AJ141" s="232">
        <f t="shared" si="139"/>
        <v>345441592</v>
      </c>
      <c r="AK141" s="216"/>
      <c r="AL141" s="233">
        <f>AL142+AL143</f>
        <v>0</v>
      </c>
      <c r="AM141" s="232">
        <f>AM142+AM143</f>
        <v>0</v>
      </c>
    </row>
    <row r="142" spans="1:39" ht="24.75" customHeight="1">
      <c r="A142" s="542"/>
      <c r="B142" s="453"/>
      <c r="C142" s="67"/>
      <c r="D142" s="67"/>
      <c r="E142" s="67"/>
      <c r="F142" s="67"/>
      <c r="G142" s="67"/>
      <c r="H142" s="67"/>
      <c r="I142" s="67"/>
      <c r="J142" s="67"/>
      <c r="K142" s="67"/>
      <c r="L142" s="67"/>
      <c r="M142" s="67"/>
      <c r="N142" s="101"/>
      <c r="O142" s="67"/>
      <c r="P142" s="67"/>
      <c r="Q142" s="67"/>
      <c r="R142" s="101"/>
      <c r="S142" s="266" t="str">
        <f>+IF(JUNIO!S142=0,"",JUNIO!S142)</f>
        <v>2.1.8.01.52</v>
      </c>
      <c r="T142" s="267" t="str">
        <f>+IF(JUNIO!T142=0,"",JUNIO!T142)</f>
        <v>IMPUESTO PREDIAL UNIFICADO</v>
      </c>
      <c r="U142" s="373">
        <f>+ENERO!U142</f>
        <v>148000000</v>
      </c>
      <c r="V142" s="220">
        <f>JUNIO!V142+JULIO!AL142</f>
        <v>0</v>
      </c>
      <c r="W142" s="220">
        <f>JUNIO!W142+JULIO!AM142</f>
        <v>0</v>
      </c>
      <c r="X142" s="271">
        <f>SUM(U142:W142)</f>
        <v>148000000</v>
      </c>
      <c r="Y142" s="270">
        <f>JUNIO!AA142</f>
        <v>103516700</v>
      </c>
      <c r="Z142" s="208">
        <v>0</v>
      </c>
      <c r="AA142" s="271">
        <f>SUM(Y142:Z142)</f>
        <v>103516700</v>
      </c>
      <c r="AB142" s="270">
        <f>JUNIO!AD142</f>
        <v>103516700</v>
      </c>
      <c r="AC142" s="208">
        <v>0</v>
      </c>
      <c r="AD142" s="271">
        <f>SUM(AB142:AC142)</f>
        <v>103516700</v>
      </c>
      <c r="AE142" s="270">
        <f>JUNIO!AG142</f>
        <v>51758350</v>
      </c>
      <c r="AF142" s="208">
        <v>0</v>
      </c>
      <c r="AG142" s="271">
        <f>SUM(AE142:AF142)</f>
        <v>51758350</v>
      </c>
      <c r="AH142" s="270">
        <f>X142-AA142</f>
        <v>44483300</v>
      </c>
      <c r="AI142" s="220">
        <f>X142-AD142</f>
        <v>44483300</v>
      </c>
      <c r="AJ142" s="269">
        <f>X142-AG142</f>
        <v>96241650</v>
      </c>
      <c r="AK142" s="101"/>
      <c r="AL142" s="204">
        <v>0</v>
      </c>
      <c r="AM142" s="210">
        <v>0</v>
      </c>
    </row>
    <row r="143" spans="1:39" ht="24.75" customHeight="1">
      <c r="A143" s="542"/>
      <c r="B143" s="453"/>
      <c r="C143" s="67"/>
      <c r="D143" s="67"/>
      <c r="E143" s="67"/>
      <c r="F143" s="67"/>
      <c r="G143" s="67"/>
      <c r="H143" s="67"/>
      <c r="I143" s="67"/>
      <c r="J143" s="67"/>
      <c r="K143" s="67"/>
      <c r="L143" s="67"/>
      <c r="M143" s="67"/>
      <c r="N143" s="101"/>
      <c r="O143" s="67"/>
      <c r="P143" s="67"/>
      <c r="Q143" s="67"/>
      <c r="R143" s="101"/>
      <c r="S143" s="266" t="str">
        <f>+IF(JUNIO!S143=0,"",JUNIO!S143)</f>
        <v>2.1.8.01.54</v>
      </c>
      <c r="T143" s="267" t="str">
        <f>+IF(JUNIO!T143=0,"",JUNIO!T143)</f>
        <v>Impuesto de Industria y comercio</v>
      </c>
      <c r="U143" s="373">
        <f>+ENERO!U143</f>
        <v>400000000</v>
      </c>
      <c r="V143" s="220">
        <f>JUNIO!V143+JULIO!AL143</f>
        <v>0</v>
      </c>
      <c r="W143" s="220">
        <f>JUNIO!W143+JULIO!AM143</f>
        <v>0</v>
      </c>
      <c r="X143" s="271">
        <f>SUM(U143:W143)</f>
        <v>400000000</v>
      </c>
      <c r="Y143" s="270">
        <f>JUNIO!AA143</f>
        <v>117082663</v>
      </c>
      <c r="Z143" s="208">
        <v>33717395</v>
      </c>
      <c r="AA143" s="271">
        <f>SUM(Y143:Z143)</f>
        <v>150800058</v>
      </c>
      <c r="AB143" s="270">
        <f>JUNIO!AD143</f>
        <v>117082663</v>
      </c>
      <c r="AC143" s="208">
        <v>33717395</v>
      </c>
      <c r="AD143" s="271">
        <f>SUM(AB143:AC143)</f>
        <v>150800058</v>
      </c>
      <c r="AE143" s="270">
        <f>JUNIO!AG143</f>
        <v>117082663</v>
      </c>
      <c r="AF143" s="208">
        <v>33717395</v>
      </c>
      <c r="AG143" s="271">
        <f>SUM(AE143:AF143)</f>
        <v>150800058</v>
      </c>
      <c r="AH143" s="270">
        <f>X143-AA143</f>
        <v>249199942</v>
      </c>
      <c r="AI143" s="220">
        <f>X143-AD143</f>
        <v>249199942</v>
      </c>
      <c r="AJ143" s="269">
        <f>X143-AG143</f>
        <v>249199942</v>
      </c>
      <c r="AK143" s="101"/>
      <c r="AL143" s="204">
        <v>0</v>
      </c>
      <c r="AM143" s="210">
        <v>0</v>
      </c>
    </row>
    <row r="144" spans="1:39" ht="24.75" customHeight="1">
      <c r="A144" s="542"/>
      <c r="B144" s="453"/>
      <c r="C144" s="67"/>
      <c r="D144" s="67"/>
      <c r="E144" s="67"/>
      <c r="F144" s="67"/>
      <c r="G144" s="67"/>
      <c r="H144" s="67"/>
      <c r="I144" s="67"/>
      <c r="J144" s="67"/>
      <c r="K144" s="67"/>
      <c r="L144" s="67"/>
      <c r="M144" s="67"/>
      <c r="N144" s="101"/>
      <c r="O144" s="67"/>
      <c r="P144" s="67"/>
      <c r="Q144" s="67"/>
      <c r="R144" s="101"/>
      <c r="S144" s="189">
        <f>+IF(JUNIO!S144=0,"",JUNIO!S144)</f>
        <v>8880056</v>
      </c>
      <c r="T144" s="488" t="str">
        <f>+IF(JUNIO!T144=0,"",JUNIO!T144)</f>
        <v/>
      </c>
      <c r="U144" s="191"/>
      <c r="V144" s="191"/>
      <c r="W144" s="191"/>
      <c r="X144" s="191"/>
      <c r="Y144" s="191"/>
      <c r="Z144" s="191"/>
      <c r="AA144" s="191"/>
      <c r="AB144" s="191"/>
      <c r="AC144" s="191"/>
      <c r="AD144" s="191"/>
      <c r="AE144" s="191"/>
      <c r="AF144" s="191"/>
      <c r="AG144" s="191"/>
      <c r="AH144" s="191"/>
      <c r="AI144" s="191"/>
      <c r="AJ144" s="192"/>
      <c r="AK144" s="101"/>
      <c r="AL144" s="370"/>
      <c r="AM144" s="371"/>
    </row>
    <row r="145" spans="19:39" ht="24.75" customHeight="1">
      <c r="S145" s="228">
        <f>+IF(JUNIO!S145=0,"",JUNIO!S145)</f>
        <v>2020010</v>
      </c>
      <c r="T145" s="229" t="str">
        <f>+IF(JUNIO!T145=0,"",JUNIO!T145)</f>
        <v>Gastos de Operación</v>
      </c>
      <c r="U145" s="230">
        <f t="shared" ref="U145:AJ145" si="140">U147+U155</f>
        <v>11892931308.176388</v>
      </c>
      <c r="V145" s="231">
        <f t="shared" si="140"/>
        <v>195000000</v>
      </c>
      <c r="W145" s="231">
        <f t="shared" si="140"/>
        <v>458814745</v>
      </c>
      <c r="X145" s="234">
        <f t="shared" si="140"/>
        <v>12546746053.176388</v>
      </c>
      <c r="Y145" s="233">
        <f t="shared" si="140"/>
        <v>5378946056</v>
      </c>
      <c r="Z145" s="231">
        <f t="shared" si="140"/>
        <v>741809411</v>
      </c>
      <c r="AA145" s="234">
        <f t="shared" si="140"/>
        <v>6120755467</v>
      </c>
      <c r="AB145" s="233">
        <f t="shared" si="140"/>
        <v>3942466752</v>
      </c>
      <c r="AC145" s="231">
        <f t="shared" si="140"/>
        <v>607207660</v>
      </c>
      <c r="AD145" s="234">
        <f t="shared" si="140"/>
        <v>4549674412</v>
      </c>
      <c r="AE145" s="233">
        <f t="shared" si="140"/>
        <v>2305004972</v>
      </c>
      <c r="AF145" s="231">
        <f t="shared" si="140"/>
        <v>471545932</v>
      </c>
      <c r="AG145" s="234">
        <f t="shared" si="140"/>
        <v>2776550904</v>
      </c>
      <c r="AH145" s="233">
        <f t="shared" si="140"/>
        <v>6425990586.1763887</v>
      </c>
      <c r="AI145" s="231">
        <f t="shared" si="140"/>
        <v>7997071641.1763887</v>
      </c>
      <c r="AJ145" s="232">
        <f t="shared" si="140"/>
        <v>9770195149.1763878</v>
      </c>
      <c r="AK145" s="216"/>
      <c r="AL145" s="233">
        <f>AL147+AL155</f>
        <v>0</v>
      </c>
      <c r="AM145" s="232">
        <f>AM147+AM155</f>
        <v>0</v>
      </c>
    </row>
    <row r="146" spans="19:39" ht="24.75" customHeight="1">
      <c r="S146" s="311">
        <f>+IF(JUNIO!S146=0,"",JUNIO!S146)</f>
        <v>2020010</v>
      </c>
      <c r="T146" s="312" t="str">
        <f>+IF(JUNIO!T146=0,"",JUNIO!T146)</f>
        <v/>
      </c>
      <c r="U146" s="299"/>
      <c r="V146" s="220"/>
      <c r="W146" s="220"/>
      <c r="X146" s="271"/>
      <c r="Y146" s="270"/>
      <c r="Z146" s="220"/>
      <c r="AA146" s="271"/>
      <c r="AB146" s="270"/>
      <c r="AC146" s="220"/>
      <c r="AD146" s="271"/>
      <c r="AE146" s="270"/>
      <c r="AF146" s="220"/>
      <c r="AG146" s="271"/>
      <c r="AH146" s="270"/>
      <c r="AI146" s="220"/>
      <c r="AJ146" s="269"/>
      <c r="AK146" s="101"/>
      <c r="AL146" s="370"/>
      <c r="AM146" s="371"/>
    </row>
    <row r="147" spans="19:39" ht="24.75" customHeight="1">
      <c r="S147" s="257" t="str">
        <f>+IF(JUNIO!S147=0,"",JUNIO!S147)</f>
        <v>2.1.2</v>
      </c>
      <c r="T147" s="546" t="str">
        <f>+IF(JUNIO!T147=0,"",JUNIO!T147)</f>
        <v>Adquisición de bienes</v>
      </c>
      <c r="U147" s="230">
        <f t="shared" ref="U147:AJ147" si="141">SUM(U148:U149)+U153</f>
        <v>3776193053.9541664</v>
      </c>
      <c r="V147" s="231">
        <f t="shared" si="141"/>
        <v>195000000</v>
      </c>
      <c r="W147" s="231">
        <f t="shared" si="141"/>
        <v>300000000</v>
      </c>
      <c r="X147" s="234">
        <f t="shared" si="141"/>
        <v>4271193053.9541664</v>
      </c>
      <c r="Y147" s="233">
        <f t="shared" si="141"/>
        <v>1901909069</v>
      </c>
      <c r="Z147" s="231">
        <f t="shared" si="141"/>
        <v>383768459</v>
      </c>
      <c r="AA147" s="234">
        <f t="shared" si="141"/>
        <v>2285677528</v>
      </c>
      <c r="AB147" s="233">
        <f t="shared" si="141"/>
        <v>1717810229</v>
      </c>
      <c r="AC147" s="231">
        <f t="shared" si="141"/>
        <v>204999891</v>
      </c>
      <c r="AD147" s="234">
        <f t="shared" si="141"/>
        <v>1922810120</v>
      </c>
      <c r="AE147" s="233">
        <f t="shared" si="141"/>
        <v>910939092</v>
      </c>
      <c r="AF147" s="231">
        <f t="shared" si="141"/>
        <v>139553872</v>
      </c>
      <c r="AG147" s="234">
        <f t="shared" si="141"/>
        <v>1050492964</v>
      </c>
      <c r="AH147" s="233">
        <f t="shared" si="141"/>
        <v>1985515525.9541667</v>
      </c>
      <c r="AI147" s="231">
        <f t="shared" si="141"/>
        <v>2348382933.9541664</v>
      </c>
      <c r="AJ147" s="232">
        <f t="shared" si="141"/>
        <v>3220700089.9541664</v>
      </c>
      <c r="AK147" s="101"/>
      <c r="AL147" s="233">
        <f>SUM(AL148:AL149)+AL153</f>
        <v>0</v>
      </c>
      <c r="AM147" s="232">
        <f>SUM(AM148:AM149)+AM153</f>
        <v>0</v>
      </c>
    </row>
    <row r="148" spans="19:39" ht="24.75" customHeight="1">
      <c r="S148" s="266" t="str">
        <f>+IF(JUNIO!S148=0,"",JUNIO!S148)</f>
        <v>2.1.2.02.01.003.305</v>
      </c>
      <c r="T148" s="267" t="str">
        <f>+IF(JUNIO!T148=0,"",JUNIO!T148)</f>
        <v>Mantenimiento -  Partes, accesorios, herramientas</v>
      </c>
      <c r="U148" s="373">
        <f>+ENERO!U148</f>
        <v>2090969100</v>
      </c>
      <c r="V148" s="220">
        <f>JUNIO!V148+JULIO!AL148</f>
        <v>0</v>
      </c>
      <c r="W148" s="220">
        <f>JUNIO!W148+JULIO!AM148</f>
        <v>0</v>
      </c>
      <c r="X148" s="271">
        <f>SUM(U148:W148)</f>
        <v>2090969100</v>
      </c>
      <c r="Y148" s="270">
        <f>JUNIO!AA148</f>
        <v>611401108</v>
      </c>
      <c r="Z148" s="208">
        <v>279687398</v>
      </c>
      <c r="AA148" s="271">
        <f>SUM(Y148:Z148)</f>
        <v>891088506</v>
      </c>
      <c r="AB148" s="270">
        <f>JUNIO!AD148</f>
        <v>538284798</v>
      </c>
      <c r="AC148" s="208">
        <v>107616979</v>
      </c>
      <c r="AD148" s="271">
        <f>SUM(AB148:AC148)</f>
        <v>645901777</v>
      </c>
      <c r="AE148" s="270">
        <f>JUNIO!AG148</f>
        <v>223530550</v>
      </c>
      <c r="AF148" s="208">
        <v>71065968</v>
      </c>
      <c r="AG148" s="271">
        <f>SUM(AE148:AF148)</f>
        <v>294596518</v>
      </c>
      <c r="AH148" s="270">
        <f>X148-AA148</f>
        <v>1199880594</v>
      </c>
      <c r="AI148" s="220">
        <f>X148-AD148</f>
        <v>1445067323</v>
      </c>
      <c r="AJ148" s="269">
        <f>X148-AG148</f>
        <v>1796372582</v>
      </c>
      <c r="AK148" s="101"/>
      <c r="AL148" s="204">
        <v>0</v>
      </c>
      <c r="AM148" s="210">
        <v>0</v>
      </c>
    </row>
    <row r="149" spans="19:39" ht="24.75" customHeight="1">
      <c r="S149" s="266">
        <f>+IF(JUNIO!S149=0,"",JUNIO!S149)</f>
        <v>2020102</v>
      </c>
      <c r="T149" s="267" t="str">
        <f>+IF(JUNIO!T149=0,"",JUNIO!T149)</f>
        <v>Otros</v>
      </c>
      <c r="U149" s="373">
        <f t="shared" ref="U149:AJ149" si="142">SUM(U150:U152)</f>
        <v>1232308696.9541667</v>
      </c>
      <c r="V149" s="220">
        <f t="shared" si="142"/>
        <v>195000000</v>
      </c>
      <c r="W149" s="220">
        <f t="shared" si="142"/>
        <v>0</v>
      </c>
      <c r="X149" s="271">
        <f t="shared" si="142"/>
        <v>1427308696.9541667</v>
      </c>
      <c r="Y149" s="270">
        <f t="shared" si="142"/>
        <v>852311881</v>
      </c>
      <c r="Z149" s="300">
        <f t="shared" si="142"/>
        <v>100531060</v>
      </c>
      <c r="AA149" s="271">
        <f t="shared" si="142"/>
        <v>952842941</v>
      </c>
      <c r="AB149" s="270">
        <f t="shared" si="142"/>
        <v>741329351</v>
      </c>
      <c r="AC149" s="300">
        <f t="shared" si="142"/>
        <v>93832911</v>
      </c>
      <c r="AD149" s="271">
        <f t="shared" si="142"/>
        <v>835162262</v>
      </c>
      <c r="AE149" s="270">
        <f t="shared" si="142"/>
        <v>249212462</v>
      </c>
      <c r="AF149" s="300">
        <f t="shared" si="142"/>
        <v>68487904</v>
      </c>
      <c r="AG149" s="271">
        <f t="shared" si="142"/>
        <v>317700366</v>
      </c>
      <c r="AH149" s="270">
        <f t="shared" si="142"/>
        <v>474465755.95416665</v>
      </c>
      <c r="AI149" s="220">
        <f t="shared" si="142"/>
        <v>592146434.95416665</v>
      </c>
      <c r="AJ149" s="269">
        <f t="shared" si="142"/>
        <v>1109608330.9541667</v>
      </c>
      <c r="AK149" s="101"/>
      <c r="AL149" s="301">
        <f>SUM(AL150:AL152)</f>
        <v>0</v>
      </c>
      <c r="AM149" s="302">
        <f>SUM(AM150:AM152)</f>
        <v>0</v>
      </c>
    </row>
    <row r="150" spans="19:39" ht="24.75" customHeight="1">
      <c r="S150" s="311" t="str">
        <f>+IF(JUNIO!S150=0,"",JUNIO!S150)</f>
        <v>2.1.2.02.01.002,001</v>
      </c>
      <c r="T150" s="267" t="str">
        <f>+IF(JUNIO!T150=0,"",JUNIO!T150)</f>
        <v>Roperia</v>
      </c>
      <c r="U150" s="373">
        <f>+ENERO!U150</f>
        <v>300724825</v>
      </c>
      <c r="V150" s="220">
        <f>JUNIO!V150+JULIO!AL150</f>
        <v>0</v>
      </c>
      <c r="W150" s="220">
        <f>JUNIO!W150+JULIO!AM150</f>
        <v>0</v>
      </c>
      <c r="X150" s="271">
        <f>SUM(U150:W150)</f>
        <v>300724825</v>
      </c>
      <c r="Y150" s="270">
        <f>JUNIO!AA150</f>
        <v>184178680</v>
      </c>
      <c r="Z150" s="208">
        <v>0</v>
      </c>
      <c r="AA150" s="271">
        <f>SUM(Y150:Z150)</f>
        <v>184178680</v>
      </c>
      <c r="AB150" s="270">
        <f>JUNIO!AD150</f>
        <v>184178680</v>
      </c>
      <c r="AC150" s="208">
        <v>0</v>
      </c>
      <c r="AD150" s="271">
        <f>SUM(AB150:AC150)</f>
        <v>184178680</v>
      </c>
      <c r="AE150" s="270">
        <f>JUNIO!AG150</f>
        <v>0</v>
      </c>
      <c r="AF150" s="208">
        <v>0</v>
      </c>
      <c r="AG150" s="271">
        <f>SUM(AE150:AF150)</f>
        <v>0</v>
      </c>
      <c r="AH150" s="270">
        <f>X150-AA150</f>
        <v>116546145</v>
      </c>
      <c r="AI150" s="220">
        <f>X150-AD150</f>
        <v>116546145</v>
      </c>
      <c r="AJ150" s="269">
        <f>X150-AG150</f>
        <v>300724825</v>
      </c>
      <c r="AK150" s="101"/>
      <c r="AL150" s="204">
        <v>0</v>
      </c>
      <c r="AM150" s="210">
        <v>0</v>
      </c>
    </row>
    <row r="151" spans="19:39" ht="24.75" customHeight="1">
      <c r="S151" s="311" t="str">
        <f>+IF(JUNIO!S151=0,"",JUNIO!S151)</f>
        <v>2.1.2.02.01.003.303</v>
      </c>
      <c r="T151" s="267" t="str">
        <f>+IF(JUNIO!T151=0,"",JUNIO!T151)</f>
        <v>Elementos de Aseo</v>
      </c>
      <c r="U151" s="373">
        <f>+ENERO!U151</f>
        <v>684513688.9375</v>
      </c>
      <c r="V151" s="220">
        <f>JUNIO!V151+JULIO!AL151</f>
        <v>0</v>
      </c>
      <c r="W151" s="220">
        <f>JUNIO!W151+JULIO!AM151</f>
        <v>0</v>
      </c>
      <c r="X151" s="271">
        <f>SUM(U151:W151)</f>
        <v>684513688.9375</v>
      </c>
      <c r="Y151" s="270">
        <f>JUNIO!AA151</f>
        <v>422613437</v>
      </c>
      <c r="Z151" s="208">
        <v>76531060</v>
      </c>
      <c r="AA151" s="271">
        <f>SUM(Y151:Z151)</f>
        <v>499144497</v>
      </c>
      <c r="AB151" s="270">
        <f>JUNIO!AD151</f>
        <v>346778646</v>
      </c>
      <c r="AC151" s="208">
        <v>74843560</v>
      </c>
      <c r="AD151" s="271">
        <f>SUM(AB151:AC151)</f>
        <v>421622206</v>
      </c>
      <c r="AE151" s="270">
        <f>JUNIO!AG151</f>
        <v>149471558</v>
      </c>
      <c r="AF151" s="208">
        <v>40220814</v>
      </c>
      <c r="AG151" s="271">
        <f>SUM(AE151:AF151)</f>
        <v>189692372</v>
      </c>
      <c r="AH151" s="270">
        <f>X151-AA151</f>
        <v>185369191.9375</v>
      </c>
      <c r="AI151" s="220">
        <f>X151-AD151</f>
        <v>262891482.9375</v>
      </c>
      <c r="AJ151" s="269">
        <f>X151-AG151</f>
        <v>494821316.9375</v>
      </c>
      <c r="AK151" s="101"/>
      <c r="AL151" s="204">
        <v>0</v>
      </c>
      <c r="AM151" s="210">
        <v>0</v>
      </c>
    </row>
    <row r="152" spans="19:39" ht="24.75" customHeight="1">
      <c r="S152" s="311" t="str">
        <f>+IF(JUNIO!S152=0,"",JUNIO!S152)</f>
        <v>2.1.2.02.01.003.304</v>
      </c>
      <c r="T152" s="267" t="str">
        <f>+IF(JUNIO!T152=0,"",JUNIO!T152)</f>
        <v xml:space="preserve">Insumos hospitalarios </v>
      </c>
      <c r="U152" s="373">
        <f>+ENERO!U152</f>
        <v>247070183.01666665</v>
      </c>
      <c r="V152" s="220">
        <f>JUNIO!V152+JULIO!AL152</f>
        <v>195000000</v>
      </c>
      <c r="W152" s="220">
        <f>JUNIO!W152+JULIO!AM152</f>
        <v>0</v>
      </c>
      <c r="X152" s="271">
        <f>SUM(U152:W152)</f>
        <v>442070183.01666665</v>
      </c>
      <c r="Y152" s="270">
        <f>JUNIO!AA152</f>
        <v>245519764</v>
      </c>
      <c r="Z152" s="208">
        <v>24000000</v>
      </c>
      <c r="AA152" s="271">
        <f>SUM(Y152:Z152)</f>
        <v>269519764</v>
      </c>
      <c r="AB152" s="270">
        <f>JUNIO!AD152</f>
        <v>210372025</v>
      </c>
      <c r="AC152" s="208">
        <v>18989351</v>
      </c>
      <c r="AD152" s="271">
        <f>SUM(AB152:AC152)</f>
        <v>229361376</v>
      </c>
      <c r="AE152" s="270">
        <f>JUNIO!AG152</f>
        <v>99740904</v>
      </c>
      <c r="AF152" s="208">
        <v>28267090</v>
      </c>
      <c r="AG152" s="271">
        <f>SUM(AE152:AF152)</f>
        <v>128007994</v>
      </c>
      <c r="AH152" s="270">
        <f>X152-AA152</f>
        <v>172550419.01666665</v>
      </c>
      <c r="AI152" s="220">
        <f>X152-AD152</f>
        <v>212708807.01666665</v>
      </c>
      <c r="AJ152" s="269">
        <f>X152-AG152</f>
        <v>314062189.01666665</v>
      </c>
      <c r="AK152" s="101"/>
      <c r="AL152" s="204">
        <v>0</v>
      </c>
      <c r="AM152" s="210">
        <v>0</v>
      </c>
    </row>
    <row r="153" spans="19:39" ht="24.75" customHeight="1">
      <c r="S153" s="266" t="str">
        <f>+IF(JUNIO!S153=0,"",JUNIO!S153)</f>
        <v>2.1.2.02.01.003.99</v>
      </c>
      <c r="T153" s="267" t="str">
        <f>+IF(JUNIO!T153=0,"",JUNIO!T153)</f>
        <v>Vigencias Anteriores</v>
      </c>
      <c r="U153" s="373">
        <f>+ENERO!U153</f>
        <v>452915257</v>
      </c>
      <c r="V153" s="220">
        <f>JUNIO!V153+JULIO!AL153</f>
        <v>0</v>
      </c>
      <c r="W153" s="220">
        <f>JUNIO!W153+JULIO!AM153</f>
        <v>300000000</v>
      </c>
      <c r="X153" s="271">
        <f>SUM(U153:W153)</f>
        <v>752915257</v>
      </c>
      <c r="Y153" s="270">
        <f>JUNIO!AA153</f>
        <v>438196080</v>
      </c>
      <c r="Z153" s="208">
        <v>3550001</v>
      </c>
      <c r="AA153" s="271">
        <f>SUM(Y153:Z153)</f>
        <v>441746081</v>
      </c>
      <c r="AB153" s="270">
        <f>JUNIO!AD153</f>
        <v>438196080</v>
      </c>
      <c r="AC153" s="208">
        <v>3550001</v>
      </c>
      <c r="AD153" s="271">
        <f>SUM(AB153:AC153)</f>
        <v>441746081</v>
      </c>
      <c r="AE153" s="270">
        <f>JUNIO!AG153</f>
        <v>438196080</v>
      </c>
      <c r="AF153" s="208">
        <v>0</v>
      </c>
      <c r="AG153" s="271">
        <f>SUM(AE153:AF153)</f>
        <v>438196080</v>
      </c>
      <c r="AH153" s="270">
        <f>X153-AA153</f>
        <v>311169176</v>
      </c>
      <c r="AI153" s="220">
        <f>X153-AD153</f>
        <v>311169176</v>
      </c>
      <c r="AJ153" s="269">
        <f>X153-AG153</f>
        <v>314719177</v>
      </c>
      <c r="AK153" s="101"/>
      <c r="AL153" s="204">
        <v>0</v>
      </c>
      <c r="AM153" s="210">
        <v>0</v>
      </c>
    </row>
    <row r="154" spans="19:39" ht="24.75" customHeight="1">
      <c r="S154" s="189">
        <f>+IF(JUNIO!S154=0,"",JUNIO!S154)</f>
        <v>203715328</v>
      </c>
      <c r="T154" s="488" t="str">
        <f>+IF(JUNIO!T154=0,"",JUNIO!T154)</f>
        <v/>
      </c>
      <c r="U154" s="191"/>
      <c r="V154" s="191"/>
      <c r="W154" s="191"/>
      <c r="X154" s="191"/>
      <c r="Y154" s="191"/>
      <c r="Z154" s="191"/>
      <c r="AA154" s="191"/>
      <c r="AB154" s="191"/>
      <c r="AC154" s="191"/>
      <c r="AD154" s="191"/>
      <c r="AE154" s="191"/>
      <c r="AF154" s="191"/>
      <c r="AG154" s="191"/>
      <c r="AH154" s="191"/>
      <c r="AI154" s="191"/>
      <c r="AJ154" s="192"/>
      <c r="AK154" s="101"/>
      <c r="AL154" s="370"/>
      <c r="AM154" s="371"/>
    </row>
    <row r="155" spans="19:39" ht="24.75" customHeight="1">
      <c r="S155" s="257" t="str">
        <f>+IF(JUNIO!S155=0,"",JUNIO!S155)</f>
        <v>2.1.2.02.02</v>
      </c>
      <c r="T155" s="546" t="str">
        <f>+IF(JUNIO!T155=0,"",JUNIO!T155)</f>
        <v>Adquisición de Servicios</v>
      </c>
      <c r="U155" s="230">
        <f>SUM(U156:U157)</f>
        <v>8116738254.2222223</v>
      </c>
      <c r="V155" s="230">
        <f t="shared" ref="V155:AM155" si="143">SUM(V156:V157)</f>
        <v>0</v>
      </c>
      <c r="W155" s="230">
        <f t="shared" si="143"/>
        <v>158814745</v>
      </c>
      <c r="X155" s="230">
        <f t="shared" si="143"/>
        <v>8275552999.2222223</v>
      </c>
      <c r="Y155" s="230">
        <f t="shared" si="143"/>
        <v>3477036987</v>
      </c>
      <c r="Z155" s="230">
        <f t="shared" si="143"/>
        <v>358040952</v>
      </c>
      <c r="AA155" s="230">
        <f t="shared" si="143"/>
        <v>3835077939</v>
      </c>
      <c r="AB155" s="230">
        <f t="shared" si="143"/>
        <v>2224656523</v>
      </c>
      <c r="AC155" s="230">
        <f t="shared" si="143"/>
        <v>402207769</v>
      </c>
      <c r="AD155" s="230">
        <f t="shared" si="143"/>
        <v>2626864292</v>
      </c>
      <c r="AE155" s="230">
        <f t="shared" si="143"/>
        <v>1394065880</v>
      </c>
      <c r="AF155" s="230">
        <f t="shared" si="143"/>
        <v>331992060</v>
      </c>
      <c r="AG155" s="230">
        <f t="shared" si="143"/>
        <v>1726057940</v>
      </c>
      <c r="AH155" s="230">
        <f t="shared" si="143"/>
        <v>4440475060.2222223</v>
      </c>
      <c r="AI155" s="230">
        <f t="shared" si="143"/>
        <v>5648688707.2222223</v>
      </c>
      <c r="AJ155" s="230">
        <f t="shared" si="143"/>
        <v>6549495059.2222223</v>
      </c>
      <c r="AK155" s="230">
        <f t="shared" si="143"/>
        <v>0</v>
      </c>
      <c r="AL155" s="230">
        <f t="shared" si="143"/>
        <v>0</v>
      </c>
      <c r="AM155" s="230">
        <f t="shared" si="143"/>
        <v>0</v>
      </c>
    </row>
    <row r="156" spans="19:39" ht="24.75" customHeight="1">
      <c r="S156" s="266" t="str">
        <f>+IF(JUNIO!S156=0,"",JUNIO!S156)</f>
        <v>2.1.2.02.01.003.306</v>
      </c>
      <c r="T156" s="267" t="str">
        <f>+IF(JUNIO!T156=0,"",JUNIO!T156)</f>
        <v>Mantenimiento - Bienes sistemas</v>
      </c>
      <c r="U156" s="373">
        <f>+ENERO!U156</f>
        <v>17133955</v>
      </c>
      <c r="V156" s="220">
        <f>JUNIO!V156+JULIO!AL156</f>
        <v>0</v>
      </c>
      <c r="W156" s="220">
        <f>JUNIO!W156+JULIO!AM156</f>
        <v>0</v>
      </c>
      <c r="X156" s="271">
        <f>SUM(U156:W156)</f>
        <v>17133955</v>
      </c>
      <c r="Y156" s="270">
        <f>JUNIO!AA156</f>
        <v>15819256</v>
      </c>
      <c r="Z156" s="208">
        <v>0</v>
      </c>
      <c r="AA156" s="271">
        <f>SUM(Y156:Z156)</f>
        <v>15819256</v>
      </c>
      <c r="AB156" s="270">
        <f>JUNIO!AD156</f>
        <v>10574474</v>
      </c>
      <c r="AC156" s="208">
        <v>0</v>
      </c>
      <c r="AD156" s="271">
        <f>SUM(AB156:AC156)</f>
        <v>10574474</v>
      </c>
      <c r="AE156" s="270">
        <f>JUNIO!AG156</f>
        <v>10574474</v>
      </c>
      <c r="AF156" s="208">
        <v>0</v>
      </c>
      <c r="AG156" s="271">
        <f>SUM(AE156:AF156)</f>
        <v>10574474</v>
      </c>
      <c r="AH156" s="270">
        <f>X156-AA156</f>
        <v>1314699</v>
      </c>
      <c r="AI156" s="220">
        <f>X156-AD156</f>
        <v>6559481</v>
      </c>
      <c r="AJ156" s="269">
        <f>X156-AG156</f>
        <v>6559481</v>
      </c>
      <c r="AK156" s="101"/>
      <c r="AL156" s="204">
        <v>0</v>
      </c>
      <c r="AM156" s="210">
        <v>0</v>
      </c>
    </row>
    <row r="157" spans="19:39" ht="24.75" customHeight="1">
      <c r="S157" s="266">
        <f>+IF(JUNIO!S157=0,"",JUNIO!S157)</f>
        <v>2020202</v>
      </c>
      <c r="T157" s="267" t="str">
        <f>+IF(JUNIO!T157=0,"",JUNIO!T157)</f>
        <v>Otros</v>
      </c>
      <c r="U157" s="373">
        <f t="shared" ref="U157:AJ157" si="144">SUM(U158:U166)</f>
        <v>8099604299.2222223</v>
      </c>
      <c r="V157" s="220">
        <f t="shared" si="144"/>
        <v>0</v>
      </c>
      <c r="W157" s="220">
        <f t="shared" si="144"/>
        <v>158814745</v>
      </c>
      <c r="X157" s="271">
        <f t="shared" si="144"/>
        <v>8258419044.2222223</v>
      </c>
      <c r="Y157" s="270">
        <f t="shared" si="144"/>
        <v>3461217731</v>
      </c>
      <c r="Z157" s="300">
        <f t="shared" si="144"/>
        <v>358040952</v>
      </c>
      <c r="AA157" s="271">
        <f t="shared" si="144"/>
        <v>3819258683</v>
      </c>
      <c r="AB157" s="270">
        <f t="shared" si="144"/>
        <v>2214082049</v>
      </c>
      <c r="AC157" s="300">
        <f t="shared" si="144"/>
        <v>402207769</v>
      </c>
      <c r="AD157" s="271">
        <f t="shared" si="144"/>
        <v>2616289818</v>
      </c>
      <c r="AE157" s="270">
        <f t="shared" si="144"/>
        <v>1383491406</v>
      </c>
      <c r="AF157" s="300">
        <f t="shared" si="144"/>
        <v>331992060</v>
      </c>
      <c r="AG157" s="271">
        <f t="shared" si="144"/>
        <v>1715483466</v>
      </c>
      <c r="AH157" s="270">
        <f t="shared" si="144"/>
        <v>4439160361.2222223</v>
      </c>
      <c r="AI157" s="220">
        <f t="shared" si="144"/>
        <v>5642129226.2222223</v>
      </c>
      <c r="AJ157" s="269">
        <f t="shared" si="144"/>
        <v>6542935578.2222223</v>
      </c>
      <c r="AK157" s="216"/>
      <c r="AL157" s="301">
        <f>SUM(AL158:AL166)</f>
        <v>0</v>
      </c>
      <c r="AM157" s="302">
        <f>SUM(AM158:AM166)</f>
        <v>0</v>
      </c>
    </row>
    <row r="158" spans="19:39" ht="24.75" customHeight="1">
      <c r="S158" s="311" t="str">
        <f>+IF(JUNIO!S158=0,"",JUNIO!S158)</f>
        <v>2.1.2.02.02.005.502</v>
      </c>
      <c r="T158" s="312" t="str">
        <f>+IF(JUNIO!T158=0,"",JUNIO!T158)</f>
        <v>Mantenimiento - Arrendamiento Software</v>
      </c>
      <c r="U158" s="373">
        <f>+ENERO!U158</f>
        <v>0</v>
      </c>
      <c r="V158" s="220">
        <f>JUNIO!V158+JULIO!AL158</f>
        <v>0</v>
      </c>
      <c r="W158" s="220">
        <f>JUNIO!W158+JULIO!AM158</f>
        <v>0</v>
      </c>
      <c r="X158" s="271">
        <f t="shared" ref="X158:X166" si="145">SUM(U158:W158)</f>
        <v>0</v>
      </c>
      <c r="Y158" s="270">
        <f>JUNIO!AA158</f>
        <v>0</v>
      </c>
      <c r="Z158" s="208">
        <v>0</v>
      </c>
      <c r="AA158" s="271">
        <f t="shared" ref="AA158:AA166" si="146">SUM(Y158:Z158)</f>
        <v>0</v>
      </c>
      <c r="AB158" s="270">
        <f>JUNIO!AD158</f>
        <v>0</v>
      </c>
      <c r="AC158" s="208">
        <v>0</v>
      </c>
      <c r="AD158" s="271">
        <f t="shared" ref="AD158:AD166" si="147">SUM(AB158:AC158)</f>
        <v>0</v>
      </c>
      <c r="AE158" s="270">
        <f>JUNIO!AG158</f>
        <v>0</v>
      </c>
      <c r="AF158" s="208">
        <v>0</v>
      </c>
      <c r="AG158" s="271">
        <f t="shared" ref="AG158:AG166" si="148">SUM(AE158:AF158)</f>
        <v>0</v>
      </c>
      <c r="AH158" s="270">
        <f t="shared" ref="AH158:AH166" si="149">X158-AA158</f>
        <v>0</v>
      </c>
      <c r="AI158" s="220">
        <f t="shared" ref="AI158:AI166" si="150">X158-AD158</f>
        <v>0</v>
      </c>
      <c r="AJ158" s="269">
        <f t="shared" ref="AJ158:AJ166" si="151">X158-AG158</f>
        <v>0</v>
      </c>
      <c r="AK158" s="101"/>
      <c r="AL158" s="204">
        <v>0</v>
      </c>
      <c r="AM158" s="210">
        <v>0</v>
      </c>
    </row>
    <row r="159" spans="19:39" ht="24.75" customHeight="1">
      <c r="S159" s="311" t="str">
        <f>+IF(JUNIO!S159=0,"",JUNIO!S159)</f>
        <v>2.1.2.02.02.005.501</v>
      </c>
      <c r="T159" s="312" t="str">
        <f>+IF(JUNIO!T159=0,"",JUNIO!T159)</f>
        <v>Mantenimiento  - Servicios Planta Fisica</v>
      </c>
      <c r="U159" s="373">
        <f>+ENERO!U159</f>
        <v>476117296</v>
      </c>
      <c r="V159" s="220">
        <f>JUNIO!V159+JULIO!AL159</f>
        <v>0</v>
      </c>
      <c r="W159" s="220">
        <f>JUNIO!W159+JULIO!AM159</f>
        <v>0</v>
      </c>
      <c r="X159" s="271">
        <f t="shared" si="145"/>
        <v>476117296</v>
      </c>
      <c r="Y159" s="270">
        <f>JUNIO!AA159</f>
        <v>34461031</v>
      </c>
      <c r="Z159" s="208">
        <v>0</v>
      </c>
      <c r="AA159" s="271">
        <f t="shared" si="146"/>
        <v>34461031</v>
      </c>
      <c r="AB159" s="270">
        <f>JUNIO!AD159</f>
        <v>4371070</v>
      </c>
      <c r="AC159" s="208">
        <v>9450594</v>
      </c>
      <c r="AD159" s="271">
        <f t="shared" si="147"/>
        <v>13821664</v>
      </c>
      <c r="AE159" s="270">
        <f>JUNIO!AG159</f>
        <v>3427818</v>
      </c>
      <c r="AF159" s="208">
        <v>206004</v>
      </c>
      <c r="AG159" s="271">
        <f t="shared" si="148"/>
        <v>3633822</v>
      </c>
      <c r="AH159" s="270">
        <f t="shared" si="149"/>
        <v>441656265</v>
      </c>
      <c r="AI159" s="220">
        <f t="shared" si="150"/>
        <v>462295632</v>
      </c>
      <c r="AJ159" s="269">
        <f t="shared" si="151"/>
        <v>472483474</v>
      </c>
      <c r="AK159" s="101"/>
      <c r="AL159" s="204">
        <v>0</v>
      </c>
      <c r="AM159" s="210">
        <v>0</v>
      </c>
    </row>
    <row r="160" spans="19:39" ht="24.75" customHeight="1">
      <c r="S160" s="311" t="str">
        <f>+IF(JUNIO!S160=0,"",JUNIO!S160)</f>
        <v>2.1.2.02.02.008.808</v>
      </c>
      <c r="T160" s="312" t="str">
        <f>+IF(JUNIO!T160=0,"",JUNIO!T160)</f>
        <v>Mantenimiento Servicios - Ambiental y sanitaria</v>
      </c>
      <c r="U160" s="373">
        <f>+ENERO!U160</f>
        <v>415609981</v>
      </c>
      <c r="V160" s="220">
        <f>JUNIO!V160+JULIO!AL160</f>
        <v>0</v>
      </c>
      <c r="W160" s="220">
        <f>JUNIO!W160+JULIO!AM160</f>
        <v>0</v>
      </c>
      <c r="X160" s="271">
        <f t="shared" si="145"/>
        <v>415609981</v>
      </c>
      <c r="Y160" s="270">
        <f>JUNIO!AA160</f>
        <v>181207871</v>
      </c>
      <c r="Z160" s="208">
        <v>119712916</v>
      </c>
      <c r="AA160" s="271">
        <f t="shared" si="146"/>
        <v>300920787</v>
      </c>
      <c r="AB160" s="270">
        <f>JUNIO!AD160</f>
        <v>144201172</v>
      </c>
      <c r="AC160" s="208">
        <v>26761506</v>
      </c>
      <c r="AD160" s="271">
        <f t="shared" si="147"/>
        <v>170962678</v>
      </c>
      <c r="AE160" s="270">
        <f>JUNIO!AG160</f>
        <v>36817430</v>
      </c>
      <c r="AF160" s="208">
        <v>24543000</v>
      </c>
      <c r="AG160" s="271">
        <f t="shared" si="148"/>
        <v>61360430</v>
      </c>
      <c r="AH160" s="270">
        <f t="shared" si="149"/>
        <v>114689194</v>
      </c>
      <c r="AI160" s="220">
        <f t="shared" si="150"/>
        <v>244647303</v>
      </c>
      <c r="AJ160" s="269">
        <f t="shared" si="151"/>
        <v>354249551</v>
      </c>
      <c r="AK160" s="101"/>
      <c r="AL160" s="204">
        <v>0</v>
      </c>
      <c r="AM160" s="210">
        <v>0</v>
      </c>
    </row>
    <row r="161" spans="19:39" ht="24.75" customHeight="1">
      <c r="S161" s="311" t="str">
        <f>+IF(JUNIO!S161=0,"",JUNIO!S161)</f>
        <v>2.1.2.02.02.008.800</v>
      </c>
      <c r="T161" s="312" t="str">
        <f>+IF(JUNIO!T161=0,"",JUNIO!T161)</f>
        <v>Mantenimiento  - Servicios Dotación y vehiculos</v>
      </c>
      <c r="U161" s="373">
        <f>+ENERO!U161</f>
        <v>220500000</v>
      </c>
      <c r="V161" s="220">
        <f>JUNIO!V161+JULIO!AL161</f>
        <v>0</v>
      </c>
      <c r="W161" s="220">
        <f>JUNIO!W161+JULIO!AM161</f>
        <v>0</v>
      </c>
      <c r="X161" s="271">
        <f t="shared" si="145"/>
        <v>220500000</v>
      </c>
      <c r="Y161" s="270">
        <f>JUNIO!AA161</f>
        <v>31535631</v>
      </c>
      <c r="Z161" s="208">
        <v>0</v>
      </c>
      <c r="AA161" s="271">
        <f t="shared" si="146"/>
        <v>31535631</v>
      </c>
      <c r="AB161" s="270">
        <f>JUNIO!AD161</f>
        <v>31535631</v>
      </c>
      <c r="AC161" s="208">
        <v>0</v>
      </c>
      <c r="AD161" s="271">
        <f t="shared" si="147"/>
        <v>31535631</v>
      </c>
      <c r="AE161" s="270">
        <f>JUNIO!AG161</f>
        <v>31535631</v>
      </c>
      <c r="AF161" s="208">
        <v>0</v>
      </c>
      <c r="AG161" s="271">
        <f t="shared" si="148"/>
        <v>31535631</v>
      </c>
      <c r="AH161" s="270">
        <f t="shared" si="149"/>
        <v>188964369</v>
      </c>
      <c r="AI161" s="220">
        <f t="shared" si="150"/>
        <v>188964369</v>
      </c>
      <c r="AJ161" s="269">
        <f t="shared" si="151"/>
        <v>188964369</v>
      </c>
      <c r="AK161" s="101"/>
      <c r="AL161" s="204">
        <v>0</v>
      </c>
      <c r="AM161" s="210">
        <v>0</v>
      </c>
    </row>
    <row r="162" spans="19:39" ht="24.75" customHeight="1">
      <c r="S162" s="311" t="str">
        <f>+IF(JUNIO!S162=0,"",JUNIO!S162)</f>
        <v>2.1.2.02.02.008.805</v>
      </c>
      <c r="T162" s="312" t="str">
        <f>+IF(JUNIO!T162=0,"",JUNIO!T162)</f>
        <v>Mantenimiento - Servicio de Metrología y Calibracion</v>
      </c>
      <c r="U162" s="373">
        <f>+ENERO!U162</f>
        <v>144394707</v>
      </c>
      <c r="V162" s="220">
        <f>JUNIO!V162+JULIO!AL162</f>
        <v>0</v>
      </c>
      <c r="W162" s="220">
        <f>JUNIO!W162+JULIO!AM162</f>
        <v>0</v>
      </c>
      <c r="X162" s="271">
        <f t="shared" si="145"/>
        <v>144394707</v>
      </c>
      <c r="Y162" s="270">
        <f>JUNIO!AA162</f>
        <v>104424880</v>
      </c>
      <c r="Z162" s="208">
        <v>0</v>
      </c>
      <c r="AA162" s="271">
        <f t="shared" si="146"/>
        <v>104424880</v>
      </c>
      <c r="AB162" s="270">
        <f>JUNIO!AD162</f>
        <v>0</v>
      </c>
      <c r="AC162" s="208">
        <v>0</v>
      </c>
      <c r="AD162" s="271">
        <f t="shared" si="147"/>
        <v>0</v>
      </c>
      <c r="AE162" s="270">
        <f>JUNIO!AG162</f>
        <v>0</v>
      </c>
      <c r="AF162" s="208">
        <v>0</v>
      </c>
      <c r="AG162" s="271">
        <f t="shared" si="148"/>
        <v>0</v>
      </c>
      <c r="AH162" s="270">
        <f t="shared" si="149"/>
        <v>39969827</v>
      </c>
      <c r="AI162" s="220">
        <f t="shared" si="150"/>
        <v>144394707</v>
      </c>
      <c r="AJ162" s="269">
        <f t="shared" si="151"/>
        <v>144394707</v>
      </c>
      <c r="AK162" s="101"/>
      <c r="AL162" s="204">
        <v>0</v>
      </c>
      <c r="AM162" s="210">
        <v>0</v>
      </c>
    </row>
    <row r="163" spans="19:39" ht="24.75" customHeight="1">
      <c r="S163" s="311" t="str">
        <f>+IF(JUNIO!S163=0,"",JUNIO!S163)</f>
        <v>2.1.2.02.02.008.806</v>
      </c>
      <c r="T163" s="312" t="str">
        <f>+IF(JUNIO!T163=0,"",JUNIO!T163)</f>
        <v xml:space="preserve">Mantenimiento- Servicios </v>
      </c>
      <c r="U163" s="373">
        <f>+ENERO!U163</f>
        <v>4141233251</v>
      </c>
      <c r="V163" s="220">
        <f>JUNIO!V163+JULIO!AL163</f>
        <v>0</v>
      </c>
      <c r="W163" s="220">
        <f>JUNIO!W163+JULIO!AM163</f>
        <v>0</v>
      </c>
      <c r="X163" s="271">
        <f t="shared" si="145"/>
        <v>4141233251</v>
      </c>
      <c r="Y163" s="270">
        <f>JUNIO!AA163</f>
        <v>2099068824</v>
      </c>
      <c r="Z163" s="208">
        <v>191421400</v>
      </c>
      <c r="AA163" s="271">
        <f t="shared" si="146"/>
        <v>2290490224</v>
      </c>
      <c r="AB163" s="270">
        <f>JUNIO!AD163</f>
        <v>1138541217</v>
      </c>
      <c r="AC163" s="208">
        <v>311426904</v>
      </c>
      <c r="AD163" s="271">
        <f t="shared" si="147"/>
        <v>1449968121</v>
      </c>
      <c r="AE163" s="270">
        <f>JUNIO!AG163</f>
        <v>458721243</v>
      </c>
      <c r="AF163" s="208">
        <v>260336420</v>
      </c>
      <c r="AG163" s="271">
        <f t="shared" si="148"/>
        <v>719057663</v>
      </c>
      <c r="AH163" s="270">
        <f t="shared" si="149"/>
        <v>1850743027</v>
      </c>
      <c r="AI163" s="220">
        <f t="shared" si="150"/>
        <v>2691265130</v>
      </c>
      <c r="AJ163" s="269">
        <f t="shared" si="151"/>
        <v>3422175588</v>
      </c>
      <c r="AK163" s="101"/>
      <c r="AL163" s="204">
        <v>0</v>
      </c>
      <c r="AM163" s="210">
        <v>0</v>
      </c>
    </row>
    <row r="164" spans="19:39" ht="24.75" customHeight="1">
      <c r="S164" s="311" t="str">
        <f>+IF(JUNIO!S164=0,"",JUNIO!S164)</f>
        <v>2.1.2.02.02.008.807</v>
      </c>
      <c r="T164" s="312" t="str">
        <f>+IF(JUNIO!T164=0,"",JUNIO!T164)</f>
        <v>Mantenimiento Servicios-fotocopias y otros</v>
      </c>
      <c r="U164" s="373">
        <f>+ENERO!U164</f>
        <v>267744477</v>
      </c>
      <c r="V164" s="220">
        <f>JUNIO!V164+JULIO!AL164</f>
        <v>0</v>
      </c>
      <c r="W164" s="220">
        <f>JUNIO!W164+JULIO!AM164</f>
        <v>0</v>
      </c>
      <c r="X164" s="271">
        <f t="shared" si="145"/>
        <v>267744477</v>
      </c>
      <c r="Y164" s="270">
        <f>JUNIO!AA164</f>
        <v>173250000</v>
      </c>
      <c r="Z164" s="208">
        <v>0</v>
      </c>
      <c r="AA164" s="271">
        <f t="shared" si="146"/>
        <v>173250000</v>
      </c>
      <c r="AB164" s="270">
        <f>JUNIO!AD164</f>
        <v>58163465</v>
      </c>
      <c r="AC164" s="208">
        <v>7662129</v>
      </c>
      <c r="AD164" s="271">
        <f t="shared" si="147"/>
        <v>65825594</v>
      </c>
      <c r="AE164" s="270">
        <f>JUNIO!AG164</f>
        <v>15749990</v>
      </c>
      <c r="AF164" s="208">
        <v>0</v>
      </c>
      <c r="AG164" s="271">
        <f t="shared" si="148"/>
        <v>15749990</v>
      </c>
      <c r="AH164" s="270">
        <f t="shared" si="149"/>
        <v>94494477</v>
      </c>
      <c r="AI164" s="220">
        <f t="shared" si="150"/>
        <v>201918883</v>
      </c>
      <c r="AJ164" s="269">
        <f t="shared" si="151"/>
        <v>251994487</v>
      </c>
      <c r="AK164" s="101"/>
      <c r="AL164" s="204">
        <v>0</v>
      </c>
      <c r="AM164" s="210">
        <v>0</v>
      </c>
    </row>
    <row r="165" spans="19:39" ht="24.75" customHeight="1">
      <c r="S165" s="311" t="str">
        <f>+IF(JUNIO!S165=0,"",JUNIO!S165)</f>
        <v>2.1.2.02.02.008.811</v>
      </c>
      <c r="T165" s="312" t="str">
        <f>+IF(JUNIO!T165=0,"",JUNIO!T165)</f>
        <v>Mantenimiento servicios - planta física y sistemas</v>
      </c>
      <c r="U165" s="373">
        <f>+ENERO!U165</f>
        <v>0</v>
      </c>
      <c r="V165" s="220">
        <f>JUNIO!V165+JULIO!AL165</f>
        <v>0</v>
      </c>
      <c r="W165" s="220">
        <f>JUNIO!W165+JULIO!AM165</f>
        <v>0</v>
      </c>
      <c r="X165" s="271">
        <f t="shared" si="145"/>
        <v>0</v>
      </c>
      <c r="Y165" s="270">
        <f>JUNIO!AA165</f>
        <v>0</v>
      </c>
      <c r="Z165" s="208"/>
      <c r="AA165" s="271">
        <f t="shared" si="146"/>
        <v>0</v>
      </c>
      <c r="AB165" s="270">
        <f>JUNIO!AD165</f>
        <v>0</v>
      </c>
      <c r="AC165" s="208"/>
      <c r="AD165" s="271">
        <f t="shared" si="147"/>
        <v>0</v>
      </c>
      <c r="AE165" s="270">
        <f>JUNIO!AG165</f>
        <v>0</v>
      </c>
      <c r="AF165" s="208"/>
      <c r="AG165" s="271">
        <f t="shared" si="148"/>
        <v>0</v>
      </c>
      <c r="AH165" s="270">
        <f t="shared" si="149"/>
        <v>0</v>
      </c>
      <c r="AI165" s="220">
        <f t="shared" si="150"/>
        <v>0</v>
      </c>
      <c r="AJ165" s="269">
        <f t="shared" si="151"/>
        <v>0</v>
      </c>
      <c r="AK165" s="101"/>
      <c r="AL165" s="204">
        <v>0</v>
      </c>
      <c r="AM165" s="210">
        <v>0</v>
      </c>
    </row>
    <row r="166" spans="19:39" ht="24.75" customHeight="1">
      <c r="S166" s="311" t="str">
        <f>+IF(JUNIO!S166=0,"",JUNIO!S166)</f>
        <v>2.1.2.02.02.008.99.03</v>
      </c>
      <c r="T166" s="312" t="str">
        <f>+IF(JUNIO!T166=0,"",JUNIO!T166)</f>
        <v xml:space="preserve">Vigencias Anteriores Mantenimiento Servicios </v>
      </c>
      <c r="U166" s="373">
        <f>SUM(ENERO!U167)</f>
        <v>2434004587.2222223</v>
      </c>
      <c r="V166" s="220">
        <f>JUNIO!V166+JULIO!AL166</f>
        <v>0</v>
      </c>
      <c r="W166" s="220">
        <f>JUNIO!W166+JULIO!AM166</f>
        <v>158814745</v>
      </c>
      <c r="X166" s="271">
        <f t="shared" si="145"/>
        <v>2592819332.2222223</v>
      </c>
      <c r="Y166" s="270">
        <f>JUNIO!AA166</f>
        <v>837269494</v>
      </c>
      <c r="Z166" s="208">
        <v>46906636</v>
      </c>
      <c r="AA166" s="271">
        <f t="shared" si="146"/>
        <v>884176130</v>
      </c>
      <c r="AB166" s="270">
        <f>JUNIO!AD166</f>
        <v>837269494</v>
      </c>
      <c r="AC166" s="208">
        <v>46906636</v>
      </c>
      <c r="AD166" s="271">
        <f t="shared" si="147"/>
        <v>884176130</v>
      </c>
      <c r="AE166" s="270">
        <f>JUNIO!AG166</f>
        <v>837239294</v>
      </c>
      <c r="AF166" s="208">
        <v>46906636</v>
      </c>
      <c r="AG166" s="271">
        <f t="shared" si="148"/>
        <v>884145930</v>
      </c>
      <c r="AH166" s="270">
        <f t="shared" si="149"/>
        <v>1708643202.2222223</v>
      </c>
      <c r="AI166" s="220">
        <f t="shared" si="150"/>
        <v>1708643202.2222223</v>
      </c>
      <c r="AJ166" s="269">
        <f t="shared" si="151"/>
        <v>1708673402.2222223</v>
      </c>
      <c r="AK166" s="101"/>
      <c r="AL166" s="204">
        <v>0</v>
      </c>
      <c r="AM166" s="210">
        <v>0</v>
      </c>
    </row>
    <row r="167" spans="19:39" ht="24.75" customHeight="1">
      <c r="S167" s="189" t="str">
        <f>+IF(JUNIO!S167=0,"",JUNIO!S167)</f>
        <v/>
      </c>
      <c r="T167" s="488" t="str">
        <f>+IF(JUNIO!T167=0,"",JUNIO!T167)</f>
        <v/>
      </c>
      <c r="U167" s="191"/>
      <c r="V167" s="191"/>
      <c r="W167" s="191"/>
      <c r="X167" s="191"/>
      <c r="Y167" s="191"/>
      <c r="Z167" s="191"/>
      <c r="AA167" s="191"/>
      <c r="AB167" s="191"/>
      <c r="AC167" s="191"/>
      <c r="AD167" s="191"/>
      <c r="AE167" s="191"/>
      <c r="AF167" s="191">
        <v>0</v>
      </c>
      <c r="AG167" s="191"/>
      <c r="AH167" s="191"/>
      <c r="AI167" s="191"/>
      <c r="AJ167" s="192"/>
      <c r="AK167" s="101"/>
      <c r="AL167" s="370"/>
      <c r="AM167" s="371"/>
    </row>
    <row r="168" spans="19:39" ht="24.75" customHeight="1">
      <c r="S168" s="228">
        <f>+IF(JUNIO!S168=0,"",JUNIO!S168)</f>
        <v>3000000</v>
      </c>
      <c r="T168" s="404" t="str">
        <f>+IF(JUNIO!T168=0,"",JUNIO!T168)</f>
        <v>TRANSFERENCIAS CORRIENTES</v>
      </c>
      <c r="U168" s="405">
        <f t="shared" ref="U168:AJ168" si="152">U170+U174+U183</f>
        <v>2193060585</v>
      </c>
      <c r="V168" s="406">
        <f t="shared" si="152"/>
        <v>21000000</v>
      </c>
      <c r="W168" s="406">
        <f t="shared" si="152"/>
        <v>1400000000</v>
      </c>
      <c r="X168" s="407">
        <f t="shared" si="152"/>
        <v>3614060585</v>
      </c>
      <c r="Y168" s="217">
        <f t="shared" si="152"/>
        <v>964823965</v>
      </c>
      <c r="Z168" s="406">
        <f t="shared" si="152"/>
        <v>264834354</v>
      </c>
      <c r="AA168" s="407">
        <f t="shared" si="152"/>
        <v>1229658319</v>
      </c>
      <c r="AB168" s="217">
        <f t="shared" si="152"/>
        <v>964823965</v>
      </c>
      <c r="AC168" s="406">
        <f t="shared" si="152"/>
        <v>264804454</v>
      </c>
      <c r="AD168" s="407">
        <f t="shared" si="152"/>
        <v>1229628419</v>
      </c>
      <c r="AE168" s="217">
        <f t="shared" si="152"/>
        <v>840125105.5</v>
      </c>
      <c r="AF168" s="406">
        <f t="shared" si="152"/>
        <v>173076267</v>
      </c>
      <c r="AG168" s="407">
        <f t="shared" si="152"/>
        <v>1013201372.5</v>
      </c>
      <c r="AH168" s="217">
        <f t="shared" si="152"/>
        <v>2384402266</v>
      </c>
      <c r="AI168" s="406">
        <f t="shared" si="152"/>
        <v>2384432166</v>
      </c>
      <c r="AJ168" s="218">
        <f t="shared" si="152"/>
        <v>2600859212.5</v>
      </c>
      <c r="AK168" s="101"/>
      <c r="AL168" s="233">
        <f>AL170+AL174+AL183</f>
        <v>5000000</v>
      </c>
      <c r="AM168" s="232">
        <f>AM170+AM174+AM183</f>
        <v>0</v>
      </c>
    </row>
    <row r="169" spans="19:39" ht="24.75" customHeight="1">
      <c r="S169" s="189" t="str">
        <f>+IF(JUNIO!S169=0,"",JUNIO!S169)</f>
        <v/>
      </c>
      <c r="T169" s="488" t="str">
        <f>+IF(JUNIO!T169=0,"",JUNIO!T169)</f>
        <v/>
      </c>
      <c r="U169" s="191"/>
      <c r="V169" s="191"/>
      <c r="W169" s="191"/>
      <c r="X169" s="191"/>
      <c r="Y169" s="191"/>
      <c r="Z169" s="191"/>
      <c r="AA169" s="191"/>
      <c r="AB169" s="191"/>
      <c r="AC169" s="191"/>
      <c r="AD169" s="191"/>
      <c r="AE169" s="191"/>
      <c r="AF169" s="191"/>
      <c r="AG169" s="191"/>
      <c r="AH169" s="191"/>
      <c r="AI169" s="191"/>
      <c r="AJ169" s="192"/>
      <c r="AK169" s="101"/>
      <c r="AL169" s="370"/>
      <c r="AM169" s="371"/>
    </row>
    <row r="170" spans="19:39" ht="24.75" customHeight="1">
      <c r="S170" s="257">
        <f>+IF(JUNIO!S170=0,"",JUNIO!S170)</f>
        <v>3100000</v>
      </c>
      <c r="T170" s="546" t="str">
        <f>+IF(JUNIO!T170=0,"",JUNIO!T170)</f>
        <v>Transferencias al Sector Público</v>
      </c>
      <c r="U170" s="230">
        <f t="shared" ref="U170:AJ170" si="153">SUM(U171:U172)</f>
        <v>570000000</v>
      </c>
      <c r="V170" s="231">
        <f t="shared" si="153"/>
        <v>0</v>
      </c>
      <c r="W170" s="231">
        <f t="shared" si="153"/>
        <v>900000000</v>
      </c>
      <c r="X170" s="234">
        <f t="shared" si="153"/>
        <v>1470000000</v>
      </c>
      <c r="Y170" s="233">
        <f t="shared" si="153"/>
        <v>264463177</v>
      </c>
      <c r="Z170" s="231">
        <f t="shared" si="153"/>
        <v>23883763</v>
      </c>
      <c r="AA170" s="234">
        <f t="shared" si="153"/>
        <v>288346940</v>
      </c>
      <c r="AB170" s="233">
        <f t="shared" si="153"/>
        <v>264463177</v>
      </c>
      <c r="AC170" s="231">
        <f t="shared" si="153"/>
        <v>23883763</v>
      </c>
      <c r="AD170" s="234">
        <f t="shared" si="153"/>
        <v>288346940</v>
      </c>
      <c r="AE170" s="233">
        <f t="shared" si="153"/>
        <v>203390427</v>
      </c>
      <c r="AF170" s="231">
        <f t="shared" si="153"/>
        <v>36098313</v>
      </c>
      <c r="AG170" s="234">
        <f t="shared" si="153"/>
        <v>239488740</v>
      </c>
      <c r="AH170" s="233">
        <f t="shared" si="153"/>
        <v>1181653060</v>
      </c>
      <c r="AI170" s="231">
        <f t="shared" si="153"/>
        <v>1181653060</v>
      </c>
      <c r="AJ170" s="232">
        <f t="shared" si="153"/>
        <v>1230511260</v>
      </c>
      <c r="AK170" s="101"/>
      <c r="AL170" s="233">
        <f>SUM(AL171:AL172)</f>
        <v>0</v>
      </c>
      <c r="AM170" s="232">
        <f>SUM(AM171:AM172)</f>
        <v>0</v>
      </c>
    </row>
    <row r="171" spans="19:39" ht="24.75" customHeight="1">
      <c r="S171" s="266" t="str">
        <f>+IF(JUNIO!S171=0,"",JUNIO!S171)</f>
        <v>2.1.8.04.01</v>
      </c>
      <c r="T171" s="267" t="str">
        <f>+IF(JUNIO!T171=0,"",JUNIO!T171)</f>
        <v>Cuotas de fiscalizacion y auditaje</v>
      </c>
      <c r="U171" s="373">
        <f>+ENERO!U172</f>
        <v>170000000</v>
      </c>
      <c r="V171" s="220">
        <f>JUNIO!V171+JULIO!AL171</f>
        <v>0</v>
      </c>
      <c r="W171" s="220">
        <f>JUNIO!W171+JULIO!AM171</f>
        <v>0</v>
      </c>
      <c r="X171" s="271">
        <f>SUM(U171:W171)</f>
        <v>170000000</v>
      </c>
      <c r="Y171" s="270">
        <f>JUNIO!AA171</f>
        <v>122145496</v>
      </c>
      <c r="Z171" s="208">
        <v>0</v>
      </c>
      <c r="AA171" s="271">
        <f>SUM(Y171:Z171)</f>
        <v>122145496</v>
      </c>
      <c r="AB171" s="270">
        <f>JUNIO!AD171</f>
        <v>122145496</v>
      </c>
      <c r="AC171" s="208">
        <v>0</v>
      </c>
      <c r="AD171" s="271">
        <f>SUM(AB171:AC171)</f>
        <v>122145496</v>
      </c>
      <c r="AE171" s="270">
        <f>JUNIO!AG171</f>
        <v>61072746</v>
      </c>
      <c r="AF171" s="208">
        <v>12214550</v>
      </c>
      <c r="AG171" s="271">
        <f>SUM(AE171:AF171)</f>
        <v>73287296</v>
      </c>
      <c r="AH171" s="270">
        <f>X171-AA171</f>
        <v>47854504</v>
      </c>
      <c r="AI171" s="220">
        <f>X171-AD171</f>
        <v>47854504</v>
      </c>
      <c r="AJ171" s="269">
        <f>X171-AG171</f>
        <v>96712704</v>
      </c>
      <c r="AK171" s="101"/>
      <c r="AL171" s="204">
        <v>0</v>
      </c>
      <c r="AM171" s="210">
        <v>0</v>
      </c>
    </row>
    <row r="172" spans="19:39" ht="24.75" customHeight="1">
      <c r="S172" s="266" t="str">
        <f>+IF(JUNIO!S172=0,"",JUNIO!S172)</f>
        <v>2.1.8.02</v>
      </c>
      <c r="T172" s="267" t="str">
        <f>+IF(JUNIO!T172=0,"",JUNIO!T172)</f>
        <v>Acuerdo de estampillas</v>
      </c>
      <c r="U172" s="373">
        <f>+ENERO!U173</f>
        <v>400000000</v>
      </c>
      <c r="V172" s="220">
        <f>JUNIO!V172+JULIO!AL172</f>
        <v>0</v>
      </c>
      <c r="W172" s="220">
        <f>JUNIO!W172+JULIO!AM172</f>
        <v>900000000</v>
      </c>
      <c r="X172" s="271">
        <f>SUM(U172:W172)</f>
        <v>1300000000</v>
      </c>
      <c r="Y172" s="270">
        <f>JUNIO!AA172</f>
        <v>142317681</v>
      </c>
      <c r="Z172" s="208">
        <v>23883763</v>
      </c>
      <c r="AA172" s="271">
        <f>SUM(Y172:Z172)</f>
        <v>166201444</v>
      </c>
      <c r="AB172" s="270">
        <f>JUNIO!AD172</f>
        <v>142317681</v>
      </c>
      <c r="AC172" s="208">
        <v>23883763</v>
      </c>
      <c r="AD172" s="271">
        <f>SUM(AB172:AC172)</f>
        <v>166201444</v>
      </c>
      <c r="AE172" s="270">
        <f>JUNIO!AG172</f>
        <v>142317681</v>
      </c>
      <c r="AF172" s="208">
        <v>23883763</v>
      </c>
      <c r="AG172" s="271">
        <f>SUM(AE172:AF172)</f>
        <v>166201444</v>
      </c>
      <c r="AH172" s="270">
        <f>X172-AA172</f>
        <v>1133798556</v>
      </c>
      <c r="AI172" s="220">
        <f>X172-AD172</f>
        <v>1133798556</v>
      </c>
      <c r="AJ172" s="269">
        <f>X172-AG172</f>
        <v>1133798556</v>
      </c>
      <c r="AK172" s="101"/>
      <c r="AL172" s="204">
        <v>0</v>
      </c>
      <c r="AM172" s="210">
        <v>0</v>
      </c>
    </row>
    <row r="173" spans="19:39" ht="24.75" customHeight="1">
      <c r="S173" s="189">
        <f>+IF(JUNIO!S173=0,"",JUNIO!S173)</f>
        <v>23007296</v>
      </c>
      <c r="T173" s="488" t="str">
        <f>+IF(JUNIO!T173=0,"",JUNIO!T173)</f>
        <v/>
      </c>
      <c r="U173" s="191"/>
      <c r="V173" s="191"/>
      <c r="W173" s="191"/>
      <c r="X173" s="191"/>
      <c r="Y173" s="191"/>
      <c r="Z173" s="191"/>
      <c r="AA173" s="191"/>
      <c r="AB173" s="191"/>
      <c r="AC173" s="191"/>
      <c r="AD173" s="191"/>
      <c r="AE173" s="191"/>
      <c r="AF173" s="191"/>
      <c r="AG173" s="191"/>
      <c r="AH173" s="191"/>
      <c r="AI173" s="191"/>
      <c r="AJ173" s="192"/>
      <c r="AK173" s="216"/>
      <c r="AL173" s="370"/>
      <c r="AM173" s="371"/>
    </row>
    <row r="174" spans="19:39" ht="24.75" customHeight="1">
      <c r="S174" s="257">
        <f>+IF(JUNIO!S174=0,"",JUNIO!S174)</f>
        <v>320000</v>
      </c>
      <c r="T174" s="546" t="str">
        <f>+IF(JUNIO!T174=0,"",JUNIO!T174)</f>
        <v>Transf. Previsión y Seguridad Social</v>
      </c>
      <c r="U174" s="230">
        <f t="shared" ref="U174:AJ174" si="154">SUM(U175:U181)</f>
        <v>310000000</v>
      </c>
      <c r="V174" s="231">
        <f t="shared" si="154"/>
        <v>0</v>
      </c>
      <c r="W174" s="231">
        <f t="shared" si="154"/>
        <v>0</v>
      </c>
      <c r="X174" s="234">
        <f t="shared" si="154"/>
        <v>310000000</v>
      </c>
      <c r="Y174" s="233">
        <f t="shared" si="154"/>
        <v>171066250</v>
      </c>
      <c r="Z174" s="231">
        <f t="shared" si="154"/>
        <v>333830</v>
      </c>
      <c r="AA174" s="234">
        <f t="shared" si="154"/>
        <v>171400080</v>
      </c>
      <c r="AB174" s="233">
        <f t="shared" si="154"/>
        <v>171066250</v>
      </c>
      <c r="AC174" s="231">
        <f t="shared" si="154"/>
        <v>333830</v>
      </c>
      <c r="AD174" s="234">
        <f t="shared" si="154"/>
        <v>171400080</v>
      </c>
      <c r="AE174" s="233">
        <f t="shared" si="154"/>
        <v>171066250</v>
      </c>
      <c r="AF174" s="231">
        <f t="shared" si="154"/>
        <v>333830</v>
      </c>
      <c r="AG174" s="234">
        <f t="shared" si="154"/>
        <v>171400080</v>
      </c>
      <c r="AH174" s="233">
        <f t="shared" si="154"/>
        <v>138599920</v>
      </c>
      <c r="AI174" s="231">
        <f t="shared" si="154"/>
        <v>138599920</v>
      </c>
      <c r="AJ174" s="232">
        <f t="shared" si="154"/>
        <v>138599920</v>
      </c>
      <c r="AK174" s="101"/>
      <c r="AL174" s="233">
        <f>SUM(AL175:AL181)</f>
        <v>0</v>
      </c>
      <c r="AM174" s="232">
        <f>SUM(AM175:AM181)</f>
        <v>0</v>
      </c>
    </row>
    <row r="175" spans="19:39" ht="24.75" customHeight="1">
      <c r="S175" s="266">
        <f>+IF(JUNIO!S175=0,"",JUNIO!S175)</f>
        <v>3200100</v>
      </c>
      <c r="T175" s="267" t="str">
        <f>+IF(JUNIO!T175=0,"",JUNIO!T175)</f>
        <v>Pensiones y Jubilaciones (Pago Directo)</v>
      </c>
      <c r="U175" s="373">
        <f>+ENERO!U176</f>
        <v>0</v>
      </c>
      <c r="V175" s="220">
        <f>JUNIO!V175+JULIO!AL175</f>
        <v>0</v>
      </c>
      <c r="W175" s="220">
        <f>JUNIO!W175+JULIO!AM175</f>
        <v>0</v>
      </c>
      <c r="X175" s="271">
        <f t="shared" ref="X175:X181" si="155">SUM(U175:W175)</f>
        <v>0</v>
      </c>
      <c r="Y175" s="270">
        <f>JUNIO!AA175</f>
        <v>0</v>
      </c>
      <c r="Z175" s="208"/>
      <c r="AA175" s="271">
        <f t="shared" ref="AA175:AA181" si="156">SUM(Y175:Z175)</f>
        <v>0</v>
      </c>
      <c r="AB175" s="270">
        <f>JUNIO!AD175</f>
        <v>0</v>
      </c>
      <c r="AC175" s="208"/>
      <c r="AD175" s="271">
        <f t="shared" ref="AD175:AD181" si="157">SUM(AB175:AC175)</f>
        <v>0</v>
      </c>
      <c r="AE175" s="270">
        <f>JUNIO!AG175</f>
        <v>0</v>
      </c>
      <c r="AF175" s="208"/>
      <c r="AG175" s="271">
        <f t="shared" ref="AG175:AG181" si="158">SUM(AE175:AF175)</f>
        <v>0</v>
      </c>
      <c r="AH175" s="270">
        <f t="shared" ref="AH175:AH181" si="159">X175-AA175</f>
        <v>0</v>
      </c>
      <c r="AI175" s="220">
        <f t="shared" ref="AI175:AI181" si="160">X175-AD175</f>
        <v>0</v>
      </c>
      <c r="AJ175" s="269">
        <f t="shared" ref="AJ175:AJ181" si="161">X175-AG175</f>
        <v>0</v>
      </c>
      <c r="AK175" s="101"/>
      <c r="AL175" s="204">
        <v>0</v>
      </c>
      <c r="AM175" s="210">
        <v>0</v>
      </c>
    </row>
    <row r="176" spans="19:39" ht="24.75" customHeight="1">
      <c r="S176" s="266">
        <f>+IF(JUNIO!S176=0,"",JUNIO!S176)</f>
        <v>3200200</v>
      </c>
      <c r="T176" s="267" t="str">
        <f>+IF(JUNIO!T176=0,"",JUNIO!T176)</f>
        <v>Cesantías Pago Directo (Pago Directo)</v>
      </c>
      <c r="U176" s="373">
        <f>+ENERO!U177</f>
        <v>0</v>
      </c>
      <c r="V176" s="220">
        <f>JUNIO!V176+JULIO!AL176</f>
        <v>0</v>
      </c>
      <c r="W176" s="220">
        <f>JUNIO!W176+JULIO!AM176</f>
        <v>0</v>
      </c>
      <c r="X176" s="271">
        <f t="shared" si="155"/>
        <v>0</v>
      </c>
      <c r="Y176" s="270">
        <f>JUNIO!AA176</f>
        <v>0</v>
      </c>
      <c r="Z176" s="208"/>
      <c r="AA176" s="271">
        <f t="shared" si="156"/>
        <v>0</v>
      </c>
      <c r="AB176" s="270">
        <f>JUNIO!AD176</f>
        <v>0</v>
      </c>
      <c r="AC176" s="208"/>
      <c r="AD176" s="271">
        <f t="shared" si="157"/>
        <v>0</v>
      </c>
      <c r="AE176" s="270">
        <f>JUNIO!AG176</f>
        <v>0</v>
      </c>
      <c r="AF176" s="208"/>
      <c r="AG176" s="271">
        <f t="shared" si="158"/>
        <v>0</v>
      </c>
      <c r="AH176" s="270">
        <f t="shared" si="159"/>
        <v>0</v>
      </c>
      <c r="AI176" s="220">
        <f t="shared" si="160"/>
        <v>0</v>
      </c>
      <c r="AJ176" s="269">
        <f t="shared" si="161"/>
        <v>0</v>
      </c>
      <c r="AK176" s="101"/>
      <c r="AL176" s="204"/>
      <c r="AM176" s="210">
        <v>0</v>
      </c>
    </row>
    <row r="177" spans="19:39" ht="24.75" customHeight="1">
      <c r="S177" s="266" t="str">
        <f>+IF(JUNIO!S177=0,"",JUNIO!S177)</f>
        <v>2.1.3.07.02.002.02</v>
      </c>
      <c r="T177" s="267" t="str">
        <f>+IF(JUNIO!T177=0,"",JUNIO!T177)</f>
        <v>Cuotas partes pensionales a cargo de la entidad ( de pensiones)</v>
      </c>
      <c r="U177" s="373">
        <f>+ENERO!U178</f>
        <v>10000000</v>
      </c>
      <c r="V177" s="220">
        <f>JUNIO!V177+JULIO!AL177</f>
        <v>0</v>
      </c>
      <c r="W177" s="220">
        <f>JUNIO!W177+JULIO!AM177</f>
        <v>0</v>
      </c>
      <c r="X177" s="271">
        <f t="shared" si="155"/>
        <v>10000000</v>
      </c>
      <c r="Y177" s="270">
        <f>JUNIO!AA177</f>
        <v>5606250</v>
      </c>
      <c r="Z177" s="208">
        <v>333830</v>
      </c>
      <c r="AA177" s="271">
        <f t="shared" si="156"/>
        <v>5940080</v>
      </c>
      <c r="AB177" s="270">
        <f>JUNIO!AD177</f>
        <v>5606250</v>
      </c>
      <c r="AC177" s="208">
        <v>333830</v>
      </c>
      <c r="AD177" s="271">
        <f t="shared" si="157"/>
        <v>5940080</v>
      </c>
      <c r="AE177" s="270">
        <f>JUNIO!AG177</f>
        <v>5606250</v>
      </c>
      <c r="AF177" s="208">
        <v>333830</v>
      </c>
      <c r="AG177" s="271">
        <f t="shared" si="158"/>
        <v>5940080</v>
      </c>
      <c r="AH177" s="270">
        <f t="shared" si="159"/>
        <v>4059920</v>
      </c>
      <c r="AI177" s="220">
        <f t="shared" si="160"/>
        <v>4059920</v>
      </c>
      <c r="AJ177" s="269">
        <f t="shared" si="161"/>
        <v>4059920</v>
      </c>
      <c r="AK177" s="101"/>
      <c r="AL177" s="204">
        <v>0</v>
      </c>
      <c r="AM177" s="210">
        <v>0</v>
      </c>
    </row>
    <row r="178" spans="19:39" ht="24.75" customHeight="1">
      <c r="S178" s="266" t="str">
        <f>+IF(JUNIO!S178=0,"",JUNIO!S178)</f>
        <v>2.1.3.07.02.003.02</v>
      </c>
      <c r="T178" s="267" t="str">
        <f>+IF(JUNIO!T178=0,"",JUNIO!T178)</f>
        <v>Bonos pensionales a cargo de la entidad ( de pensiones)</v>
      </c>
      <c r="U178" s="373">
        <f>+ENERO!U179</f>
        <v>300000000</v>
      </c>
      <c r="V178" s="220">
        <f>JUNIO!V178+JULIO!AL178</f>
        <v>0</v>
      </c>
      <c r="W178" s="220">
        <f>JUNIO!W178+JULIO!AM178</f>
        <v>0</v>
      </c>
      <c r="X178" s="271">
        <f t="shared" si="155"/>
        <v>300000000</v>
      </c>
      <c r="Y178" s="270">
        <f>JUNIO!AA178</f>
        <v>165460000</v>
      </c>
      <c r="Z178" s="208">
        <v>0</v>
      </c>
      <c r="AA178" s="271">
        <f t="shared" si="156"/>
        <v>165460000</v>
      </c>
      <c r="AB178" s="270">
        <f>JUNIO!AD178</f>
        <v>165460000</v>
      </c>
      <c r="AC178" s="208">
        <v>0</v>
      </c>
      <c r="AD178" s="271">
        <f t="shared" si="157"/>
        <v>165460000</v>
      </c>
      <c r="AE178" s="270">
        <f>JUNIO!AG178</f>
        <v>165460000</v>
      </c>
      <c r="AF178" s="208">
        <v>0</v>
      </c>
      <c r="AG178" s="271">
        <f t="shared" si="158"/>
        <v>165460000</v>
      </c>
      <c r="AH178" s="270">
        <f t="shared" si="159"/>
        <v>134540000</v>
      </c>
      <c r="AI178" s="220">
        <f t="shared" si="160"/>
        <v>134540000</v>
      </c>
      <c r="AJ178" s="269">
        <f t="shared" si="161"/>
        <v>134540000</v>
      </c>
      <c r="AK178" s="101"/>
      <c r="AL178" s="204">
        <v>0</v>
      </c>
      <c r="AM178" s="210">
        <v>0</v>
      </c>
    </row>
    <row r="179" spans="19:39" ht="24.75" customHeight="1">
      <c r="S179" s="266" t="s">
        <v>689</v>
      </c>
      <c r="T179" s="267" t="s">
        <v>690</v>
      </c>
      <c r="U179" s="373">
        <f>+ENERO!U180</f>
        <v>0</v>
      </c>
      <c r="V179" s="220">
        <f>JUNIO!V179+JULIO!AL179</f>
        <v>0</v>
      </c>
      <c r="W179" s="220">
        <f>JUNIO!W179+JULIO!AM179</f>
        <v>0</v>
      </c>
      <c r="X179" s="271">
        <f t="shared" si="155"/>
        <v>0</v>
      </c>
      <c r="Y179" s="270">
        <f>JUNIO!AA179</f>
        <v>0</v>
      </c>
      <c r="Z179" s="208"/>
      <c r="AA179" s="271">
        <f t="shared" si="156"/>
        <v>0</v>
      </c>
      <c r="AB179" s="270">
        <f>JUNIO!AD179</f>
        <v>0</v>
      </c>
      <c r="AC179" s="208"/>
      <c r="AD179" s="271">
        <f t="shared" si="157"/>
        <v>0</v>
      </c>
      <c r="AE179" s="270">
        <f>JUNIO!AG179</f>
        <v>0</v>
      </c>
      <c r="AF179" s="208"/>
      <c r="AG179" s="271">
        <f t="shared" si="158"/>
        <v>0</v>
      </c>
      <c r="AH179" s="270">
        <f t="shared" si="159"/>
        <v>0</v>
      </c>
      <c r="AI179" s="220">
        <f t="shared" si="160"/>
        <v>0</v>
      </c>
      <c r="AJ179" s="269">
        <f t="shared" si="161"/>
        <v>0</v>
      </c>
      <c r="AK179" s="101"/>
      <c r="AL179" s="204"/>
      <c r="AM179" s="210">
        <v>0</v>
      </c>
    </row>
    <row r="180" spans="19:39" ht="24.75" customHeight="1">
      <c r="S180" s="266">
        <f>+IF(JUNIO!S180=0,"",JUNIO!S180)</f>
        <v>3200600</v>
      </c>
      <c r="T180" s="267" t="str">
        <f>+IF(JUNIO!T180=0,"",JUNIO!T180)</f>
        <v/>
      </c>
      <c r="U180" s="373">
        <f>+ENERO!U181</f>
        <v>0</v>
      </c>
      <c r="V180" s="220">
        <f>JUNIO!V180+JULIO!AL180</f>
        <v>0</v>
      </c>
      <c r="W180" s="220">
        <f>JUNIO!W180+JULIO!AM180</f>
        <v>0</v>
      </c>
      <c r="X180" s="271">
        <f t="shared" si="155"/>
        <v>0</v>
      </c>
      <c r="Y180" s="270">
        <f>JUNIO!AA180</f>
        <v>0</v>
      </c>
      <c r="Z180" s="208"/>
      <c r="AA180" s="271">
        <f t="shared" si="156"/>
        <v>0</v>
      </c>
      <c r="AB180" s="270">
        <f>JUNIO!AD180</f>
        <v>0</v>
      </c>
      <c r="AC180" s="208"/>
      <c r="AD180" s="271">
        <f t="shared" si="157"/>
        <v>0</v>
      </c>
      <c r="AE180" s="270">
        <f>JUNIO!AG180</f>
        <v>0</v>
      </c>
      <c r="AF180" s="208"/>
      <c r="AG180" s="271">
        <f t="shared" si="158"/>
        <v>0</v>
      </c>
      <c r="AH180" s="270">
        <f t="shared" si="159"/>
        <v>0</v>
      </c>
      <c r="AI180" s="220">
        <f t="shared" si="160"/>
        <v>0</v>
      </c>
      <c r="AJ180" s="269">
        <f t="shared" si="161"/>
        <v>0</v>
      </c>
      <c r="AK180" s="101"/>
      <c r="AL180" s="204">
        <v>0</v>
      </c>
      <c r="AM180" s="210">
        <v>0</v>
      </c>
    </row>
    <row r="181" spans="19:39" ht="24.75" customHeight="1">
      <c r="S181" s="266" t="str">
        <f>+IF(JUNIO!S181=0,"",JUNIO!S181)</f>
        <v>2.1.7.01.01</v>
      </c>
      <c r="T181" s="267" t="str">
        <f>+IF(JUNIO!T181=0,"",JUNIO!T181)</f>
        <v>Vigencias Anteriores Cesantias</v>
      </c>
      <c r="U181" s="373">
        <f>+ENERO!U182</f>
        <v>0</v>
      </c>
      <c r="V181" s="220">
        <f>JUNIO!V181+JULIO!AL181</f>
        <v>0</v>
      </c>
      <c r="W181" s="220">
        <f>JUNIO!W181+JULIO!AM181</f>
        <v>0</v>
      </c>
      <c r="X181" s="271">
        <f t="shared" si="155"/>
        <v>0</v>
      </c>
      <c r="Y181" s="270">
        <f>JUNIO!AA181</f>
        <v>0</v>
      </c>
      <c r="Z181" s="208">
        <v>0</v>
      </c>
      <c r="AA181" s="271">
        <f t="shared" si="156"/>
        <v>0</v>
      </c>
      <c r="AB181" s="270">
        <f>JUNIO!AD181</f>
        <v>0</v>
      </c>
      <c r="AC181" s="208">
        <v>0</v>
      </c>
      <c r="AD181" s="271">
        <f t="shared" si="157"/>
        <v>0</v>
      </c>
      <c r="AE181" s="270">
        <f>JUNIO!AG181</f>
        <v>0</v>
      </c>
      <c r="AF181" s="208">
        <v>0</v>
      </c>
      <c r="AG181" s="271">
        <f t="shared" si="158"/>
        <v>0</v>
      </c>
      <c r="AH181" s="270">
        <f t="shared" si="159"/>
        <v>0</v>
      </c>
      <c r="AI181" s="220">
        <f t="shared" si="160"/>
        <v>0</v>
      </c>
      <c r="AJ181" s="269">
        <f t="shared" si="161"/>
        <v>0</v>
      </c>
      <c r="AK181" s="101"/>
      <c r="AL181" s="204">
        <v>0</v>
      </c>
      <c r="AM181" s="210">
        <v>0</v>
      </c>
    </row>
    <row r="182" spans="19:39" ht="24.75" customHeight="1">
      <c r="S182" s="189" t="str">
        <f>+IF(JUNIO!S182=0,"",JUNIO!S182)</f>
        <v/>
      </c>
      <c r="T182" s="488" t="str">
        <f>+IF(JUNIO!T182=0,"",JUNIO!T182)</f>
        <v/>
      </c>
      <c r="U182" s="191"/>
      <c r="V182" s="191"/>
      <c r="W182" s="191"/>
      <c r="X182" s="191"/>
      <c r="Y182" s="191"/>
      <c r="Z182" s="191"/>
      <c r="AA182" s="191"/>
      <c r="AB182" s="191"/>
      <c r="AC182" s="191"/>
      <c r="AD182" s="191"/>
      <c r="AE182" s="191"/>
      <c r="AF182" s="191"/>
      <c r="AG182" s="191"/>
      <c r="AH182" s="191"/>
      <c r="AI182" s="191"/>
      <c r="AJ182" s="192"/>
      <c r="AK182" s="101"/>
      <c r="AL182" s="370"/>
      <c r="AM182" s="371"/>
    </row>
    <row r="183" spans="19:39" ht="24.75" customHeight="1">
      <c r="S183" s="257">
        <f>+IF(JUNIO!S183=0,"",JUNIO!S183)</f>
        <v>3300000</v>
      </c>
      <c r="T183" s="546" t="str">
        <f>+IF(JUNIO!T183=0,"",JUNIO!T183)</f>
        <v>Otras Transferencias</v>
      </c>
      <c r="U183" s="230">
        <f t="shared" ref="U183:AJ183" si="162">U184+U185+U190</f>
        <v>1313060585</v>
      </c>
      <c r="V183" s="231">
        <f t="shared" si="162"/>
        <v>21000000</v>
      </c>
      <c r="W183" s="231">
        <f t="shared" si="162"/>
        <v>500000000</v>
      </c>
      <c r="X183" s="234">
        <f t="shared" si="162"/>
        <v>1834060585</v>
      </c>
      <c r="Y183" s="233">
        <f t="shared" si="162"/>
        <v>529294538</v>
      </c>
      <c r="Z183" s="231">
        <f t="shared" si="162"/>
        <v>240616761</v>
      </c>
      <c r="AA183" s="234">
        <f t="shared" si="162"/>
        <v>769911299</v>
      </c>
      <c r="AB183" s="233">
        <f t="shared" si="162"/>
        <v>529294538</v>
      </c>
      <c r="AC183" s="231">
        <f t="shared" si="162"/>
        <v>240586861</v>
      </c>
      <c r="AD183" s="234">
        <f t="shared" si="162"/>
        <v>769881399</v>
      </c>
      <c r="AE183" s="233">
        <f t="shared" si="162"/>
        <v>465668428.5</v>
      </c>
      <c r="AF183" s="231">
        <f t="shared" si="162"/>
        <v>136644124</v>
      </c>
      <c r="AG183" s="234">
        <f t="shared" si="162"/>
        <v>602312552.5</v>
      </c>
      <c r="AH183" s="233">
        <f t="shared" si="162"/>
        <v>1064149286</v>
      </c>
      <c r="AI183" s="231">
        <f t="shared" si="162"/>
        <v>1064179186</v>
      </c>
      <c r="AJ183" s="232">
        <f t="shared" si="162"/>
        <v>1231748032.5</v>
      </c>
      <c r="AK183" s="101"/>
      <c r="AL183" s="233">
        <f>AL184+AL185+AL190</f>
        <v>5000000</v>
      </c>
      <c r="AM183" s="232">
        <f>AM184+AM185+AM190</f>
        <v>0</v>
      </c>
    </row>
    <row r="184" spans="19:39" ht="24.75" customHeight="1">
      <c r="S184" s="266" t="str">
        <f>+IF(JUNIO!S184=0,"",JUNIO!S184)</f>
        <v>2.1.3.13.01.001</v>
      </c>
      <c r="T184" s="267" t="str">
        <f>+IF(JUNIO!T184=0,"",JUNIO!T184)</f>
        <v>Sentencias</v>
      </c>
      <c r="U184" s="373">
        <f>+ENERO!U185</f>
        <v>800000000</v>
      </c>
      <c r="V184" s="220">
        <f>JUNIO!V184+JULIO!AL184</f>
        <v>-350000000</v>
      </c>
      <c r="W184" s="220">
        <f>JUNIO!W184+JULIO!AM184</f>
        <v>0</v>
      </c>
      <c r="X184" s="271">
        <f>SUM(U184:W184)</f>
        <v>450000000</v>
      </c>
      <c r="Y184" s="270">
        <f>JUNIO!AA184</f>
        <v>84794946</v>
      </c>
      <c r="Z184" s="208">
        <v>72117346</v>
      </c>
      <c r="AA184" s="271">
        <f>SUM(Y184:Z184)</f>
        <v>156912292</v>
      </c>
      <c r="AB184" s="270">
        <f>JUNIO!AD184</f>
        <v>84794946</v>
      </c>
      <c r="AC184" s="208">
        <v>72117346</v>
      </c>
      <c r="AD184" s="271">
        <f>SUM(AB184:AC184)</f>
        <v>156912292</v>
      </c>
      <c r="AE184" s="270">
        <f>JUNIO!AG184</f>
        <v>21198736.5</v>
      </c>
      <c r="AF184" s="208">
        <v>63269841</v>
      </c>
      <c r="AG184" s="271">
        <f>SUM(AE184:AF184)</f>
        <v>84468577.5</v>
      </c>
      <c r="AH184" s="270">
        <f>X184-AA184</f>
        <v>293087708</v>
      </c>
      <c r="AI184" s="220">
        <f>X184-AD184</f>
        <v>293087708</v>
      </c>
      <c r="AJ184" s="269">
        <f>X184-AG184</f>
        <v>365531422.5</v>
      </c>
      <c r="AK184" s="101"/>
      <c r="AL184" s="204">
        <v>0</v>
      </c>
      <c r="AM184" s="210"/>
    </row>
    <row r="185" spans="19:39" ht="24.75" customHeight="1">
      <c r="S185" s="266">
        <f>+IF(JUNIO!S185=0,"",JUNIO!S185)</f>
        <v>3300200</v>
      </c>
      <c r="T185" s="267" t="str">
        <f>+IF(JUNIO!T185=0,"",JUNIO!T185)</f>
        <v>Destinatarios de otras transferencias</v>
      </c>
      <c r="U185" s="373">
        <f t="shared" ref="U185:AJ185" si="163">SUM(U186:U189)</f>
        <v>463060585</v>
      </c>
      <c r="V185" s="220">
        <f t="shared" si="163"/>
        <v>21000000</v>
      </c>
      <c r="W185" s="220">
        <f t="shared" si="163"/>
        <v>500000000</v>
      </c>
      <c r="X185" s="271">
        <f t="shared" si="163"/>
        <v>984060585</v>
      </c>
      <c r="Y185" s="270">
        <f t="shared" si="163"/>
        <v>241725383</v>
      </c>
      <c r="Z185" s="300">
        <f t="shared" si="163"/>
        <v>168499415</v>
      </c>
      <c r="AA185" s="271">
        <f t="shared" si="163"/>
        <v>410224798</v>
      </c>
      <c r="AB185" s="270">
        <f t="shared" si="163"/>
        <v>241725383</v>
      </c>
      <c r="AC185" s="300">
        <f t="shared" si="163"/>
        <v>168469515</v>
      </c>
      <c r="AD185" s="271">
        <f t="shared" si="163"/>
        <v>410194898</v>
      </c>
      <c r="AE185" s="270">
        <f t="shared" si="163"/>
        <v>241695483</v>
      </c>
      <c r="AF185" s="300">
        <f t="shared" si="163"/>
        <v>73374283</v>
      </c>
      <c r="AG185" s="271">
        <f t="shared" si="163"/>
        <v>315069766</v>
      </c>
      <c r="AH185" s="270">
        <f t="shared" si="163"/>
        <v>573835787</v>
      </c>
      <c r="AI185" s="220">
        <f t="shared" si="163"/>
        <v>573865687</v>
      </c>
      <c r="AJ185" s="269">
        <f t="shared" si="163"/>
        <v>668990819</v>
      </c>
      <c r="AK185" s="101"/>
      <c r="AL185" s="301">
        <f>SUM(AL186:AL189)</f>
        <v>5000000</v>
      </c>
      <c r="AM185" s="302">
        <f>SUM(AM186:AM189)</f>
        <v>0</v>
      </c>
    </row>
    <row r="186" spans="19:39" ht="24.75" customHeight="1">
      <c r="S186" s="311" t="str">
        <f>+IF(JUNIO!S186=0,"",JUNIO!S186)</f>
        <v>2.1.2.02.02.009.907</v>
      </c>
      <c r="T186" s="267" t="str">
        <f>+IF(JUNIO!T186=0,"",JUNIO!T186)</f>
        <v>Cuota de Afiliación o sostenimiento (COHAN, AESA, OTROS)</v>
      </c>
      <c r="U186" s="373">
        <f>+ENERO!U187</f>
        <v>13060585</v>
      </c>
      <c r="V186" s="220">
        <f>JUNIO!V186+JULIO!AL186</f>
        <v>0</v>
      </c>
      <c r="W186" s="220">
        <f>JUNIO!W186+JULIO!AM186</f>
        <v>0</v>
      </c>
      <c r="X186" s="271">
        <f>SUM(U186:W186)</f>
        <v>13060585</v>
      </c>
      <c r="Y186" s="270">
        <f>JUNIO!AA186</f>
        <v>8337415</v>
      </c>
      <c r="Z186" s="208">
        <v>522703</v>
      </c>
      <c r="AA186" s="271">
        <f>SUM(Y186:Z186)</f>
        <v>8860118</v>
      </c>
      <c r="AB186" s="270">
        <f>JUNIO!AD186</f>
        <v>8337415</v>
      </c>
      <c r="AC186" s="208">
        <v>492803</v>
      </c>
      <c r="AD186" s="271">
        <f>SUM(AB186:AC186)</f>
        <v>8830218</v>
      </c>
      <c r="AE186" s="270">
        <f>JUNIO!AG186</f>
        <v>8307515</v>
      </c>
      <c r="AF186" s="208">
        <v>522703</v>
      </c>
      <c r="AG186" s="271">
        <f>SUM(AE186:AF186)</f>
        <v>8830218</v>
      </c>
      <c r="AH186" s="270">
        <f>X186-AA186</f>
        <v>4200467</v>
      </c>
      <c r="AI186" s="220">
        <f>X186-AD186</f>
        <v>4230367</v>
      </c>
      <c r="AJ186" s="269">
        <f>X186-AG186</f>
        <v>4230367</v>
      </c>
      <c r="AK186" s="101"/>
      <c r="AL186" s="204">
        <v>0</v>
      </c>
      <c r="AM186" s="210">
        <v>0</v>
      </c>
    </row>
    <row r="187" spans="19:39" ht="24.75" customHeight="1">
      <c r="S187" s="311" t="str">
        <f>+IF(JUNIO!S187=0,"",JUNIO!S187)</f>
        <v>2.1.8.04.07</v>
      </c>
      <c r="T187" s="267" t="str">
        <f>+IF(JUNIO!T187=0,"",JUNIO!T187)</f>
        <v>Conciliaciones</v>
      </c>
      <c r="U187" s="373">
        <f>+ENERO!U188</f>
        <v>300000000</v>
      </c>
      <c r="V187" s="220">
        <f>JUNIO!V187+JULIO!AL187</f>
        <v>0</v>
      </c>
      <c r="W187" s="220">
        <f>JUNIO!W187+JULIO!AM187</f>
        <v>500000000</v>
      </c>
      <c r="X187" s="271">
        <f>SUM(U187:W187)</f>
        <v>800000000</v>
      </c>
      <c r="Y187" s="270">
        <f>JUNIO!AA187</f>
        <v>226000000</v>
      </c>
      <c r="Z187" s="208">
        <v>66500000</v>
      </c>
      <c r="AA187" s="271">
        <f>SUM(Y187:Z187)</f>
        <v>292500000</v>
      </c>
      <c r="AB187" s="270">
        <f>JUNIO!AD187</f>
        <v>226000000</v>
      </c>
      <c r="AC187" s="208">
        <v>66500000</v>
      </c>
      <c r="AD187" s="271">
        <f>SUM(AB187:AC187)</f>
        <v>292500000</v>
      </c>
      <c r="AE187" s="270">
        <f>JUNIO!AG187</f>
        <v>226000000</v>
      </c>
      <c r="AF187" s="208">
        <v>66500000</v>
      </c>
      <c r="AG187" s="271">
        <f>SUM(AE187:AF187)</f>
        <v>292500000</v>
      </c>
      <c r="AH187" s="270">
        <f>X187-AA187</f>
        <v>507500000</v>
      </c>
      <c r="AI187" s="220">
        <f>X187-AD187</f>
        <v>507500000</v>
      </c>
      <c r="AJ187" s="269">
        <f>X187-AG187</f>
        <v>507500000</v>
      </c>
      <c r="AK187" s="101"/>
      <c r="AL187" s="204">
        <v>0</v>
      </c>
      <c r="AM187" s="210">
        <v>0</v>
      </c>
    </row>
    <row r="188" spans="19:39" ht="24.75" customHeight="1">
      <c r="S188" s="311" t="str">
        <f>+IF(JUNIO!S188=0,"",JUNIO!S188)</f>
        <v>2.1.8.05.01</v>
      </c>
      <c r="T188" s="267" t="str">
        <f>+IF(JUNIO!T188=0,"",JUNIO!T188)</f>
        <v>Multas y sanciones</v>
      </c>
      <c r="U188" s="884">
        <v>0</v>
      </c>
      <c r="V188" s="220">
        <f>JUNIO!V188+JULIO!AL188</f>
        <v>21000000</v>
      </c>
      <c r="W188" s="220">
        <f>JUNIO!W188+JULIO!AM188</f>
        <v>0</v>
      </c>
      <c r="X188" s="271">
        <f>SUM(U188:W188)</f>
        <v>21000000</v>
      </c>
      <c r="Y188" s="270">
        <f>JUNIO!AA188</f>
        <v>7387968</v>
      </c>
      <c r="Z188" s="208">
        <v>6351580</v>
      </c>
      <c r="AA188" s="271">
        <f>SUM(Y188:Z188)</f>
        <v>13739548</v>
      </c>
      <c r="AB188" s="270">
        <f>JUNIO!AD188</f>
        <v>7387968</v>
      </c>
      <c r="AC188" s="208">
        <v>6351580</v>
      </c>
      <c r="AD188" s="271">
        <f>SUM(AB188:AC188)</f>
        <v>13739548</v>
      </c>
      <c r="AE188" s="270">
        <f>JUNIO!AG188</f>
        <v>7387968</v>
      </c>
      <c r="AF188" s="208">
        <v>6351580</v>
      </c>
      <c r="AG188" s="271">
        <f>SUM(AE188:AF188)</f>
        <v>13739548</v>
      </c>
      <c r="AH188" s="270">
        <f>X188-AA188</f>
        <v>7260452</v>
      </c>
      <c r="AI188" s="220">
        <f>X188-AD188</f>
        <v>7260452</v>
      </c>
      <c r="AJ188" s="269">
        <f>X188-AG188</f>
        <v>7260452</v>
      </c>
      <c r="AK188" s="101"/>
      <c r="AL188" s="204">
        <v>5000000</v>
      </c>
      <c r="AM188" s="210">
        <v>0</v>
      </c>
    </row>
    <row r="189" spans="19:39" ht="24.75" customHeight="1">
      <c r="S189" s="311" t="str">
        <f>+IF(JUNIO!S189=0,"",JUNIO!S189)</f>
        <v>2.1.8.04.07</v>
      </c>
      <c r="T189" s="267" t="str">
        <f>+IF(JUNIO!T189=0,"",JUNIO!T189)</f>
        <v>Cuotas de auditaje supersalud</v>
      </c>
      <c r="U189" s="373">
        <f>+ENERO!U190</f>
        <v>150000000</v>
      </c>
      <c r="V189" s="220">
        <f>JUNIO!V189+JULIO!AL189</f>
        <v>0</v>
      </c>
      <c r="W189" s="220">
        <f>JUNIO!W189+JULIO!AM189</f>
        <v>0</v>
      </c>
      <c r="X189" s="271">
        <f>SUM(U189:W189)</f>
        <v>150000000</v>
      </c>
      <c r="Y189" s="270">
        <f>JUNIO!AA189</f>
        <v>0</v>
      </c>
      <c r="Z189" s="208">
        <v>95125132</v>
      </c>
      <c r="AA189" s="271">
        <f>SUM(Y189:Z189)</f>
        <v>95125132</v>
      </c>
      <c r="AB189" s="270">
        <f>JUNIO!AD189</f>
        <v>0</v>
      </c>
      <c r="AC189" s="208">
        <v>95125132</v>
      </c>
      <c r="AD189" s="271">
        <f>SUM(AB189:AC189)</f>
        <v>95125132</v>
      </c>
      <c r="AE189" s="270">
        <f>JUNIO!AG189</f>
        <v>0</v>
      </c>
      <c r="AF189" s="208"/>
      <c r="AG189" s="271">
        <f>SUM(AE189:AF189)</f>
        <v>0</v>
      </c>
      <c r="AH189" s="270">
        <f>X189-AA189</f>
        <v>54874868</v>
      </c>
      <c r="AI189" s="220">
        <f>X189-AD189</f>
        <v>54874868</v>
      </c>
      <c r="AJ189" s="269">
        <f>X189-AG189</f>
        <v>150000000</v>
      </c>
      <c r="AK189" s="101"/>
      <c r="AL189" s="204">
        <v>0</v>
      </c>
      <c r="AM189" s="210">
        <v>0</v>
      </c>
    </row>
    <row r="190" spans="19:39" ht="24.75" customHeight="1">
      <c r="S190" s="266" t="str">
        <f>+IF(JUNIO!S190=0,"",JUNIO!S190)</f>
        <v>2.1.3.13.01.002.99</v>
      </c>
      <c r="T190" s="267" t="str">
        <f>+IF(JUNIO!T190=0,"",JUNIO!T190)</f>
        <v>Vigencias Anteriores Conciliaciones</v>
      </c>
      <c r="U190" s="373">
        <f>+ENERO!U191</f>
        <v>50000000</v>
      </c>
      <c r="V190" s="220">
        <f>JUNIO!V190+JULIO!AL190</f>
        <v>350000000</v>
      </c>
      <c r="W190" s="220">
        <f>JUNIO!W190+JULIO!AM190</f>
        <v>0</v>
      </c>
      <c r="X190" s="271">
        <f>SUM(U190:W190)</f>
        <v>400000000</v>
      </c>
      <c r="Y190" s="270">
        <f>JUNIO!AA190</f>
        <v>202774209</v>
      </c>
      <c r="Z190" s="208"/>
      <c r="AA190" s="271">
        <f>SUM(Y190:Z190)</f>
        <v>202774209</v>
      </c>
      <c r="AB190" s="270">
        <f>JUNIO!AD190</f>
        <v>202774209</v>
      </c>
      <c r="AC190" s="208"/>
      <c r="AD190" s="271">
        <f>SUM(AB190:AC190)</f>
        <v>202774209</v>
      </c>
      <c r="AE190" s="270">
        <f>JUNIO!AG190</f>
        <v>202774209</v>
      </c>
      <c r="AF190" s="208">
        <v>0</v>
      </c>
      <c r="AG190" s="271">
        <f>SUM(AE190:AF190)</f>
        <v>202774209</v>
      </c>
      <c r="AH190" s="270">
        <f>X190-AA190</f>
        <v>197225791</v>
      </c>
      <c r="AI190" s="220">
        <f>X190-AD190</f>
        <v>197225791</v>
      </c>
      <c r="AJ190" s="269">
        <f>X190-AG190</f>
        <v>197225791</v>
      </c>
      <c r="AK190" s="101"/>
      <c r="AL190" s="204">
        <v>0</v>
      </c>
      <c r="AM190" s="210">
        <v>0</v>
      </c>
    </row>
    <row r="191" spans="19:39" ht="24.75" customHeight="1">
      <c r="S191" s="558"/>
      <c r="T191" s="559"/>
      <c r="U191" s="557"/>
      <c r="V191" s="560"/>
      <c r="W191" s="560"/>
      <c r="X191" s="560"/>
      <c r="Y191" s="560"/>
      <c r="Z191" s="561"/>
      <c r="AA191" s="560"/>
      <c r="AB191" s="560"/>
      <c r="AC191" s="561"/>
      <c r="AD191" s="560"/>
      <c r="AE191" s="560"/>
      <c r="AF191" s="561"/>
      <c r="AG191" s="560"/>
      <c r="AH191" s="560"/>
      <c r="AI191" s="560"/>
      <c r="AJ191" s="371"/>
      <c r="AK191" s="101"/>
      <c r="AL191" s="562"/>
      <c r="AM191" s="563"/>
    </row>
    <row r="192" spans="19:39" ht="49.5" customHeight="1">
      <c r="S192" s="462" t="s">
        <v>294</v>
      </c>
      <c r="T192" s="463" t="s">
        <v>295</v>
      </c>
      <c r="U192" s="405">
        <f t="shared" ref="U192:AJ192" si="164">U194+U208</f>
        <v>42375190113.666664</v>
      </c>
      <c r="V192" s="406">
        <f t="shared" si="164"/>
        <v>0</v>
      </c>
      <c r="W192" s="406">
        <f t="shared" si="164"/>
        <v>2680000000</v>
      </c>
      <c r="X192" s="218">
        <f t="shared" si="164"/>
        <v>45055190113.666664</v>
      </c>
      <c r="Y192" s="217">
        <f t="shared" si="164"/>
        <v>35558865857</v>
      </c>
      <c r="Z192" s="406">
        <f t="shared" si="164"/>
        <v>6580811615</v>
      </c>
      <c r="AA192" s="218">
        <f t="shared" si="164"/>
        <v>42139677472</v>
      </c>
      <c r="AB192" s="405">
        <f t="shared" si="164"/>
        <v>31319426812</v>
      </c>
      <c r="AC192" s="406">
        <f t="shared" si="164"/>
        <v>3113060712</v>
      </c>
      <c r="AD192" s="407">
        <f t="shared" si="164"/>
        <v>34432487524</v>
      </c>
      <c r="AE192" s="217">
        <f t="shared" si="164"/>
        <v>19377440765</v>
      </c>
      <c r="AF192" s="406">
        <f t="shared" si="164"/>
        <v>3436832543</v>
      </c>
      <c r="AG192" s="218">
        <f t="shared" si="164"/>
        <v>22814273308</v>
      </c>
      <c r="AH192" s="217">
        <f t="shared" si="164"/>
        <v>2915512641.6666656</v>
      </c>
      <c r="AI192" s="406">
        <f t="shared" si="164"/>
        <v>10622702589.666666</v>
      </c>
      <c r="AJ192" s="218">
        <f t="shared" si="164"/>
        <v>22240916805.666664</v>
      </c>
      <c r="AK192" s="101"/>
      <c r="AL192" s="217">
        <f>AL194+AL208</f>
        <v>0</v>
      </c>
      <c r="AM192" s="218">
        <f>AM194+AM208</f>
        <v>0</v>
      </c>
    </row>
    <row r="193" spans="19:39" ht="24.75" customHeight="1">
      <c r="S193" s="189" t="str">
        <f>+IF(JUNIO!S193=0,"",JUNIO!S193)</f>
        <v/>
      </c>
      <c r="T193" s="488" t="str">
        <f>+IF(JUNIO!T193=0,"",JUNIO!T193)</f>
        <v/>
      </c>
      <c r="U193" s="191"/>
      <c r="V193" s="191"/>
      <c r="W193" s="191"/>
      <c r="X193" s="191"/>
      <c r="Y193" s="191"/>
      <c r="Z193" s="191"/>
      <c r="AA193" s="191"/>
      <c r="AB193" s="191"/>
      <c r="AC193" s="191"/>
      <c r="AD193" s="191"/>
      <c r="AE193" s="191"/>
      <c r="AF193" s="191"/>
      <c r="AG193" s="191"/>
      <c r="AH193" s="191"/>
      <c r="AI193" s="191"/>
      <c r="AJ193" s="192"/>
      <c r="AK193" s="101"/>
      <c r="AL193" s="370"/>
      <c r="AM193" s="371"/>
    </row>
    <row r="194" spans="19:39" ht="24.75" customHeight="1">
      <c r="S194" s="228" t="str">
        <f>+IF(JUNIO!S194=0,"",JUNIO!S194)</f>
        <v>2.4</v>
      </c>
      <c r="T194" s="404" t="str">
        <f>+IF(JUNIO!T194=0,"",JUNIO!T194)</f>
        <v>GASTOS  DEOPERACIÓN COMERCIAL</v>
      </c>
      <c r="U194" s="405">
        <f t="shared" ref="U194:AJ194" si="165">U195</f>
        <v>40172190113.666664</v>
      </c>
      <c r="V194" s="406">
        <f t="shared" si="165"/>
        <v>-2112559635</v>
      </c>
      <c r="W194" s="406">
        <f t="shared" si="165"/>
        <v>2330000000</v>
      </c>
      <c r="X194" s="407">
        <f t="shared" si="165"/>
        <v>40389630478.666664</v>
      </c>
      <c r="Y194" s="217">
        <f t="shared" si="165"/>
        <v>30962703014</v>
      </c>
      <c r="Z194" s="406">
        <f t="shared" si="165"/>
        <v>6580811615</v>
      </c>
      <c r="AA194" s="407">
        <f t="shared" si="165"/>
        <v>37543514629</v>
      </c>
      <c r="AB194" s="217">
        <f t="shared" si="165"/>
        <v>26723263969</v>
      </c>
      <c r="AC194" s="406">
        <f t="shared" si="165"/>
        <v>3113060712</v>
      </c>
      <c r="AD194" s="407">
        <f t="shared" si="165"/>
        <v>29836324681</v>
      </c>
      <c r="AE194" s="217">
        <f t="shared" si="165"/>
        <v>14781277922</v>
      </c>
      <c r="AF194" s="406">
        <f t="shared" si="165"/>
        <v>3436832543</v>
      </c>
      <c r="AG194" s="407">
        <f t="shared" si="165"/>
        <v>18218110465</v>
      </c>
      <c r="AH194" s="217">
        <f t="shared" si="165"/>
        <v>2846115849.6666656</v>
      </c>
      <c r="AI194" s="406">
        <f t="shared" si="165"/>
        <v>10553305797.666666</v>
      </c>
      <c r="AJ194" s="218">
        <f t="shared" si="165"/>
        <v>22171520013.666664</v>
      </c>
      <c r="AK194" s="101"/>
      <c r="AL194" s="233">
        <f>AL195</f>
        <v>0</v>
      </c>
      <c r="AM194" s="232">
        <f>AM195</f>
        <v>0</v>
      </c>
    </row>
    <row r="195" spans="19:39" ht="24.75" customHeight="1">
      <c r="S195" s="257" t="str">
        <f>+IF(JUNIO!S195=0,"",JUNIO!S195)</f>
        <v>2.4.5</v>
      </c>
      <c r="T195" s="546" t="str">
        <f>+IF(JUNIO!T195=0,"",JUNIO!T195)</f>
        <v>GASTOS DE COMERCIALIZACIÓN Y PRODUCCIÓN</v>
      </c>
      <c r="U195" s="230">
        <f t="shared" ref="U195:AJ195" si="166">U196+U204+U206</f>
        <v>40172190113.666664</v>
      </c>
      <c r="V195" s="231">
        <f t="shared" si="166"/>
        <v>-2112559635</v>
      </c>
      <c r="W195" s="231">
        <f t="shared" si="166"/>
        <v>2330000000</v>
      </c>
      <c r="X195" s="234">
        <f t="shared" si="166"/>
        <v>40389630478.666664</v>
      </c>
      <c r="Y195" s="233">
        <f t="shared" si="166"/>
        <v>30962703014</v>
      </c>
      <c r="Z195" s="231">
        <f t="shared" si="166"/>
        <v>6580811615</v>
      </c>
      <c r="AA195" s="234">
        <f t="shared" si="166"/>
        <v>37543514629</v>
      </c>
      <c r="AB195" s="233">
        <f t="shared" si="166"/>
        <v>26723263969</v>
      </c>
      <c r="AC195" s="231">
        <f t="shared" si="166"/>
        <v>3113060712</v>
      </c>
      <c r="AD195" s="234">
        <f t="shared" si="166"/>
        <v>29836324681</v>
      </c>
      <c r="AE195" s="233">
        <f t="shared" si="166"/>
        <v>14781277922</v>
      </c>
      <c r="AF195" s="231">
        <f t="shared" si="166"/>
        <v>3436832543</v>
      </c>
      <c r="AG195" s="234">
        <f t="shared" si="166"/>
        <v>18218110465</v>
      </c>
      <c r="AH195" s="233">
        <f t="shared" si="166"/>
        <v>2846115849.6666656</v>
      </c>
      <c r="AI195" s="231">
        <f t="shared" si="166"/>
        <v>10553305797.666666</v>
      </c>
      <c r="AJ195" s="232">
        <f t="shared" si="166"/>
        <v>22171520013.666664</v>
      </c>
      <c r="AK195" s="216"/>
      <c r="AL195" s="233">
        <f>AL196+AL204+AL206</f>
        <v>0</v>
      </c>
      <c r="AM195" s="232">
        <f>AM196+AM204+AM206</f>
        <v>0</v>
      </c>
    </row>
    <row r="196" spans="19:39" ht="24.75" customHeight="1">
      <c r="S196" s="266" t="str">
        <f>+IF(JUNIO!S196=0,"",JUNIO!S196)</f>
        <v>2.4.5.01</v>
      </c>
      <c r="T196" s="267" t="str">
        <f>+IF(JUNIO!T196=0,"",JUNIO!T196)</f>
        <v>Materiales y suministros</v>
      </c>
      <c r="U196" s="373">
        <f t="shared" ref="U196:AJ196" si="167">SUM(U197:U203)</f>
        <v>28648709150.333332</v>
      </c>
      <c r="V196" s="220">
        <f t="shared" si="167"/>
        <v>-65559635</v>
      </c>
      <c r="W196" s="220">
        <f t="shared" si="167"/>
        <v>2330000000</v>
      </c>
      <c r="X196" s="271">
        <f t="shared" si="167"/>
        <v>30913149515.333332</v>
      </c>
      <c r="Y196" s="270">
        <f t="shared" si="167"/>
        <v>23165840459</v>
      </c>
      <c r="Z196" s="300">
        <f t="shared" si="167"/>
        <v>4970811615</v>
      </c>
      <c r="AA196" s="271">
        <f t="shared" si="167"/>
        <v>28136652074</v>
      </c>
      <c r="AB196" s="270">
        <f t="shared" si="167"/>
        <v>19404045182</v>
      </c>
      <c r="AC196" s="300">
        <f t="shared" si="167"/>
        <v>3113060712</v>
      </c>
      <c r="AD196" s="271">
        <f t="shared" si="167"/>
        <v>22517105894</v>
      </c>
      <c r="AE196" s="270">
        <f t="shared" si="167"/>
        <v>8142772857</v>
      </c>
      <c r="AF196" s="300">
        <f t="shared" si="167"/>
        <v>2756118823</v>
      </c>
      <c r="AG196" s="271">
        <f t="shared" si="167"/>
        <v>10898891680</v>
      </c>
      <c r="AH196" s="270">
        <f t="shared" si="167"/>
        <v>2776497441.3333316</v>
      </c>
      <c r="AI196" s="220">
        <f t="shared" si="167"/>
        <v>8396043621.3333321</v>
      </c>
      <c r="AJ196" s="269">
        <f t="shared" si="167"/>
        <v>20014257835.333332</v>
      </c>
      <c r="AK196" s="101"/>
      <c r="AL196" s="301">
        <f>SUM(AL197:AL203)</f>
        <v>950000000</v>
      </c>
      <c r="AM196" s="302">
        <f>SUM(AM197:AM203)</f>
        <v>0</v>
      </c>
    </row>
    <row r="197" spans="19:39" ht="24.75" customHeight="1">
      <c r="S197" s="311" t="str">
        <f>+IF(JUNIO!S197=0,"",JUNIO!S197)</f>
        <v>2.4.5.01.03.301</v>
      </c>
      <c r="T197" s="312" t="str">
        <f>+IF(JUNIO!T197=0,"",JUNIO!T197)</f>
        <v>Medicamentos</v>
      </c>
      <c r="U197" s="373">
        <f>+ENERO!U198</f>
        <v>7396066391.666666</v>
      </c>
      <c r="V197" s="220">
        <f>JUNIO!V197+JULIO!AL197</f>
        <v>-632000000</v>
      </c>
      <c r="W197" s="220">
        <f>JUNIO!W197+JULIO!AM197</f>
        <v>0</v>
      </c>
      <c r="X197" s="271">
        <f t="shared" ref="X197:X203" si="168">SUM(U197:W197)</f>
        <v>6764066391.666666</v>
      </c>
      <c r="Y197" s="270">
        <f>JUNIO!AA197</f>
        <v>5352776188</v>
      </c>
      <c r="Z197" s="208">
        <v>718586984</v>
      </c>
      <c r="AA197" s="271">
        <f t="shared" ref="AA197:AA203" si="169">SUM(Y197:Z197)</f>
        <v>6071363172</v>
      </c>
      <c r="AB197" s="270">
        <f>JUNIO!AD197</f>
        <v>4586744437</v>
      </c>
      <c r="AC197" s="208">
        <v>541071262</v>
      </c>
      <c r="AD197" s="271">
        <f t="shared" ref="AD197:AD203" si="170">SUM(AB197:AC197)</f>
        <v>5127815699</v>
      </c>
      <c r="AE197" s="270">
        <f>JUNIO!AG197</f>
        <v>1915627727</v>
      </c>
      <c r="AF197" s="208">
        <v>592482572</v>
      </c>
      <c r="AG197" s="271">
        <f t="shared" ref="AG197:AG203" si="171">SUM(AE197:AF197)</f>
        <v>2508110299</v>
      </c>
      <c r="AH197" s="270">
        <f t="shared" ref="AH197:AH203" si="172">X197-AA197</f>
        <v>692703219.66666603</v>
      </c>
      <c r="AI197" s="220">
        <f t="shared" ref="AI197:AI203" si="173">X197-AD197</f>
        <v>1636250692.666666</v>
      </c>
      <c r="AJ197" s="269">
        <f t="shared" ref="AJ197:AJ203" si="174">X197-AG197</f>
        <v>4255956092.666666</v>
      </c>
      <c r="AK197" s="101"/>
      <c r="AL197" s="204">
        <v>0</v>
      </c>
      <c r="AM197" s="210">
        <v>0</v>
      </c>
    </row>
    <row r="198" spans="19:39" ht="24.75" customHeight="1">
      <c r="S198" s="311" t="str">
        <f>+IF(JUNIO!S198=0,"",JUNIO!S198)</f>
        <v>2.4.5.01.03.302</v>
      </c>
      <c r="T198" s="312" t="str">
        <f>+IF(JUNIO!T198=0,"",JUNIO!T198)</f>
        <v>Material Médico Quirúrgico</v>
      </c>
      <c r="U198" s="373">
        <f>+ENERO!U199</f>
        <v>6198007399.166666</v>
      </c>
      <c r="V198" s="220">
        <f>JUNIO!V198+JULIO!AL198</f>
        <v>1420000000</v>
      </c>
      <c r="W198" s="220">
        <f>JUNIO!W198+JULIO!AM198</f>
        <v>200000000</v>
      </c>
      <c r="X198" s="271">
        <f t="shared" si="168"/>
        <v>7818007399.166666</v>
      </c>
      <c r="Y198" s="270">
        <f>JUNIO!AA198</f>
        <v>6384427968</v>
      </c>
      <c r="Z198" s="208">
        <v>865466116</v>
      </c>
      <c r="AA198" s="271">
        <f t="shared" si="169"/>
        <v>7249894084</v>
      </c>
      <c r="AB198" s="270">
        <f>JUNIO!AD198</f>
        <v>5859996595</v>
      </c>
      <c r="AC198" s="208">
        <v>870339990</v>
      </c>
      <c r="AD198" s="271">
        <f t="shared" si="170"/>
        <v>6730336585</v>
      </c>
      <c r="AE198" s="270">
        <f>JUNIO!AG198</f>
        <v>2667164061</v>
      </c>
      <c r="AF198" s="208">
        <v>765712076</v>
      </c>
      <c r="AG198" s="271">
        <f t="shared" si="171"/>
        <v>3432876137</v>
      </c>
      <c r="AH198" s="270">
        <f t="shared" si="172"/>
        <v>568113315.16666603</v>
      </c>
      <c r="AI198" s="220">
        <f t="shared" si="173"/>
        <v>1087670814.166666</v>
      </c>
      <c r="AJ198" s="269">
        <f t="shared" si="174"/>
        <v>4385131262.166666</v>
      </c>
      <c r="AK198" s="101"/>
      <c r="AL198" s="204">
        <v>500000000</v>
      </c>
      <c r="AM198" s="210">
        <v>0</v>
      </c>
    </row>
    <row r="199" spans="19:39" ht="24.75" customHeight="1">
      <c r="S199" s="311" t="str">
        <f>+IF(JUNIO!S199=0,"",JUNIO!S199)</f>
        <v>2.4.5.01.03.303</v>
      </c>
      <c r="T199" s="312" t="str">
        <f>+IF(JUNIO!T199=0,"",JUNIO!T199)</f>
        <v>Material de Laboratorio</v>
      </c>
      <c r="U199" s="373">
        <f>+ENERO!U200</f>
        <v>2001528195</v>
      </c>
      <c r="V199" s="220">
        <f>JUNIO!V199+JULIO!AL199</f>
        <v>-320000000</v>
      </c>
      <c r="W199" s="220">
        <f>JUNIO!W199+JULIO!AM199</f>
        <v>1600000000</v>
      </c>
      <c r="X199" s="271">
        <f t="shared" si="168"/>
        <v>3281528195</v>
      </c>
      <c r="Y199" s="270">
        <f>JUNIO!AA199</f>
        <v>2061581569</v>
      </c>
      <c r="Z199" s="208">
        <v>301759070</v>
      </c>
      <c r="AA199" s="271">
        <f t="shared" si="169"/>
        <v>2363340639</v>
      </c>
      <c r="AB199" s="270">
        <f>JUNIO!AD199</f>
        <v>1609620261</v>
      </c>
      <c r="AC199" s="208">
        <v>322206104</v>
      </c>
      <c r="AD199" s="271">
        <f t="shared" si="170"/>
        <v>1931826365</v>
      </c>
      <c r="AE199" s="270">
        <f>JUNIO!AG199</f>
        <v>469473492</v>
      </c>
      <c r="AF199" s="208">
        <v>206774634</v>
      </c>
      <c r="AG199" s="271">
        <f t="shared" si="171"/>
        <v>676248126</v>
      </c>
      <c r="AH199" s="270">
        <f t="shared" si="172"/>
        <v>918187556</v>
      </c>
      <c r="AI199" s="220">
        <f t="shared" si="173"/>
        <v>1349701830</v>
      </c>
      <c r="AJ199" s="269">
        <f t="shared" si="174"/>
        <v>2605280069</v>
      </c>
      <c r="AK199" s="101"/>
      <c r="AL199" s="204">
        <v>0</v>
      </c>
      <c r="AM199" s="210">
        <v>0</v>
      </c>
    </row>
    <row r="200" spans="19:39" ht="24.75" customHeight="1">
      <c r="S200" s="311" t="str">
        <f>+IF(JUNIO!S200=0,"",JUNIO!S200)</f>
        <v>2.4.5.02.09.901</v>
      </c>
      <c r="T200" s="312" t="str">
        <f>+IF(JUNIO!T200=0,"",JUNIO!T200)</f>
        <v xml:space="preserve">Servicio de Lavandería </v>
      </c>
      <c r="U200" s="373">
        <f>+ENERO!U201</f>
        <v>758333333.33333325</v>
      </c>
      <c r="V200" s="220">
        <f>JUNIO!V200+JULIO!AL200</f>
        <v>382000000</v>
      </c>
      <c r="W200" s="220">
        <f>JUNIO!W200+JULIO!AM200</f>
        <v>0</v>
      </c>
      <c r="X200" s="271">
        <f t="shared" si="168"/>
        <v>1140333333.3333333</v>
      </c>
      <c r="Y200" s="270">
        <f>JUNIO!AA200</f>
        <v>779900415</v>
      </c>
      <c r="Z200" s="208">
        <v>344999445</v>
      </c>
      <c r="AA200" s="271">
        <f t="shared" si="169"/>
        <v>1124899860</v>
      </c>
      <c r="AB200" s="270">
        <f>JUNIO!AD200</f>
        <v>636009703</v>
      </c>
      <c r="AC200" s="208">
        <v>107117990</v>
      </c>
      <c r="AD200" s="271">
        <f t="shared" si="170"/>
        <v>743127693</v>
      </c>
      <c r="AE200" s="270">
        <f>JUNIO!AG200</f>
        <v>408475461</v>
      </c>
      <c r="AF200" s="208">
        <v>117032377</v>
      </c>
      <c r="AG200" s="271">
        <f t="shared" si="171"/>
        <v>525507838</v>
      </c>
      <c r="AH200" s="270">
        <f t="shared" si="172"/>
        <v>15433473.333333254</v>
      </c>
      <c r="AI200" s="220">
        <f t="shared" si="173"/>
        <v>397205640.33333325</v>
      </c>
      <c r="AJ200" s="269">
        <f t="shared" si="174"/>
        <v>614825495.33333325</v>
      </c>
      <c r="AK200" s="101"/>
      <c r="AL200" s="204">
        <v>350000000</v>
      </c>
      <c r="AM200" s="210">
        <v>0</v>
      </c>
    </row>
    <row r="201" spans="19:39" ht="24.75" customHeight="1">
      <c r="S201" s="311" t="str">
        <f>+IF(JUNIO!S201=0,"",JUNIO!S201)</f>
        <v>2.4.5.02.09.902</v>
      </c>
      <c r="T201" s="312" t="str">
        <f>+IF(JUNIO!T201=0,"",JUNIO!T201)</f>
        <v>Servicios de esterilización</v>
      </c>
      <c r="U201" s="373">
        <f>+ENERO!U202</f>
        <v>166666666.66666666</v>
      </c>
      <c r="V201" s="220">
        <f>JUNIO!V201+JULIO!AL201</f>
        <v>0</v>
      </c>
      <c r="W201" s="220">
        <f>JUNIO!W201+JULIO!AM201</f>
        <v>0</v>
      </c>
      <c r="X201" s="271">
        <f t="shared" si="168"/>
        <v>166666666.66666666</v>
      </c>
      <c r="Y201" s="270">
        <f>JUNIO!AA201</f>
        <v>109200000</v>
      </c>
      <c r="Z201" s="208">
        <v>0</v>
      </c>
      <c r="AA201" s="271">
        <f t="shared" si="169"/>
        <v>109200000</v>
      </c>
      <c r="AB201" s="270">
        <f>JUNIO!AD201</f>
        <v>38505573</v>
      </c>
      <c r="AC201" s="208">
        <v>7155049</v>
      </c>
      <c r="AD201" s="271">
        <f t="shared" si="170"/>
        <v>45660622</v>
      </c>
      <c r="AE201" s="270">
        <f>JUNIO!AG201</f>
        <v>0</v>
      </c>
      <c r="AF201" s="208">
        <v>8032995</v>
      </c>
      <c r="AG201" s="271">
        <f t="shared" si="171"/>
        <v>8032995</v>
      </c>
      <c r="AH201" s="270">
        <f t="shared" si="172"/>
        <v>57466666.666666657</v>
      </c>
      <c r="AI201" s="220">
        <f t="shared" si="173"/>
        <v>121006044.66666666</v>
      </c>
      <c r="AJ201" s="269">
        <f t="shared" si="174"/>
        <v>158633671.66666666</v>
      </c>
      <c r="AK201" s="101"/>
      <c r="AL201" s="204">
        <v>0</v>
      </c>
      <c r="AM201" s="210">
        <v>0</v>
      </c>
    </row>
    <row r="202" spans="19:39" ht="24.75" customHeight="1">
      <c r="S202" s="311" t="str">
        <f>+IF(JUNIO!S202=0,"",JUNIO!S202)</f>
        <v>2.4.5.01.03.305</v>
      </c>
      <c r="T202" s="312" t="str">
        <f>+IF(JUNIO!T202=0,"",JUNIO!T202)</f>
        <v>Sangre</v>
      </c>
      <c r="U202" s="373">
        <f>+ENERO!U203</f>
        <v>1257440000</v>
      </c>
      <c r="V202" s="220">
        <f>JUNIO!V202+JULIO!AL202</f>
        <v>100000000</v>
      </c>
      <c r="W202" s="220">
        <f>JUNIO!W202+JULIO!AM202</f>
        <v>0</v>
      </c>
      <c r="X202" s="271">
        <f t="shared" si="168"/>
        <v>1357440000</v>
      </c>
      <c r="Y202" s="270">
        <f>JUNIO!AA202</f>
        <v>1021200000</v>
      </c>
      <c r="Z202" s="208">
        <v>200000000</v>
      </c>
      <c r="AA202" s="271">
        <f t="shared" si="169"/>
        <v>1221200000</v>
      </c>
      <c r="AB202" s="270">
        <f>JUNIO!AD202</f>
        <v>814996541</v>
      </c>
      <c r="AC202" s="208">
        <v>141132978</v>
      </c>
      <c r="AD202" s="271">
        <f t="shared" si="170"/>
        <v>956129519</v>
      </c>
      <c r="AE202" s="270">
        <f>JUNIO!AG202</f>
        <v>238958738</v>
      </c>
      <c r="AF202" s="208">
        <v>86457204</v>
      </c>
      <c r="AG202" s="271">
        <f t="shared" si="171"/>
        <v>325415942</v>
      </c>
      <c r="AH202" s="270">
        <f t="shared" si="172"/>
        <v>136240000</v>
      </c>
      <c r="AI202" s="220">
        <f t="shared" si="173"/>
        <v>401310481</v>
      </c>
      <c r="AJ202" s="269">
        <f t="shared" si="174"/>
        <v>1032024058</v>
      </c>
      <c r="AK202" s="101"/>
      <c r="AL202" s="204">
        <v>100000000</v>
      </c>
      <c r="AM202" s="210">
        <v>0</v>
      </c>
    </row>
    <row r="203" spans="19:39" ht="24.75" customHeight="1">
      <c r="S203" s="311" t="str">
        <f>+IF(JUNIO!S203=0,"",JUNIO!S203)</f>
        <v>2.4.5.02.08</v>
      </c>
      <c r="T203" s="312" t="str">
        <f>+IF(JUNIO!T203=0,"",JUNIO!T203)</f>
        <v>Servicios de ayudas diagnòsticas</v>
      </c>
      <c r="U203" s="373">
        <f>+ENERO!U204</f>
        <v>10870667164.5</v>
      </c>
      <c r="V203" s="220">
        <f>JUNIO!V203+JULIO!AL203</f>
        <v>-1015559635</v>
      </c>
      <c r="W203" s="220">
        <f>JUNIO!W203+JULIO!AM203</f>
        <v>530000000</v>
      </c>
      <c r="X203" s="271">
        <f t="shared" si="168"/>
        <v>10385107529.5</v>
      </c>
      <c r="Y203" s="270">
        <f>JUNIO!AA203</f>
        <v>7456754319</v>
      </c>
      <c r="Z203" s="208">
        <v>2540000000</v>
      </c>
      <c r="AA203" s="271">
        <f t="shared" si="169"/>
        <v>9996754319</v>
      </c>
      <c r="AB203" s="270">
        <f>JUNIO!AD203</f>
        <v>5858172072</v>
      </c>
      <c r="AC203" s="208">
        <v>1124037339</v>
      </c>
      <c r="AD203" s="271">
        <f t="shared" si="170"/>
        <v>6982209411</v>
      </c>
      <c r="AE203" s="270">
        <f>JUNIO!AG203</f>
        <v>2443073378</v>
      </c>
      <c r="AF203" s="208">
        <v>979626965</v>
      </c>
      <c r="AG203" s="271">
        <f t="shared" si="171"/>
        <v>3422700343</v>
      </c>
      <c r="AH203" s="270">
        <f t="shared" si="172"/>
        <v>388353210.5</v>
      </c>
      <c r="AI203" s="220">
        <f t="shared" si="173"/>
        <v>3402898118.5</v>
      </c>
      <c r="AJ203" s="269">
        <f t="shared" si="174"/>
        <v>6962407186.5</v>
      </c>
      <c r="AK203" s="101"/>
      <c r="AL203" s="204">
        <v>0</v>
      </c>
      <c r="AM203" s="210">
        <v>0</v>
      </c>
    </row>
    <row r="204" spans="19:39" ht="24.75" customHeight="1">
      <c r="S204" s="266">
        <f>+IF(JUNIO!S204=0,"",JUNIO!S204)</f>
        <v>4100200</v>
      </c>
      <c r="T204" s="267" t="str">
        <f>+IF(JUNIO!T204=0,"",JUNIO!T204)</f>
        <v>Gastos Complementarios e Intermedios</v>
      </c>
      <c r="U204" s="373">
        <f t="shared" ref="U204:AJ204" si="175">U205</f>
        <v>5609700000</v>
      </c>
      <c r="V204" s="220">
        <f t="shared" si="175"/>
        <v>150000000</v>
      </c>
      <c r="W204" s="220">
        <f t="shared" si="175"/>
        <v>0</v>
      </c>
      <c r="X204" s="271">
        <f t="shared" si="175"/>
        <v>5759700000</v>
      </c>
      <c r="Y204" s="270">
        <f t="shared" si="175"/>
        <v>4142600000</v>
      </c>
      <c r="Z204" s="300">
        <f t="shared" si="175"/>
        <v>1610000000</v>
      </c>
      <c r="AA204" s="271">
        <f t="shared" si="175"/>
        <v>5752600000</v>
      </c>
      <c r="AB204" s="270">
        <f t="shared" si="175"/>
        <v>3671156232</v>
      </c>
      <c r="AC204" s="300">
        <f t="shared" si="175"/>
        <v>0</v>
      </c>
      <c r="AD204" s="271">
        <f t="shared" si="175"/>
        <v>3671156232</v>
      </c>
      <c r="AE204" s="270">
        <f t="shared" si="175"/>
        <v>2990442512</v>
      </c>
      <c r="AF204" s="300">
        <f t="shared" si="175"/>
        <v>680713720</v>
      </c>
      <c r="AG204" s="271">
        <f t="shared" si="175"/>
        <v>3671156232</v>
      </c>
      <c r="AH204" s="270">
        <f t="shared" si="175"/>
        <v>7100000</v>
      </c>
      <c r="AI204" s="220">
        <f t="shared" si="175"/>
        <v>2088543768</v>
      </c>
      <c r="AJ204" s="269">
        <f t="shared" si="175"/>
        <v>2088543768</v>
      </c>
      <c r="AK204" s="101"/>
      <c r="AL204" s="301">
        <f>AL205</f>
        <v>150000000</v>
      </c>
      <c r="AM204" s="302">
        <f>AM205</f>
        <v>0</v>
      </c>
    </row>
    <row r="205" spans="19:39" ht="24.75" customHeight="1">
      <c r="S205" s="311" t="str">
        <f>+IF(JUNIO!S205=0,"",JUNIO!S205)</f>
        <v>2.4.5.02.06.601</v>
      </c>
      <c r="T205" s="312" t="str">
        <f>+IF(JUNIO!T205=0,"",JUNIO!T205)</f>
        <v>Servicio de alimentación</v>
      </c>
      <c r="U205" s="373">
        <f>+ENERO!U206</f>
        <v>5609700000</v>
      </c>
      <c r="V205" s="220">
        <f>JUNIO!V205+JULIO!AL205</f>
        <v>150000000</v>
      </c>
      <c r="W205" s="220">
        <f>JUNIO!W205+JULIO!AM205</f>
        <v>0</v>
      </c>
      <c r="X205" s="271">
        <f>SUM(U205:W205)</f>
        <v>5759700000</v>
      </c>
      <c r="Y205" s="270">
        <f>JUNIO!AA205</f>
        <v>4142600000</v>
      </c>
      <c r="Z205" s="208">
        <v>1610000000</v>
      </c>
      <c r="AA205" s="271">
        <f>SUM(Y205:Z205)</f>
        <v>5752600000</v>
      </c>
      <c r="AB205" s="270">
        <f>JUNIO!AD205</f>
        <v>3671156232</v>
      </c>
      <c r="AC205" s="208">
        <v>0</v>
      </c>
      <c r="AD205" s="271">
        <f>SUM(AB205:AC205)</f>
        <v>3671156232</v>
      </c>
      <c r="AE205" s="270">
        <f>JUNIO!AG205</f>
        <v>2990442512</v>
      </c>
      <c r="AF205" s="208">
        <v>680713720</v>
      </c>
      <c r="AG205" s="271">
        <f>SUM(AE205:AF205)</f>
        <v>3671156232</v>
      </c>
      <c r="AH205" s="270">
        <f>X205-AA205</f>
        <v>7100000</v>
      </c>
      <c r="AI205" s="220">
        <f>X205-AD205</f>
        <v>2088543768</v>
      </c>
      <c r="AJ205" s="269">
        <f>X205-AG205</f>
        <v>2088543768</v>
      </c>
      <c r="AK205" s="101"/>
      <c r="AL205" s="204">
        <v>150000000</v>
      </c>
      <c r="AM205" s="210">
        <v>0</v>
      </c>
    </row>
    <row r="206" spans="19:39" ht="24.75" customHeight="1" thickBot="1">
      <c r="S206" s="466" t="str">
        <f>+IF(JUNIO!S206=0,"",JUNIO!S206)</f>
        <v>2.4.5.01.03.99.01</v>
      </c>
      <c r="T206" s="467" t="str">
        <f>+IF(JUNIO!T206=0,"",JUNIO!T206)</f>
        <v>Vigencias Anteriores</v>
      </c>
      <c r="U206" s="547">
        <f>+ENERO!U207</f>
        <v>5913780963.333334</v>
      </c>
      <c r="V206" s="468">
        <f>JUNIO!V206+JULIO!AL206</f>
        <v>-2197000000</v>
      </c>
      <c r="W206" s="468">
        <f>JUNIO!W206+JULIO!AM206</f>
        <v>0</v>
      </c>
      <c r="X206" s="471">
        <f>SUM(U206:W206)</f>
        <v>3716780963.333334</v>
      </c>
      <c r="Y206" s="470">
        <f>JUNIO!AA206</f>
        <v>3654262555</v>
      </c>
      <c r="Z206" s="246">
        <v>0</v>
      </c>
      <c r="AA206" s="471">
        <f>SUM(Y206:Z206)</f>
        <v>3654262555</v>
      </c>
      <c r="AB206" s="470">
        <f>JUNIO!AD206</f>
        <v>3648062555</v>
      </c>
      <c r="AC206" s="246">
        <v>0</v>
      </c>
      <c r="AD206" s="471">
        <f>SUM(AB206:AC206)</f>
        <v>3648062555</v>
      </c>
      <c r="AE206" s="470">
        <f>JUNIO!AG206</f>
        <v>3648062553</v>
      </c>
      <c r="AF206" s="246">
        <v>0</v>
      </c>
      <c r="AG206" s="471">
        <f>SUM(AE206:AF206)</f>
        <v>3648062553</v>
      </c>
      <c r="AH206" s="470">
        <f>X206-AA206</f>
        <v>62518408.333333969</v>
      </c>
      <c r="AI206" s="468">
        <f>X206-AD206</f>
        <v>68718408.333333969</v>
      </c>
      <c r="AJ206" s="469">
        <f>X206-AG206</f>
        <v>68718410.333333969</v>
      </c>
      <c r="AK206" s="101"/>
      <c r="AL206" s="204">
        <v>-1100000000</v>
      </c>
      <c r="AM206" s="248">
        <v>0</v>
      </c>
    </row>
    <row r="207" spans="19:39" ht="24.75" customHeight="1">
      <c r="S207" s="455">
        <f>+IF(JUNIO!S207=0,"",JUNIO!S207)</f>
        <v>1050551296</v>
      </c>
      <c r="T207" s="456" t="str">
        <f>+IF(JUNIO!T207=0,"",JUNIO!T207)</f>
        <v/>
      </c>
      <c r="U207" s="457"/>
      <c r="V207" s="457"/>
      <c r="W207" s="457"/>
      <c r="X207" s="457"/>
      <c r="Y207" s="457"/>
      <c r="Z207" s="457"/>
      <c r="AA207" s="457"/>
      <c r="AB207" s="457"/>
      <c r="AC207" s="457"/>
      <c r="AD207" s="457"/>
      <c r="AE207" s="457"/>
      <c r="AF207" s="457"/>
      <c r="AG207" s="457"/>
      <c r="AH207" s="457"/>
      <c r="AI207" s="457"/>
      <c r="AJ207" s="458"/>
      <c r="AK207" s="101"/>
      <c r="AL207" s="460"/>
      <c r="AM207" s="461"/>
    </row>
    <row r="208" spans="19:39" ht="24.75" customHeight="1">
      <c r="S208" s="228">
        <f>+IF(JUNIO!S208=0,"",JUNIO!S208)</f>
        <v>5000000</v>
      </c>
      <c r="T208" s="545" t="str">
        <f>+IF(JUNIO!T208=0,"",JUNIO!T208)</f>
        <v>GASTOS DE COMERCIALIZACION</v>
      </c>
      <c r="U208" s="405">
        <f t="shared" ref="U208:AJ208" si="176">U209</f>
        <v>2203000000</v>
      </c>
      <c r="V208" s="406">
        <f t="shared" si="176"/>
        <v>2112559635</v>
      </c>
      <c r="W208" s="406">
        <f t="shared" si="176"/>
        <v>350000000</v>
      </c>
      <c r="X208" s="407">
        <f t="shared" si="176"/>
        <v>4665559635</v>
      </c>
      <c r="Y208" s="217">
        <f t="shared" si="176"/>
        <v>4596162843</v>
      </c>
      <c r="Z208" s="406">
        <f t="shared" si="176"/>
        <v>0</v>
      </c>
      <c r="AA208" s="407">
        <f t="shared" si="176"/>
        <v>4596162843</v>
      </c>
      <c r="AB208" s="217">
        <f t="shared" si="176"/>
        <v>4596162843</v>
      </c>
      <c r="AC208" s="406">
        <f t="shared" si="176"/>
        <v>0</v>
      </c>
      <c r="AD208" s="407">
        <f t="shared" si="176"/>
        <v>4596162843</v>
      </c>
      <c r="AE208" s="217">
        <f t="shared" si="176"/>
        <v>4596162843</v>
      </c>
      <c r="AF208" s="406">
        <f t="shared" si="176"/>
        <v>0</v>
      </c>
      <c r="AG208" s="407">
        <f t="shared" si="176"/>
        <v>4596162843</v>
      </c>
      <c r="AH208" s="217">
        <f t="shared" si="176"/>
        <v>69396792</v>
      </c>
      <c r="AI208" s="406">
        <f t="shared" si="176"/>
        <v>69396792</v>
      </c>
      <c r="AJ208" s="218">
        <f t="shared" si="176"/>
        <v>69396792</v>
      </c>
      <c r="AK208" s="101"/>
      <c r="AL208" s="233">
        <f>AL209</f>
        <v>0</v>
      </c>
      <c r="AM208" s="232">
        <f>AM209</f>
        <v>0</v>
      </c>
    </row>
    <row r="209" spans="19:39" ht="24.75" customHeight="1">
      <c r="S209" s="257">
        <f>+IF(JUNIO!S209=0,"",JUNIO!S209)</f>
        <v>5100000</v>
      </c>
      <c r="T209" s="546" t="str">
        <f>+IF(JUNIO!T209=0,"",JUNIO!T209)</f>
        <v>Insumos y Suministros para Venta al Público</v>
      </c>
      <c r="U209" s="230">
        <f t="shared" ref="U209:AJ209" si="177">U210+U217</f>
        <v>2203000000</v>
      </c>
      <c r="V209" s="231">
        <f t="shared" si="177"/>
        <v>2112559635</v>
      </c>
      <c r="W209" s="231">
        <f t="shared" si="177"/>
        <v>350000000</v>
      </c>
      <c r="X209" s="234">
        <f t="shared" si="177"/>
        <v>4665559635</v>
      </c>
      <c r="Y209" s="233">
        <f t="shared" si="177"/>
        <v>4596162843</v>
      </c>
      <c r="Z209" s="231">
        <f t="shared" si="177"/>
        <v>0</v>
      </c>
      <c r="AA209" s="234">
        <f t="shared" si="177"/>
        <v>4596162843</v>
      </c>
      <c r="AB209" s="233">
        <f t="shared" si="177"/>
        <v>4596162843</v>
      </c>
      <c r="AC209" s="231">
        <f t="shared" si="177"/>
        <v>0</v>
      </c>
      <c r="AD209" s="234">
        <f t="shared" si="177"/>
        <v>4596162843</v>
      </c>
      <c r="AE209" s="233">
        <f t="shared" si="177"/>
        <v>4596162843</v>
      </c>
      <c r="AF209" s="231">
        <f t="shared" si="177"/>
        <v>0</v>
      </c>
      <c r="AG209" s="234">
        <f t="shared" si="177"/>
        <v>4596162843</v>
      </c>
      <c r="AH209" s="233">
        <f t="shared" si="177"/>
        <v>69396792</v>
      </c>
      <c r="AI209" s="231">
        <f t="shared" si="177"/>
        <v>69396792</v>
      </c>
      <c r="AJ209" s="232">
        <f t="shared" si="177"/>
        <v>69396792</v>
      </c>
      <c r="AK209" s="101"/>
      <c r="AL209" s="233">
        <f>AL210+AL217</f>
        <v>0</v>
      </c>
      <c r="AM209" s="232">
        <f>AM210+AM217</f>
        <v>0</v>
      </c>
    </row>
    <row r="210" spans="19:39" ht="24.75" customHeight="1">
      <c r="S210" s="266">
        <f>+IF(JUNIO!S210=0,"",JUNIO!S210)</f>
        <v>5100100</v>
      </c>
      <c r="T210" s="267" t="str">
        <f>+IF(JUNIO!T210=0,"",JUNIO!T210)</f>
        <v>Compra de Bienes para la venta</v>
      </c>
      <c r="U210" s="373">
        <f t="shared" ref="U210:AJ210" si="178">SUM(U211:U216)</f>
        <v>3000000</v>
      </c>
      <c r="V210" s="220">
        <f t="shared" si="178"/>
        <v>0</v>
      </c>
      <c r="W210" s="220">
        <f t="shared" si="178"/>
        <v>0</v>
      </c>
      <c r="X210" s="271">
        <f t="shared" si="178"/>
        <v>3000000</v>
      </c>
      <c r="Y210" s="270">
        <f t="shared" si="178"/>
        <v>0</v>
      </c>
      <c r="Z210" s="300">
        <f t="shared" si="178"/>
        <v>0</v>
      </c>
      <c r="AA210" s="271">
        <f t="shared" si="178"/>
        <v>0</v>
      </c>
      <c r="AB210" s="270">
        <f t="shared" si="178"/>
        <v>0</v>
      </c>
      <c r="AC210" s="300">
        <f t="shared" si="178"/>
        <v>0</v>
      </c>
      <c r="AD210" s="271">
        <f t="shared" si="178"/>
        <v>0</v>
      </c>
      <c r="AE210" s="270">
        <f t="shared" si="178"/>
        <v>0</v>
      </c>
      <c r="AF210" s="300">
        <f t="shared" si="178"/>
        <v>0</v>
      </c>
      <c r="AG210" s="271">
        <f t="shared" si="178"/>
        <v>0</v>
      </c>
      <c r="AH210" s="270">
        <f t="shared" si="178"/>
        <v>3000000</v>
      </c>
      <c r="AI210" s="220">
        <f t="shared" si="178"/>
        <v>3000000</v>
      </c>
      <c r="AJ210" s="269">
        <f t="shared" si="178"/>
        <v>3000000</v>
      </c>
      <c r="AK210" s="216"/>
      <c r="AL210" s="301">
        <f>SUM(AL211:AL216)</f>
        <v>0</v>
      </c>
      <c r="AM210" s="302">
        <f>SUM(AM211:AM216)</f>
        <v>0</v>
      </c>
    </row>
    <row r="211" spans="19:39" ht="24.75" customHeight="1">
      <c r="S211" s="311" t="str">
        <f>+IF(JUNIO!S211=0,"",JUNIO!S211)</f>
        <v>5100100-1</v>
      </c>
      <c r="T211" s="312" t="str">
        <f>+IF(JUNIO!T211=0,"",JUNIO!T211)</f>
        <v>Productos Farmaceuticos</v>
      </c>
      <c r="U211" s="373">
        <f>+ENERO!U212</f>
        <v>0</v>
      </c>
      <c r="V211" s="220">
        <f>JUNIO!V211+JULIO!AL211</f>
        <v>0</v>
      </c>
      <c r="W211" s="220">
        <f>JUNIO!W211+JULIO!AM211</f>
        <v>0</v>
      </c>
      <c r="X211" s="271">
        <f t="shared" ref="X211:X217" si="179">SUM(U211:W211)</f>
        <v>0</v>
      </c>
      <c r="Y211" s="270">
        <f>JUNIO!AA211</f>
        <v>0</v>
      </c>
      <c r="Z211" s="208">
        <v>0</v>
      </c>
      <c r="AA211" s="271">
        <f t="shared" ref="AA211:AA217" si="180">SUM(Y211:Z211)</f>
        <v>0</v>
      </c>
      <c r="AB211" s="270">
        <f>JUNIO!AD211</f>
        <v>0</v>
      </c>
      <c r="AC211" s="208">
        <v>0</v>
      </c>
      <c r="AD211" s="271">
        <f t="shared" ref="AD211:AD217" si="181">SUM(AB211:AC211)</f>
        <v>0</v>
      </c>
      <c r="AE211" s="270">
        <f>JUNIO!AG211</f>
        <v>0</v>
      </c>
      <c r="AF211" s="208">
        <v>0</v>
      </c>
      <c r="AG211" s="271">
        <f t="shared" ref="AG211:AG217" si="182">SUM(AE211:AF211)</f>
        <v>0</v>
      </c>
      <c r="AH211" s="270">
        <f t="shared" ref="AH211:AH217" si="183">X211-AA211</f>
        <v>0</v>
      </c>
      <c r="AI211" s="220">
        <f t="shared" ref="AI211:AI217" si="184">X211-AD211</f>
        <v>0</v>
      </c>
      <c r="AJ211" s="269">
        <f t="shared" ref="AJ211:AJ217" si="185">X211-AG211</f>
        <v>0</v>
      </c>
      <c r="AK211" s="101"/>
      <c r="AL211" s="204">
        <v>0</v>
      </c>
      <c r="AM211" s="210">
        <v>0</v>
      </c>
    </row>
    <row r="212" spans="19:39" ht="24.75" customHeight="1">
      <c r="S212" s="311" t="str">
        <f>+IF(JUNIO!S212=0,"",JUNIO!S212)</f>
        <v>5100100-2</v>
      </c>
      <c r="T212" s="312" t="str">
        <f>+IF(JUNIO!T212=0,"",JUNIO!T212)</f>
        <v>Material Médico Quirúrgico</v>
      </c>
      <c r="U212" s="373">
        <f>+ENERO!U213</f>
        <v>0</v>
      </c>
      <c r="V212" s="220">
        <f>JUNIO!V212+JULIO!AL212</f>
        <v>0</v>
      </c>
      <c r="W212" s="220">
        <f>JUNIO!W212+JULIO!AM212</f>
        <v>0</v>
      </c>
      <c r="X212" s="271">
        <f t="shared" si="179"/>
        <v>0</v>
      </c>
      <c r="Y212" s="270">
        <f>JUNIO!AA212</f>
        <v>0</v>
      </c>
      <c r="Z212" s="208">
        <v>0</v>
      </c>
      <c r="AA212" s="271">
        <f t="shared" si="180"/>
        <v>0</v>
      </c>
      <c r="AB212" s="270">
        <f>JUNIO!AD212</f>
        <v>0</v>
      </c>
      <c r="AC212" s="208">
        <v>0</v>
      </c>
      <c r="AD212" s="271">
        <f t="shared" si="181"/>
        <v>0</v>
      </c>
      <c r="AE212" s="270">
        <f>JUNIO!AG212</f>
        <v>0</v>
      </c>
      <c r="AF212" s="208">
        <v>0</v>
      </c>
      <c r="AG212" s="271">
        <f t="shared" si="182"/>
        <v>0</v>
      </c>
      <c r="AH212" s="270">
        <f t="shared" si="183"/>
        <v>0</v>
      </c>
      <c r="AI212" s="220">
        <f t="shared" si="184"/>
        <v>0</v>
      </c>
      <c r="AJ212" s="269">
        <f t="shared" si="185"/>
        <v>0</v>
      </c>
      <c r="AK212" s="101"/>
      <c r="AL212" s="204">
        <v>0</v>
      </c>
      <c r="AM212" s="210">
        <v>0</v>
      </c>
    </row>
    <row r="213" spans="19:39" ht="24.75" customHeight="1">
      <c r="S213" s="311" t="str">
        <f>+IF(JUNIO!S213=0,"",JUNIO!S213)</f>
        <v>5100100-3</v>
      </c>
      <c r="T213" s="312" t="str">
        <f>+IF(JUNIO!T213=0,"",JUNIO!T213)</f>
        <v>Material de Laboratorio</v>
      </c>
      <c r="U213" s="373">
        <f>+ENERO!U214</f>
        <v>0</v>
      </c>
      <c r="V213" s="220">
        <f>JUNIO!V213+JULIO!AL213</f>
        <v>0</v>
      </c>
      <c r="W213" s="220">
        <f>JUNIO!W213+JULIO!AM213</f>
        <v>0</v>
      </c>
      <c r="X213" s="271">
        <f t="shared" si="179"/>
        <v>0</v>
      </c>
      <c r="Y213" s="270">
        <f>JUNIO!AA213</f>
        <v>0</v>
      </c>
      <c r="Z213" s="208">
        <v>0</v>
      </c>
      <c r="AA213" s="271">
        <f t="shared" si="180"/>
        <v>0</v>
      </c>
      <c r="AB213" s="270">
        <f>JUNIO!AD213</f>
        <v>0</v>
      </c>
      <c r="AC213" s="208">
        <v>0</v>
      </c>
      <c r="AD213" s="271">
        <f t="shared" si="181"/>
        <v>0</v>
      </c>
      <c r="AE213" s="270">
        <f>JUNIO!AG213</f>
        <v>0</v>
      </c>
      <c r="AF213" s="208">
        <v>0</v>
      </c>
      <c r="AG213" s="271">
        <f t="shared" si="182"/>
        <v>0</v>
      </c>
      <c r="AH213" s="270">
        <f t="shared" si="183"/>
        <v>0</v>
      </c>
      <c r="AI213" s="220">
        <f t="shared" si="184"/>
        <v>0</v>
      </c>
      <c r="AJ213" s="269">
        <f t="shared" si="185"/>
        <v>0</v>
      </c>
      <c r="AK213" s="101"/>
      <c r="AL213" s="204">
        <v>0</v>
      </c>
      <c r="AM213" s="210">
        <v>0</v>
      </c>
    </row>
    <row r="214" spans="19:39" ht="24.75" customHeight="1">
      <c r="S214" s="311" t="str">
        <f>+IF(JUNIO!S214=0,"",JUNIO!S214)</f>
        <v>2.4.5.02.09.91122</v>
      </c>
      <c r="T214" s="312" t="str">
        <f>+IF(JUNIO!T214=0,"",JUNIO!T214)</f>
        <v>Servicios de Certificación, Habilitación y Acreditación</v>
      </c>
      <c r="U214" s="373">
        <f>+ENERO!U215</f>
        <v>3000000</v>
      </c>
      <c r="V214" s="220">
        <f>JUNIO!V214+JULIO!AL214</f>
        <v>0</v>
      </c>
      <c r="W214" s="220">
        <f>JUNIO!W214+JULIO!AM214</f>
        <v>0</v>
      </c>
      <c r="X214" s="271">
        <f t="shared" si="179"/>
        <v>3000000</v>
      </c>
      <c r="Y214" s="270">
        <f>JUNIO!AA214</f>
        <v>0</v>
      </c>
      <c r="Z214" s="208">
        <v>0</v>
      </c>
      <c r="AA214" s="271">
        <f t="shared" si="180"/>
        <v>0</v>
      </c>
      <c r="AB214" s="270">
        <f>JUNIO!AD214</f>
        <v>0</v>
      </c>
      <c r="AC214" s="208">
        <v>0</v>
      </c>
      <c r="AD214" s="271">
        <f t="shared" si="181"/>
        <v>0</v>
      </c>
      <c r="AE214" s="270">
        <f>JUNIO!AG214</f>
        <v>0</v>
      </c>
      <c r="AF214" s="208">
        <v>0</v>
      </c>
      <c r="AG214" s="271">
        <f t="shared" si="182"/>
        <v>0</v>
      </c>
      <c r="AH214" s="270">
        <f t="shared" si="183"/>
        <v>3000000</v>
      </c>
      <c r="AI214" s="220">
        <f t="shared" si="184"/>
        <v>3000000</v>
      </c>
      <c r="AJ214" s="269">
        <f t="shared" si="185"/>
        <v>3000000</v>
      </c>
      <c r="AK214" s="101"/>
      <c r="AL214" s="204">
        <v>0</v>
      </c>
      <c r="AM214" s="210">
        <v>0</v>
      </c>
    </row>
    <row r="215" spans="19:39" ht="24.75" customHeight="1">
      <c r="S215" s="311" t="str">
        <f>+IF(JUNIO!S215=0,"",JUNIO!S215)</f>
        <v>2.4.5.02.08.801.99</v>
      </c>
      <c r="T215" s="312" t="str">
        <f>+IF(JUNIO!T215=0,"",JUNIO!T215)</f>
        <v>Vigencias Anteriores</v>
      </c>
      <c r="U215" s="373">
        <f>+ENERO!U216</f>
        <v>0</v>
      </c>
      <c r="V215" s="220">
        <f>JUNIO!V215+JULIO!AL215</f>
        <v>0</v>
      </c>
      <c r="W215" s="220">
        <f>JUNIO!W215+JULIO!AM215</f>
        <v>0</v>
      </c>
      <c r="X215" s="271">
        <f t="shared" si="179"/>
        <v>0</v>
      </c>
      <c r="Y215" s="270">
        <f>JUNIO!AA215</f>
        <v>0</v>
      </c>
      <c r="Z215" s="208">
        <v>0</v>
      </c>
      <c r="AA215" s="271">
        <f t="shared" si="180"/>
        <v>0</v>
      </c>
      <c r="AB215" s="270">
        <f>JUNIO!AD215</f>
        <v>0</v>
      </c>
      <c r="AC215" s="208">
        <v>0</v>
      </c>
      <c r="AD215" s="271">
        <f t="shared" si="181"/>
        <v>0</v>
      </c>
      <c r="AE215" s="270">
        <f>JUNIO!AG215</f>
        <v>0</v>
      </c>
      <c r="AF215" s="208">
        <v>0</v>
      </c>
      <c r="AG215" s="271">
        <f t="shared" si="182"/>
        <v>0</v>
      </c>
      <c r="AH215" s="270">
        <f t="shared" si="183"/>
        <v>0</v>
      </c>
      <c r="AI215" s="220">
        <f t="shared" si="184"/>
        <v>0</v>
      </c>
      <c r="AJ215" s="269">
        <f t="shared" si="185"/>
        <v>0</v>
      </c>
      <c r="AK215" s="101"/>
      <c r="AL215" s="204">
        <v>0</v>
      </c>
      <c r="AM215" s="210">
        <v>0</v>
      </c>
    </row>
    <row r="216" spans="19:39" ht="24.75" customHeight="1">
      <c r="S216" s="311" t="str">
        <f>+IF(JUNIO!S216=0,"",JUNIO!S216)</f>
        <v>2.4.5.02.08.802.99</v>
      </c>
      <c r="T216" s="312" t="str">
        <f>+IF(JUNIO!T216=0,"",JUNIO!T216)</f>
        <v>Vigencias Anteriores</v>
      </c>
      <c r="U216" s="373">
        <f>+ENERO!U217</f>
        <v>0</v>
      </c>
      <c r="V216" s="220">
        <f>JUNIO!V216+JULIO!AL216</f>
        <v>0</v>
      </c>
      <c r="W216" s="220">
        <f>JUNIO!W216+JULIO!AM216</f>
        <v>0</v>
      </c>
      <c r="X216" s="271">
        <f t="shared" si="179"/>
        <v>0</v>
      </c>
      <c r="Y216" s="270">
        <f>JUNIO!AA216</f>
        <v>0</v>
      </c>
      <c r="Z216" s="208">
        <v>0</v>
      </c>
      <c r="AA216" s="271">
        <f t="shared" si="180"/>
        <v>0</v>
      </c>
      <c r="AB216" s="270">
        <f>JUNIO!AD216</f>
        <v>0</v>
      </c>
      <c r="AC216" s="208">
        <v>0</v>
      </c>
      <c r="AD216" s="271">
        <f t="shared" si="181"/>
        <v>0</v>
      </c>
      <c r="AE216" s="270">
        <f>JUNIO!AG216</f>
        <v>0</v>
      </c>
      <c r="AF216" s="208">
        <v>0</v>
      </c>
      <c r="AG216" s="271">
        <f t="shared" si="182"/>
        <v>0</v>
      </c>
      <c r="AH216" s="270">
        <f t="shared" si="183"/>
        <v>0</v>
      </c>
      <c r="AI216" s="220">
        <f t="shared" si="184"/>
        <v>0</v>
      </c>
      <c r="AJ216" s="269">
        <f t="shared" si="185"/>
        <v>0</v>
      </c>
      <c r="AK216" s="101"/>
      <c r="AL216" s="204">
        <v>0</v>
      </c>
      <c r="AM216" s="210">
        <v>0</v>
      </c>
    </row>
    <row r="217" spans="19:39" ht="24.75" customHeight="1">
      <c r="S217" s="499" t="str">
        <f>+IF(JUNIO!S217=0,"",JUNIO!S217)</f>
        <v>2.4.5.02.08.99</v>
      </c>
      <c r="T217" s="500" t="str">
        <f>+IF(JUNIO!T217=0,"",JUNIO!T217)</f>
        <v>Vigencias Anteriores</v>
      </c>
      <c r="U217" s="547">
        <f>+ENERO!U218</f>
        <v>2200000000</v>
      </c>
      <c r="V217" s="468">
        <f>JUNIO!V217+JULIO!AL217</f>
        <v>2112559635</v>
      </c>
      <c r="W217" s="468">
        <f>JUNIO!W217+JULIO!AM217</f>
        <v>350000000</v>
      </c>
      <c r="X217" s="471">
        <f t="shared" si="179"/>
        <v>4662559635</v>
      </c>
      <c r="Y217" s="470">
        <f>JUNIO!AA217</f>
        <v>4596162843</v>
      </c>
      <c r="Z217" s="246">
        <v>0</v>
      </c>
      <c r="AA217" s="471">
        <f t="shared" si="180"/>
        <v>4596162843</v>
      </c>
      <c r="AB217" s="470">
        <f>JUNIO!AD217</f>
        <v>4596162843</v>
      </c>
      <c r="AC217" s="246">
        <v>0</v>
      </c>
      <c r="AD217" s="471">
        <f t="shared" si="181"/>
        <v>4596162843</v>
      </c>
      <c r="AE217" s="470">
        <f>JUNIO!AG217</f>
        <v>4596162843</v>
      </c>
      <c r="AF217" s="246">
        <v>0</v>
      </c>
      <c r="AG217" s="471">
        <f t="shared" si="182"/>
        <v>4596162843</v>
      </c>
      <c r="AH217" s="470">
        <f t="shared" si="183"/>
        <v>66396792</v>
      </c>
      <c r="AI217" s="468">
        <f t="shared" si="184"/>
        <v>66396792</v>
      </c>
      <c r="AJ217" s="469">
        <f t="shared" si="185"/>
        <v>66396792</v>
      </c>
      <c r="AK217" s="101"/>
      <c r="AL217" s="204">
        <v>0</v>
      </c>
      <c r="AM217" s="490">
        <v>0</v>
      </c>
    </row>
    <row r="218" spans="19:39" ht="24.75" customHeight="1">
      <c r="S218" s="480">
        <f>+IF(JUNIO!S218=0,"",JUNIO!S218)</f>
        <v>1133096960</v>
      </c>
      <c r="T218" s="481" t="str">
        <f>+IF(JUNIO!T218=0,"",JUNIO!T218)</f>
        <v/>
      </c>
      <c r="U218" s="482"/>
      <c r="V218" s="482"/>
      <c r="W218" s="482"/>
      <c r="X218" s="482"/>
      <c r="Y218" s="482"/>
      <c r="Z218" s="482"/>
      <c r="AA218" s="482"/>
      <c r="AB218" s="482"/>
      <c r="AC218" s="482"/>
      <c r="AD218" s="482"/>
      <c r="AE218" s="482"/>
      <c r="AF218" s="482"/>
      <c r="AG218" s="482"/>
      <c r="AH218" s="482"/>
      <c r="AI218" s="482"/>
      <c r="AJ218" s="484"/>
      <c r="AK218" s="216"/>
      <c r="AL218" s="485"/>
      <c r="AM218" s="486"/>
    </row>
    <row r="219" spans="19:39" ht="24.75" customHeight="1">
      <c r="S219" s="176" t="str">
        <f>+IF(JUNIO!S219=0,"",JUNIO!S219)</f>
        <v>C</v>
      </c>
      <c r="T219" s="177" t="str">
        <f>+IF(JUNIO!T219=0,"",JUNIO!T219)</f>
        <v xml:space="preserve">SERVICIO DE LA DEUDA </v>
      </c>
      <c r="U219" s="178">
        <f t="shared" ref="U219:AJ219" si="186">U221+U226</f>
        <v>3239175000</v>
      </c>
      <c r="V219" s="179">
        <f t="shared" si="186"/>
        <v>0</v>
      </c>
      <c r="W219" s="179">
        <f t="shared" si="186"/>
        <v>0</v>
      </c>
      <c r="X219" s="182">
        <f t="shared" si="186"/>
        <v>3239175000</v>
      </c>
      <c r="Y219" s="181">
        <f t="shared" si="186"/>
        <v>664502026</v>
      </c>
      <c r="Z219" s="179">
        <f t="shared" si="186"/>
        <v>121726814</v>
      </c>
      <c r="AA219" s="182">
        <f t="shared" si="186"/>
        <v>786228840</v>
      </c>
      <c r="AB219" s="181">
        <f t="shared" si="186"/>
        <v>664502026</v>
      </c>
      <c r="AC219" s="179">
        <f t="shared" si="186"/>
        <v>121726814</v>
      </c>
      <c r="AD219" s="182">
        <f t="shared" si="186"/>
        <v>786228840</v>
      </c>
      <c r="AE219" s="181">
        <f t="shared" si="186"/>
        <v>664502026</v>
      </c>
      <c r="AF219" s="179">
        <f t="shared" si="186"/>
        <v>121726814</v>
      </c>
      <c r="AG219" s="182">
        <f t="shared" si="186"/>
        <v>786228840</v>
      </c>
      <c r="AH219" s="181">
        <f t="shared" si="186"/>
        <v>2452946160</v>
      </c>
      <c r="AI219" s="179">
        <f t="shared" si="186"/>
        <v>2452946160</v>
      </c>
      <c r="AJ219" s="180">
        <f t="shared" si="186"/>
        <v>2452946160</v>
      </c>
      <c r="AK219" s="487"/>
      <c r="AL219" s="181">
        <f>AL221+AL226</f>
        <v>0</v>
      </c>
      <c r="AM219" s="180">
        <f>AM221+AM226</f>
        <v>0</v>
      </c>
    </row>
    <row r="220" spans="19:39" ht="24.75" customHeight="1">
      <c r="S220" s="189">
        <f>+IF(JUNIO!S220=0,"",JUNIO!S220)</f>
        <v>1133096960</v>
      </c>
      <c r="T220" s="488" t="str">
        <f>+IF(JUNIO!T220=0,"",JUNIO!T220)</f>
        <v/>
      </c>
      <c r="U220" s="191"/>
      <c r="V220" s="191"/>
      <c r="W220" s="191"/>
      <c r="X220" s="191"/>
      <c r="Y220" s="191"/>
      <c r="Z220" s="191"/>
      <c r="AA220" s="191"/>
      <c r="AB220" s="191"/>
      <c r="AC220" s="191"/>
      <c r="AD220" s="191"/>
      <c r="AE220" s="191"/>
      <c r="AF220" s="191"/>
      <c r="AG220" s="191"/>
      <c r="AH220" s="191"/>
      <c r="AI220" s="191"/>
      <c r="AJ220" s="192"/>
      <c r="AK220" s="101"/>
      <c r="AL220" s="370"/>
      <c r="AM220" s="371"/>
    </row>
    <row r="221" spans="19:39" ht="24.75" customHeight="1">
      <c r="S221" s="257">
        <f>+IF(JUNIO!S221=0,"",JUNIO!S221)</f>
        <v>7001000</v>
      </c>
      <c r="T221" s="546" t="str">
        <f>+IF(JUNIO!T221=0,"",JUNIO!T221)</f>
        <v>SERVICIO DE LA DEUDA INTERNA</v>
      </c>
      <c r="U221" s="230">
        <f t="shared" ref="U221:AJ221" si="187">SUM(U222:U224)</f>
        <v>3239175000</v>
      </c>
      <c r="V221" s="231">
        <f t="shared" si="187"/>
        <v>0</v>
      </c>
      <c r="W221" s="231">
        <f t="shared" si="187"/>
        <v>0</v>
      </c>
      <c r="X221" s="234">
        <f t="shared" si="187"/>
        <v>3239175000</v>
      </c>
      <c r="Y221" s="233">
        <f t="shared" si="187"/>
        <v>664502026</v>
      </c>
      <c r="Z221" s="231">
        <f t="shared" si="187"/>
        <v>121726814</v>
      </c>
      <c r="AA221" s="234">
        <f t="shared" si="187"/>
        <v>786228840</v>
      </c>
      <c r="AB221" s="233">
        <f t="shared" si="187"/>
        <v>664502026</v>
      </c>
      <c r="AC221" s="231">
        <f t="shared" si="187"/>
        <v>121726814</v>
      </c>
      <c r="AD221" s="234">
        <f t="shared" si="187"/>
        <v>786228840</v>
      </c>
      <c r="AE221" s="233">
        <f t="shared" si="187"/>
        <v>664502026</v>
      </c>
      <c r="AF221" s="231">
        <f t="shared" si="187"/>
        <v>121726814</v>
      </c>
      <c r="AG221" s="234">
        <f t="shared" si="187"/>
        <v>786228840</v>
      </c>
      <c r="AH221" s="233">
        <f t="shared" si="187"/>
        <v>2452946160</v>
      </c>
      <c r="AI221" s="231">
        <f t="shared" si="187"/>
        <v>2452946160</v>
      </c>
      <c r="AJ221" s="232">
        <f t="shared" si="187"/>
        <v>2452946160</v>
      </c>
      <c r="AK221" s="101"/>
      <c r="AL221" s="233">
        <f>SUM(AL222:AL224)</f>
        <v>0</v>
      </c>
      <c r="AM221" s="232">
        <f>SUM(AM222:AM224)</f>
        <v>0</v>
      </c>
    </row>
    <row r="222" spans="19:39" ht="24.75" customHeight="1">
      <c r="S222" s="266" t="str">
        <f>+IF(JUNIO!S222=0,"",JUNIO!S222)</f>
        <v>2.2.2.2.01.02.002.02</v>
      </c>
      <c r="T222" s="267" t="str">
        <f>+IF(JUNIO!T222=0,"",JUNIO!T222)</f>
        <v>Banca Comercial</v>
      </c>
      <c r="U222" s="373">
        <f>+ENERO!U223</f>
        <v>2000000000</v>
      </c>
      <c r="V222" s="220">
        <f>JUNIO!V222+JULIO!AL222</f>
        <v>0</v>
      </c>
      <c r="W222" s="220">
        <f>JUNIO!W222+JULIO!AM222</f>
        <v>0</v>
      </c>
      <c r="X222" s="271">
        <f>SUM(U222:W222)</f>
        <v>2000000000</v>
      </c>
      <c r="Y222" s="270">
        <f>JUNIO!AA222</f>
        <v>0</v>
      </c>
      <c r="Z222" s="208">
        <v>0</v>
      </c>
      <c r="AA222" s="271">
        <f>SUM(Y222:Z222)</f>
        <v>0</v>
      </c>
      <c r="AB222" s="270">
        <f>JUNIO!AD222</f>
        <v>0</v>
      </c>
      <c r="AC222" s="208">
        <v>0</v>
      </c>
      <c r="AD222" s="271">
        <f>SUM(AB222:AC222)</f>
        <v>0</v>
      </c>
      <c r="AE222" s="270">
        <f>JUNIO!AG222</f>
        <v>0</v>
      </c>
      <c r="AF222" s="208">
        <v>0</v>
      </c>
      <c r="AG222" s="271">
        <f>SUM(AE222:AF222)</f>
        <v>0</v>
      </c>
      <c r="AH222" s="270">
        <f>X222-AA222</f>
        <v>2000000000</v>
      </c>
      <c r="AI222" s="220">
        <f>X222-AD222</f>
        <v>2000000000</v>
      </c>
      <c r="AJ222" s="269">
        <f>X222-AG222</f>
        <v>2000000000</v>
      </c>
      <c r="AK222" s="101"/>
      <c r="AL222" s="204">
        <v>0</v>
      </c>
      <c r="AM222" s="210">
        <v>0</v>
      </c>
    </row>
    <row r="223" spans="19:39" ht="24.75" customHeight="1">
      <c r="S223" s="266" t="str">
        <f>+IF(JUNIO!S223=0,"",JUNIO!S223)</f>
        <v>2.2.2.02</v>
      </c>
      <c r="T223" s="267" t="str">
        <f>+IF(JUNIO!T223=0,"",JUNIO!T223)</f>
        <v>Intereses Comisiones y gastos de la Deuda Pública</v>
      </c>
      <c r="U223" s="373">
        <f>+ENERO!U224</f>
        <v>1239175000</v>
      </c>
      <c r="V223" s="220">
        <f>JUNIO!V223+JULIO!AL223</f>
        <v>0</v>
      </c>
      <c r="W223" s="220">
        <f>JUNIO!W223+JULIO!AM223</f>
        <v>0</v>
      </c>
      <c r="X223" s="271">
        <f>SUM(U223:W223)</f>
        <v>1239175000</v>
      </c>
      <c r="Y223" s="270">
        <f>JUNIO!AA223</f>
        <v>664502026</v>
      </c>
      <c r="Z223" s="208">
        <v>121726814</v>
      </c>
      <c r="AA223" s="271">
        <f>SUM(Y223:Z223)</f>
        <v>786228840</v>
      </c>
      <c r="AB223" s="270">
        <f>JUNIO!AD223</f>
        <v>664502026</v>
      </c>
      <c r="AC223" s="208">
        <v>121726814</v>
      </c>
      <c r="AD223" s="271">
        <f>SUM(AB223:AC223)</f>
        <v>786228840</v>
      </c>
      <c r="AE223" s="270">
        <f>JUNIO!AG223</f>
        <v>664502026</v>
      </c>
      <c r="AF223" s="208">
        <v>121726814</v>
      </c>
      <c r="AG223" s="271">
        <f>SUM(AE223:AF223)</f>
        <v>786228840</v>
      </c>
      <c r="AH223" s="270">
        <f>X223-AA223</f>
        <v>452946160</v>
      </c>
      <c r="AI223" s="220">
        <f>X223-AD223</f>
        <v>452946160</v>
      </c>
      <c r="AJ223" s="269">
        <f>X223-AG223</f>
        <v>452946160</v>
      </c>
      <c r="AK223" s="101"/>
      <c r="AL223" s="204">
        <v>0</v>
      </c>
      <c r="AM223" s="210">
        <v>0</v>
      </c>
    </row>
    <row r="224" spans="19:39" ht="24.75" customHeight="1">
      <c r="S224" s="266" t="str">
        <f>+IF(JUNIO!S224=0,"",JUNIO!S224)</f>
        <v>2.2.2.02</v>
      </c>
      <c r="T224" s="267" t="str">
        <f>+IF(JUNIO!T224=0,"",JUNIO!T224)</f>
        <v>Vigencias Anteriores Deuda Pública</v>
      </c>
      <c r="U224" s="373">
        <f>+ENERO!U225</f>
        <v>0</v>
      </c>
      <c r="V224" s="220">
        <f>JUNIO!V224+JULIO!AL224</f>
        <v>0</v>
      </c>
      <c r="W224" s="220">
        <f>JUNIO!W224+JULIO!AM224</f>
        <v>0</v>
      </c>
      <c r="X224" s="271">
        <f>SUM(U224:W224)</f>
        <v>0</v>
      </c>
      <c r="Y224" s="270">
        <f>JUNIO!AA224</f>
        <v>0</v>
      </c>
      <c r="Z224" s="208">
        <v>0</v>
      </c>
      <c r="AA224" s="271">
        <f>SUM(Y224:Z224)</f>
        <v>0</v>
      </c>
      <c r="AB224" s="270">
        <f>JUNIO!AD224</f>
        <v>0</v>
      </c>
      <c r="AC224" s="208">
        <v>0</v>
      </c>
      <c r="AD224" s="271">
        <f>SUM(AB224:AC224)</f>
        <v>0</v>
      </c>
      <c r="AE224" s="270">
        <f>JUNIO!AG224</f>
        <v>0</v>
      </c>
      <c r="AF224" s="208">
        <v>0</v>
      </c>
      <c r="AG224" s="271">
        <f>SUM(AE224:AF224)</f>
        <v>0</v>
      </c>
      <c r="AH224" s="270">
        <f>X224-AA224</f>
        <v>0</v>
      </c>
      <c r="AI224" s="220">
        <f>X224-AD224</f>
        <v>0</v>
      </c>
      <c r="AJ224" s="269">
        <f>X224-AG224</f>
        <v>0</v>
      </c>
      <c r="AK224" s="101"/>
      <c r="AL224" s="204">
        <v>0</v>
      </c>
      <c r="AM224" s="210">
        <v>0</v>
      </c>
    </row>
    <row r="225" spans="19:39" ht="24.75" customHeight="1">
      <c r="S225" s="189" t="str">
        <f>+IF(JUNIO!S225=0,"",JUNIO!S225)</f>
        <v/>
      </c>
      <c r="T225" s="488" t="str">
        <f>+IF(JUNIO!T225=0,"",JUNIO!T225)</f>
        <v/>
      </c>
      <c r="U225" s="191"/>
      <c r="V225" s="191"/>
      <c r="W225" s="191"/>
      <c r="X225" s="191"/>
      <c r="Y225" s="191"/>
      <c r="Z225" s="191"/>
      <c r="AA225" s="191"/>
      <c r="AB225" s="191"/>
      <c r="AC225" s="191"/>
      <c r="AD225" s="191"/>
      <c r="AE225" s="191"/>
      <c r="AF225" s="191"/>
      <c r="AG225" s="191"/>
      <c r="AH225" s="191"/>
      <c r="AI225" s="191"/>
      <c r="AJ225" s="192"/>
      <c r="AK225" s="216"/>
      <c r="AL225" s="370"/>
      <c r="AM225" s="371"/>
    </row>
    <row r="226" spans="19:39" ht="24.75" customHeight="1">
      <c r="S226" s="257">
        <f>+IF(JUNIO!S226=0,"",JUNIO!S226)</f>
        <v>7002001</v>
      </c>
      <c r="T226" s="546" t="str">
        <f>+IF(JUNIO!T226=0,"",JUNIO!T226)</f>
        <v>SERVICIO DE LA DEUDA EXTERNA</v>
      </c>
      <c r="U226" s="230">
        <f t="shared" ref="U226:AJ226" si="188">SUM(U227:U229)</f>
        <v>0</v>
      </c>
      <c r="V226" s="231">
        <f t="shared" si="188"/>
        <v>0</v>
      </c>
      <c r="W226" s="231">
        <f t="shared" si="188"/>
        <v>0</v>
      </c>
      <c r="X226" s="234">
        <f t="shared" si="188"/>
        <v>0</v>
      </c>
      <c r="Y226" s="233">
        <f t="shared" si="188"/>
        <v>0</v>
      </c>
      <c r="Z226" s="231">
        <f t="shared" si="188"/>
        <v>0</v>
      </c>
      <c r="AA226" s="234">
        <f t="shared" si="188"/>
        <v>0</v>
      </c>
      <c r="AB226" s="233">
        <f t="shared" si="188"/>
        <v>0</v>
      </c>
      <c r="AC226" s="231">
        <f t="shared" si="188"/>
        <v>0</v>
      </c>
      <c r="AD226" s="234">
        <f t="shared" si="188"/>
        <v>0</v>
      </c>
      <c r="AE226" s="233">
        <f t="shared" si="188"/>
        <v>0</v>
      </c>
      <c r="AF226" s="231">
        <f t="shared" si="188"/>
        <v>0</v>
      </c>
      <c r="AG226" s="234">
        <f t="shared" si="188"/>
        <v>0</v>
      </c>
      <c r="AH226" s="233">
        <f t="shared" si="188"/>
        <v>0</v>
      </c>
      <c r="AI226" s="231">
        <f t="shared" si="188"/>
        <v>0</v>
      </c>
      <c r="AJ226" s="232">
        <f t="shared" si="188"/>
        <v>0</v>
      </c>
      <c r="AK226" s="216"/>
      <c r="AL226" s="233">
        <f>SUM(AL227:AL229)</f>
        <v>0</v>
      </c>
      <c r="AM226" s="232">
        <f>SUM(AM227:AM229)</f>
        <v>0</v>
      </c>
    </row>
    <row r="227" spans="19:39" ht="24.75" customHeight="1">
      <c r="S227" s="266">
        <f>+IF(JUNIO!S227=0,"",JUNIO!S227)</f>
        <v>7002100</v>
      </c>
      <c r="T227" s="267" t="str">
        <f>+IF(JUNIO!T227=0,"",JUNIO!T227)</f>
        <v>Amortización deuda Pública Externa</v>
      </c>
      <c r="U227" s="373">
        <f>+ENERO!U228</f>
        <v>0</v>
      </c>
      <c r="V227" s="220">
        <f>JUNIO!V227+JULIO!AL227</f>
        <v>0</v>
      </c>
      <c r="W227" s="220">
        <f>JUNIO!W227+JULIO!AM227</f>
        <v>0</v>
      </c>
      <c r="X227" s="271">
        <f>SUM(U227:W227)</f>
        <v>0</v>
      </c>
      <c r="Y227" s="270">
        <f>JUNIO!AA227</f>
        <v>0</v>
      </c>
      <c r="Z227" s="208">
        <v>0</v>
      </c>
      <c r="AA227" s="271">
        <f>SUM(Y227:Z227)</f>
        <v>0</v>
      </c>
      <c r="AB227" s="270">
        <f>JUNIO!AD227</f>
        <v>0</v>
      </c>
      <c r="AC227" s="208">
        <v>0</v>
      </c>
      <c r="AD227" s="271">
        <f>SUM(AB227:AC227)</f>
        <v>0</v>
      </c>
      <c r="AE227" s="270">
        <f>JUNIO!AG227</f>
        <v>0</v>
      </c>
      <c r="AF227" s="208">
        <v>0</v>
      </c>
      <c r="AG227" s="271">
        <f>SUM(AE227:AF227)</f>
        <v>0</v>
      </c>
      <c r="AH227" s="270">
        <f>X227-AA227</f>
        <v>0</v>
      </c>
      <c r="AI227" s="220">
        <f>X227-AD227</f>
        <v>0</v>
      </c>
      <c r="AJ227" s="269">
        <f>X227-AG227</f>
        <v>0</v>
      </c>
      <c r="AK227" s="101"/>
      <c r="AL227" s="204">
        <v>0</v>
      </c>
      <c r="AM227" s="210">
        <v>0</v>
      </c>
    </row>
    <row r="228" spans="19:39" ht="24.75" customHeight="1">
      <c r="S228" s="266">
        <f>+IF(JUNIO!S228=0,"",JUNIO!S228)</f>
        <v>7002200</v>
      </c>
      <c r="T228" s="267" t="str">
        <f>+IF(JUNIO!T228=0,"",JUNIO!T228)</f>
        <v>Intereses Comisiones y gastos de la Deuda Pública</v>
      </c>
      <c r="U228" s="373">
        <f>+ENERO!U229</f>
        <v>0</v>
      </c>
      <c r="V228" s="220">
        <f>JUNIO!V228+JULIO!AL228</f>
        <v>0</v>
      </c>
      <c r="W228" s="220">
        <f>JUNIO!W228+JULIO!AM228</f>
        <v>0</v>
      </c>
      <c r="X228" s="271">
        <f>SUM(U228:W228)</f>
        <v>0</v>
      </c>
      <c r="Y228" s="270">
        <f>JUNIO!AA228</f>
        <v>0</v>
      </c>
      <c r="Z228" s="208">
        <v>0</v>
      </c>
      <c r="AA228" s="271">
        <f>SUM(Y228:Z228)</f>
        <v>0</v>
      </c>
      <c r="AB228" s="270">
        <f>JUNIO!AD228</f>
        <v>0</v>
      </c>
      <c r="AC228" s="208">
        <v>0</v>
      </c>
      <c r="AD228" s="271">
        <f>SUM(AB228:AC228)</f>
        <v>0</v>
      </c>
      <c r="AE228" s="270">
        <f>JUNIO!AG228</f>
        <v>0</v>
      </c>
      <c r="AF228" s="208">
        <v>0</v>
      </c>
      <c r="AG228" s="271">
        <f>SUM(AE228:AF228)</f>
        <v>0</v>
      </c>
      <c r="AH228" s="270">
        <f>X228-AA228</f>
        <v>0</v>
      </c>
      <c r="AI228" s="220">
        <f>X228-AD228</f>
        <v>0</v>
      </c>
      <c r="AJ228" s="269">
        <f>X228-AG228</f>
        <v>0</v>
      </c>
      <c r="AK228" s="101"/>
      <c r="AL228" s="204">
        <v>0</v>
      </c>
      <c r="AM228" s="210">
        <v>0</v>
      </c>
    </row>
    <row r="229" spans="19:39" ht="24.75" customHeight="1">
      <c r="S229" s="466">
        <f>+IF(JUNIO!S229=0,"",JUNIO!S229)</f>
        <v>7002999</v>
      </c>
      <c r="T229" s="467" t="str">
        <f>+IF(JUNIO!T229=0,"",JUNIO!T229)</f>
        <v>Vigencias Anteriores</v>
      </c>
      <c r="U229" s="547">
        <f>+ENERO!U230</f>
        <v>0</v>
      </c>
      <c r="V229" s="468">
        <f>JUNIO!V229+JULIO!AL229</f>
        <v>0</v>
      </c>
      <c r="W229" s="468">
        <f>JUNIO!W229+JULIO!AM229</f>
        <v>0</v>
      </c>
      <c r="X229" s="471">
        <f>SUM(U229:W229)</f>
        <v>0</v>
      </c>
      <c r="Y229" s="470">
        <f>JUNIO!AA229</f>
        <v>0</v>
      </c>
      <c r="Z229" s="246">
        <v>0</v>
      </c>
      <c r="AA229" s="471">
        <f>SUM(Y229:Z229)</f>
        <v>0</v>
      </c>
      <c r="AB229" s="470">
        <f>JUNIO!AD229</f>
        <v>0</v>
      </c>
      <c r="AC229" s="246">
        <v>0</v>
      </c>
      <c r="AD229" s="471">
        <f>SUM(AB229:AC229)</f>
        <v>0</v>
      </c>
      <c r="AE229" s="470">
        <f>JUNIO!AG229</f>
        <v>0</v>
      </c>
      <c r="AF229" s="246">
        <v>0</v>
      </c>
      <c r="AG229" s="471">
        <f>SUM(AE229:AF229)</f>
        <v>0</v>
      </c>
      <c r="AH229" s="470">
        <f>X229-AA229</f>
        <v>0</v>
      </c>
      <c r="AI229" s="468">
        <f>X229-AD229</f>
        <v>0</v>
      </c>
      <c r="AJ229" s="469">
        <f>X229-AG229</f>
        <v>0</v>
      </c>
      <c r="AK229" s="101"/>
      <c r="AL229" s="489">
        <v>0</v>
      </c>
      <c r="AM229" s="490">
        <v>0</v>
      </c>
    </row>
    <row r="230" spans="19:39" ht="24.75" customHeight="1">
      <c r="S230" s="455" t="str">
        <f>+IF(JUNIO!S230=0,"",JUNIO!S230)</f>
        <v/>
      </c>
      <c r="T230" s="456" t="str">
        <f>+IF(JUNIO!T230=0,"",JUNIO!T230)</f>
        <v/>
      </c>
      <c r="U230" s="457"/>
      <c r="V230" s="457"/>
      <c r="W230" s="457"/>
      <c r="X230" s="457"/>
      <c r="Y230" s="457"/>
      <c r="Z230" s="457"/>
      <c r="AA230" s="457"/>
      <c r="AB230" s="457"/>
      <c r="AC230" s="457"/>
      <c r="AD230" s="457"/>
      <c r="AE230" s="457"/>
      <c r="AF230" s="457"/>
      <c r="AG230" s="457"/>
      <c r="AH230" s="457"/>
      <c r="AI230" s="457"/>
      <c r="AJ230" s="458"/>
      <c r="AK230" s="101"/>
      <c r="AL230" s="491"/>
      <c r="AM230" s="492"/>
    </row>
    <row r="231" spans="19:39" ht="24.75" customHeight="1">
      <c r="S231" s="493" t="str">
        <f>+IF(JUNIO!S231=0,"",JUNIO!S231)</f>
        <v>D</v>
      </c>
      <c r="T231" s="494" t="str">
        <f>+IF(JUNIO!T231=0,"",JUNIO!T231)</f>
        <v>INVERSION</v>
      </c>
      <c r="U231" s="405">
        <f t="shared" ref="U231:AJ231" si="189">U233+U242</f>
        <v>0</v>
      </c>
      <c r="V231" s="406">
        <f t="shared" si="189"/>
        <v>0</v>
      </c>
      <c r="W231" s="406">
        <f t="shared" si="189"/>
        <v>22025502895</v>
      </c>
      <c r="X231" s="407">
        <f t="shared" si="189"/>
        <v>22025502895</v>
      </c>
      <c r="Y231" s="217">
        <f t="shared" si="189"/>
        <v>15453425304</v>
      </c>
      <c r="Z231" s="406">
        <f t="shared" si="189"/>
        <v>915515687</v>
      </c>
      <c r="AA231" s="407">
        <f t="shared" si="189"/>
        <v>16368940991</v>
      </c>
      <c r="AB231" s="217">
        <f t="shared" si="189"/>
        <v>9063801549</v>
      </c>
      <c r="AC231" s="406">
        <f t="shared" si="189"/>
        <v>1646139882</v>
      </c>
      <c r="AD231" s="407">
        <f t="shared" si="189"/>
        <v>10709941431</v>
      </c>
      <c r="AE231" s="217">
        <f t="shared" si="189"/>
        <v>6335732207</v>
      </c>
      <c r="AF231" s="406">
        <f t="shared" si="189"/>
        <v>786536536</v>
      </c>
      <c r="AG231" s="407">
        <f t="shared" si="189"/>
        <v>7122268743</v>
      </c>
      <c r="AH231" s="217">
        <f t="shared" si="189"/>
        <v>5656561904</v>
      </c>
      <c r="AI231" s="406">
        <f t="shared" si="189"/>
        <v>11315561464</v>
      </c>
      <c r="AJ231" s="218">
        <f t="shared" si="189"/>
        <v>14903234152</v>
      </c>
      <c r="AK231" s="487"/>
      <c r="AL231" s="217">
        <f>AL233+AL242</f>
        <v>0</v>
      </c>
      <c r="AM231" s="218">
        <f>AM233+AM242</f>
        <v>0</v>
      </c>
    </row>
    <row r="232" spans="19:39" ht="24.75" customHeight="1">
      <c r="S232" s="189" t="str">
        <f>+IF(JUNIO!S232=0,"",JUNIO!S232)</f>
        <v/>
      </c>
      <c r="T232" s="488" t="str">
        <f>+IF(JUNIO!T232=0,"",JUNIO!T232)</f>
        <v/>
      </c>
      <c r="U232" s="191"/>
      <c r="V232" s="191"/>
      <c r="W232" s="191"/>
      <c r="X232" s="191"/>
      <c r="Y232" s="191"/>
      <c r="Z232" s="191"/>
      <c r="AA232" s="191"/>
      <c r="AB232" s="191"/>
      <c r="AC232" s="191"/>
      <c r="AD232" s="191"/>
      <c r="AE232" s="191"/>
      <c r="AF232" s="191"/>
      <c r="AG232" s="191"/>
      <c r="AH232" s="191"/>
      <c r="AI232" s="191"/>
      <c r="AJ232" s="192"/>
      <c r="AK232" s="101"/>
      <c r="AL232" s="370"/>
      <c r="AM232" s="371"/>
    </row>
    <row r="233" spans="19:39" ht="24.75" customHeight="1">
      <c r="S233" s="257">
        <f>+IF(JUNIO!S233=0,"",JUNIO!S233)</f>
        <v>8000000</v>
      </c>
      <c r="T233" s="258" t="s">
        <v>313</v>
      </c>
      <c r="U233" s="230">
        <f t="shared" ref="U233:AJ233" si="190">U234</f>
        <v>0</v>
      </c>
      <c r="V233" s="231">
        <f t="shared" si="190"/>
        <v>0</v>
      </c>
      <c r="W233" s="231">
        <f t="shared" si="190"/>
        <v>22025502895</v>
      </c>
      <c r="X233" s="234">
        <f t="shared" si="190"/>
        <v>22025502895</v>
      </c>
      <c r="Y233" s="233">
        <f t="shared" si="190"/>
        <v>15453425304</v>
      </c>
      <c r="Z233" s="231">
        <f t="shared" si="190"/>
        <v>915515687</v>
      </c>
      <c r="AA233" s="234">
        <f t="shared" si="190"/>
        <v>16368940991</v>
      </c>
      <c r="AB233" s="233">
        <f t="shared" si="190"/>
        <v>9063801549</v>
      </c>
      <c r="AC233" s="231">
        <f t="shared" si="190"/>
        <v>1646139882</v>
      </c>
      <c r="AD233" s="234">
        <f t="shared" si="190"/>
        <v>10709941431</v>
      </c>
      <c r="AE233" s="233">
        <f t="shared" si="190"/>
        <v>6335732207</v>
      </c>
      <c r="AF233" s="231">
        <f t="shared" si="190"/>
        <v>786536536</v>
      </c>
      <c r="AG233" s="234">
        <f t="shared" si="190"/>
        <v>7122268743</v>
      </c>
      <c r="AH233" s="233">
        <f t="shared" si="190"/>
        <v>5656561904</v>
      </c>
      <c r="AI233" s="231">
        <f t="shared" si="190"/>
        <v>11315561464</v>
      </c>
      <c r="AJ233" s="232">
        <f t="shared" si="190"/>
        <v>14903234152</v>
      </c>
      <c r="AK233" s="101"/>
      <c r="AL233" s="233">
        <f>AL234</f>
        <v>0</v>
      </c>
      <c r="AM233" s="232">
        <f>AM234</f>
        <v>0</v>
      </c>
    </row>
    <row r="234" spans="19:39" ht="24.75" customHeight="1">
      <c r="S234" s="266">
        <f>+IF(JUNIO!S234=0,"",JUNIO!S234)</f>
        <v>8001000</v>
      </c>
      <c r="T234" s="267" t="str">
        <f>+IF(FEBRERO!T235=0,"",FEBRERO!T235)</f>
        <v>Formación Bruta del Capital</v>
      </c>
      <c r="U234" s="373">
        <f t="shared" ref="U234:AJ234" si="191">SUM(U235:U240)</f>
        <v>0</v>
      </c>
      <c r="V234" s="220">
        <f t="shared" si="191"/>
        <v>0</v>
      </c>
      <c r="W234" s="220">
        <f t="shared" si="191"/>
        <v>22025502895</v>
      </c>
      <c r="X234" s="271">
        <f t="shared" si="191"/>
        <v>22025502895</v>
      </c>
      <c r="Y234" s="270">
        <f t="shared" si="191"/>
        <v>15453425304</v>
      </c>
      <c r="Z234" s="300">
        <f t="shared" si="191"/>
        <v>915515687</v>
      </c>
      <c r="AA234" s="271">
        <f t="shared" si="191"/>
        <v>16368940991</v>
      </c>
      <c r="AB234" s="270">
        <f t="shared" si="191"/>
        <v>9063801549</v>
      </c>
      <c r="AC234" s="300">
        <f t="shared" si="191"/>
        <v>1646139882</v>
      </c>
      <c r="AD234" s="271">
        <f t="shared" si="191"/>
        <v>10709941431</v>
      </c>
      <c r="AE234" s="270">
        <f t="shared" si="191"/>
        <v>6335732207</v>
      </c>
      <c r="AF234" s="300">
        <f t="shared" si="191"/>
        <v>786536536</v>
      </c>
      <c r="AG234" s="271">
        <f t="shared" si="191"/>
        <v>7122268743</v>
      </c>
      <c r="AH234" s="270">
        <f t="shared" si="191"/>
        <v>5656561904</v>
      </c>
      <c r="AI234" s="220">
        <f t="shared" si="191"/>
        <v>11315561464</v>
      </c>
      <c r="AJ234" s="269">
        <f t="shared" si="191"/>
        <v>14903234152</v>
      </c>
      <c r="AK234" s="101"/>
      <c r="AL234" s="301">
        <f>SUM(AL235:AL240)</f>
        <v>0</v>
      </c>
      <c r="AM234" s="302">
        <f>SUM(AM235:AM240)</f>
        <v>0</v>
      </c>
    </row>
    <row r="235" spans="19:39" ht="24.75" customHeight="1">
      <c r="S235" s="311" t="str">
        <f>+IF(JUNIO!S235=0,"",JUNIO!S235)</f>
        <v>2.3.2.01.01</v>
      </c>
      <c r="T235" s="312" t="s">
        <v>681</v>
      </c>
      <c r="U235" s="373">
        <f>+ENERO!U236</f>
        <v>0</v>
      </c>
      <c r="V235" s="220">
        <f>JUNIO!V235+JULIO!AL235</f>
        <v>0</v>
      </c>
      <c r="W235" s="220">
        <f>JUNIO!W235+JULIO!AM235</f>
        <v>0</v>
      </c>
      <c r="X235" s="271">
        <f t="shared" ref="X235:X240" si="192">SUM(U235:W235)</f>
        <v>0</v>
      </c>
      <c r="Y235" s="270">
        <f>JUNIO!AA235</f>
        <v>0</v>
      </c>
      <c r="Z235" s="208">
        <v>0</v>
      </c>
      <c r="AA235" s="271">
        <f t="shared" ref="AA235:AA240" si="193">SUM(Y235:Z235)</f>
        <v>0</v>
      </c>
      <c r="AB235" s="270">
        <f>JUNIO!AD235</f>
        <v>0</v>
      </c>
      <c r="AC235" s="208">
        <v>0</v>
      </c>
      <c r="AD235" s="271">
        <f t="shared" ref="AD235:AD240" si="194">SUM(AB235:AC235)</f>
        <v>0</v>
      </c>
      <c r="AE235" s="270">
        <f>JUNIO!AG235</f>
        <v>0</v>
      </c>
      <c r="AF235" s="208">
        <v>0</v>
      </c>
      <c r="AG235" s="271">
        <f t="shared" ref="AG235:AG240" si="195">SUM(AE235:AF235)</f>
        <v>0</v>
      </c>
      <c r="AH235" s="270">
        <f t="shared" ref="AH235:AH240" si="196">X235-AA235</f>
        <v>0</v>
      </c>
      <c r="AI235" s="220">
        <f t="shared" ref="AI235:AI240" si="197">X235-AD235</f>
        <v>0</v>
      </c>
      <c r="AJ235" s="269">
        <f t="shared" ref="AJ235:AJ240" si="198">X235-AG235</f>
        <v>0</v>
      </c>
      <c r="AK235" s="101"/>
      <c r="AL235" s="204">
        <v>0</v>
      </c>
      <c r="AM235" s="210">
        <v>0</v>
      </c>
    </row>
    <row r="236" spans="19:39" ht="24.75" customHeight="1">
      <c r="S236" s="311" t="str">
        <f>+IF(JUNIO!S236=0,"",JUNIO!S236)</f>
        <v>2.3.2.02.02.005</v>
      </c>
      <c r="T236" s="312" t="s">
        <v>354</v>
      </c>
      <c r="U236" s="373">
        <f>+ENERO!U237</f>
        <v>0</v>
      </c>
      <c r="V236" s="220">
        <f>JUNIO!V236+JULIO!AL236</f>
        <v>0</v>
      </c>
      <c r="W236" s="220">
        <f>JUNIO!W236+JULIO!AM236</f>
        <v>0</v>
      </c>
      <c r="X236" s="271">
        <f t="shared" si="192"/>
        <v>0</v>
      </c>
      <c r="Y236" s="270">
        <f>JUNIO!AA236</f>
        <v>0</v>
      </c>
      <c r="Z236" s="208"/>
      <c r="AA236" s="271">
        <f t="shared" si="193"/>
        <v>0</v>
      </c>
      <c r="AB236" s="270">
        <f>JUNIO!AD236</f>
        <v>0</v>
      </c>
      <c r="AC236" s="208"/>
      <c r="AD236" s="271">
        <f t="shared" si="194"/>
        <v>0</v>
      </c>
      <c r="AE236" s="270">
        <f>JUNIO!AG236</f>
        <v>0</v>
      </c>
      <c r="AF236" s="208"/>
      <c r="AG236" s="271">
        <f t="shared" si="195"/>
        <v>0</v>
      </c>
      <c r="AH236" s="270">
        <f t="shared" si="196"/>
        <v>0</v>
      </c>
      <c r="AI236" s="220">
        <f t="shared" si="197"/>
        <v>0</v>
      </c>
      <c r="AJ236" s="269">
        <f t="shared" si="198"/>
        <v>0</v>
      </c>
      <c r="AK236" s="101"/>
      <c r="AL236" s="204">
        <v>0</v>
      </c>
      <c r="AM236" s="210">
        <v>0</v>
      </c>
    </row>
    <row r="237" spans="19:39" ht="24.75" customHeight="1">
      <c r="S237" s="311" t="str">
        <f>+IF(JUNIO!S237=0,"",JUNIO!S237)</f>
        <v>2.3.2.02.02.009</v>
      </c>
      <c r="T237" s="312" t="s">
        <v>691</v>
      </c>
      <c r="U237" s="373">
        <f>+ENERO!U238</f>
        <v>0</v>
      </c>
      <c r="V237" s="220">
        <f>JUNIO!V237+JULIO!AL237</f>
        <v>0</v>
      </c>
      <c r="W237" s="220">
        <f>JUNIO!W237+JULIO!AM237</f>
        <v>21574720366</v>
      </c>
      <c r="X237" s="271">
        <f t="shared" si="192"/>
        <v>21574720366</v>
      </c>
      <c r="Y237" s="270">
        <f>JUNIO!AA237</f>
        <v>15453425304</v>
      </c>
      <c r="Z237" s="208">
        <v>915515687</v>
      </c>
      <c r="AA237" s="271">
        <f t="shared" si="193"/>
        <v>16368940991</v>
      </c>
      <c r="AB237" s="270">
        <f>JUNIO!AD237</f>
        <v>9063801549</v>
      </c>
      <c r="AC237" s="208">
        <v>1646139882</v>
      </c>
      <c r="AD237" s="271">
        <f t="shared" si="194"/>
        <v>10709941431</v>
      </c>
      <c r="AE237" s="270">
        <f>JUNIO!AG237</f>
        <v>6335732207</v>
      </c>
      <c r="AF237" s="208">
        <v>786536536</v>
      </c>
      <c r="AG237" s="271">
        <f t="shared" si="195"/>
        <v>7122268743</v>
      </c>
      <c r="AH237" s="270">
        <f t="shared" si="196"/>
        <v>5205779375</v>
      </c>
      <c r="AI237" s="220">
        <f t="shared" si="197"/>
        <v>10864778935</v>
      </c>
      <c r="AJ237" s="269">
        <f t="shared" si="198"/>
        <v>14452451623</v>
      </c>
      <c r="AK237" s="101"/>
      <c r="AL237" s="204">
        <v>0</v>
      </c>
      <c r="AM237" s="210"/>
    </row>
    <row r="238" spans="19:39" ht="24.75" customHeight="1">
      <c r="S238" s="311" t="str">
        <f>+IF(JUNIO!S238=0,"",JUNIO!S238)</f>
        <v>8001000-4</v>
      </c>
      <c r="T238" s="312" t="s">
        <v>316</v>
      </c>
      <c r="U238" s="373">
        <f>+ENERO!U239</f>
        <v>0</v>
      </c>
      <c r="V238" s="220">
        <f>JUNIO!V238+JULIO!AL238</f>
        <v>0</v>
      </c>
      <c r="W238" s="220">
        <f>JUNIO!W238+JULIO!AM238</f>
        <v>0</v>
      </c>
      <c r="X238" s="271">
        <f t="shared" si="192"/>
        <v>0</v>
      </c>
      <c r="Y238" s="270">
        <f>JUNIO!AA238</f>
        <v>0</v>
      </c>
      <c r="Z238" s="208"/>
      <c r="AA238" s="271">
        <f t="shared" si="193"/>
        <v>0</v>
      </c>
      <c r="AB238" s="270">
        <f>JUNIO!AD238</f>
        <v>0</v>
      </c>
      <c r="AC238" s="208"/>
      <c r="AD238" s="271">
        <f t="shared" si="194"/>
        <v>0</v>
      </c>
      <c r="AE238" s="270">
        <f>JUNIO!AG238</f>
        <v>0</v>
      </c>
      <c r="AF238" s="208"/>
      <c r="AG238" s="271">
        <f t="shared" si="195"/>
        <v>0</v>
      </c>
      <c r="AH238" s="270">
        <f t="shared" si="196"/>
        <v>0</v>
      </c>
      <c r="AI238" s="220">
        <f t="shared" si="197"/>
        <v>0</v>
      </c>
      <c r="AJ238" s="269">
        <f t="shared" si="198"/>
        <v>0</v>
      </c>
      <c r="AK238" s="101"/>
      <c r="AL238" s="204">
        <v>0</v>
      </c>
      <c r="AM238" s="210">
        <v>0</v>
      </c>
    </row>
    <row r="239" spans="19:39" ht="24.75" customHeight="1">
      <c r="S239" s="311" t="str">
        <f>+IF(JUNIO!S239=0,"",JUNIO!S239)</f>
        <v>8001000-5</v>
      </c>
      <c r="T239" s="312" t="s">
        <v>318</v>
      </c>
      <c r="U239" s="373">
        <f>+ENERO!U240</f>
        <v>0</v>
      </c>
      <c r="V239" s="220">
        <f>JUNIO!V239+JULIO!AL239</f>
        <v>0</v>
      </c>
      <c r="W239" s="220">
        <f>JUNIO!W239+JULIO!AM239</f>
        <v>0</v>
      </c>
      <c r="X239" s="271">
        <f t="shared" si="192"/>
        <v>0</v>
      </c>
      <c r="Y239" s="270">
        <f>JUNIO!AA239</f>
        <v>0</v>
      </c>
      <c r="Z239" s="208"/>
      <c r="AA239" s="271">
        <f t="shared" si="193"/>
        <v>0</v>
      </c>
      <c r="AB239" s="270">
        <f>JUNIO!AD239</f>
        <v>0</v>
      </c>
      <c r="AC239" s="208"/>
      <c r="AD239" s="271">
        <f t="shared" si="194"/>
        <v>0</v>
      </c>
      <c r="AE239" s="270">
        <f>JUNIO!AG239</f>
        <v>0</v>
      </c>
      <c r="AF239" s="208"/>
      <c r="AG239" s="271">
        <f t="shared" si="195"/>
        <v>0</v>
      </c>
      <c r="AH239" s="270">
        <f t="shared" si="196"/>
        <v>0</v>
      </c>
      <c r="AI239" s="220">
        <f t="shared" si="197"/>
        <v>0</v>
      </c>
      <c r="AJ239" s="269">
        <f t="shared" si="198"/>
        <v>0</v>
      </c>
      <c r="AK239" s="101"/>
      <c r="AL239" s="204">
        <v>0</v>
      </c>
      <c r="AM239" s="210">
        <v>0</v>
      </c>
    </row>
    <row r="240" spans="19:39" ht="24.75" customHeight="1">
      <c r="S240" s="496" t="str">
        <f>+IF(JUNIO!S240=0,"",JUNIO!S240)</f>
        <v>2.3.2.02.02.009.99</v>
      </c>
      <c r="T240" s="312" t="s">
        <v>196</v>
      </c>
      <c r="U240" s="373">
        <f>+ENERO!U241</f>
        <v>0</v>
      </c>
      <c r="V240" s="220">
        <f>JUNIO!V240+JULIO!AL240</f>
        <v>0</v>
      </c>
      <c r="W240" s="220">
        <f>JUNIO!W240+JULIO!AM240</f>
        <v>450782529</v>
      </c>
      <c r="X240" s="271">
        <f t="shared" si="192"/>
        <v>450782529</v>
      </c>
      <c r="Y240" s="270">
        <f>JUNIO!AA240</f>
        <v>0</v>
      </c>
      <c r="Z240" s="208">
        <v>0</v>
      </c>
      <c r="AA240" s="271">
        <f t="shared" si="193"/>
        <v>0</v>
      </c>
      <c r="AB240" s="270">
        <f>JUNIO!AD240</f>
        <v>0</v>
      </c>
      <c r="AC240" s="208">
        <v>0</v>
      </c>
      <c r="AD240" s="271">
        <f t="shared" si="194"/>
        <v>0</v>
      </c>
      <c r="AE240" s="270">
        <f>JUNIO!AG240</f>
        <v>0</v>
      </c>
      <c r="AF240" s="208">
        <v>0</v>
      </c>
      <c r="AG240" s="271">
        <f t="shared" si="195"/>
        <v>0</v>
      </c>
      <c r="AH240" s="270">
        <f t="shared" si="196"/>
        <v>450782529</v>
      </c>
      <c r="AI240" s="220">
        <f t="shared" si="197"/>
        <v>450782529</v>
      </c>
      <c r="AJ240" s="269">
        <f t="shared" si="198"/>
        <v>450782529</v>
      </c>
      <c r="AK240" s="101"/>
      <c r="AL240" s="204">
        <v>0</v>
      </c>
      <c r="AM240" s="210">
        <v>0</v>
      </c>
    </row>
    <row r="241" spans="19:39" ht="24.75" customHeight="1">
      <c r="S241" s="189" t="str">
        <f>+IF(JUNIO!S241=0,"",JUNIO!S241)</f>
        <v/>
      </c>
      <c r="T241" s="488"/>
      <c r="U241" s="191"/>
      <c r="V241" s="191"/>
      <c r="W241" s="191"/>
      <c r="X241" s="191"/>
      <c r="Y241" s="191"/>
      <c r="Z241" s="191"/>
      <c r="AA241" s="191"/>
      <c r="AB241" s="191"/>
      <c r="AC241" s="191"/>
      <c r="AD241" s="191"/>
      <c r="AE241" s="191"/>
      <c r="AF241" s="191"/>
      <c r="AG241" s="191"/>
      <c r="AH241" s="191"/>
      <c r="AI241" s="191"/>
      <c r="AJ241" s="192"/>
      <c r="AK241" s="101"/>
      <c r="AL241" s="370"/>
      <c r="AM241" s="371"/>
    </row>
    <row r="242" spans="19:39" ht="24.75" customHeight="1">
      <c r="S242" s="257">
        <f>+IF(JUNIO!S242=0,"",JUNIO!S242)</f>
        <v>8002001</v>
      </c>
      <c r="T242" s="498" t="s">
        <v>319</v>
      </c>
      <c r="U242" s="230">
        <f t="shared" ref="U242:AJ242" si="199">SUM(U243:U255)</f>
        <v>0</v>
      </c>
      <c r="V242" s="231">
        <f t="shared" si="199"/>
        <v>0</v>
      </c>
      <c r="W242" s="231">
        <f t="shared" si="199"/>
        <v>0</v>
      </c>
      <c r="X242" s="234">
        <f t="shared" si="199"/>
        <v>0</v>
      </c>
      <c r="Y242" s="233">
        <f t="shared" si="199"/>
        <v>0</v>
      </c>
      <c r="Z242" s="231">
        <f t="shared" si="199"/>
        <v>0</v>
      </c>
      <c r="AA242" s="234">
        <f t="shared" si="199"/>
        <v>0</v>
      </c>
      <c r="AB242" s="233">
        <f t="shared" si="199"/>
        <v>0</v>
      </c>
      <c r="AC242" s="231">
        <f t="shared" si="199"/>
        <v>0</v>
      </c>
      <c r="AD242" s="234">
        <f t="shared" si="199"/>
        <v>0</v>
      </c>
      <c r="AE242" s="233">
        <f t="shared" si="199"/>
        <v>0</v>
      </c>
      <c r="AF242" s="231">
        <f t="shared" si="199"/>
        <v>0</v>
      </c>
      <c r="AG242" s="234">
        <f t="shared" si="199"/>
        <v>0</v>
      </c>
      <c r="AH242" s="233">
        <f t="shared" si="199"/>
        <v>0</v>
      </c>
      <c r="AI242" s="231">
        <f t="shared" si="199"/>
        <v>0</v>
      </c>
      <c r="AJ242" s="232">
        <f t="shared" si="199"/>
        <v>0</v>
      </c>
      <c r="AK242" s="101"/>
      <c r="AL242" s="233">
        <f>SUM(AL243:AL255)</f>
        <v>0</v>
      </c>
      <c r="AM242" s="232">
        <f>SUM(AM243:AM255)</f>
        <v>0</v>
      </c>
    </row>
    <row r="243" spans="19:39" ht="24.75" customHeight="1">
      <c r="S243" s="311" t="str">
        <f>+IF(JUNIO!S243=0,"",JUNIO!S243)</f>
        <v>8002100-1</v>
      </c>
      <c r="T243" s="312" t="s">
        <v>265</v>
      </c>
      <c r="U243" s="373">
        <f>+ENERO!U244</f>
        <v>0</v>
      </c>
      <c r="V243" s="220">
        <f>JUNIO!V243+JULIO!AL243</f>
        <v>0</v>
      </c>
      <c r="W243" s="220">
        <f>JUNIO!W243+JULIO!AM243</f>
        <v>0</v>
      </c>
      <c r="X243" s="271">
        <f t="shared" ref="X243:X255" si="200">SUM(U243:W243)</f>
        <v>0</v>
      </c>
      <c r="Y243" s="270">
        <f>JUNIO!AA243</f>
        <v>0</v>
      </c>
      <c r="Z243" s="208">
        <v>0</v>
      </c>
      <c r="AA243" s="271">
        <f t="shared" ref="AA243:AA255" si="201">SUM(Y243:Z243)</f>
        <v>0</v>
      </c>
      <c r="AB243" s="270">
        <f>JUNIO!AD243</f>
        <v>0</v>
      </c>
      <c r="AC243" s="208">
        <v>0</v>
      </c>
      <c r="AD243" s="271">
        <f t="shared" ref="AD243:AD255" si="202">SUM(AB243:AC243)</f>
        <v>0</v>
      </c>
      <c r="AE243" s="270">
        <f>JUNIO!AG243</f>
        <v>0</v>
      </c>
      <c r="AF243" s="208">
        <v>0</v>
      </c>
      <c r="AG243" s="271">
        <f t="shared" ref="AG243:AG255" si="203">SUM(AE243:AF243)</f>
        <v>0</v>
      </c>
      <c r="AH243" s="270">
        <f t="shared" ref="AH243:AH255" si="204">X243-AA243</f>
        <v>0</v>
      </c>
      <c r="AI243" s="220">
        <f t="shared" ref="AI243:AI255" si="205">X243-AD243</f>
        <v>0</v>
      </c>
      <c r="AJ243" s="269">
        <f t="shared" ref="AJ243:AJ255" si="206">X243-AG243</f>
        <v>0</v>
      </c>
      <c r="AK243" s="101"/>
      <c r="AL243" s="204">
        <v>0</v>
      </c>
      <c r="AM243" s="210">
        <v>0</v>
      </c>
    </row>
    <row r="244" spans="19:39" ht="24.75" customHeight="1">
      <c r="S244" s="311" t="str">
        <f>+IF(JUNIO!S244=0,"",JUNIO!S244)</f>
        <v>8002100-2</v>
      </c>
      <c r="T244" s="548" t="s">
        <v>350</v>
      </c>
      <c r="U244" s="373">
        <f>+ENERO!U245</f>
        <v>0</v>
      </c>
      <c r="V244" s="220">
        <f>JUNIO!V244+JULIO!AL244</f>
        <v>0</v>
      </c>
      <c r="W244" s="220">
        <f>JUNIO!W244+JULIO!AM244</f>
        <v>0</v>
      </c>
      <c r="X244" s="271">
        <f t="shared" si="200"/>
        <v>0</v>
      </c>
      <c r="Y244" s="270">
        <f>JUNIO!AA244</f>
        <v>0</v>
      </c>
      <c r="Z244" s="208">
        <v>0</v>
      </c>
      <c r="AA244" s="271">
        <f t="shared" si="201"/>
        <v>0</v>
      </c>
      <c r="AB244" s="270">
        <f>JUNIO!AD244</f>
        <v>0</v>
      </c>
      <c r="AC244" s="208">
        <v>0</v>
      </c>
      <c r="AD244" s="271">
        <f t="shared" si="202"/>
        <v>0</v>
      </c>
      <c r="AE244" s="270">
        <f>JUNIO!AG244</f>
        <v>0</v>
      </c>
      <c r="AF244" s="208">
        <v>0</v>
      </c>
      <c r="AG244" s="271">
        <f t="shared" si="203"/>
        <v>0</v>
      </c>
      <c r="AH244" s="270">
        <f t="shared" si="204"/>
        <v>0</v>
      </c>
      <c r="AI244" s="220">
        <f t="shared" si="205"/>
        <v>0</v>
      </c>
      <c r="AJ244" s="269">
        <f t="shared" si="206"/>
        <v>0</v>
      </c>
      <c r="AK244" s="101"/>
      <c r="AL244" s="204">
        <v>0</v>
      </c>
      <c r="AM244" s="210">
        <v>0</v>
      </c>
    </row>
    <row r="245" spans="19:39" ht="24.75" customHeight="1">
      <c r="S245" s="311" t="str">
        <f>+IF(JUNIO!S245=0,"",JUNIO!S245)</f>
        <v>8002100-3</v>
      </c>
      <c r="T245" s="312" t="str">
        <f>+IF(JUNIO!T245=0,"",JUNIO!T245)</f>
        <v>Adquisicion de Equipos de Computo</v>
      </c>
      <c r="U245" s="373">
        <f>+ENERO!U246</f>
        <v>0</v>
      </c>
      <c r="V245" s="220">
        <f>JUNIO!V245+JULIO!AL245</f>
        <v>0</v>
      </c>
      <c r="W245" s="220">
        <f>JUNIO!W245+JULIO!AM245</f>
        <v>0</v>
      </c>
      <c r="X245" s="271">
        <f t="shared" si="200"/>
        <v>0</v>
      </c>
      <c r="Y245" s="270">
        <f>JUNIO!AA245</f>
        <v>0</v>
      </c>
      <c r="Z245" s="208">
        <v>0</v>
      </c>
      <c r="AA245" s="271">
        <f t="shared" si="201"/>
        <v>0</v>
      </c>
      <c r="AB245" s="270">
        <f>JUNIO!AD245</f>
        <v>0</v>
      </c>
      <c r="AC245" s="208">
        <v>0</v>
      </c>
      <c r="AD245" s="271">
        <f t="shared" si="202"/>
        <v>0</v>
      </c>
      <c r="AE245" s="270">
        <f>JUNIO!AG245</f>
        <v>0</v>
      </c>
      <c r="AF245" s="208">
        <v>0</v>
      </c>
      <c r="AG245" s="271">
        <f t="shared" si="203"/>
        <v>0</v>
      </c>
      <c r="AH245" s="270">
        <f t="shared" si="204"/>
        <v>0</v>
      </c>
      <c r="AI245" s="220">
        <f t="shared" si="205"/>
        <v>0</v>
      </c>
      <c r="AJ245" s="269">
        <f t="shared" si="206"/>
        <v>0</v>
      </c>
      <c r="AK245" s="101"/>
      <c r="AL245" s="204">
        <v>0</v>
      </c>
      <c r="AM245" s="210">
        <v>0</v>
      </c>
    </row>
    <row r="246" spans="19:39" ht="24.75" customHeight="1">
      <c r="S246" s="311" t="str">
        <f>+IF(JUNIO!S246=0,"",JUNIO!S246)</f>
        <v>8002100-4</v>
      </c>
      <c r="T246" s="312" t="str">
        <f>+IF(JUNIO!T246=0,"",JUNIO!T246)</f>
        <v>Adquisiciòm de Dispositvos mèdicos para dotaciòn proyecto de Quiròfanos</v>
      </c>
      <c r="U246" s="373">
        <f>+ENERO!U247</f>
        <v>0</v>
      </c>
      <c r="V246" s="220">
        <f>JUNIO!V246+JULIO!AL246</f>
        <v>0</v>
      </c>
      <c r="W246" s="220">
        <f>JUNIO!W246+JULIO!AM246</f>
        <v>0</v>
      </c>
      <c r="X246" s="271">
        <f t="shared" si="200"/>
        <v>0</v>
      </c>
      <c r="Y246" s="270">
        <f>JUNIO!AA246</f>
        <v>0</v>
      </c>
      <c r="Z246" s="208">
        <v>0</v>
      </c>
      <c r="AA246" s="271">
        <f t="shared" si="201"/>
        <v>0</v>
      </c>
      <c r="AB246" s="270">
        <f>JUNIO!AD246</f>
        <v>0</v>
      </c>
      <c r="AC246" s="208">
        <v>0</v>
      </c>
      <c r="AD246" s="271">
        <f t="shared" si="202"/>
        <v>0</v>
      </c>
      <c r="AE246" s="270">
        <f>JUNIO!AG246</f>
        <v>0</v>
      </c>
      <c r="AF246" s="208">
        <v>0</v>
      </c>
      <c r="AG246" s="271">
        <f t="shared" si="203"/>
        <v>0</v>
      </c>
      <c r="AH246" s="270">
        <f t="shared" si="204"/>
        <v>0</v>
      </c>
      <c r="AI246" s="220">
        <f t="shared" si="205"/>
        <v>0</v>
      </c>
      <c r="AJ246" s="269">
        <f t="shared" si="206"/>
        <v>0</v>
      </c>
      <c r="AK246" s="101"/>
      <c r="AL246" s="204">
        <v>0</v>
      </c>
      <c r="AM246" s="210">
        <v>0</v>
      </c>
    </row>
    <row r="247" spans="19:39" ht="24.75" customHeight="1">
      <c r="S247" s="311" t="str">
        <f>+IF(JUNIO!S247=0,"",JUNIO!S247)</f>
        <v>8002100-5</v>
      </c>
      <c r="T247" s="312" t="str">
        <f>+IF(JUNIO!T247=0,"",JUNIO!T247)</f>
        <v>Programas Especial 04</v>
      </c>
      <c r="U247" s="373">
        <f>+ENERO!U248</f>
        <v>0</v>
      </c>
      <c r="V247" s="220">
        <f>JUNIO!V247+JULIO!AL247</f>
        <v>0</v>
      </c>
      <c r="W247" s="220">
        <f>JUNIO!W247+JULIO!AM247</f>
        <v>0</v>
      </c>
      <c r="X247" s="271">
        <f t="shared" si="200"/>
        <v>0</v>
      </c>
      <c r="Y247" s="270">
        <f>JUNIO!AA247</f>
        <v>0</v>
      </c>
      <c r="Z247" s="208">
        <v>0</v>
      </c>
      <c r="AA247" s="271">
        <f t="shared" si="201"/>
        <v>0</v>
      </c>
      <c r="AB247" s="270">
        <f>JUNIO!AD247</f>
        <v>0</v>
      </c>
      <c r="AC247" s="208">
        <v>0</v>
      </c>
      <c r="AD247" s="271">
        <f t="shared" si="202"/>
        <v>0</v>
      </c>
      <c r="AE247" s="270">
        <f>JUNIO!AG247</f>
        <v>0</v>
      </c>
      <c r="AF247" s="208">
        <v>0</v>
      </c>
      <c r="AG247" s="271">
        <f t="shared" si="203"/>
        <v>0</v>
      </c>
      <c r="AH247" s="270">
        <f t="shared" si="204"/>
        <v>0</v>
      </c>
      <c r="AI247" s="220">
        <f t="shared" si="205"/>
        <v>0</v>
      </c>
      <c r="AJ247" s="269">
        <f t="shared" si="206"/>
        <v>0</v>
      </c>
      <c r="AK247" s="101"/>
      <c r="AL247" s="204">
        <v>0</v>
      </c>
      <c r="AM247" s="210">
        <v>0</v>
      </c>
    </row>
    <row r="248" spans="19:39" ht="24.75" customHeight="1">
      <c r="S248" s="311" t="str">
        <f>+IF(JUNIO!S248=0,"",JUNIO!S248)</f>
        <v>8002100-6</v>
      </c>
      <c r="T248" s="312" t="str">
        <f>+IF(JUNIO!T248=0,"",JUNIO!T248)</f>
        <v>Programas Especial 05</v>
      </c>
      <c r="U248" s="373">
        <f>+ENERO!U249</f>
        <v>0</v>
      </c>
      <c r="V248" s="220">
        <f>JUNIO!V248+JULIO!AL248</f>
        <v>0</v>
      </c>
      <c r="W248" s="220">
        <f>JUNIO!W248+JULIO!AM248</f>
        <v>0</v>
      </c>
      <c r="X248" s="271">
        <f t="shared" si="200"/>
        <v>0</v>
      </c>
      <c r="Y248" s="270">
        <f>JUNIO!AA248</f>
        <v>0</v>
      </c>
      <c r="Z248" s="208">
        <v>0</v>
      </c>
      <c r="AA248" s="271">
        <f t="shared" si="201"/>
        <v>0</v>
      </c>
      <c r="AB248" s="270">
        <f>JUNIO!AD248</f>
        <v>0</v>
      </c>
      <c r="AC248" s="208">
        <v>0</v>
      </c>
      <c r="AD248" s="271">
        <f t="shared" si="202"/>
        <v>0</v>
      </c>
      <c r="AE248" s="270">
        <f>JUNIO!AG248</f>
        <v>0</v>
      </c>
      <c r="AF248" s="208">
        <v>0</v>
      </c>
      <c r="AG248" s="271">
        <f t="shared" si="203"/>
        <v>0</v>
      </c>
      <c r="AH248" s="270">
        <f t="shared" si="204"/>
        <v>0</v>
      </c>
      <c r="AI248" s="220">
        <f t="shared" si="205"/>
        <v>0</v>
      </c>
      <c r="AJ248" s="269">
        <f t="shared" si="206"/>
        <v>0</v>
      </c>
      <c r="AK248" s="101"/>
      <c r="AL248" s="204">
        <v>0</v>
      </c>
      <c r="AM248" s="210">
        <v>0</v>
      </c>
    </row>
    <row r="249" spans="19:39" ht="24.75" customHeight="1">
      <c r="S249" s="311" t="str">
        <f>+IF(JUNIO!S249=0,"",JUNIO!S249)</f>
        <v>8002100-7</v>
      </c>
      <c r="T249" s="312" t="str">
        <f>+IF(JUNIO!T249=0,"",JUNIO!T249)</f>
        <v>Programas Especial 06</v>
      </c>
      <c r="U249" s="373">
        <f>+ENERO!U250</f>
        <v>0</v>
      </c>
      <c r="V249" s="220">
        <f>JUNIO!V249+JULIO!AL249</f>
        <v>0</v>
      </c>
      <c r="W249" s="220">
        <f>JUNIO!W249+JULIO!AM249</f>
        <v>0</v>
      </c>
      <c r="X249" s="271">
        <f t="shared" si="200"/>
        <v>0</v>
      </c>
      <c r="Y249" s="270">
        <f>JUNIO!AA249</f>
        <v>0</v>
      </c>
      <c r="Z249" s="208">
        <v>0</v>
      </c>
      <c r="AA249" s="271">
        <f t="shared" si="201"/>
        <v>0</v>
      </c>
      <c r="AB249" s="270">
        <f>JUNIO!AD249</f>
        <v>0</v>
      </c>
      <c r="AC249" s="208">
        <v>0</v>
      </c>
      <c r="AD249" s="271">
        <f t="shared" si="202"/>
        <v>0</v>
      </c>
      <c r="AE249" s="270">
        <f>JUNIO!AG249</f>
        <v>0</v>
      </c>
      <c r="AF249" s="208">
        <v>0</v>
      </c>
      <c r="AG249" s="271">
        <f t="shared" si="203"/>
        <v>0</v>
      </c>
      <c r="AH249" s="270">
        <f t="shared" si="204"/>
        <v>0</v>
      </c>
      <c r="AI249" s="220">
        <f t="shared" si="205"/>
        <v>0</v>
      </c>
      <c r="AJ249" s="269">
        <f t="shared" si="206"/>
        <v>0</v>
      </c>
      <c r="AK249" s="101"/>
      <c r="AL249" s="204">
        <v>0</v>
      </c>
      <c r="AM249" s="210">
        <v>0</v>
      </c>
    </row>
    <row r="250" spans="19:39" ht="24.75" customHeight="1">
      <c r="S250" s="311" t="str">
        <f>+IF(JUNIO!S250=0,"",JUNIO!S250)</f>
        <v>8002100-8</v>
      </c>
      <c r="T250" s="312" t="str">
        <f>+IF(JUNIO!T250=0,"",JUNIO!T250)</f>
        <v>Programas Especial 07</v>
      </c>
      <c r="U250" s="373">
        <f>+ENERO!U251</f>
        <v>0</v>
      </c>
      <c r="V250" s="220">
        <f>JUNIO!V250+JULIO!AL250</f>
        <v>0</v>
      </c>
      <c r="W250" s="220">
        <f>JUNIO!W250+JULIO!AM250</f>
        <v>0</v>
      </c>
      <c r="X250" s="271">
        <f t="shared" si="200"/>
        <v>0</v>
      </c>
      <c r="Y250" s="270">
        <f>JUNIO!AA250</f>
        <v>0</v>
      </c>
      <c r="Z250" s="208">
        <v>0</v>
      </c>
      <c r="AA250" s="271">
        <f t="shared" si="201"/>
        <v>0</v>
      </c>
      <c r="AB250" s="270">
        <f>JUNIO!AD250</f>
        <v>0</v>
      </c>
      <c r="AC250" s="208">
        <v>0</v>
      </c>
      <c r="AD250" s="271">
        <f t="shared" si="202"/>
        <v>0</v>
      </c>
      <c r="AE250" s="270">
        <f>JUNIO!AG250</f>
        <v>0</v>
      </c>
      <c r="AF250" s="208">
        <v>0</v>
      </c>
      <c r="AG250" s="271">
        <f t="shared" si="203"/>
        <v>0</v>
      </c>
      <c r="AH250" s="270">
        <f t="shared" si="204"/>
        <v>0</v>
      </c>
      <c r="AI250" s="220">
        <f t="shared" si="205"/>
        <v>0</v>
      </c>
      <c r="AJ250" s="269">
        <f t="shared" si="206"/>
        <v>0</v>
      </c>
      <c r="AK250" s="101"/>
      <c r="AL250" s="204">
        <v>0</v>
      </c>
      <c r="AM250" s="210">
        <v>0</v>
      </c>
    </row>
    <row r="251" spans="19:39" ht="24.75" customHeight="1">
      <c r="S251" s="311" t="str">
        <f>+IF(JUNIO!S251=0,"",JUNIO!S251)</f>
        <v>8002100-9</v>
      </c>
      <c r="T251" s="312" t="str">
        <f>+IF(JUNIO!T251=0,"",JUNIO!T251)</f>
        <v>Programas Especial 08</v>
      </c>
      <c r="U251" s="373">
        <f>+ENERO!U252</f>
        <v>0</v>
      </c>
      <c r="V251" s="220">
        <f>JUNIO!V251+JULIO!AL251</f>
        <v>0</v>
      </c>
      <c r="W251" s="220">
        <f>JUNIO!W251+JULIO!AM251</f>
        <v>0</v>
      </c>
      <c r="X251" s="271">
        <f t="shared" si="200"/>
        <v>0</v>
      </c>
      <c r="Y251" s="270">
        <f>JUNIO!AA251</f>
        <v>0</v>
      </c>
      <c r="Z251" s="208">
        <v>0</v>
      </c>
      <c r="AA251" s="271">
        <f t="shared" si="201"/>
        <v>0</v>
      </c>
      <c r="AB251" s="270">
        <f>JUNIO!AD251</f>
        <v>0</v>
      </c>
      <c r="AC251" s="208">
        <v>0</v>
      </c>
      <c r="AD251" s="271">
        <f t="shared" si="202"/>
        <v>0</v>
      </c>
      <c r="AE251" s="270">
        <f>JUNIO!AG251</f>
        <v>0</v>
      </c>
      <c r="AF251" s="208">
        <v>0</v>
      </c>
      <c r="AG251" s="271">
        <f t="shared" si="203"/>
        <v>0</v>
      </c>
      <c r="AH251" s="270">
        <f t="shared" si="204"/>
        <v>0</v>
      </c>
      <c r="AI251" s="220">
        <f t="shared" si="205"/>
        <v>0</v>
      </c>
      <c r="AJ251" s="269">
        <f t="shared" si="206"/>
        <v>0</v>
      </c>
      <c r="AK251" s="101"/>
      <c r="AL251" s="204">
        <v>0</v>
      </c>
      <c r="AM251" s="210">
        <v>0</v>
      </c>
    </row>
    <row r="252" spans="19:39" ht="24.75" customHeight="1">
      <c r="S252" s="311" t="str">
        <f>+IF(JUNIO!S252=0,"",JUNIO!S252)</f>
        <v>8002100-10</v>
      </c>
      <c r="T252" s="312" t="str">
        <f>+IF(JUNIO!T252=0,"",JUNIO!T252)</f>
        <v>Programas Especial 09</v>
      </c>
      <c r="U252" s="373">
        <f>+ENERO!U253</f>
        <v>0</v>
      </c>
      <c r="V252" s="220">
        <f>JUNIO!V252+JULIO!AL252</f>
        <v>0</v>
      </c>
      <c r="W252" s="220">
        <f>JUNIO!W252+JULIO!AM252</f>
        <v>0</v>
      </c>
      <c r="X252" s="271">
        <f t="shared" si="200"/>
        <v>0</v>
      </c>
      <c r="Y252" s="270">
        <f>JUNIO!AA252</f>
        <v>0</v>
      </c>
      <c r="Z252" s="208">
        <v>0</v>
      </c>
      <c r="AA252" s="271">
        <f t="shared" si="201"/>
        <v>0</v>
      </c>
      <c r="AB252" s="270">
        <f>JUNIO!AD252</f>
        <v>0</v>
      </c>
      <c r="AC252" s="208">
        <v>0</v>
      </c>
      <c r="AD252" s="271">
        <f t="shared" si="202"/>
        <v>0</v>
      </c>
      <c r="AE252" s="270">
        <f>JUNIO!AG252</f>
        <v>0</v>
      </c>
      <c r="AF252" s="208">
        <v>0</v>
      </c>
      <c r="AG252" s="271">
        <f t="shared" si="203"/>
        <v>0</v>
      </c>
      <c r="AH252" s="270">
        <f t="shared" si="204"/>
        <v>0</v>
      </c>
      <c r="AI252" s="220">
        <f t="shared" si="205"/>
        <v>0</v>
      </c>
      <c r="AJ252" s="269">
        <f t="shared" si="206"/>
        <v>0</v>
      </c>
      <c r="AK252" s="101"/>
      <c r="AL252" s="204">
        <v>0</v>
      </c>
      <c r="AM252" s="210">
        <v>0</v>
      </c>
    </row>
    <row r="253" spans="19:39" ht="24.75" customHeight="1">
      <c r="S253" s="311" t="str">
        <f>+IF(JUNIO!S253=0,"",JUNIO!S253)</f>
        <v>8002100-11</v>
      </c>
      <c r="T253" s="312" t="str">
        <f>+IF(JUNIO!T253=0,"",JUNIO!T253)</f>
        <v>Programas Especial 10</v>
      </c>
      <c r="U253" s="373">
        <f>+ENERO!U254</f>
        <v>0</v>
      </c>
      <c r="V253" s="220">
        <f>JUNIO!V253+JULIO!AL253</f>
        <v>0</v>
      </c>
      <c r="W253" s="220">
        <f>JUNIO!W253+JULIO!AM253</f>
        <v>0</v>
      </c>
      <c r="X253" s="271">
        <f t="shared" si="200"/>
        <v>0</v>
      </c>
      <c r="Y253" s="270">
        <f>JUNIO!AA253</f>
        <v>0</v>
      </c>
      <c r="Z253" s="208">
        <v>0</v>
      </c>
      <c r="AA253" s="271">
        <f t="shared" si="201"/>
        <v>0</v>
      </c>
      <c r="AB253" s="270">
        <f>JUNIO!AD253</f>
        <v>0</v>
      </c>
      <c r="AC253" s="208">
        <v>0</v>
      </c>
      <c r="AD253" s="271">
        <f t="shared" si="202"/>
        <v>0</v>
      </c>
      <c r="AE253" s="270">
        <f>JUNIO!AG253</f>
        <v>0</v>
      </c>
      <c r="AF253" s="208">
        <v>0</v>
      </c>
      <c r="AG253" s="271">
        <f t="shared" si="203"/>
        <v>0</v>
      </c>
      <c r="AH253" s="270">
        <f t="shared" si="204"/>
        <v>0</v>
      </c>
      <c r="AI253" s="220">
        <f t="shared" si="205"/>
        <v>0</v>
      </c>
      <c r="AJ253" s="269">
        <f t="shared" si="206"/>
        <v>0</v>
      </c>
      <c r="AK253" s="101"/>
      <c r="AL253" s="204">
        <v>0</v>
      </c>
      <c r="AM253" s="210">
        <v>0</v>
      </c>
    </row>
    <row r="254" spans="19:39" ht="24.75" customHeight="1">
      <c r="S254" s="311" t="str">
        <f>+IF(JUNIO!S254=0,"",JUNIO!S254)</f>
        <v>8002100-12</v>
      </c>
      <c r="T254" s="312" t="str">
        <f>+IF(JUNIO!T254=0,"",JUNIO!T254)</f>
        <v>Programas Especial 11</v>
      </c>
      <c r="U254" s="373">
        <f>+ENERO!U255</f>
        <v>0</v>
      </c>
      <c r="V254" s="220">
        <f>JUNIO!V254+JULIO!AL254</f>
        <v>0</v>
      </c>
      <c r="W254" s="220">
        <f>JUNIO!W254+JULIO!AM254</f>
        <v>0</v>
      </c>
      <c r="X254" s="271">
        <f t="shared" si="200"/>
        <v>0</v>
      </c>
      <c r="Y254" s="270">
        <f>JUNIO!AA254</f>
        <v>0</v>
      </c>
      <c r="Z254" s="208">
        <v>0</v>
      </c>
      <c r="AA254" s="271">
        <f t="shared" si="201"/>
        <v>0</v>
      </c>
      <c r="AB254" s="270">
        <f>JUNIO!AD254</f>
        <v>0</v>
      </c>
      <c r="AC254" s="208">
        <v>0</v>
      </c>
      <c r="AD254" s="271">
        <f t="shared" si="202"/>
        <v>0</v>
      </c>
      <c r="AE254" s="270">
        <f>JUNIO!AG254</f>
        <v>0</v>
      </c>
      <c r="AF254" s="208">
        <v>0</v>
      </c>
      <c r="AG254" s="271">
        <f t="shared" si="203"/>
        <v>0</v>
      </c>
      <c r="AH254" s="270">
        <f t="shared" si="204"/>
        <v>0</v>
      </c>
      <c r="AI254" s="220">
        <f t="shared" si="205"/>
        <v>0</v>
      </c>
      <c r="AJ254" s="269">
        <f t="shared" si="206"/>
        <v>0</v>
      </c>
      <c r="AK254" s="101"/>
      <c r="AL254" s="204">
        <v>0</v>
      </c>
      <c r="AM254" s="210">
        <v>0</v>
      </c>
    </row>
    <row r="255" spans="19:39" ht="24.75" customHeight="1">
      <c r="S255" s="499" t="str">
        <f>+IF(JUNIO!S255=0,"",JUNIO!S255)</f>
        <v>2.3.2.01.01.99</v>
      </c>
      <c r="T255" s="500" t="str">
        <f>+IF(JUNIO!T255=0,"",JUNIO!T255)</f>
        <v>Vigencias Anteriores Activos Fijos</v>
      </c>
      <c r="U255" s="547">
        <f>+ENERO!U256</f>
        <v>0</v>
      </c>
      <c r="V255" s="468">
        <f>JUNIO!V255+JULIO!AL255</f>
        <v>0</v>
      </c>
      <c r="W255" s="468">
        <f>JUNIO!W255+JULIO!AM255</f>
        <v>0</v>
      </c>
      <c r="X255" s="471">
        <f t="shared" si="200"/>
        <v>0</v>
      </c>
      <c r="Y255" s="470">
        <f>JUNIO!AA255</f>
        <v>0</v>
      </c>
      <c r="Z255" s="246">
        <v>0</v>
      </c>
      <c r="AA255" s="471">
        <f t="shared" si="201"/>
        <v>0</v>
      </c>
      <c r="AB255" s="470">
        <f>JUNIO!AD255</f>
        <v>0</v>
      </c>
      <c r="AC255" s="246">
        <v>0</v>
      </c>
      <c r="AD255" s="471">
        <f t="shared" si="202"/>
        <v>0</v>
      </c>
      <c r="AE255" s="470">
        <f>JUNIO!AG255</f>
        <v>0</v>
      </c>
      <c r="AF255" s="246">
        <v>0</v>
      </c>
      <c r="AG255" s="471">
        <f t="shared" si="203"/>
        <v>0</v>
      </c>
      <c r="AH255" s="470">
        <f t="shared" si="204"/>
        <v>0</v>
      </c>
      <c r="AI255" s="468">
        <f t="shared" si="205"/>
        <v>0</v>
      </c>
      <c r="AJ255" s="469">
        <f t="shared" si="206"/>
        <v>0</v>
      </c>
      <c r="AK255" s="101"/>
      <c r="AL255" s="242">
        <v>0</v>
      </c>
      <c r="AM255" s="248">
        <v>0</v>
      </c>
    </row>
    <row r="256" spans="19:39" ht="24.75" customHeight="1">
      <c r="S256" s="480" t="str">
        <f>+IF(JUNIO!S256=0,"",JUNIO!S256)</f>
        <v/>
      </c>
      <c r="T256" s="481" t="str">
        <f>+IF(JUNIO!T256=0,"",JUNIO!T256)</f>
        <v/>
      </c>
      <c r="U256" s="482"/>
      <c r="V256" s="482"/>
      <c r="W256" s="482"/>
      <c r="X256" s="482"/>
      <c r="Y256" s="482"/>
      <c r="Z256" s="482"/>
      <c r="AA256" s="482"/>
      <c r="AB256" s="482"/>
      <c r="AC256" s="482"/>
      <c r="AD256" s="482"/>
      <c r="AE256" s="482"/>
      <c r="AF256" s="482"/>
      <c r="AG256" s="482"/>
      <c r="AH256" s="482"/>
      <c r="AI256" s="482"/>
      <c r="AJ256" s="484"/>
      <c r="AK256" s="216"/>
      <c r="AL256" s="501"/>
      <c r="AM256" s="502"/>
    </row>
    <row r="257" spans="19:39" ht="24.75" customHeight="1">
      <c r="S257" s="503" t="s">
        <v>342</v>
      </c>
      <c r="T257" s="504" t="s">
        <v>197</v>
      </c>
      <c r="U257" s="136">
        <f t="shared" ref="U257:AJ257" si="207">+(C10+C17+C113)-(U10+U192+U219+U231)</f>
        <v>0.30987548828125</v>
      </c>
      <c r="V257" s="136">
        <f t="shared" si="207"/>
        <v>0</v>
      </c>
      <c r="W257" s="136">
        <f t="shared" si="207"/>
        <v>0</v>
      </c>
      <c r="X257" s="136">
        <f t="shared" si="207"/>
        <v>0.30987548828125</v>
      </c>
      <c r="Y257" s="136">
        <f t="shared" si="207"/>
        <v>4220521409</v>
      </c>
      <c r="Z257" s="136">
        <f t="shared" si="207"/>
        <v>-13773525217</v>
      </c>
      <c r="AA257" s="136">
        <f t="shared" si="207"/>
        <v>-9553003808</v>
      </c>
      <c r="AB257" s="136">
        <f t="shared" si="207"/>
        <v>-30342147323</v>
      </c>
      <c r="AC257" s="136">
        <f t="shared" si="207"/>
        <v>-2104388830</v>
      </c>
      <c r="AD257" s="136">
        <f t="shared" si="207"/>
        <v>-32446536153</v>
      </c>
      <c r="AE257" s="136">
        <f t="shared" si="207"/>
        <v>-30975965384.023483</v>
      </c>
      <c r="AF257" s="136">
        <f t="shared" si="207"/>
        <v>87074812525.476517</v>
      </c>
      <c r="AG257" s="136">
        <f t="shared" si="207"/>
        <v>-84086454171.5</v>
      </c>
      <c r="AH257" s="136">
        <f t="shared" si="207"/>
        <v>-30481734178.166664</v>
      </c>
      <c r="AI257" s="136">
        <f t="shared" si="207"/>
        <v>-67704027173.166664</v>
      </c>
      <c r="AJ257" s="505">
        <f t="shared" si="207"/>
        <v>-103719079357.66666</v>
      </c>
      <c r="AK257" s="101"/>
      <c r="AL257" s="134">
        <v>0</v>
      </c>
      <c r="AM257" s="135">
        <v>0</v>
      </c>
    </row>
    <row r="258" spans="19:39" ht="24.75" customHeight="1">
      <c r="S258" s="1326"/>
      <c r="T258" s="1327"/>
      <c r="U258" s="506"/>
      <c r="V258" s="506"/>
      <c r="W258" s="506"/>
      <c r="X258" s="506"/>
      <c r="Y258" s="506"/>
      <c r="Z258" s="506"/>
      <c r="AA258" s="506"/>
      <c r="AB258" s="506"/>
      <c r="AC258" s="506"/>
      <c r="AD258" s="506"/>
      <c r="AE258" s="506"/>
      <c r="AF258" s="506"/>
      <c r="AG258" s="506"/>
      <c r="AH258" s="506"/>
      <c r="AI258" s="506"/>
      <c r="AJ258" s="507"/>
      <c r="AK258" s="216"/>
      <c r="AL258" s="508">
        <f>+SUMIF(AK8:AK255,AK33,AL8:AL255)</f>
        <v>0</v>
      </c>
      <c r="AM258" s="509">
        <f>+SUMIF(AL8:AL255,AL33,AM8:AM255)</f>
        <v>0</v>
      </c>
    </row>
    <row r="259" spans="19:39" ht="24.75" customHeight="1">
      <c r="S259" s="510" t="s">
        <v>343</v>
      </c>
      <c r="T259" s="511"/>
      <c r="U259" s="512">
        <f t="shared" ref="U259:AJ259" si="208">+U8-U261</f>
        <v>135355804552.9446</v>
      </c>
      <c r="V259" s="512">
        <f t="shared" si="208"/>
        <v>-3141258168</v>
      </c>
      <c r="W259" s="512">
        <f t="shared" si="208"/>
        <v>25474600357</v>
      </c>
      <c r="X259" s="512">
        <f t="shared" si="208"/>
        <v>157689146741.94461</v>
      </c>
      <c r="Y259" s="512">
        <f t="shared" si="208"/>
        <v>99931355975</v>
      </c>
      <c r="Z259" s="512">
        <f t="shared" si="208"/>
        <v>30221971128</v>
      </c>
      <c r="AA259" s="512">
        <f t="shared" si="208"/>
        <v>130153327103</v>
      </c>
      <c r="AB259" s="512">
        <f t="shared" si="208"/>
        <v>79339430445</v>
      </c>
      <c r="AC259" s="512">
        <f t="shared" si="208"/>
        <v>13597803663</v>
      </c>
      <c r="AD259" s="512">
        <f t="shared" si="208"/>
        <v>92937234108</v>
      </c>
      <c r="AE259" s="512">
        <f t="shared" si="208"/>
        <v>43896917961.5</v>
      </c>
      <c r="AF259" s="512">
        <f t="shared" si="208"/>
        <v>13028844165</v>
      </c>
      <c r="AG259" s="512">
        <f t="shared" si="208"/>
        <v>56925762126.5</v>
      </c>
      <c r="AH259" s="512">
        <f t="shared" si="208"/>
        <v>27535819638.944607</v>
      </c>
      <c r="AI259" s="512">
        <f t="shared" si="208"/>
        <v>64751912633.944611</v>
      </c>
      <c r="AJ259" s="513">
        <f t="shared" si="208"/>
        <v>100763384615.4446</v>
      </c>
      <c r="AK259" s="216"/>
      <c r="AL259" s="67"/>
      <c r="AM259" s="67"/>
    </row>
    <row r="260" spans="19:39" ht="24.75" customHeight="1">
      <c r="S260" s="514"/>
      <c r="T260" s="515"/>
      <c r="U260" s="516"/>
      <c r="V260" s="516"/>
      <c r="W260" s="516"/>
      <c r="X260" s="516"/>
      <c r="Y260" s="516"/>
      <c r="Z260" s="516"/>
      <c r="AA260" s="516"/>
      <c r="AB260" s="516"/>
      <c r="AC260" s="516"/>
      <c r="AD260" s="516"/>
      <c r="AE260" s="516"/>
      <c r="AF260" s="516"/>
      <c r="AG260" s="516"/>
      <c r="AH260" s="516"/>
      <c r="AI260" s="516"/>
      <c r="AJ260" s="517"/>
      <c r="AK260" s="36"/>
      <c r="AL260" s="31"/>
      <c r="AM260" s="31"/>
    </row>
    <row r="261" spans="19:39" ht="24.75" customHeight="1">
      <c r="S261" s="518" t="s">
        <v>344</v>
      </c>
      <c r="T261" s="519"/>
      <c r="U261" s="660">
        <f>SUM(U255+U240+U229+U224+U217+U206+U190+U181+U153+U139+U121+U166+U108+U102+U88+U81+U61+U55+U41+U33)</f>
        <v>22787348584.222057</v>
      </c>
      <c r="V261" s="660">
        <f t="shared" ref="V261:AJ261" si="209">SUM(V255+V240+V229+V224+V217+V206+V190+V181+V153+V139+V121+V166+V108+V102+V88+V81+V61+V55+V41+V33)</f>
        <v>3141258168</v>
      </c>
      <c r="W261" s="660">
        <f t="shared" si="209"/>
        <v>4187780035</v>
      </c>
      <c r="X261" s="660">
        <f t="shared" si="209"/>
        <v>30116386787.222057</v>
      </c>
      <c r="Y261" s="660">
        <f t="shared" si="209"/>
        <v>27120015611</v>
      </c>
      <c r="Z261" s="660">
        <f t="shared" si="209"/>
        <v>50456637</v>
      </c>
      <c r="AA261" s="660">
        <f t="shared" si="209"/>
        <v>27170472248</v>
      </c>
      <c r="AB261" s="660">
        <f t="shared" si="209"/>
        <v>27113815611</v>
      </c>
      <c r="AC261" s="660">
        <f t="shared" si="209"/>
        <v>50456637</v>
      </c>
      <c r="AD261" s="660">
        <f t="shared" si="209"/>
        <v>27164272248</v>
      </c>
      <c r="AE261" s="660">
        <f t="shared" si="209"/>
        <v>27113785409</v>
      </c>
      <c r="AF261" s="660">
        <f t="shared" si="209"/>
        <v>46906636</v>
      </c>
      <c r="AG261" s="660">
        <f t="shared" si="209"/>
        <v>27160692045</v>
      </c>
      <c r="AH261" s="660">
        <f t="shared" si="209"/>
        <v>2945914539.2220573</v>
      </c>
      <c r="AI261" s="660">
        <f t="shared" si="209"/>
        <v>2952114539.2220573</v>
      </c>
      <c r="AJ261" s="660">
        <f t="shared" si="209"/>
        <v>2955694742.2220573</v>
      </c>
      <c r="AK261" s="36"/>
      <c r="AL261" s="31"/>
      <c r="AM261" s="31"/>
    </row>
    <row r="262" spans="19:39" ht="24.75" customHeight="1">
      <c r="S262" s="514"/>
      <c r="T262" s="515"/>
      <c r="U262" s="515"/>
      <c r="V262" s="516"/>
      <c r="W262" s="516"/>
      <c r="X262" s="516"/>
      <c r="Y262" s="516"/>
      <c r="Z262" s="516"/>
      <c r="AA262" s="516"/>
      <c r="AB262" s="516"/>
      <c r="AC262" s="516"/>
      <c r="AD262" s="516"/>
      <c r="AE262" s="516"/>
      <c r="AF262" s="516"/>
      <c r="AG262" s="516"/>
      <c r="AH262" s="516"/>
      <c r="AI262" s="516"/>
      <c r="AJ262" s="516"/>
      <c r="AK262" s="36"/>
      <c r="AL262" s="31"/>
      <c r="AM262" s="31"/>
    </row>
    <row r="263" spans="19:39" ht="24.75" customHeight="1">
      <c r="S263" s="520" t="s">
        <v>345</v>
      </c>
      <c r="T263" s="521"/>
      <c r="U263" s="522">
        <f t="shared" ref="U263:AJ263" si="210">+U259+U261</f>
        <v>158143153137.16666</v>
      </c>
      <c r="V263" s="522">
        <f t="shared" si="210"/>
        <v>0</v>
      </c>
      <c r="W263" s="522">
        <f t="shared" si="210"/>
        <v>29662380392</v>
      </c>
      <c r="X263" s="522">
        <f t="shared" si="210"/>
        <v>187805533529.16666</v>
      </c>
      <c r="Y263" s="522">
        <f t="shared" si="210"/>
        <v>127051371586</v>
      </c>
      <c r="Z263" s="522">
        <f t="shared" si="210"/>
        <v>30272427765</v>
      </c>
      <c r="AA263" s="522">
        <f t="shared" si="210"/>
        <v>157323799351</v>
      </c>
      <c r="AB263" s="522">
        <f t="shared" si="210"/>
        <v>106453246056</v>
      </c>
      <c r="AC263" s="522">
        <f t="shared" si="210"/>
        <v>13648260300</v>
      </c>
      <c r="AD263" s="522">
        <f t="shared" si="210"/>
        <v>120101506356</v>
      </c>
      <c r="AE263" s="522">
        <f t="shared" si="210"/>
        <v>71010703370.5</v>
      </c>
      <c r="AF263" s="522">
        <f t="shared" si="210"/>
        <v>13075750801</v>
      </c>
      <c r="AG263" s="522">
        <f t="shared" si="210"/>
        <v>84086454171.5</v>
      </c>
      <c r="AH263" s="522">
        <f t="shared" si="210"/>
        <v>30481734178.166664</v>
      </c>
      <c r="AI263" s="522">
        <f t="shared" si="210"/>
        <v>67704027173.166672</v>
      </c>
      <c r="AJ263" s="523">
        <f t="shared" si="210"/>
        <v>103719079357.66666</v>
      </c>
      <c r="AK263" s="36"/>
      <c r="AL263" s="31"/>
      <c r="AM263" s="31"/>
    </row>
  </sheetData>
  <mergeCells count="55">
    <mergeCell ref="A5:A6"/>
    <mergeCell ref="B5:B6"/>
    <mergeCell ref="C5:F5"/>
    <mergeCell ref="A1:B1"/>
    <mergeCell ref="C1:J1"/>
    <mergeCell ref="K1:N1"/>
    <mergeCell ref="L2:M2"/>
    <mergeCell ref="P2:Q2"/>
    <mergeCell ref="D2:E2"/>
    <mergeCell ref="B3:B4"/>
    <mergeCell ref="D3:E4"/>
    <mergeCell ref="F3:K4"/>
    <mergeCell ref="L3:M4"/>
    <mergeCell ref="P3:P5"/>
    <mergeCell ref="Q3:Q5"/>
    <mergeCell ref="G5:I5"/>
    <mergeCell ref="J5:L5"/>
    <mergeCell ref="M5:N5"/>
    <mergeCell ref="N3:N4"/>
    <mergeCell ref="BB2:BC2"/>
    <mergeCell ref="V2:X2"/>
    <mergeCell ref="BH5:BK5"/>
    <mergeCell ref="BM5:BM6"/>
    <mergeCell ref="BN5:BQ5"/>
    <mergeCell ref="BG2:BI2"/>
    <mergeCell ref="BM2:BO2"/>
    <mergeCell ref="V3:X4"/>
    <mergeCell ref="AP3:AZ3"/>
    <mergeCell ref="BF5:BF6"/>
    <mergeCell ref="BM3:BO3"/>
    <mergeCell ref="BL5:BL6"/>
    <mergeCell ref="BG3:BI3"/>
    <mergeCell ref="BB3:BC3"/>
    <mergeCell ref="BC5:BE5"/>
    <mergeCell ref="Y2:AG2"/>
    <mergeCell ref="AH2:AI2"/>
    <mergeCell ref="AL2:AM2"/>
    <mergeCell ref="AP2:AZ2"/>
    <mergeCell ref="Y3:AG4"/>
    <mergeCell ref="AH3:AI4"/>
    <mergeCell ref="AJ3:AJ4"/>
    <mergeCell ref="AW4:AZ4"/>
    <mergeCell ref="S258:T258"/>
    <mergeCell ref="AM3:AM5"/>
    <mergeCell ref="AW19:AZ19"/>
    <mergeCell ref="AW35:AX35"/>
    <mergeCell ref="AL3:AL5"/>
    <mergeCell ref="AH5:AJ5"/>
    <mergeCell ref="T5:T6"/>
    <mergeCell ref="U5:X5"/>
    <mergeCell ref="Y5:AA5"/>
    <mergeCell ref="AB5:AD5"/>
    <mergeCell ref="AE5:AG5"/>
    <mergeCell ref="T3:T4"/>
    <mergeCell ref="S5:S6"/>
  </mergeCells>
  <conditionalFormatting sqref="B5:B7">
    <cfRule type="expression" dxfId="5" priority="1" stopIfTrue="1">
      <formula>$B$5="OJO - RECUERDE RECAUDAR LA DISPONIBLIDAD INICIAL EN ESTE TRIMESTRE, haga clik en H9 para ampliar la información"</formula>
    </cfRule>
  </conditionalFormatting>
  <printOptions horizontalCentered="1" verticalCentered="1"/>
  <pageMargins left="0.59055118110236227" right="0.59055118110236227" top="0.43307086614173229" bottom="0.39370078740157483" header="0" footer="0"/>
  <pageSetup paperSize="14" scale="50" orientation="landscape" r:id="rId1"/>
  <headerFooter>
    <oddFooter>&amp;CPágina &amp;P de</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Q263"/>
  <sheetViews>
    <sheetView showGridLines="0" topLeftCell="U252" zoomScale="124" zoomScaleNormal="124" workbookViewId="0">
      <selection activeCell="AF263" sqref="AF263"/>
    </sheetView>
  </sheetViews>
  <sheetFormatPr baseColWidth="10" defaultColWidth="14.42578125" defaultRowHeight="15" customHeight="1"/>
  <cols>
    <col min="1" max="1" width="29.5703125" customWidth="1"/>
    <col min="2" max="2" width="50.5703125" customWidth="1"/>
    <col min="3" max="3" width="17.42578125" customWidth="1"/>
    <col min="4" max="4" width="16.140625" customWidth="1"/>
    <col min="5" max="5" width="14.42578125" customWidth="1"/>
    <col min="6" max="6" width="17.5703125" customWidth="1"/>
    <col min="7" max="8" width="14.42578125" customWidth="1"/>
    <col min="9" max="9" width="16.5703125" customWidth="1"/>
    <col min="10" max="12" width="14.42578125" customWidth="1"/>
    <col min="13" max="14" width="16.7109375" customWidth="1"/>
    <col min="15" max="15" width="2.85546875" customWidth="1"/>
    <col min="16" max="17" width="23.7109375" customWidth="1"/>
    <col min="18" max="18" width="5.42578125" customWidth="1"/>
    <col min="19" max="19" width="22.5703125" customWidth="1"/>
    <col min="20" max="20" width="60.140625" customWidth="1"/>
    <col min="21" max="33" width="14.7109375" customWidth="1"/>
    <col min="34" max="36" width="16.7109375" customWidth="1"/>
    <col min="37" max="37" width="8.85546875" customWidth="1"/>
    <col min="38" max="39" width="23.7109375" customWidth="1"/>
    <col min="40" max="40" width="4.85546875" customWidth="1"/>
    <col min="41" max="41" width="12.28515625" customWidth="1"/>
    <col min="42" max="42" width="56" customWidth="1"/>
    <col min="43" max="45" width="16.85546875" customWidth="1"/>
    <col min="46" max="46" width="12.7109375" customWidth="1"/>
    <col min="47" max="47" width="27.42578125" customWidth="1"/>
    <col min="48" max="48" width="25" customWidth="1"/>
    <col min="49" max="52" width="16.85546875" customWidth="1"/>
    <col min="53" max="53" width="11" customWidth="1"/>
    <col min="54" max="54" width="65.140625" customWidth="1"/>
    <col min="55" max="57" width="18.85546875" customWidth="1"/>
    <col min="58" max="58" width="16.85546875" customWidth="1"/>
    <col min="59" max="59" width="72.7109375" customWidth="1"/>
    <col min="60" max="63" width="17.5703125" customWidth="1"/>
    <col min="64" max="64" width="18" customWidth="1"/>
    <col min="65" max="65" width="76" customWidth="1"/>
    <col min="66" max="66" width="19.7109375" customWidth="1"/>
    <col min="67" max="67" width="17.7109375" customWidth="1"/>
    <col min="68" max="68" width="18.7109375" customWidth="1"/>
    <col min="69" max="69" width="17.85546875" customWidth="1"/>
    <col min="70" max="70" width="11" customWidth="1"/>
  </cols>
  <sheetData>
    <row r="1" spans="1:69" ht="24.75" customHeight="1" thickBot="1">
      <c r="A1" s="1447"/>
      <c r="B1" s="1366"/>
      <c r="C1" s="1448"/>
      <c r="D1" s="1365"/>
      <c r="E1" s="1365"/>
      <c r="F1" s="1365"/>
      <c r="G1" s="1365"/>
      <c r="H1" s="1365"/>
      <c r="I1" s="1365"/>
      <c r="J1" s="1366"/>
      <c r="K1" s="1364" t="str">
        <f>+IF(L8&gt;I8,"OJO - SUS RECAUDOS SON SUPERIORES A SUS RECONOCIMIENTOS, VERIFIQUE","")</f>
        <v/>
      </c>
      <c r="L1" s="1365"/>
      <c r="M1" s="1365"/>
      <c r="N1" s="1366"/>
      <c r="O1" s="31"/>
      <c r="P1" s="32"/>
      <c r="Q1" s="32"/>
      <c r="R1" s="31"/>
      <c r="S1" s="33"/>
      <c r="T1" s="34"/>
      <c r="U1" s="35" t="str">
        <f>+IF(AA8&gt;X8,"OJO - HA COMPROMETIDO MUCHO MAS DE LO QUE TIENE PRESUPUESTADO","")</f>
        <v/>
      </c>
      <c r="V1" s="31"/>
      <c r="W1" s="31"/>
      <c r="X1" s="35"/>
      <c r="Y1" s="35" t="str">
        <f>+IF(AD8&gt;AA8,"OJO - SUS OBLIGACIONES SUPERAN SUS COMPROMISOS, VERIFIQUE","")</f>
        <v/>
      </c>
      <c r="Z1" s="31"/>
      <c r="AA1" s="31"/>
      <c r="AB1" s="31"/>
      <c r="AC1" s="35" t="str">
        <f>+IF(AG8&gt;AD8,"OJO - SUS PAGOS NO PUEDEN SUPERAR SUS OBLIGACIONES, VERIFIQUE","")</f>
        <v/>
      </c>
      <c r="AD1" s="31"/>
      <c r="AE1" s="31"/>
      <c r="AF1" s="31"/>
      <c r="AG1" s="31"/>
      <c r="AH1" s="31"/>
      <c r="AI1" s="31"/>
      <c r="AJ1" s="31"/>
      <c r="AK1" s="36"/>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r="2" spans="1:69" ht="53.25" customHeight="1" thickBot="1">
      <c r="A2" s="524"/>
      <c r="B2" s="45" t="str">
        <f>+ENERO!B2</f>
        <v>SECRETARIA SECCIONAL DE SALUD Y PROTECCION SOCIAL DE ANTIOQUIA DE ANTIOQUIA</v>
      </c>
      <c r="C2" s="39"/>
      <c r="D2" s="1346" t="str">
        <f>+IF(F2="","","MUNICIPIO:")</f>
        <v>MUNICIPIO:</v>
      </c>
      <c r="E2" s="1327"/>
      <c r="F2" s="40" t="str">
        <f>IF(INSTRUCCIONES!B3=0,"",INSTRUCCIONES!B3)</f>
        <v>BELLO</v>
      </c>
      <c r="G2" s="41"/>
      <c r="H2" s="41"/>
      <c r="I2" s="41"/>
      <c r="J2" s="41"/>
      <c r="K2" s="42"/>
      <c r="L2" s="1368" t="s">
        <v>37</v>
      </c>
      <c r="M2" s="1340"/>
      <c r="N2" s="43" t="s">
        <v>38</v>
      </c>
      <c r="O2" s="31"/>
      <c r="P2" s="1341" t="s">
        <v>346</v>
      </c>
      <c r="Q2" s="1338"/>
      <c r="R2" s="31"/>
      <c r="S2" s="44"/>
      <c r="T2" s="45" t="str">
        <f>+ENERO!T2</f>
        <v>SECRETARIA SECCIONAL DE SALUD Y PROTECCION SOCIAL DE ANTIOQUIA DE ANTIOQUIA</v>
      </c>
      <c r="U2" s="39"/>
      <c r="V2" s="1369" t="str">
        <f>+IF(Y2="","","M U N I C I P I O:")</f>
        <v>M U N I C I P I O:</v>
      </c>
      <c r="W2" s="1337"/>
      <c r="X2" s="1327"/>
      <c r="Y2" s="1336" t="str">
        <f>IF(INSTRUCCIONES!B3=0,"",INSTRUCCIONES!B3)</f>
        <v>BELLO</v>
      </c>
      <c r="Z2" s="1337"/>
      <c r="AA2" s="1337"/>
      <c r="AB2" s="1337"/>
      <c r="AC2" s="1337"/>
      <c r="AD2" s="1337"/>
      <c r="AE2" s="1337"/>
      <c r="AF2" s="1337"/>
      <c r="AG2" s="1338"/>
      <c r="AH2" s="1339" t="s">
        <v>37</v>
      </c>
      <c r="AI2" s="1340"/>
      <c r="AJ2" s="43" t="s">
        <v>38</v>
      </c>
      <c r="AK2" s="36"/>
      <c r="AL2" s="1423" t="s">
        <v>346</v>
      </c>
      <c r="AM2" s="1338"/>
      <c r="AN2" s="31"/>
      <c r="AO2" s="46">
        <v>8</v>
      </c>
      <c r="AP2" s="1342" t="s">
        <v>40</v>
      </c>
      <c r="AQ2" s="1322"/>
      <c r="AR2" s="1322"/>
      <c r="AS2" s="1322"/>
      <c r="AT2" s="1322"/>
      <c r="AU2" s="1322"/>
      <c r="AV2" s="1322"/>
      <c r="AW2" s="1322"/>
      <c r="AX2" s="1322"/>
      <c r="AY2" s="1322"/>
      <c r="AZ2" s="1323"/>
      <c r="BA2" s="31"/>
      <c r="BB2" s="1341" t="s">
        <v>41</v>
      </c>
      <c r="BC2" s="1327"/>
      <c r="BD2" s="47" t="s">
        <v>37</v>
      </c>
      <c r="BE2" s="43" t="str">
        <f>+L3</f>
        <v>AGOSTO</v>
      </c>
      <c r="BF2" s="35"/>
      <c r="BG2" s="1341" t="s">
        <v>42</v>
      </c>
      <c r="BH2" s="1337"/>
      <c r="BI2" s="1327"/>
      <c r="BJ2" s="47" t="s">
        <v>37</v>
      </c>
      <c r="BK2" s="43" t="str">
        <f>+BE2</f>
        <v>AGOSTO</v>
      </c>
      <c r="BL2" s="31"/>
      <c r="BM2" s="1343" t="s">
        <v>42</v>
      </c>
      <c r="BN2" s="1344"/>
      <c r="BO2" s="1345"/>
      <c r="BP2" s="732" t="s">
        <v>37</v>
      </c>
      <c r="BQ2" s="733" t="str">
        <f>+BK2</f>
        <v>AGOSTO</v>
      </c>
    </row>
    <row r="3" spans="1:69" ht="24.75" customHeight="1" thickBot="1">
      <c r="A3" s="525"/>
      <c r="B3" s="1332" t="s">
        <v>43</v>
      </c>
      <c r="C3" s="49"/>
      <c r="D3" s="1347" t="str">
        <f>+IF(F3="","","INSTITUCION:")</f>
        <v>INSTITUCION:</v>
      </c>
      <c r="E3" s="1348"/>
      <c r="F3" s="1308" t="str">
        <f>IF(INSTRUCCIONES!B5=0,"",INSTRUCCIONES!B5)</f>
        <v>ESE HOSPITAL MARCO FIDEL SUAREZ</v>
      </c>
      <c r="G3" s="1309"/>
      <c r="H3" s="1309"/>
      <c r="I3" s="1309"/>
      <c r="J3" s="1309"/>
      <c r="K3" s="1310"/>
      <c r="L3" s="1312" t="s">
        <v>387</v>
      </c>
      <c r="M3" s="1313"/>
      <c r="N3" s="1331">
        <f>SUM(ENERO!N3)</f>
        <v>2025</v>
      </c>
      <c r="O3" s="31"/>
      <c r="P3" s="1315" t="s">
        <v>388</v>
      </c>
      <c r="Q3" s="1318" t="s">
        <v>389</v>
      </c>
      <c r="R3" s="31"/>
      <c r="S3" s="50"/>
      <c r="T3" s="1332" t="s">
        <v>47</v>
      </c>
      <c r="U3" s="51"/>
      <c r="V3" s="1357" t="str">
        <f>+IF(Y3="","","E.S.E. H O S P I T A L:")</f>
        <v>E.S.E. H O S P I T A L:</v>
      </c>
      <c r="W3" s="1309"/>
      <c r="X3" s="1348"/>
      <c r="Y3" s="1308" t="str">
        <f>IF(INSTRUCCIONES!B5=0,"",INSTRUCCIONES!B5)</f>
        <v>ESE HOSPITAL MARCO FIDEL SUAREZ</v>
      </c>
      <c r="Z3" s="1309"/>
      <c r="AA3" s="1309"/>
      <c r="AB3" s="1309"/>
      <c r="AC3" s="1309"/>
      <c r="AD3" s="1309"/>
      <c r="AE3" s="1309"/>
      <c r="AF3" s="1309"/>
      <c r="AG3" s="1310"/>
      <c r="AH3" s="1334" t="str">
        <f>+L3</f>
        <v>AGOSTO</v>
      </c>
      <c r="AI3" s="1313"/>
      <c r="AJ3" s="1331">
        <f>SUM(N3)</f>
        <v>2025</v>
      </c>
      <c r="AK3" s="36"/>
      <c r="AL3" s="1397" t="s">
        <v>349</v>
      </c>
      <c r="AM3" s="1400" t="s">
        <v>348</v>
      </c>
      <c r="AN3" s="31"/>
      <c r="AO3" s="52"/>
      <c r="AP3" s="1373" t="s">
        <v>50</v>
      </c>
      <c r="AQ3" s="1374"/>
      <c r="AR3" s="1374"/>
      <c r="AS3" s="1374"/>
      <c r="AT3" s="1374"/>
      <c r="AU3" s="1374"/>
      <c r="AV3" s="1374"/>
      <c r="AW3" s="1374"/>
      <c r="AX3" s="1374"/>
      <c r="AY3" s="1374"/>
      <c r="AZ3" s="1375"/>
      <c r="BA3" s="31"/>
      <c r="BB3" s="1376" t="str">
        <f>+CONCATENATE(INSTRUCCIONES!B5, " - ", INSTRUCCIONES!B3)</f>
        <v>ESE HOSPITAL MARCO FIDEL SUAREZ - BELLO</v>
      </c>
      <c r="BC3" s="1377"/>
      <c r="BD3" s="53" t="s">
        <v>38</v>
      </c>
      <c r="BE3" s="54">
        <f>+N3</f>
        <v>2025</v>
      </c>
      <c r="BF3" s="55" t="s">
        <v>51</v>
      </c>
      <c r="BG3" s="1376" t="str">
        <f>+CONCATENATE(INSTRUCCIONES!B5, " - ", INSTRUCCIONES!B3)</f>
        <v>ESE HOSPITAL MARCO FIDEL SUAREZ - BELLO</v>
      </c>
      <c r="BH3" s="1378"/>
      <c r="BI3" s="1377"/>
      <c r="BJ3" s="53" t="s">
        <v>38</v>
      </c>
      <c r="BK3" s="54">
        <f>+BE3</f>
        <v>2025</v>
      </c>
      <c r="BL3" s="31"/>
      <c r="BM3" s="1379" t="str">
        <f>+CONCATENATE(INSTRUCCIONES!B5, " - ", INSTRUCCIONES!B3)</f>
        <v>ESE HOSPITAL MARCO FIDEL SUAREZ - BELLO</v>
      </c>
      <c r="BN3" s="1380"/>
      <c r="BO3" s="1381"/>
      <c r="BP3" s="53" t="s">
        <v>38</v>
      </c>
      <c r="BQ3" s="734">
        <f>+BK3</f>
        <v>2025</v>
      </c>
    </row>
    <row r="4" spans="1:69" ht="24.75" customHeight="1" thickBot="1">
      <c r="A4" s="525"/>
      <c r="B4" s="1363"/>
      <c r="C4" s="56"/>
      <c r="D4" s="1311"/>
      <c r="E4" s="1349"/>
      <c r="F4" s="1311"/>
      <c r="G4" s="1295"/>
      <c r="H4" s="1295"/>
      <c r="I4" s="1295"/>
      <c r="J4" s="1295"/>
      <c r="K4" s="1296"/>
      <c r="L4" s="1300"/>
      <c r="M4" s="1314"/>
      <c r="N4" s="1320"/>
      <c r="O4" s="31"/>
      <c r="P4" s="1316"/>
      <c r="Q4" s="1319"/>
      <c r="R4" s="31"/>
      <c r="S4" s="50"/>
      <c r="T4" s="1333"/>
      <c r="U4" s="56"/>
      <c r="V4" s="1311"/>
      <c r="W4" s="1295"/>
      <c r="X4" s="1349"/>
      <c r="Y4" s="1311"/>
      <c r="Z4" s="1295"/>
      <c r="AA4" s="1295"/>
      <c r="AB4" s="1295"/>
      <c r="AC4" s="1295"/>
      <c r="AD4" s="1295"/>
      <c r="AE4" s="1295"/>
      <c r="AF4" s="1295"/>
      <c r="AG4" s="1296"/>
      <c r="AH4" s="1311"/>
      <c r="AI4" s="1314"/>
      <c r="AJ4" s="1320"/>
      <c r="AK4" s="36"/>
      <c r="AL4" s="1398"/>
      <c r="AM4" s="1401"/>
      <c r="AN4" s="31"/>
      <c r="AO4" s="52"/>
      <c r="AP4" s="57"/>
      <c r="AQ4" s="58" t="s">
        <v>52</v>
      </c>
      <c r="AR4" s="58" t="s">
        <v>53</v>
      </c>
      <c r="AS4" s="58" t="s">
        <v>54</v>
      </c>
      <c r="AT4" s="58" t="s">
        <v>55</v>
      </c>
      <c r="AU4" s="58" t="s">
        <v>55</v>
      </c>
      <c r="AV4" s="59" t="s">
        <v>55</v>
      </c>
      <c r="AW4" s="1382" t="str">
        <f>+CONCATENATE("PROYECCION A DICIEMBRE 31 DEL ",N3)</f>
        <v>PROYECCION A DICIEMBRE 31 DEL 2025</v>
      </c>
      <c r="AX4" s="1374"/>
      <c r="AY4" s="1374"/>
      <c r="AZ4" s="1375"/>
      <c r="BA4" s="31"/>
      <c r="BB4" s="60"/>
      <c r="BC4" s="61"/>
      <c r="BD4" s="61"/>
      <c r="BE4" s="63"/>
      <c r="BF4" s="64"/>
      <c r="BG4" s="60"/>
      <c r="BH4" s="61"/>
      <c r="BI4" s="61"/>
      <c r="BJ4" s="62"/>
      <c r="BK4" s="65"/>
      <c r="BL4" s="66"/>
      <c r="BM4" s="735"/>
      <c r="BN4" s="736"/>
      <c r="BO4" s="737"/>
      <c r="BP4" s="737"/>
      <c r="BQ4" s="738"/>
    </row>
    <row r="5" spans="1:69" ht="42" customHeight="1" thickTop="1" thickBot="1">
      <c r="A5" s="1446" t="s">
        <v>56</v>
      </c>
      <c r="B5" s="1359" t="s">
        <v>61</v>
      </c>
      <c r="C5" s="1354" t="s">
        <v>57</v>
      </c>
      <c r="D5" s="1322"/>
      <c r="E5" s="1322"/>
      <c r="F5" s="1323"/>
      <c r="G5" s="1321" t="s">
        <v>390</v>
      </c>
      <c r="H5" s="1322"/>
      <c r="I5" s="1323"/>
      <c r="J5" s="1324" t="str">
        <f>+IF(L8&gt;I8,"OJO - RECAUDOS MAYORES QUE RECONOCIMIENTOS","RECAUDO")</f>
        <v>RECAUDO</v>
      </c>
      <c r="K5" s="1322"/>
      <c r="L5" s="1323"/>
      <c r="M5" s="1325" t="s">
        <v>59</v>
      </c>
      <c r="N5" s="1323"/>
      <c r="O5" s="31"/>
      <c r="P5" s="1317"/>
      <c r="Q5" s="1320"/>
      <c r="R5" s="31"/>
      <c r="S5" s="1452" t="s">
        <v>60</v>
      </c>
      <c r="T5" s="1359" t="s">
        <v>61</v>
      </c>
      <c r="U5" s="1360" t="s">
        <v>57</v>
      </c>
      <c r="V5" s="1322"/>
      <c r="W5" s="1322"/>
      <c r="X5" s="1323"/>
      <c r="Y5" s="1335" t="s">
        <v>391</v>
      </c>
      <c r="Z5" s="1322"/>
      <c r="AA5" s="1340"/>
      <c r="AB5" s="1335" t="s">
        <v>392</v>
      </c>
      <c r="AC5" s="1322"/>
      <c r="AD5" s="1323"/>
      <c r="AE5" s="1335" t="s">
        <v>34</v>
      </c>
      <c r="AF5" s="1322"/>
      <c r="AG5" s="1323"/>
      <c r="AH5" s="1335" t="s">
        <v>64</v>
      </c>
      <c r="AI5" s="1322"/>
      <c r="AJ5" s="1323"/>
      <c r="AK5" s="36"/>
      <c r="AL5" s="1399"/>
      <c r="AM5" s="1396"/>
      <c r="AN5" s="31"/>
      <c r="AO5" s="68"/>
      <c r="AP5" s="69" t="s">
        <v>65</v>
      </c>
      <c r="AQ5" s="58"/>
      <c r="AR5" s="58" t="s">
        <v>66</v>
      </c>
      <c r="AS5" s="58" t="s">
        <v>66</v>
      </c>
      <c r="AT5" s="58" t="s">
        <v>67</v>
      </c>
      <c r="AU5" s="58" t="s">
        <v>68</v>
      </c>
      <c r="AV5" s="58" t="s">
        <v>68</v>
      </c>
      <c r="AW5" s="58" t="s">
        <v>23</v>
      </c>
      <c r="AX5" s="58" t="s">
        <v>26</v>
      </c>
      <c r="AY5" s="58" t="s">
        <v>69</v>
      </c>
      <c r="AZ5" s="70" t="s">
        <v>69</v>
      </c>
      <c r="BA5" s="31"/>
      <c r="BB5" s="71" t="s">
        <v>70</v>
      </c>
      <c r="BC5" s="1445" t="str">
        <f>+CONCATENATE("ACUMULADO ",N3)</f>
        <v>ACUMULADO 2025</v>
      </c>
      <c r="BD5" s="1322"/>
      <c r="BE5" s="1323"/>
      <c r="BF5" s="1440" t="s">
        <v>352</v>
      </c>
      <c r="BG5" s="549" t="s">
        <v>71</v>
      </c>
      <c r="BH5" s="1361" t="str">
        <f>+CONCATENATE("ACUMULADO ",N3)</f>
        <v>ACUMULADO 2025</v>
      </c>
      <c r="BI5" s="1322"/>
      <c r="BJ5" s="1322"/>
      <c r="BK5" s="1442"/>
      <c r="BL5" s="1443" t="s">
        <v>353</v>
      </c>
      <c r="BM5" s="1384" t="s">
        <v>71</v>
      </c>
      <c r="BN5" s="1370" t="str">
        <f>+CONCATENATE("ACUMULADO ",BQ3)</f>
        <v>ACUMULADO 2025</v>
      </c>
      <c r="BO5" s="1371"/>
      <c r="BP5" s="1371"/>
      <c r="BQ5" s="1372"/>
    </row>
    <row r="6" spans="1:69" ht="24.75" customHeight="1" thickBot="1">
      <c r="A6" s="1398"/>
      <c r="B6" s="1401"/>
      <c r="C6" s="76" t="s">
        <v>72</v>
      </c>
      <c r="D6" s="77" t="s">
        <v>73</v>
      </c>
      <c r="E6" s="77" t="s">
        <v>74</v>
      </c>
      <c r="F6" s="78" t="s">
        <v>75</v>
      </c>
      <c r="G6" s="76" t="s">
        <v>76</v>
      </c>
      <c r="H6" s="77" t="s">
        <v>77</v>
      </c>
      <c r="I6" s="78" t="s">
        <v>78</v>
      </c>
      <c r="J6" s="76" t="s">
        <v>76</v>
      </c>
      <c r="K6" s="77" t="s">
        <v>77</v>
      </c>
      <c r="L6" s="78" t="s">
        <v>78</v>
      </c>
      <c r="M6" s="76" t="s">
        <v>79</v>
      </c>
      <c r="N6" s="78" t="s">
        <v>80</v>
      </c>
      <c r="O6" s="31"/>
      <c r="P6" s="79" t="s">
        <v>39</v>
      </c>
      <c r="Q6" s="80" t="s">
        <v>82</v>
      </c>
      <c r="R6" s="31"/>
      <c r="S6" s="1317"/>
      <c r="T6" s="1320"/>
      <c r="U6" s="81" t="s">
        <v>72</v>
      </c>
      <c r="V6" s="82" t="s">
        <v>73</v>
      </c>
      <c r="W6" s="82" t="s">
        <v>74</v>
      </c>
      <c r="X6" s="83" t="s">
        <v>75</v>
      </c>
      <c r="Y6" s="84" t="s">
        <v>76</v>
      </c>
      <c r="Z6" s="82" t="s">
        <v>77</v>
      </c>
      <c r="AA6" s="82" t="s">
        <v>78</v>
      </c>
      <c r="AB6" s="84" t="s">
        <v>76</v>
      </c>
      <c r="AC6" s="82" t="s">
        <v>77</v>
      </c>
      <c r="AD6" s="82" t="s">
        <v>78</v>
      </c>
      <c r="AE6" s="84" t="s">
        <v>76</v>
      </c>
      <c r="AF6" s="82" t="s">
        <v>77</v>
      </c>
      <c r="AG6" s="82" t="s">
        <v>78</v>
      </c>
      <c r="AH6" s="84" t="s">
        <v>29</v>
      </c>
      <c r="AI6" s="82" t="s">
        <v>31</v>
      </c>
      <c r="AJ6" s="83" t="s">
        <v>34</v>
      </c>
      <c r="AK6" s="36"/>
      <c r="AL6" s="76" t="s">
        <v>39</v>
      </c>
      <c r="AM6" s="78" t="s">
        <v>82</v>
      </c>
      <c r="AN6" s="31"/>
      <c r="AO6" s="85"/>
      <c r="AP6" s="86"/>
      <c r="AQ6" s="87" t="s">
        <v>75</v>
      </c>
      <c r="AR6" s="87" t="str">
        <f>+L3</f>
        <v>AGOSTO</v>
      </c>
      <c r="AS6" s="87" t="str">
        <f>AR6</f>
        <v>AGOSTO</v>
      </c>
      <c r="AT6" s="87" t="str">
        <f>AR6</f>
        <v>AGOSTO</v>
      </c>
      <c r="AU6" s="87" t="s">
        <v>53</v>
      </c>
      <c r="AV6" s="87" t="s">
        <v>26</v>
      </c>
      <c r="AW6" s="87"/>
      <c r="AX6" s="87"/>
      <c r="AY6" s="87" t="s">
        <v>53</v>
      </c>
      <c r="AZ6" s="88" t="s">
        <v>26</v>
      </c>
      <c r="BA6" s="31"/>
      <c r="BB6" s="89"/>
      <c r="BC6" s="90" t="s">
        <v>83</v>
      </c>
      <c r="BD6" s="91" t="s">
        <v>84</v>
      </c>
      <c r="BE6" s="92" t="s">
        <v>85</v>
      </c>
      <c r="BF6" s="1441"/>
      <c r="BG6" s="550"/>
      <c r="BH6" s="551" t="s">
        <v>83</v>
      </c>
      <c r="BI6" s="551" t="s">
        <v>86</v>
      </c>
      <c r="BJ6" s="551" t="s">
        <v>87</v>
      </c>
      <c r="BK6" s="552" t="s">
        <v>88</v>
      </c>
      <c r="BL6" s="1444"/>
      <c r="BM6" s="1385"/>
      <c r="BN6" s="96" t="s">
        <v>83</v>
      </c>
      <c r="BO6" s="739" t="s">
        <v>86</v>
      </c>
      <c r="BP6" s="739" t="s">
        <v>87</v>
      </c>
      <c r="BQ6" s="740" t="s">
        <v>88</v>
      </c>
    </row>
    <row r="7" spans="1:69" ht="24.75" customHeight="1" thickBot="1">
      <c r="A7" s="526"/>
      <c r="B7" s="103"/>
      <c r="C7" s="104"/>
      <c r="D7" s="104"/>
      <c r="E7" s="104"/>
      <c r="F7" s="104"/>
      <c r="G7" s="104"/>
      <c r="H7" s="104"/>
      <c r="I7" s="104"/>
      <c r="J7" s="104"/>
      <c r="K7" s="104"/>
      <c r="L7" s="104"/>
      <c r="M7" s="104"/>
      <c r="N7" s="105"/>
      <c r="O7" s="31"/>
      <c r="P7" s="527"/>
      <c r="Q7" s="105"/>
      <c r="R7" s="101"/>
      <c r="S7" s="102"/>
      <c r="T7" s="103"/>
      <c r="U7" s="104"/>
      <c r="V7" s="104"/>
      <c r="W7" s="104"/>
      <c r="X7" s="104"/>
      <c r="Y7" s="104"/>
      <c r="Z7" s="104"/>
      <c r="AA7" s="104"/>
      <c r="AB7" s="104"/>
      <c r="AC7" s="104"/>
      <c r="AD7" s="104"/>
      <c r="AE7" s="104"/>
      <c r="AF7" s="104"/>
      <c r="AG7" s="104"/>
      <c r="AH7" s="104"/>
      <c r="AI7" s="104"/>
      <c r="AJ7" s="105"/>
      <c r="AK7" s="36"/>
      <c r="AL7" s="106"/>
      <c r="AM7" s="107"/>
      <c r="AN7" s="101"/>
      <c r="AO7" s="108"/>
      <c r="AP7" s="109" t="s">
        <v>89</v>
      </c>
      <c r="AQ7" s="110">
        <f>F22</f>
        <v>62813118010.586876</v>
      </c>
      <c r="AR7" s="110">
        <f>I22</f>
        <v>62042884275</v>
      </c>
      <c r="AS7" s="110">
        <f>L22</f>
        <v>38028324177</v>
      </c>
      <c r="AT7" s="101"/>
      <c r="AU7" s="111">
        <f t="shared" ref="AU7:AU17" si="0">IF(AQ7=0," ",AR7/AQ7)</f>
        <v>0.98773769301729208</v>
      </c>
      <c r="AV7" s="111">
        <f t="shared" ref="AV7:AV17" si="1">IF(AQ7=0," ",AS7/AQ7)</f>
        <v>0.60542009983631906</v>
      </c>
      <c r="AW7" s="110">
        <f>I23/AO$2*12+I24</f>
        <v>84967755527.5</v>
      </c>
      <c r="AX7" s="110">
        <f>L23/AO$2*12+L24</f>
        <v>48945915380.5</v>
      </c>
      <c r="AY7" s="110">
        <f t="shared" ref="AY7:AY16" si="2">AW7-AQ7</f>
        <v>22154637516.913124</v>
      </c>
      <c r="AZ7" s="112">
        <f t="shared" ref="AZ7:AZ16" si="3">AX7-AQ7</f>
        <v>-13867202630.086876</v>
      </c>
      <c r="BA7" s="101"/>
      <c r="BB7" s="113" t="s">
        <v>90</v>
      </c>
      <c r="BC7" s="114">
        <f>F10</f>
        <v>1179477265</v>
      </c>
      <c r="BD7" s="115">
        <f>I10</f>
        <v>1179477265</v>
      </c>
      <c r="BE7" s="116">
        <f>K10</f>
        <v>0</v>
      </c>
      <c r="BF7" s="553">
        <f>MARZO!BF7+ABRIL!BE7+MAYO!BE7+JUNIO!BE7</f>
        <v>1179477265</v>
      </c>
      <c r="BG7" s="227" t="s">
        <v>91</v>
      </c>
      <c r="BH7" s="554">
        <f>+SUM(BH8:BH11)</f>
        <v>102591667543.61127</v>
      </c>
      <c r="BI7" s="554">
        <f>+SUM(BI8:BI11)</f>
        <v>80634902967</v>
      </c>
      <c r="BJ7" s="554">
        <f>+SUM(BJ8:BJ11)</f>
        <v>63597586832</v>
      </c>
      <c r="BK7" s="554">
        <f>+SUM(BK8:BK11)</f>
        <v>7186291130</v>
      </c>
      <c r="BL7" s="555">
        <f>+BK7+MAYO!BK7+ABRIL!BK7+MARZO!BL7</f>
        <v>25457471074</v>
      </c>
      <c r="BM7" s="741" t="s">
        <v>91</v>
      </c>
      <c r="BN7" s="121">
        <f>BN8+BN15+BN22</f>
        <v>102591667543.6113</v>
      </c>
      <c r="BO7" s="121">
        <f>BO8+BO15+BO22</f>
        <v>80634902967</v>
      </c>
      <c r="BP7" s="121">
        <f>BP8+BP15+BP22</f>
        <v>63597586832</v>
      </c>
      <c r="BQ7" s="121">
        <f>BQ8+BQ15+BQ22</f>
        <v>7186291130</v>
      </c>
    </row>
    <row r="8" spans="1:69" ht="24.75" customHeight="1" thickBot="1">
      <c r="A8" s="123">
        <f>+IF(JULIO!A8=0,"",JULIO!A8)</f>
        <v>1</v>
      </c>
      <c r="B8" s="124" t="str">
        <f>+IF(JULIO!B8=0,"",JULIO!B8)</f>
        <v>INGRESOS</v>
      </c>
      <c r="C8" s="125">
        <f t="shared" ref="C8:N8" si="4">C10+C17+C113</f>
        <v>158143153137.47653</v>
      </c>
      <c r="D8" s="125">
        <f t="shared" si="4"/>
        <v>0</v>
      </c>
      <c r="E8" s="125">
        <f t="shared" si="4"/>
        <v>49616199475</v>
      </c>
      <c r="F8" s="125">
        <f t="shared" si="4"/>
        <v>207759352612.47653</v>
      </c>
      <c r="G8" s="125">
        <f t="shared" si="4"/>
        <v>147770795543</v>
      </c>
      <c r="H8" s="125">
        <f t="shared" si="4"/>
        <v>20099825555</v>
      </c>
      <c r="I8" s="125">
        <f t="shared" si="4"/>
        <v>167870621098</v>
      </c>
      <c r="J8" s="125">
        <f t="shared" si="4"/>
        <v>87654970203</v>
      </c>
      <c r="K8" s="125">
        <f t="shared" si="4"/>
        <v>11398266547</v>
      </c>
      <c r="L8" s="125">
        <f t="shared" si="4"/>
        <v>99053236750</v>
      </c>
      <c r="M8" s="125">
        <f t="shared" si="4"/>
        <v>39888731514.476517</v>
      </c>
      <c r="N8" s="125">
        <f t="shared" si="4"/>
        <v>108706115862.47652</v>
      </c>
      <c r="O8" s="126"/>
      <c r="P8" s="127">
        <f>P10+P17+P113</f>
        <v>0</v>
      </c>
      <c r="Q8" s="128">
        <f>Q10+Q17+Q113</f>
        <v>19953819083</v>
      </c>
      <c r="R8" s="101"/>
      <c r="S8" s="129" t="str">
        <f>+IF(JULIO!S8=0,"",JULIO!S8)</f>
        <v>2</v>
      </c>
      <c r="T8" s="130" t="str">
        <f>+IF(JULIO!T8=0,"",JULIO!T8)</f>
        <v>GASTOS</v>
      </c>
      <c r="U8" s="131">
        <f t="shared" ref="U8:AJ8" si="5">U10+U192+U219+U231</f>
        <v>158143153137.16666</v>
      </c>
      <c r="V8" s="132">
        <f t="shared" si="5"/>
        <v>0</v>
      </c>
      <c r="W8" s="132">
        <f t="shared" si="5"/>
        <v>49616199475</v>
      </c>
      <c r="X8" s="133">
        <f t="shared" si="5"/>
        <v>207759352612.16666</v>
      </c>
      <c r="Y8" s="134">
        <f t="shared" si="5"/>
        <v>157323799351</v>
      </c>
      <c r="Z8" s="132">
        <f t="shared" si="5"/>
        <v>3807344632</v>
      </c>
      <c r="AA8" s="133">
        <f t="shared" si="5"/>
        <v>161131143983</v>
      </c>
      <c r="AB8" s="134">
        <f t="shared" si="5"/>
        <v>120101506356</v>
      </c>
      <c r="AC8" s="132">
        <f t="shared" si="5"/>
        <v>14747701231</v>
      </c>
      <c r="AD8" s="133">
        <f t="shared" si="5"/>
        <v>134849207587</v>
      </c>
      <c r="AE8" s="134">
        <f t="shared" si="5"/>
        <v>84086454171.5</v>
      </c>
      <c r="AF8" s="132">
        <f t="shared" si="5"/>
        <v>9810939909</v>
      </c>
      <c r="AG8" s="133">
        <f t="shared" si="5"/>
        <v>93897394080.5</v>
      </c>
      <c r="AH8" s="134">
        <f t="shared" si="5"/>
        <v>46628208629.166664</v>
      </c>
      <c r="AI8" s="132">
        <f t="shared" si="5"/>
        <v>72910145025.166656</v>
      </c>
      <c r="AJ8" s="135">
        <f t="shared" si="5"/>
        <v>113861958531.66666</v>
      </c>
      <c r="AK8" s="101"/>
      <c r="AL8" s="136">
        <f>AL10+AL192+AL219+AL231</f>
        <v>0</v>
      </c>
      <c r="AM8" s="137">
        <f>AM10+AM192+AM219+AM231</f>
        <v>19953819083</v>
      </c>
      <c r="AN8" s="101"/>
      <c r="AO8" s="108"/>
      <c r="AP8" s="109" t="s">
        <v>93</v>
      </c>
      <c r="AQ8" s="138">
        <f>F25</f>
        <v>110963785244</v>
      </c>
      <c r="AR8" s="138">
        <f>I25</f>
        <v>82066284529</v>
      </c>
      <c r="AS8" s="138">
        <f>L25</f>
        <v>44758342582</v>
      </c>
      <c r="AT8" s="101"/>
      <c r="AU8" s="139">
        <f t="shared" si="0"/>
        <v>0.73957719041886649</v>
      </c>
      <c r="AV8" s="139">
        <f t="shared" si="1"/>
        <v>0.40335991137631239</v>
      </c>
      <c r="AW8" s="138">
        <f>I26/AO$2*12+I27</f>
        <v>108365663373.5</v>
      </c>
      <c r="AX8" s="138">
        <f>L26/AO$2*12+L27</f>
        <v>52403750453</v>
      </c>
      <c r="AY8" s="138">
        <f t="shared" si="2"/>
        <v>-2598121870.5</v>
      </c>
      <c r="AZ8" s="140">
        <f t="shared" si="3"/>
        <v>-58560034791</v>
      </c>
      <c r="BA8" s="101"/>
      <c r="BB8" s="141" t="s">
        <v>94</v>
      </c>
      <c r="BC8" s="142">
        <f>BC9+BC19</f>
        <v>161219767324.37653</v>
      </c>
      <c r="BD8" s="143">
        <f>BD9+BD19</f>
        <v>118896089909</v>
      </c>
      <c r="BE8" s="142">
        <f>SUM(BE9+BE19+BE18)</f>
        <v>8328139216</v>
      </c>
      <c r="BF8" s="553">
        <f>MARZO!BF8+ABRIL!BE8+MAYO!BE8+JUNIO!BE8</f>
        <v>31282077404</v>
      </c>
      <c r="BG8" s="145" t="s">
        <v>95</v>
      </c>
      <c r="BH8" s="146">
        <f>BN9+BN13</f>
        <v>10326167331.212667</v>
      </c>
      <c r="BI8" s="146">
        <f>BO9+BO13</f>
        <v>5516869655</v>
      </c>
      <c r="BJ8" s="146">
        <f>BP9+BP13</f>
        <v>5516869655</v>
      </c>
      <c r="BK8" s="146">
        <f>BQ9+BQ13</f>
        <v>581430696</v>
      </c>
      <c r="BL8" s="555">
        <f>+BK8+MAYO!BK8+ABRIL!BK8+MARZO!BL8</f>
        <v>3820323050</v>
      </c>
      <c r="BM8" s="743" t="s">
        <v>96</v>
      </c>
      <c r="BN8" s="148">
        <f>BN9+BN14+BN13</f>
        <v>80240925987.212677</v>
      </c>
      <c r="BO8" s="146">
        <f>BO9+BO14+BO13</f>
        <v>67373546681</v>
      </c>
      <c r="BP8" s="146">
        <f>BP9+BP14+BP13</f>
        <v>53056894518</v>
      </c>
      <c r="BQ8" s="744">
        <f>BQ9+BQ14+BQ13</f>
        <v>6444870362</v>
      </c>
    </row>
    <row r="9" spans="1:69" ht="24.75" customHeight="1" thickBot="1">
      <c r="A9" s="149"/>
      <c r="B9" s="150"/>
      <c r="C9" s="151"/>
      <c r="D9" s="151"/>
      <c r="E9" s="151"/>
      <c r="F9" s="151"/>
      <c r="G9" s="151"/>
      <c r="H9" s="151"/>
      <c r="I9" s="151"/>
      <c r="J9" s="151"/>
      <c r="K9" s="151"/>
      <c r="L9" s="151"/>
      <c r="M9" s="151"/>
      <c r="N9" s="152"/>
      <c r="O9" s="126"/>
      <c r="P9" s="153"/>
      <c r="Q9" s="152"/>
      <c r="R9" s="101"/>
      <c r="S9" s="102"/>
      <c r="T9" s="103"/>
      <c r="U9" s="104"/>
      <c r="V9" s="104"/>
      <c r="W9" s="104"/>
      <c r="X9" s="104"/>
      <c r="Y9" s="104"/>
      <c r="Z9" s="104"/>
      <c r="AA9" s="104"/>
      <c r="AB9" s="104"/>
      <c r="AC9" s="104"/>
      <c r="AD9" s="104"/>
      <c r="AE9" s="104"/>
      <c r="AF9" s="104"/>
      <c r="AG9" s="104"/>
      <c r="AH9" s="104"/>
      <c r="AI9" s="104"/>
      <c r="AJ9" s="105"/>
      <c r="AK9" s="101"/>
      <c r="AL9" s="154"/>
      <c r="AM9" s="155"/>
      <c r="AN9" s="101"/>
      <c r="AO9" s="156"/>
      <c r="AP9" s="109" t="s">
        <v>97</v>
      </c>
      <c r="AQ9" s="138">
        <f>F28+F75</f>
        <v>2299679776</v>
      </c>
      <c r="AR9" s="138">
        <f>I28+I75</f>
        <v>1612697423</v>
      </c>
      <c r="AS9" s="138">
        <f>L28+L75</f>
        <v>1154419851</v>
      </c>
      <c r="AT9" s="101"/>
      <c r="AU9" s="157">
        <f t="shared" si="0"/>
        <v>0.70127042896601965</v>
      </c>
      <c r="AV9" s="157">
        <f t="shared" si="1"/>
        <v>0.50199156554221047</v>
      </c>
      <c r="AW9" s="158">
        <f>(I30+I33+I36+I76)/AO$2*12+I31+I34+I37+I38+I39+I40+I77</f>
        <v>2263340003.5</v>
      </c>
      <c r="AX9" s="158">
        <f>(L30+L33+L36+L76)/AO$2*12+L31+L34+L37+L38+L39+L40+L77</f>
        <v>1575923645.5</v>
      </c>
      <c r="AY9" s="158">
        <f t="shared" si="2"/>
        <v>-36339772.5</v>
      </c>
      <c r="AZ9" s="159">
        <f t="shared" si="3"/>
        <v>-723756130.5</v>
      </c>
      <c r="BA9" s="101"/>
      <c r="BB9" s="160" t="s">
        <v>98</v>
      </c>
      <c r="BC9" s="161">
        <f>BC10+BC18</f>
        <v>159649989034.37653</v>
      </c>
      <c r="BD9" s="162">
        <f>BD10+BD18</f>
        <v>117079048427</v>
      </c>
      <c r="BE9" s="161">
        <f>BE10+BE16</f>
        <v>7994222305</v>
      </c>
      <c r="BF9" s="553">
        <f>MARZO!BF9+ABRIL!BE9+MAYO!BE9+JUNIO!BE9</f>
        <v>30552431532</v>
      </c>
      <c r="BG9" s="165" t="s">
        <v>99</v>
      </c>
      <c r="BH9" s="166">
        <f t="shared" ref="BH9:BK10" si="6">BN14</f>
        <v>69914758656</v>
      </c>
      <c r="BI9" s="166">
        <f t="shared" si="6"/>
        <v>61856677026</v>
      </c>
      <c r="BJ9" s="166">
        <f t="shared" si="6"/>
        <v>47540024863</v>
      </c>
      <c r="BK9" s="166">
        <f t="shared" si="6"/>
        <v>5863439666</v>
      </c>
      <c r="BL9" s="555">
        <f>+BK9+MAYO!BK9+ABRIL!BK9+MARZO!BL9</f>
        <v>16738977358</v>
      </c>
      <c r="BM9" s="745" t="s">
        <v>100</v>
      </c>
      <c r="BN9" s="168">
        <f>SUM(BN10:BN12)</f>
        <v>7660515927.916667</v>
      </c>
      <c r="BO9" s="574">
        <f>SUM(BO10:BO12)</f>
        <v>4232729950</v>
      </c>
      <c r="BP9" s="166">
        <f>SUM(BP10:BP12)</f>
        <v>4232729950</v>
      </c>
      <c r="BQ9" s="746">
        <f>SUM(BQ10:BQ12)</f>
        <v>436598232</v>
      </c>
    </row>
    <row r="10" spans="1:69" ht="24.75" customHeight="1">
      <c r="A10" s="169" t="str">
        <f>+IF(JULIO!A10=0,"",JULIO!A10)</f>
        <v>1.0</v>
      </c>
      <c r="B10" s="170" t="str">
        <f>+IF(JULIO!B10=0,"",JULIO!B10)</f>
        <v>DISPONIBILIDAD INICIAL</v>
      </c>
      <c r="C10" s="171">
        <f t="shared" ref="C10:N10" si="7">SUM(C12:C15)</f>
        <v>0</v>
      </c>
      <c r="D10" s="172">
        <f t="shared" si="7"/>
        <v>0</v>
      </c>
      <c r="E10" s="172">
        <f t="shared" si="7"/>
        <v>1179477265</v>
      </c>
      <c r="F10" s="173">
        <f t="shared" si="7"/>
        <v>1179477265</v>
      </c>
      <c r="G10" s="174">
        <f t="shared" si="7"/>
        <v>1179477265</v>
      </c>
      <c r="H10" s="172">
        <f t="shared" si="7"/>
        <v>0</v>
      </c>
      <c r="I10" s="175">
        <f t="shared" si="7"/>
        <v>1179477265</v>
      </c>
      <c r="J10" s="171">
        <f t="shared" si="7"/>
        <v>1179477265</v>
      </c>
      <c r="K10" s="172">
        <f t="shared" si="7"/>
        <v>0</v>
      </c>
      <c r="L10" s="173">
        <f t="shared" si="7"/>
        <v>1179477265</v>
      </c>
      <c r="M10" s="171">
        <f t="shared" si="7"/>
        <v>0</v>
      </c>
      <c r="N10" s="173">
        <f t="shared" si="7"/>
        <v>0</v>
      </c>
      <c r="O10" s="101"/>
      <c r="P10" s="171">
        <f>SUM(P12:P15)</f>
        <v>0</v>
      </c>
      <c r="Q10" s="173">
        <f>SUM(Q12:Q15)</f>
        <v>0</v>
      </c>
      <c r="R10" s="101"/>
      <c r="S10" s="176" t="str">
        <f>+IF(JULIO!S10=0,"",JULIO!S10)</f>
        <v>2.1</v>
      </c>
      <c r="T10" s="177" t="str">
        <f>+IF(JULIO!T10=0,"",JULIO!T10)</f>
        <v>GASTOS DE FUNCIONAMIENTO</v>
      </c>
      <c r="U10" s="178">
        <f t="shared" ref="U10:AJ10" si="8">U12+U110+U168</f>
        <v>112528788023.5</v>
      </c>
      <c r="V10" s="179">
        <f t="shared" si="8"/>
        <v>0</v>
      </c>
      <c r="W10" s="179">
        <f t="shared" si="8"/>
        <v>11349143180</v>
      </c>
      <c r="X10" s="182">
        <f t="shared" si="8"/>
        <v>123877931203.5</v>
      </c>
      <c r="Y10" s="181">
        <f t="shared" si="8"/>
        <v>98028952048</v>
      </c>
      <c r="Z10" s="179">
        <f t="shared" si="8"/>
        <v>1525997769</v>
      </c>
      <c r="AA10" s="182">
        <f t="shared" si="8"/>
        <v>99554949817</v>
      </c>
      <c r="AB10" s="181">
        <f t="shared" si="8"/>
        <v>74172848561</v>
      </c>
      <c r="AC10" s="179">
        <f t="shared" si="8"/>
        <v>8344785121</v>
      </c>
      <c r="AD10" s="182">
        <f t="shared" si="8"/>
        <v>82517633682</v>
      </c>
      <c r="AE10" s="181">
        <f t="shared" si="8"/>
        <v>53363683280.5</v>
      </c>
      <c r="AF10" s="179">
        <f t="shared" si="8"/>
        <v>7186291130</v>
      </c>
      <c r="AG10" s="182">
        <f t="shared" si="8"/>
        <v>60549974410.5</v>
      </c>
      <c r="AH10" s="181">
        <f t="shared" si="8"/>
        <v>24322981386.5</v>
      </c>
      <c r="AI10" s="179">
        <f t="shared" si="8"/>
        <v>41360297521.5</v>
      </c>
      <c r="AJ10" s="180">
        <f t="shared" si="8"/>
        <v>63327956793</v>
      </c>
      <c r="AK10" s="101"/>
      <c r="AL10" s="822">
        <f>AL12+AL110+AL168</f>
        <v>0</v>
      </c>
      <c r="AM10" s="184">
        <f>AM12+AM110+AM168</f>
        <v>6392265683</v>
      </c>
      <c r="AN10" s="101"/>
      <c r="AO10" s="156"/>
      <c r="AP10" s="109" t="s">
        <v>102</v>
      </c>
      <c r="AQ10" s="138">
        <f>F42</f>
        <v>287170800</v>
      </c>
      <c r="AR10" s="138">
        <f>I42</f>
        <v>100887257</v>
      </c>
      <c r="AS10" s="138">
        <f>L42</f>
        <v>75044358</v>
      </c>
      <c r="AT10" s="101"/>
      <c r="AU10" s="157">
        <f t="shared" si="0"/>
        <v>0.35131446860196092</v>
      </c>
      <c r="AV10" s="157">
        <f t="shared" si="1"/>
        <v>0.26132308020174755</v>
      </c>
      <c r="AW10" s="158">
        <f>I43/AO$2*12+I44</f>
        <v>120132269.5</v>
      </c>
      <c r="AX10" s="158">
        <f>L43/AO$2*12+L44</f>
        <v>81367921</v>
      </c>
      <c r="AY10" s="158">
        <f t="shared" si="2"/>
        <v>-167038530.5</v>
      </c>
      <c r="AZ10" s="159">
        <f t="shared" si="3"/>
        <v>-205802879</v>
      </c>
      <c r="BA10" s="101"/>
      <c r="BB10" s="185" t="s">
        <v>103</v>
      </c>
      <c r="BC10" s="161">
        <f>BC11+BC12+BC13+BC14+BC16+BC17+BC15</f>
        <v>159649989034.37653</v>
      </c>
      <c r="BD10" s="162">
        <f>BD11+BD12+BD13+BD14+BD16+BD17+BD15</f>
        <v>117079048427</v>
      </c>
      <c r="BE10" s="161">
        <f>SUM(BE11+BE12+BE13+BE14+BE17)</f>
        <v>4890888912</v>
      </c>
      <c r="BF10" s="553">
        <f>MARZO!BF10+ABRIL!BE10+MAYO!BE10+JUNIO!BE10</f>
        <v>24439062842</v>
      </c>
      <c r="BG10" s="145" t="s">
        <v>104</v>
      </c>
      <c r="BH10" s="186">
        <f t="shared" si="6"/>
        <v>19136680971.398613</v>
      </c>
      <c r="BI10" s="186">
        <f t="shared" si="6"/>
        <v>12149924791</v>
      </c>
      <c r="BJ10" s="186">
        <f t="shared" si="6"/>
        <v>9443802149</v>
      </c>
      <c r="BK10" s="186">
        <f t="shared" si="6"/>
        <v>594716299</v>
      </c>
      <c r="BL10" s="555">
        <f>+BK10+MAYO!BK10+ABRIL!BK10+MARZO!BL10</f>
        <v>4230676305</v>
      </c>
      <c r="BM10" s="747" t="s">
        <v>105</v>
      </c>
      <c r="BN10" s="188">
        <f>X17+X66</f>
        <v>6034913230</v>
      </c>
      <c r="BO10" s="575">
        <f>AA17+AA66</f>
        <v>3450309079</v>
      </c>
      <c r="BP10" s="186">
        <f>AD17+AD66</f>
        <v>3450309079</v>
      </c>
      <c r="BQ10" s="748">
        <f>AF17+AF66</f>
        <v>425101328</v>
      </c>
    </row>
    <row r="11" spans="1:69" ht="24.75" customHeight="1">
      <c r="A11" s="149"/>
      <c r="B11" s="150"/>
      <c r="C11" s="151"/>
      <c r="D11" s="151"/>
      <c r="E11" s="151"/>
      <c r="F11" s="151"/>
      <c r="G11" s="151"/>
      <c r="H11" s="151"/>
      <c r="I11" s="151"/>
      <c r="J11" s="151"/>
      <c r="K11" s="151"/>
      <c r="L11" s="151"/>
      <c r="M11" s="151"/>
      <c r="N11" s="152"/>
      <c r="O11" s="126"/>
      <c r="P11" s="153"/>
      <c r="Q11" s="152"/>
      <c r="R11" s="101"/>
      <c r="S11" s="189"/>
      <c r="T11" s="488"/>
      <c r="U11" s="191"/>
      <c r="V11" s="191"/>
      <c r="W11" s="191"/>
      <c r="X11" s="191"/>
      <c r="Y11" s="191"/>
      <c r="Z11" s="191"/>
      <c r="AA11" s="191"/>
      <c r="AB11" s="191"/>
      <c r="AC11" s="191"/>
      <c r="AD11" s="191"/>
      <c r="AE11" s="191"/>
      <c r="AF11" s="191"/>
      <c r="AG11" s="191"/>
      <c r="AH11" s="191"/>
      <c r="AI11" s="191"/>
      <c r="AJ11" s="192"/>
      <c r="AK11" s="101"/>
      <c r="AL11" s="194"/>
      <c r="AM11" s="195"/>
      <c r="AN11" s="101"/>
      <c r="AO11" s="196" t="s">
        <v>50</v>
      </c>
      <c r="AP11" s="197" t="s">
        <v>106</v>
      </c>
      <c r="AQ11" s="138">
        <f>F88</f>
        <v>2337265046</v>
      </c>
      <c r="AR11" s="138">
        <f>I88</f>
        <v>2337265046</v>
      </c>
      <c r="AS11" s="138">
        <f>L88</f>
        <v>2278833420</v>
      </c>
      <c r="AT11" s="198">
        <f>AO2/12</f>
        <v>0.66666666666666663</v>
      </c>
      <c r="AU11" s="157">
        <f t="shared" si="0"/>
        <v>1</v>
      </c>
      <c r="AV11" s="157">
        <f t="shared" si="1"/>
        <v>0.97500000006417753</v>
      </c>
      <c r="AW11" s="158">
        <f>I88</f>
        <v>2337265046</v>
      </c>
      <c r="AX11" s="158">
        <f>L88</f>
        <v>2278833420</v>
      </c>
      <c r="AY11" s="158">
        <f t="shared" si="2"/>
        <v>0</v>
      </c>
      <c r="AZ11" s="159">
        <f t="shared" si="3"/>
        <v>-58431626</v>
      </c>
      <c r="BA11" s="101"/>
      <c r="BB11" s="185" t="s">
        <v>107</v>
      </c>
      <c r="BC11" s="161">
        <f>F26</f>
        <v>81866799864</v>
      </c>
      <c r="BD11" s="162">
        <f>I26</f>
        <v>52598757689</v>
      </c>
      <c r="BE11" s="161">
        <f>SUM(K26)</f>
        <v>2308050268</v>
      </c>
      <c r="BF11" s="553">
        <f>MARZO!BF11+ABRIL!BE11+MAYO!BE11+JUNIO!BE11</f>
        <v>8453018963</v>
      </c>
      <c r="BG11" s="145" t="s">
        <v>108</v>
      </c>
      <c r="BH11" s="199">
        <f>BN22</f>
        <v>3214060585</v>
      </c>
      <c r="BI11" s="199">
        <f>BO22</f>
        <v>1111431495</v>
      </c>
      <c r="BJ11" s="199">
        <f>BP22</f>
        <v>1096890165</v>
      </c>
      <c r="BK11" s="199">
        <f>BQ22</f>
        <v>146704469</v>
      </c>
      <c r="BL11" s="555">
        <f>+BK11+MAYO!BK11+ABRIL!BK11+MARZO!BL11</f>
        <v>667494361</v>
      </c>
      <c r="BM11" s="749" t="s">
        <v>109</v>
      </c>
      <c r="BN11" s="201">
        <f>X18+X67</f>
        <v>17000000</v>
      </c>
      <c r="BO11" s="576">
        <f>AA18+AA67</f>
        <v>9250411</v>
      </c>
      <c r="BP11" s="199">
        <f>AD18+AD67</f>
        <v>9250411</v>
      </c>
      <c r="BQ11" s="750">
        <f>AF18+AF67</f>
        <v>726360</v>
      </c>
    </row>
    <row r="12" spans="1:69" ht="24.75" customHeight="1">
      <c r="A12" s="202" t="str">
        <f>+IF(JULIO!A12=0,"",JULIO!A12)</f>
        <v>1.0.01</v>
      </c>
      <c r="B12" s="203" t="str">
        <f>+IF(JULIO!B12=0,"",JULIO!B12)</f>
        <v>Caja</v>
      </c>
      <c r="C12" s="204">
        <f>+ENERO!C12</f>
        <v>0</v>
      </c>
      <c r="D12" s="205">
        <f>JULIO!D12+AGOSTO!P12</f>
        <v>0</v>
      </c>
      <c r="E12" s="205">
        <f>JULIO!E12+AGOSTO!Q12</f>
        <v>3941159</v>
      </c>
      <c r="F12" s="206">
        <f>SUM(C12:E12)</f>
        <v>3941159</v>
      </c>
      <c r="G12" s="207">
        <f>JULIO!I12</f>
        <v>3941159</v>
      </c>
      <c r="H12" s="208">
        <v>0</v>
      </c>
      <c r="I12" s="206">
        <f>SUM(G12:H12)</f>
        <v>3941159</v>
      </c>
      <c r="J12" s="207">
        <f>JULIO!L12</f>
        <v>3941159</v>
      </c>
      <c r="K12" s="209">
        <v>0</v>
      </c>
      <c r="L12" s="206">
        <f>SUM(J12:K12)</f>
        <v>3941159</v>
      </c>
      <c r="M12" s="207">
        <f>F12-I12</f>
        <v>0</v>
      </c>
      <c r="N12" s="206">
        <f>F12-L12</f>
        <v>0</v>
      </c>
      <c r="O12" s="67"/>
      <c r="P12" s="204">
        <v>0</v>
      </c>
      <c r="Q12" s="210">
        <v>0</v>
      </c>
      <c r="R12" s="101"/>
      <c r="S12" s="211" t="str">
        <f>+IF(JULIO!S12=0,"",JULIO!S12)</f>
        <v>2.1.1</v>
      </c>
      <c r="T12" s="212" t="str">
        <f>+IF(JULIO!T12=0,"",JULIO!T12)</f>
        <v>GASTOS DE PERSONAL</v>
      </c>
      <c r="U12" s="213">
        <f t="shared" ref="U12:AJ12" si="9">U14+U63</f>
        <v>88367557767.879166</v>
      </c>
      <c r="V12" s="214">
        <f t="shared" si="9"/>
        <v>514062130</v>
      </c>
      <c r="W12" s="214">
        <f t="shared" si="9"/>
        <v>8355635160</v>
      </c>
      <c r="X12" s="215">
        <f t="shared" si="9"/>
        <v>97237255057.879166</v>
      </c>
      <c r="Y12" s="183">
        <f t="shared" si="9"/>
        <v>83712699003</v>
      </c>
      <c r="Z12" s="214">
        <f t="shared" si="9"/>
        <v>644042767</v>
      </c>
      <c r="AA12" s="215">
        <f t="shared" si="9"/>
        <v>84356741770</v>
      </c>
      <c r="AB12" s="183">
        <f t="shared" si="9"/>
        <v>63009757838</v>
      </c>
      <c r="AC12" s="214">
        <f t="shared" si="9"/>
        <v>7030331769</v>
      </c>
      <c r="AD12" s="215">
        <f t="shared" si="9"/>
        <v>70040089607</v>
      </c>
      <c r="AE12" s="183">
        <f t="shared" si="9"/>
        <v>44806288897</v>
      </c>
      <c r="AF12" s="214">
        <f t="shared" si="9"/>
        <v>6444870362</v>
      </c>
      <c r="AG12" s="215">
        <f t="shared" si="9"/>
        <v>51251159259</v>
      </c>
      <c r="AH12" s="183">
        <f t="shared" si="9"/>
        <v>12880513287.879168</v>
      </c>
      <c r="AI12" s="214">
        <f t="shared" si="9"/>
        <v>27197165450.879166</v>
      </c>
      <c r="AJ12" s="184">
        <f t="shared" si="9"/>
        <v>45986095798.879166</v>
      </c>
      <c r="AK12" s="216"/>
      <c r="AL12" s="217">
        <f>AL14+AL63</f>
        <v>0</v>
      </c>
      <c r="AM12" s="218">
        <f>AM14+AM63</f>
        <v>5427452399</v>
      </c>
      <c r="AN12" s="101"/>
      <c r="AO12" s="196"/>
      <c r="AP12" s="197" t="s">
        <v>111</v>
      </c>
      <c r="AQ12" s="138">
        <f>F8+F89</f>
        <v>217334050409.47653</v>
      </c>
      <c r="AR12" s="138">
        <f>I89+I92</f>
        <v>4732832951</v>
      </c>
      <c r="AS12" s="138">
        <f>L89+L92</f>
        <v>4708111447</v>
      </c>
      <c r="AT12" s="101"/>
      <c r="AU12" s="157">
        <f t="shared" si="0"/>
        <v>2.1776766880674817E-2</v>
      </c>
      <c r="AV12" s="157">
        <f t="shared" si="1"/>
        <v>2.1663018004447542E-2</v>
      </c>
      <c r="AW12" s="158">
        <f>I89</f>
        <v>4732832951</v>
      </c>
      <c r="AX12" s="158">
        <f>L89</f>
        <v>4708111447</v>
      </c>
      <c r="AY12" s="158">
        <f t="shared" si="2"/>
        <v>-212601217458.47653</v>
      </c>
      <c r="AZ12" s="159">
        <f t="shared" si="3"/>
        <v>-212625938962.47653</v>
      </c>
      <c r="BA12" s="101"/>
      <c r="BB12" s="185" t="s">
        <v>112</v>
      </c>
      <c r="BC12" s="161">
        <f>F23</f>
        <v>49300076925.586876</v>
      </c>
      <c r="BD12" s="162">
        <f>I23</f>
        <v>45849742505</v>
      </c>
      <c r="BE12" s="161">
        <f>SUM(K23)</f>
        <v>2317552658</v>
      </c>
      <c r="BF12" s="553">
        <f>MARZO!BF12+ABRIL!BE12+MAYO!BE12+JUNIO!BE12</f>
        <v>14566848805</v>
      </c>
      <c r="BG12" s="219" t="s">
        <v>113</v>
      </c>
      <c r="BH12" s="199">
        <f>BN25</f>
        <v>49579849515.333328</v>
      </c>
      <c r="BI12" s="199">
        <f>BO25</f>
        <v>35843596965</v>
      </c>
      <c r="BJ12" s="199">
        <f>BP25</f>
        <v>30452610779</v>
      </c>
      <c r="BK12" s="199">
        <f>BQ25</f>
        <v>1346709940</v>
      </c>
      <c r="BL12" s="555">
        <f>+BK12+MAYO!BK12+ABRIL!BK12+MARZO!BL12</f>
        <v>8819902686</v>
      </c>
      <c r="BM12" s="751" t="s">
        <v>114</v>
      </c>
      <c r="BN12" s="201">
        <f>X16+X65-X81-X33-BN10-BN11</f>
        <v>1608602697.916667</v>
      </c>
      <c r="BO12" s="576">
        <f>AA16+AA65-AA81-AA33-BO10-BO11</f>
        <v>773170460</v>
      </c>
      <c r="BP12" s="199">
        <f>AD16+AD65-AD81-AD33-BP10-BP11</f>
        <v>773170460</v>
      </c>
      <c r="BQ12" s="750">
        <f>AF16+AF65-AF81-AF33-BQ10-BQ11</f>
        <v>10770544</v>
      </c>
    </row>
    <row r="13" spans="1:69" ht="24.75" customHeight="1">
      <c r="A13" s="202" t="str">
        <f>+IF(JULIO!A13=0,"",JULIO!A13)</f>
        <v>1.0.02</v>
      </c>
      <c r="B13" s="203" t="str">
        <f>+IF(JULIO!B13=0,"",JULIO!B13)</f>
        <v>Bancos</v>
      </c>
      <c r="C13" s="204">
        <f>+ENERO!C13</f>
        <v>0</v>
      </c>
      <c r="D13" s="205">
        <f>JULIO!D13+AGOSTO!P13</f>
        <v>0</v>
      </c>
      <c r="E13" s="205">
        <f>JULIO!E13+AGOSTO!Q13</f>
        <v>554873586</v>
      </c>
      <c r="F13" s="206">
        <f>SUM(C13:E13)</f>
        <v>554873586</v>
      </c>
      <c r="G13" s="207">
        <f>JULIO!I13</f>
        <v>554873586</v>
      </c>
      <c r="H13" s="208">
        <v>0</v>
      </c>
      <c r="I13" s="206">
        <f>SUM(G13:H13)</f>
        <v>554873586</v>
      </c>
      <c r="J13" s="207">
        <f>JULIO!L13</f>
        <v>554873586</v>
      </c>
      <c r="K13" s="209">
        <v>0</v>
      </c>
      <c r="L13" s="206">
        <f>SUM(J13:K13)</f>
        <v>554873586</v>
      </c>
      <c r="M13" s="207">
        <f>F13-I13</f>
        <v>0</v>
      </c>
      <c r="N13" s="206">
        <f>F13-L13</f>
        <v>0</v>
      </c>
      <c r="O13" s="67"/>
      <c r="P13" s="204">
        <v>0</v>
      </c>
      <c r="Q13" s="210">
        <v>0</v>
      </c>
      <c r="R13" s="101"/>
      <c r="S13" s="189"/>
      <c r="T13" s="488"/>
      <c r="U13" s="191"/>
      <c r="V13" s="191"/>
      <c r="W13" s="191"/>
      <c r="X13" s="191"/>
      <c r="Y13" s="191"/>
      <c r="Z13" s="191"/>
      <c r="AA13" s="191"/>
      <c r="AB13" s="191"/>
      <c r="AC13" s="191"/>
      <c r="AD13" s="191"/>
      <c r="AE13" s="191"/>
      <c r="AF13" s="191"/>
      <c r="AG13" s="191"/>
      <c r="AH13" s="191"/>
      <c r="AI13" s="191"/>
      <c r="AJ13" s="192"/>
      <c r="AK13" s="216"/>
      <c r="AL13" s="194"/>
      <c r="AM13" s="195"/>
      <c r="AN13" s="101"/>
      <c r="AO13" s="221"/>
      <c r="AP13" s="197" t="s">
        <v>115</v>
      </c>
      <c r="AQ13" s="138">
        <f>F90</f>
        <v>9662757523</v>
      </c>
      <c r="AR13" s="138">
        <f>I90</f>
        <v>6921239986</v>
      </c>
      <c r="AS13" s="138">
        <f>L90</f>
        <v>2347584213</v>
      </c>
      <c r="AT13" s="101"/>
      <c r="AU13" s="157">
        <f t="shared" si="0"/>
        <v>0.71628000283827464</v>
      </c>
      <c r="AV13" s="157">
        <f t="shared" si="1"/>
        <v>0.24295178756293004</v>
      </c>
      <c r="AW13" s="158">
        <f>I90</f>
        <v>6921239986</v>
      </c>
      <c r="AX13" s="158">
        <f>L90</f>
        <v>2347584213</v>
      </c>
      <c r="AY13" s="158">
        <f t="shared" si="2"/>
        <v>-2741517537</v>
      </c>
      <c r="AZ13" s="159">
        <f t="shared" si="3"/>
        <v>-7315173310</v>
      </c>
      <c r="BA13" s="67"/>
      <c r="BB13" s="236" t="s">
        <v>116</v>
      </c>
      <c r="BC13" s="223">
        <f>+F30+F33+F36+F38+F39+F40</f>
        <v>1140706891</v>
      </c>
      <c r="BD13" s="224">
        <f>+I30+I33+I36+I38+I39+I40</f>
        <v>1181853373</v>
      </c>
      <c r="BE13" s="161">
        <f>SUM(K33)</f>
        <v>122402030</v>
      </c>
      <c r="BF13" s="553">
        <f>MARZO!BF13+ABRIL!BE13+MAYO!BE13+JUNIO!BE13</f>
        <v>713778648</v>
      </c>
      <c r="BG13" s="227" t="s">
        <v>117</v>
      </c>
      <c r="BH13" s="199">
        <f t="shared" ref="BH13:BK15" si="10">BN29</f>
        <v>22232273766</v>
      </c>
      <c r="BI13" s="199">
        <f t="shared" si="10"/>
        <v>16596150063</v>
      </c>
      <c r="BJ13" s="199">
        <f t="shared" si="10"/>
        <v>12748715988</v>
      </c>
      <c r="BK13" s="199">
        <f t="shared" si="10"/>
        <v>1178145939</v>
      </c>
      <c r="BL13" s="555">
        <f>+BK13+MAYO!BK13+ABRIL!BK13+MARZO!BL13</f>
        <v>5840389101</v>
      </c>
      <c r="BM13" s="745" t="s">
        <v>118</v>
      </c>
      <c r="BN13" s="188">
        <f>X43-X55+X57-X61+X90-X102+X104-X108</f>
        <v>2665651403.2960005</v>
      </c>
      <c r="BO13" s="575">
        <f>AA43-AA55+AA57-AA61+AA90-AA102+AA104-AA108</f>
        <v>1284139705</v>
      </c>
      <c r="BP13" s="186">
        <f>AD43-AD55+AD57-AD61+AD90-AD102+AD104-AD108</f>
        <v>1284139705</v>
      </c>
      <c r="BQ13" s="748">
        <f>AF43-AF55+AF57-AF61+AF90-AF102+AF104-AF108</f>
        <v>144832464</v>
      </c>
    </row>
    <row r="14" spans="1:69" ht="24.75" customHeight="1">
      <c r="A14" s="202" t="str">
        <f>+IF(JULIO!A14=0,"",JULIO!A14)</f>
        <v>1.0.03</v>
      </c>
      <c r="B14" s="203" t="str">
        <f>+IF(JULIO!B14=0,"",JULIO!B14)</f>
        <v>Inversiones Temporales</v>
      </c>
      <c r="C14" s="204">
        <f>+ENERO!C14</f>
        <v>0</v>
      </c>
      <c r="D14" s="205">
        <f>JULIO!D14+AGOSTO!P14</f>
        <v>0</v>
      </c>
      <c r="E14" s="205">
        <f>JULIO!E14+AGOSTO!Q14</f>
        <v>620662520</v>
      </c>
      <c r="F14" s="206">
        <f>SUM(C14:E14)</f>
        <v>620662520</v>
      </c>
      <c r="G14" s="207">
        <f>JULIO!I14</f>
        <v>620662520</v>
      </c>
      <c r="H14" s="208">
        <v>0</v>
      </c>
      <c r="I14" s="206">
        <f>SUM(G14:H14)</f>
        <v>620662520</v>
      </c>
      <c r="J14" s="207">
        <f>JULIO!L14</f>
        <v>620662520</v>
      </c>
      <c r="K14" s="209">
        <v>0</v>
      </c>
      <c r="L14" s="206">
        <f>SUM(J14:K14)</f>
        <v>620662520</v>
      </c>
      <c r="M14" s="207">
        <f>F14-I14</f>
        <v>0</v>
      </c>
      <c r="N14" s="206">
        <f>F14-L14</f>
        <v>0</v>
      </c>
      <c r="O14" s="67"/>
      <c r="P14" s="204">
        <v>0</v>
      </c>
      <c r="Q14" s="210">
        <v>0</v>
      </c>
      <c r="R14" s="101"/>
      <c r="S14" s="228" t="str">
        <f>+IF(JULIO!S14=0,"",JULIO!S14)</f>
        <v>2.1.1.01</v>
      </c>
      <c r="T14" s="229" t="str">
        <f>+IF(JULIO!T14=0,"",JULIO!T14)</f>
        <v>Gastos de Administración</v>
      </c>
      <c r="U14" s="230">
        <f t="shared" ref="U14:AJ14" si="11">U16+U35+U43+U57</f>
        <v>23848754297.879169</v>
      </c>
      <c r="V14" s="231">
        <f t="shared" si="11"/>
        <v>3037062130</v>
      </c>
      <c r="W14" s="231">
        <f t="shared" si="11"/>
        <v>865000000</v>
      </c>
      <c r="X14" s="234">
        <f t="shared" si="11"/>
        <v>27750816427.879169</v>
      </c>
      <c r="Y14" s="233">
        <f t="shared" si="11"/>
        <v>21290171032</v>
      </c>
      <c r="Z14" s="231">
        <f t="shared" si="11"/>
        <v>644042767</v>
      </c>
      <c r="AA14" s="234">
        <f t="shared" si="11"/>
        <v>21934213799</v>
      </c>
      <c r="AB14" s="233">
        <f t="shared" si="11"/>
        <v>16773980383</v>
      </c>
      <c r="AC14" s="231">
        <f t="shared" si="11"/>
        <v>2031210545</v>
      </c>
      <c r="AD14" s="234">
        <f t="shared" si="11"/>
        <v>18805190928</v>
      </c>
      <c r="AE14" s="233">
        <f t="shared" si="11"/>
        <v>12898016987</v>
      </c>
      <c r="AF14" s="231">
        <f t="shared" si="11"/>
        <v>1842415225</v>
      </c>
      <c r="AG14" s="234">
        <f t="shared" si="11"/>
        <v>14740432212</v>
      </c>
      <c r="AH14" s="233">
        <f t="shared" si="11"/>
        <v>5816602628.8791676</v>
      </c>
      <c r="AI14" s="231">
        <f t="shared" si="11"/>
        <v>8945625499.8791676</v>
      </c>
      <c r="AJ14" s="232">
        <f t="shared" si="11"/>
        <v>13010384215.879168</v>
      </c>
      <c r="AK14" s="216"/>
      <c r="AL14" s="233">
        <f>AL16+AL35+AL43+AL57</f>
        <v>0</v>
      </c>
      <c r="AM14" s="232">
        <f>AM16+AM35+AM43+AM57</f>
        <v>865000000</v>
      </c>
      <c r="AN14" s="101"/>
      <c r="AO14" s="108"/>
      <c r="AP14" s="109" t="s">
        <v>120</v>
      </c>
      <c r="AQ14" s="138">
        <f>F19-AQ7-AQ8-AQ9-AQ10-AQ11-AQ12-AQ13+F104+F94</f>
        <v>-199117951461.58688</v>
      </c>
      <c r="AR14" s="138">
        <f>I19-AR7-AR8-AR9-AR10-AR11-AR12-AR13+I94+I104</f>
        <v>6877052366</v>
      </c>
      <c r="AS14" s="138">
        <f>L19-AS7-AS8-AS9-AS10-AS11-AS12-AS13+L94+L104</f>
        <v>4523099437</v>
      </c>
      <c r="AT14" s="67"/>
      <c r="AU14" s="157">
        <f t="shared" si="0"/>
        <v>-3.4537580943959721E-2</v>
      </c>
      <c r="AV14" s="157">
        <f t="shared" si="1"/>
        <v>-2.2715678841606503E-2</v>
      </c>
      <c r="AW14" s="158">
        <f>(I41+I46+I49+I52+I55+I58+I61+I64+I67+I70+I73+I78+I81+I82+I83+I85+I94+I104)/AO$2*12+I47+I50+I53+I56+I59+I62+I65+I68+I71+I74</f>
        <v>30796555737</v>
      </c>
      <c r="AX14" s="158">
        <f>(L41+L46+L49+L52+L55+L58+L61+L64+L67+L70+L73+L78+L81+L82+L83+L85+L94+L104)/AO$2*12+L47+L50+L53+L56+L59+L62+L65+L68+L71+L74</f>
        <v>20200888095</v>
      </c>
      <c r="AY14" s="158">
        <f t="shared" si="2"/>
        <v>229914507198.58688</v>
      </c>
      <c r="AZ14" s="159">
        <f t="shared" si="3"/>
        <v>219318839556.58688</v>
      </c>
      <c r="BA14" s="101"/>
      <c r="BB14" s="236" t="s">
        <v>121</v>
      </c>
      <c r="BC14" s="237">
        <f>+F64</f>
        <v>2137731076.9417498</v>
      </c>
      <c r="BD14" s="238">
        <f>+I64</f>
        <v>1186105980</v>
      </c>
      <c r="BE14" s="239">
        <f>K64</f>
        <v>83669915</v>
      </c>
      <c r="BF14" s="553">
        <f>MARZO!BF14+ABRIL!BE14+MAYO!BE14+JUNIO!BE14</f>
        <v>382641166</v>
      </c>
      <c r="BG14" s="227" t="s">
        <v>122</v>
      </c>
      <c r="BH14" s="186">
        <f t="shared" si="10"/>
        <v>3239175000</v>
      </c>
      <c r="BI14" s="186">
        <f t="shared" si="10"/>
        <v>886021740</v>
      </c>
      <c r="BJ14" s="186">
        <f t="shared" si="10"/>
        <v>886021740</v>
      </c>
      <c r="BK14" s="186">
        <f t="shared" si="10"/>
        <v>99792900</v>
      </c>
      <c r="BL14" s="555">
        <f>+BK14+MAYO!BK14+ABRIL!BK14+MARZO!BL14</f>
        <v>649324188</v>
      </c>
      <c r="BM14" s="752" t="s">
        <v>123</v>
      </c>
      <c r="BN14" s="201">
        <f>X35-X41+X83-X88</f>
        <v>69914758656</v>
      </c>
      <c r="BO14" s="199">
        <f>AA35-AA41+AA83-AA88</f>
        <v>61856677026</v>
      </c>
      <c r="BP14" s="199">
        <f>AD35-AD41+AD83-AD88</f>
        <v>47540024863</v>
      </c>
      <c r="BQ14" s="753">
        <f>AF35-AF41+AF83-AF88</f>
        <v>5863439666</v>
      </c>
    </row>
    <row r="15" spans="1:69" ht="24.75" customHeight="1" thickBot="1">
      <c r="A15" s="241">
        <f>+IF(JULIO!A15=0,"",JULIO!A15)</f>
        <v>1004</v>
      </c>
      <c r="B15" s="203" t="str">
        <f>+IF(JULIO!B15=0,"",JULIO!B15)</f>
        <v>Cesantias Ley 50/1990 a Dic-31-2024</v>
      </c>
      <c r="C15" s="242">
        <f>+ENERO!C15</f>
        <v>0</v>
      </c>
      <c r="D15" s="243">
        <f>JULIO!D15+AGOSTO!P15</f>
        <v>0</v>
      </c>
      <c r="E15" s="243">
        <f>JULIO!E15+AGOSTO!Q15</f>
        <v>0</v>
      </c>
      <c r="F15" s="244">
        <f>SUM(C15:E15)</f>
        <v>0</v>
      </c>
      <c r="G15" s="245">
        <f>JULIO!I15</f>
        <v>0</v>
      </c>
      <c r="H15" s="246">
        <v>0</v>
      </c>
      <c r="I15" s="244">
        <f>SUM(G15:H15)</f>
        <v>0</v>
      </c>
      <c r="J15" s="245">
        <f>JULIO!L15</f>
        <v>0</v>
      </c>
      <c r="K15" s="247">
        <v>0</v>
      </c>
      <c r="L15" s="244">
        <f>SUM(J15:K15)</f>
        <v>0</v>
      </c>
      <c r="M15" s="245">
        <f>F15-I15</f>
        <v>0</v>
      </c>
      <c r="N15" s="244">
        <f>F15-L15</f>
        <v>0</v>
      </c>
      <c r="O15" s="67"/>
      <c r="P15" s="242">
        <v>0</v>
      </c>
      <c r="Q15" s="248">
        <v>0</v>
      </c>
      <c r="R15" s="101"/>
      <c r="S15" s="189" t="str">
        <f>+IF(JULIO!S15=0,"",JULIO!S15)</f>
        <v/>
      </c>
      <c r="T15" s="488" t="str">
        <f>+IF(JULIO!T15=0,"",JULIO!T15)</f>
        <v xml:space="preserve"> </v>
      </c>
      <c r="U15" s="191"/>
      <c r="V15" s="191"/>
      <c r="W15" s="191"/>
      <c r="X15" s="191"/>
      <c r="Y15" s="191"/>
      <c r="Z15" s="191"/>
      <c r="AA15" s="191"/>
      <c r="AB15" s="191"/>
      <c r="AC15" s="191"/>
      <c r="AD15" s="191"/>
      <c r="AE15" s="191"/>
      <c r="AF15" s="191"/>
      <c r="AG15" s="191"/>
      <c r="AH15" s="191"/>
      <c r="AI15" s="191"/>
      <c r="AJ15" s="192"/>
      <c r="AK15" s="216"/>
      <c r="AL15" s="249"/>
      <c r="AM15" s="250"/>
      <c r="AN15" s="101"/>
      <c r="AO15" s="221"/>
      <c r="AP15" s="109" t="s">
        <v>124</v>
      </c>
      <c r="AQ15" s="138">
        <f>F113</f>
        <v>0</v>
      </c>
      <c r="AR15" s="138">
        <f>I113</f>
        <v>0</v>
      </c>
      <c r="AS15" s="138">
        <f>L113</f>
        <v>0</v>
      </c>
      <c r="AT15" s="101"/>
      <c r="AU15" s="139" t="str">
        <f t="shared" si="0"/>
        <v xml:space="preserve"> </v>
      </c>
      <c r="AV15" s="139" t="str">
        <f t="shared" si="1"/>
        <v xml:space="preserve"> </v>
      </c>
      <c r="AW15" s="138">
        <f>+AR15</f>
        <v>0</v>
      </c>
      <c r="AX15" s="138">
        <f>+AS15</f>
        <v>0</v>
      </c>
      <c r="AY15" s="138">
        <f t="shared" si="2"/>
        <v>0</v>
      </c>
      <c r="AZ15" s="140">
        <f t="shared" si="3"/>
        <v>0</v>
      </c>
      <c r="BA15" s="67"/>
      <c r="BB15" s="236" t="s">
        <v>125</v>
      </c>
      <c r="BC15" s="237">
        <f>F46+F49</f>
        <v>976431378</v>
      </c>
      <c r="BD15" s="238">
        <f>I46+I49</f>
        <v>296544396</v>
      </c>
      <c r="BE15" s="239">
        <f>K46</f>
        <v>0</v>
      </c>
      <c r="BF15" s="553">
        <f>MARZO!BF15+ABRIL!BE15+MAYO!BE15+JUNIO!BE15</f>
        <v>4215387</v>
      </c>
      <c r="BG15" s="227" t="s">
        <v>126</v>
      </c>
      <c r="BH15" s="186">
        <f t="shared" si="10"/>
        <v>30116386787.222057</v>
      </c>
      <c r="BI15" s="186">
        <f t="shared" si="10"/>
        <v>27170472248</v>
      </c>
      <c r="BJ15" s="186">
        <f t="shared" si="10"/>
        <v>27164272248</v>
      </c>
      <c r="BK15" s="186">
        <f t="shared" si="10"/>
        <v>0</v>
      </c>
      <c r="BL15" s="555">
        <f>+BK15+MAYO!BK15+ABRIL!BK15+MARZO!BL15</f>
        <v>26885811874</v>
      </c>
      <c r="BM15" s="743" t="s">
        <v>104</v>
      </c>
      <c r="BN15" s="188">
        <f>SUM(BN16:BN21)</f>
        <v>19136680971.398613</v>
      </c>
      <c r="BO15" s="186">
        <f>SUM(BO16:BO21)</f>
        <v>12149924791</v>
      </c>
      <c r="BP15" s="186">
        <f>SUM(BP16:BP21)</f>
        <v>9443802149</v>
      </c>
      <c r="BQ15" s="754">
        <f>SUM(BQ16:BQ21)</f>
        <v>594716299</v>
      </c>
    </row>
    <row r="16" spans="1:69" ht="24.75" customHeight="1" thickBot="1">
      <c r="A16" s="251" t="str">
        <f>+IF(JULIO!A16=0,"",JULIO!A16)</f>
        <v/>
      </c>
      <c r="B16" s="252" t="str">
        <f>+IF(JULIO!B16=0,"",JULIO!B16)</f>
        <v/>
      </c>
      <c r="C16" s="253"/>
      <c r="D16" s="253"/>
      <c r="E16" s="253"/>
      <c r="F16" s="253"/>
      <c r="G16" s="253"/>
      <c r="H16" s="253"/>
      <c r="I16" s="253"/>
      <c r="J16" s="253"/>
      <c r="K16" s="253"/>
      <c r="L16" s="253"/>
      <c r="M16" s="253"/>
      <c r="N16" s="254"/>
      <c r="O16" s="67"/>
      <c r="P16" s="255"/>
      <c r="Q16" s="256"/>
      <c r="R16" s="101"/>
      <c r="S16" s="257" t="str">
        <f>+IF(JULIO!S16=0,"",JULIO!S16)</f>
        <v>2.1.1.01.01</v>
      </c>
      <c r="T16" s="546" t="str">
        <f>+IF(JULIO!T16=0,"",JULIO!T16)</f>
        <v>Servicios Personales Asociados a Nómina</v>
      </c>
      <c r="U16" s="230">
        <f t="shared" ref="U16:AJ16" si="12">SUM(U17:U20)+U33</f>
        <v>8136453797.916667</v>
      </c>
      <c r="V16" s="231">
        <f t="shared" si="12"/>
        <v>-475937870</v>
      </c>
      <c r="W16" s="231">
        <f t="shared" si="12"/>
        <v>0</v>
      </c>
      <c r="X16" s="234">
        <f t="shared" si="12"/>
        <v>7660515927.916667</v>
      </c>
      <c r="Y16" s="233">
        <f t="shared" si="12"/>
        <v>3772771525</v>
      </c>
      <c r="Z16" s="231">
        <f t="shared" si="12"/>
        <v>459958425</v>
      </c>
      <c r="AA16" s="234">
        <f t="shared" si="12"/>
        <v>4232729950</v>
      </c>
      <c r="AB16" s="233">
        <f t="shared" si="12"/>
        <v>3772771525</v>
      </c>
      <c r="AC16" s="231">
        <f t="shared" si="12"/>
        <v>459958425</v>
      </c>
      <c r="AD16" s="234">
        <f t="shared" si="12"/>
        <v>4232729950</v>
      </c>
      <c r="AE16" s="233">
        <f t="shared" si="12"/>
        <v>3762032672</v>
      </c>
      <c r="AF16" s="231">
        <f t="shared" si="12"/>
        <v>436598232</v>
      </c>
      <c r="AG16" s="234">
        <f t="shared" si="12"/>
        <v>4198630904</v>
      </c>
      <c r="AH16" s="233">
        <f t="shared" si="12"/>
        <v>3427785977.9166665</v>
      </c>
      <c r="AI16" s="231">
        <f t="shared" si="12"/>
        <v>3427785977.9166665</v>
      </c>
      <c r="AJ16" s="232">
        <f t="shared" si="12"/>
        <v>3461885023.9166665</v>
      </c>
      <c r="AK16" s="216"/>
      <c r="AL16" s="233">
        <f>SUM(AL17:AL20)+AL33</f>
        <v>0</v>
      </c>
      <c r="AM16" s="232">
        <f>SUM(AM17:AM20)+AM33</f>
        <v>0</v>
      </c>
      <c r="AN16" s="101"/>
      <c r="AO16" s="108"/>
      <c r="AP16" s="259" t="s">
        <v>128</v>
      </c>
      <c r="AQ16" s="260">
        <f>F10</f>
        <v>1179477265</v>
      </c>
      <c r="AR16" s="260">
        <f>I10</f>
        <v>1179477265</v>
      </c>
      <c r="AS16" s="260">
        <f>L10</f>
        <v>1179477265</v>
      </c>
      <c r="AT16" s="67"/>
      <c r="AU16" s="261">
        <f t="shared" si="0"/>
        <v>1</v>
      </c>
      <c r="AV16" s="261">
        <f t="shared" si="1"/>
        <v>1</v>
      </c>
      <c r="AW16" s="260">
        <f>+AR16</f>
        <v>1179477265</v>
      </c>
      <c r="AX16" s="260">
        <f>+AS16</f>
        <v>1179477265</v>
      </c>
      <c r="AY16" s="138">
        <f t="shared" si="2"/>
        <v>0</v>
      </c>
      <c r="AZ16" s="262">
        <f t="shared" si="3"/>
        <v>0</v>
      </c>
      <c r="BA16" s="67"/>
      <c r="BB16" s="185" t="s">
        <v>129</v>
      </c>
      <c r="BC16" s="161">
        <f>F43</f>
        <v>0</v>
      </c>
      <c r="BD16" s="162">
        <f>I43</f>
        <v>38490025</v>
      </c>
      <c r="BE16" s="237">
        <f>SUM(K86:K91)</f>
        <v>3103333393</v>
      </c>
      <c r="BF16" s="553">
        <f>MARZO!BF16+ABRIL!BE16+MAYO!BE16+JUNIO!BE16</f>
        <v>6113368690</v>
      </c>
      <c r="BG16" s="227" t="s">
        <v>130</v>
      </c>
      <c r="BH16" s="263">
        <f>BH7+BH12+BH13+BH14+BH15</f>
        <v>207759352612.16663</v>
      </c>
      <c r="BI16" s="263">
        <f>BI7+BI12+BI13+BI14+BI15</f>
        <v>161131143983</v>
      </c>
      <c r="BJ16" s="263">
        <f>BJ7+BJ12+BJ13+BJ14+BJ15</f>
        <v>134849207587</v>
      </c>
      <c r="BK16" s="263">
        <f>BK7+BK12+BK13+BK14+BK15</f>
        <v>9810939909</v>
      </c>
      <c r="BL16" s="555">
        <f>+BK16+MAYO!BK16+ABRIL!BK16+MARZO!BL16</f>
        <v>67652898923</v>
      </c>
      <c r="BM16" s="745" t="s">
        <v>131</v>
      </c>
      <c r="BN16" s="188">
        <f>SUM(X115+X116+X117+X149)</f>
        <v>1778007702.1208334</v>
      </c>
      <c r="BO16" s="188">
        <f>SUM(AA115+AA116+AA117+AA149)</f>
        <v>1330046676</v>
      </c>
      <c r="BP16" s="188">
        <f>SUM(AD115+AD116+AD117+AD149)</f>
        <v>1130182433</v>
      </c>
      <c r="BQ16" s="188">
        <f>SUM(AF115+AF116+AF117+AF149)</f>
        <v>5411314</v>
      </c>
    </row>
    <row r="17" spans="1:69" ht="24.75" customHeight="1" thickBot="1">
      <c r="A17" s="169" t="str">
        <f>+IF(JULIO!A17=0,"",JULIO!A17)</f>
        <v>1.1</v>
      </c>
      <c r="B17" s="265" t="str">
        <f>+IF(JULIO!B17=0,"",JULIO!B17)</f>
        <v>INGRESOS  CORRIENTES</v>
      </c>
      <c r="C17" s="127">
        <f t="shared" ref="C17:N17" si="13">C19+C94+C104</f>
        <v>158143153137.47653</v>
      </c>
      <c r="D17" s="125">
        <f t="shared" si="13"/>
        <v>0</v>
      </c>
      <c r="E17" s="125">
        <f t="shared" si="13"/>
        <v>48436722210</v>
      </c>
      <c r="F17" s="125">
        <f t="shared" si="13"/>
        <v>206579875347.47653</v>
      </c>
      <c r="G17" s="125">
        <f t="shared" si="13"/>
        <v>146591318278</v>
      </c>
      <c r="H17" s="125">
        <f t="shared" si="13"/>
        <v>20099825555</v>
      </c>
      <c r="I17" s="125">
        <f t="shared" si="13"/>
        <v>166691143833</v>
      </c>
      <c r="J17" s="125">
        <f t="shared" si="13"/>
        <v>86475492938</v>
      </c>
      <c r="K17" s="125">
        <f t="shared" si="13"/>
        <v>11398266547</v>
      </c>
      <c r="L17" s="125">
        <f t="shared" si="13"/>
        <v>97873759485</v>
      </c>
      <c r="M17" s="125">
        <f t="shared" si="13"/>
        <v>39888731514.476517</v>
      </c>
      <c r="N17" s="128">
        <f t="shared" si="13"/>
        <v>108706115862.47652</v>
      </c>
      <c r="O17" s="67"/>
      <c r="P17" s="171">
        <f>P19+P94+P104</f>
        <v>0</v>
      </c>
      <c r="Q17" s="173">
        <f>Q19+Q94+Q104</f>
        <v>19953819083</v>
      </c>
      <c r="R17" s="101"/>
      <c r="S17" s="266" t="str">
        <f>+IF(JULIO!S17=0,"",JULIO!S17)</f>
        <v>2.1.1.01.01.001.01</v>
      </c>
      <c r="T17" s="267" t="str">
        <f>+IF(JULIO!T17=0,"",JULIO!T17)</f>
        <v>Sueldos del Personal de nómina</v>
      </c>
      <c r="U17" s="373">
        <f>+ENERO!U17</f>
        <v>6531851100</v>
      </c>
      <c r="V17" s="220">
        <f>JULIO!V17+AGOSTO!AL17</f>
        <v>-496937870</v>
      </c>
      <c r="W17" s="220">
        <f>JULIO!W17+AGOSTO!AM17</f>
        <v>0</v>
      </c>
      <c r="X17" s="271">
        <f>SUM(U17:W17)</f>
        <v>6034913230</v>
      </c>
      <c r="Y17" s="270">
        <f>JULIO!AA17</f>
        <v>3028838556</v>
      </c>
      <c r="Z17" s="208">
        <v>421470523</v>
      </c>
      <c r="AA17" s="271">
        <f>SUM(Y17:Z17)</f>
        <v>3450309079</v>
      </c>
      <c r="AB17" s="270">
        <f>JULIO!AD17</f>
        <v>3028838556</v>
      </c>
      <c r="AC17" s="208">
        <v>421470523</v>
      </c>
      <c r="AD17" s="271">
        <f>SUM(AB17:AC17)</f>
        <v>3450309079</v>
      </c>
      <c r="AE17" s="270">
        <f>JULIO!AG17</f>
        <v>3024801984</v>
      </c>
      <c r="AF17" s="208">
        <v>425101328</v>
      </c>
      <c r="AG17" s="271">
        <f>SUM(AE17:AF17)</f>
        <v>3449903312</v>
      </c>
      <c r="AH17" s="270">
        <f>X17-AA17</f>
        <v>2584604151</v>
      </c>
      <c r="AI17" s="220">
        <f>X17-AD17</f>
        <v>2584604151</v>
      </c>
      <c r="AJ17" s="269">
        <f>X17-AG17</f>
        <v>2585009918</v>
      </c>
      <c r="AK17" s="101"/>
      <c r="AL17" s="204">
        <v>0</v>
      </c>
      <c r="AM17" s="210">
        <v>0</v>
      </c>
      <c r="AN17" s="101"/>
      <c r="AO17" s="156"/>
      <c r="AP17" s="272" t="s">
        <v>134</v>
      </c>
      <c r="AQ17" s="981">
        <f>SUM(AQ7:AQ16)</f>
        <v>207759352612.47653</v>
      </c>
      <c r="AR17" s="982">
        <f>SUM(AR7:AR16)</f>
        <v>167870621098</v>
      </c>
      <c r="AS17" s="983">
        <f>SUM(AS7:AS16)</f>
        <v>99053236750</v>
      </c>
      <c r="AT17" s="276"/>
      <c r="AU17" s="274">
        <f t="shared" si="0"/>
        <v>0.8080051222104111</v>
      </c>
      <c r="AV17" s="274">
        <f t="shared" si="1"/>
        <v>0.47676908646687599</v>
      </c>
      <c r="AW17" s="277">
        <f>SUM(AX7:AX16)</f>
        <v>133721851840</v>
      </c>
      <c r="AX17" s="277">
        <f>SUM(AX7:AX16)</f>
        <v>133721851840</v>
      </c>
      <c r="AY17" s="277">
        <f>SUM(AY7:AY16)</f>
        <v>33924909546.523468</v>
      </c>
      <c r="AZ17" s="278">
        <f>SUM(AZ7:AZ16)</f>
        <v>-74037500772.476532</v>
      </c>
      <c r="BA17" s="101"/>
      <c r="BB17" s="185" t="s">
        <v>135</v>
      </c>
      <c r="BC17" s="161">
        <f>F41+F52+F55+F58+F61+F67+F70+F73+F76+F79+F82+F86+F87+F88+F89+F90+F91</f>
        <v>24228242898.847889</v>
      </c>
      <c r="BD17" s="162">
        <f>I41+I52+I55+I58+I61+I67+I70+I73+I76+I79+I82+I86+I87+I88+I89+I90+I91</f>
        <v>15927554459</v>
      </c>
      <c r="BE17" s="161">
        <f>SUM(K43+K49+K46+K49+K52+K55+K58+K61+K67+K70+K73+K79+K76+K82)</f>
        <v>59214041</v>
      </c>
      <c r="BF17" s="553">
        <f>MARZO!BF17+ABRIL!BE17+MAYO!BE17+JUNIO!BE17</f>
        <v>322775260</v>
      </c>
      <c r="BG17" s="279" t="s">
        <v>136</v>
      </c>
      <c r="BH17" s="280">
        <f>BC22-BH16</f>
        <v>0.309906005859375</v>
      </c>
      <c r="BI17" s="280"/>
      <c r="BJ17" s="280"/>
      <c r="BK17" s="280"/>
      <c r="BL17" s="555">
        <f>+BK17+MAYO!BK17+ABRIL!BK17+MARZO!BL17</f>
        <v>0</v>
      </c>
      <c r="BM17" s="745" t="s">
        <v>137</v>
      </c>
      <c r="BN17" s="188">
        <f>X124+X127+X128+X129+X130+X131+X132+X133+X134+X135+X136+X125+X137+X138</f>
        <v>4727970291.2777777</v>
      </c>
      <c r="BO17" s="188">
        <f>AA124+AA127+AA128+AA129+AA130+AA131+AA132+AA133+AA134+AA135+AA136+AA125+AA137+AA138</f>
        <v>4317131000</v>
      </c>
      <c r="BP17" s="188">
        <f>AD124+AD127+AD128+AD129+AD130+AD131+AD132+AD133+AD134+AD135+AD136+AD125+AD137+AD138</f>
        <v>3237423989</v>
      </c>
      <c r="BQ17" s="188">
        <f>AF124+AF127+AF128+AF129+AF130+AF131+AF132+AF133+AF134+AF135+AF136+AF125+AF137+AF138</f>
        <v>210963030</v>
      </c>
    </row>
    <row r="18" spans="1:69" ht="24.75" customHeight="1" thickBot="1">
      <c r="A18" s="202">
        <f>+IF(JULIO!A18=0,"",JULIO!A18)</f>
        <v>399373312</v>
      </c>
      <c r="B18" s="282">
        <f>+IF(JULIO!B18=0,"",JULIO!B18)</f>
        <v>399373312</v>
      </c>
      <c r="C18" s="67"/>
      <c r="D18" s="67"/>
      <c r="E18" s="67"/>
      <c r="F18" s="67"/>
      <c r="G18" s="67"/>
      <c r="H18" s="67"/>
      <c r="I18" s="67"/>
      <c r="J18" s="67"/>
      <c r="K18" s="67"/>
      <c r="L18" s="67"/>
      <c r="M18" s="67"/>
      <c r="N18" s="283"/>
      <c r="O18" s="101"/>
      <c r="P18" s="284"/>
      <c r="Q18" s="285"/>
      <c r="R18" s="101"/>
      <c r="S18" s="266" t="str">
        <f>+IF(JULIO!S18=0,"",JULIO!S18)</f>
        <v>2.1.1.01.01.001.02</v>
      </c>
      <c r="T18" s="267" t="str">
        <f>+IF(JULIO!T18=0,"",JULIO!T18)</f>
        <v>Horas Extras,Dominic.,Festivos y Rec. Nocturnos</v>
      </c>
      <c r="U18" s="373">
        <f>+ENERO!U18</f>
        <v>17000000</v>
      </c>
      <c r="V18" s="220">
        <f>JULIO!V18+AGOSTO!AL18</f>
        <v>0</v>
      </c>
      <c r="W18" s="220">
        <f>JULIO!W18+AGOSTO!AM18</f>
        <v>0</v>
      </c>
      <c r="X18" s="271">
        <f>SUM(U18:W18)</f>
        <v>17000000</v>
      </c>
      <c r="Y18" s="270">
        <f>JULIO!AA18</f>
        <v>8524051</v>
      </c>
      <c r="Z18" s="208">
        <v>726360</v>
      </c>
      <c r="AA18" s="271">
        <f>SUM(Y18:Z18)</f>
        <v>9250411</v>
      </c>
      <c r="AB18" s="270">
        <f>JULIO!AD18</f>
        <v>8524051</v>
      </c>
      <c r="AC18" s="208">
        <v>726360</v>
      </c>
      <c r="AD18" s="271">
        <f>SUM(AB18:AC18)</f>
        <v>9250411</v>
      </c>
      <c r="AE18" s="270">
        <f>JULIO!AG18</f>
        <v>8524051</v>
      </c>
      <c r="AF18" s="208">
        <v>726360</v>
      </c>
      <c r="AG18" s="271">
        <f>SUM(AE18:AF18)</f>
        <v>9250411</v>
      </c>
      <c r="AH18" s="270">
        <f>X18-AA18</f>
        <v>7749589</v>
      </c>
      <c r="AI18" s="220">
        <f>X18-AD18</f>
        <v>7749589</v>
      </c>
      <c r="AJ18" s="269">
        <f>X18-AG18</f>
        <v>7749589</v>
      </c>
      <c r="AK18" s="101"/>
      <c r="AL18" s="204">
        <v>0</v>
      </c>
      <c r="AM18" s="210">
        <v>0</v>
      </c>
      <c r="AN18" s="101"/>
      <c r="AO18" s="108"/>
      <c r="AP18" s="67" t="s">
        <v>92</v>
      </c>
      <c r="AQ18" s="67"/>
      <c r="AR18" s="67"/>
      <c r="AS18" s="67"/>
      <c r="AT18" s="67"/>
      <c r="AU18" s="67"/>
      <c r="AV18" s="67"/>
      <c r="AW18" s="67"/>
      <c r="AX18" s="67"/>
      <c r="AY18" s="67"/>
      <c r="AZ18" s="67"/>
      <c r="BA18" s="67"/>
      <c r="BB18" s="236" t="s">
        <v>139</v>
      </c>
      <c r="BC18" s="161">
        <f>+F95+F96+F97+F99</f>
        <v>0</v>
      </c>
      <c r="BD18" s="162">
        <f>+I95+I96+I97+I99</f>
        <v>0</v>
      </c>
      <c r="BE18" s="163">
        <f>+K95+K96+K97+K99</f>
        <v>0</v>
      </c>
      <c r="BF18" s="553">
        <f>MARZO!BF18+ABRIL!BE18+MAYO!BE18+JUNIO!BE18</f>
        <v>0</v>
      </c>
      <c r="BG18" s="101"/>
      <c r="BH18" s="101"/>
      <c r="BI18" s="101"/>
      <c r="BJ18" s="101"/>
      <c r="BK18" s="101"/>
      <c r="BL18" s="101"/>
      <c r="BM18" s="745" t="s">
        <v>140</v>
      </c>
      <c r="BN18" s="188">
        <f>X118+X120+X148+X156+X157-X166</f>
        <v>9458680319</v>
      </c>
      <c r="BO18" s="188">
        <f>AA118+AA120+AA148+AA156+AA157-AA166</f>
        <v>3952317739</v>
      </c>
      <c r="BP18" s="188">
        <f>AD118+AD120+AD148+AD156+AD157-AD166</f>
        <v>2753421880</v>
      </c>
      <c r="BQ18" s="188">
        <f>AF118+AF120+AF148+AF156+AF157-AF166</f>
        <v>19325774</v>
      </c>
    </row>
    <row r="19" spans="1:69" ht="24.75" customHeight="1" thickBot="1">
      <c r="A19" s="286">
        <f>+IF(JULIO!A19=0,"",JULIO!A19)</f>
        <v>113</v>
      </c>
      <c r="B19" s="287" t="str">
        <f>+IF(JULIO!B19=0,"",JULIO!B19)</f>
        <v>VENTA DE SERVICIOS</v>
      </c>
      <c r="C19" s="127">
        <f t="shared" ref="C19:N19" si="14">C21+C85</f>
        <v>157258153137.47653</v>
      </c>
      <c r="D19" s="125">
        <f t="shared" si="14"/>
        <v>0</v>
      </c>
      <c r="E19" s="125">
        <f t="shared" si="14"/>
        <v>47732207131</v>
      </c>
      <c r="F19" s="128">
        <f t="shared" si="14"/>
        <v>204990360268.47653</v>
      </c>
      <c r="G19" s="127">
        <f t="shared" si="14"/>
        <v>145107214078</v>
      </c>
      <c r="H19" s="125">
        <f t="shared" si="14"/>
        <v>19747151484</v>
      </c>
      <c r="I19" s="128">
        <f t="shared" si="14"/>
        <v>164854365562</v>
      </c>
      <c r="J19" s="127">
        <f t="shared" si="14"/>
        <v>85008674038</v>
      </c>
      <c r="K19" s="125">
        <f t="shared" si="14"/>
        <v>11064349636</v>
      </c>
      <c r="L19" s="128">
        <f t="shared" si="14"/>
        <v>96073023674</v>
      </c>
      <c r="M19" s="127">
        <f t="shared" si="14"/>
        <v>40135994706.476517</v>
      </c>
      <c r="N19" s="128">
        <f t="shared" si="14"/>
        <v>108917336594.47652</v>
      </c>
      <c r="O19" s="67"/>
      <c r="P19" s="288">
        <f>P21+P85</f>
        <v>0</v>
      </c>
      <c r="Q19" s="289">
        <f>Q21+Q85</f>
        <v>19296265683</v>
      </c>
      <c r="R19" s="101"/>
      <c r="S19" s="266">
        <f>+IF(JULIO!S19=0,"",JULIO!S19)</f>
        <v>1010103</v>
      </c>
      <c r="T19" s="267" t="str">
        <f>+IF(JULIO!T19=0,"",JULIO!T19)</f>
        <v>Prima Técnica</v>
      </c>
      <c r="U19" s="373">
        <f>+ENERO!U19</f>
        <v>0</v>
      </c>
      <c r="V19" s="220">
        <f>JULIO!V19+AGOSTO!AL19</f>
        <v>0</v>
      </c>
      <c r="W19" s="220">
        <f>JULIO!W19+AGOSTO!AM19</f>
        <v>0</v>
      </c>
      <c r="X19" s="271">
        <f>SUM(U19:W19)</f>
        <v>0</v>
      </c>
      <c r="Y19" s="270">
        <f>JULIO!AA19</f>
        <v>0</v>
      </c>
      <c r="Z19" s="208"/>
      <c r="AA19" s="271">
        <f>SUM(Y19:Z19)</f>
        <v>0</v>
      </c>
      <c r="AB19" s="270">
        <f>JULIO!AD19</f>
        <v>0</v>
      </c>
      <c r="AC19" s="208"/>
      <c r="AD19" s="271">
        <f>SUM(AB19:AC19)</f>
        <v>0</v>
      </c>
      <c r="AE19" s="270">
        <f>JULIO!AG19</f>
        <v>0</v>
      </c>
      <c r="AF19" s="208"/>
      <c r="AG19" s="271">
        <f>SUM(AE19:AF19)</f>
        <v>0</v>
      </c>
      <c r="AH19" s="270">
        <f>X19-AA19</f>
        <v>0</v>
      </c>
      <c r="AI19" s="220">
        <f>X19-AD19</f>
        <v>0</v>
      </c>
      <c r="AJ19" s="269">
        <f>X19-AG19</f>
        <v>0</v>
      </c>
      <c r="AK19" s="101"/>
      <c r="AL19" s="204">
        <v>0</v>
      </c>
      <c r="AM19" s="210">
        <v>0</v>
      </c>
      <c r="AN19" s="101"/>
      <c r="AO19" s="108"/>
      <c r="AP19" s="290"/>
      <c r="AQ19" s="291" t="s">
        <v>52</v>
      </c>
      <c r="AR19" s="292" t="s">
        <v>31</v>
      </c>
      <c r="AS19" s="293" t="s">
        <v>143</v>
      </c>
      <c r="AT19" s="292" t="s">
        <v>55</v>
      </c>
      <c r="AU19" s="294" t="s">
        <v>55</v>
      </c>
      <c r="AV19" s="295" t="s">
        <v>55</v>
      </c>
      <c r="AW19" s="1328" t="str">
        <f>+CONCATENATE("PROYECCION A DICIEMBRE 31 DEL ",N3)</f>
        <v>PROYECCION A DICIEMBRE 31 DEL 2025</v>
      </c>
      <c r="AX19" s="1322"/>
      <c r="AY19" s="1322"/>
      <c r="AZ19" s="1323"/>
      <c r="BA19" s="67"/>
      <c r="BB19" s="296" t="s">
        <v>144</v>
      </c>
      <c r="BC19" s="297">
        <f>+F105+F106+F107+F108+F109+F110+F98+F100+F101</f>
        <v>1569778290</v>
      </c>
      <c r="BD19" s="238">
        <f>+I105+I106+I107+I108+I109+I110+I98+I100+I101</f>
        <v>1817041482</v>
      </c>
      <c r="BE19" s="239">
        <f>+K105+K106+K107+K108+K109+K110+K98+K100+K101</f>
        <v>333916911</v>
      </c>
      <c r="BF19" s="553">
        <f>MARZO!BF19+ABRIL!BE19+MAYO!BE19+JUNIO!BE19</f>
        <v>729645872</v>
      </c>
      <c r="BG19" s="67"/>
      <c r="BH19" s="67"/>
      <c r="BI19" s="67"/>
      <c r="BJ19" s="67"/>
      <c r="BK19" s="67"/>
      <c r="BL19" s="101"/>
      <c r="BM19" s="745" t="s">
        <v>145</v>
      </c>
      <c r="BN19" s="188">
        <f>X126</f>
        <v>2624022659</v>
      </c>
      <c r="BO19" s="188">
        <f>AA126</f>
        <v>2296112618</v>
      </c>
      <c r="BP19" s="188">
        <f>AD126</f>
        <v>2068457089</v>
      </c>
      <c r="BQ19" s="755">
        <f>AF126</f>
        <v>307257831</v>
      </c>
    </row>
    <row r="20" spans="1:69" ht="24.75" customHeight="1" thickBot="1">
      <c r="A20" s="202" t="str">
        <f>+IF(JULIO!A20=0,"",JULIO!A20)</f>
        <v/>
      </c>
      <c r="B20" s="298" t="str">
        <f>+IF(JULIO!B20=0,"",JULIO!B20)</f>
        <v/>
      </c>
      <c r="C20" s="67"/>
      <c r="D20" s="67"/>
      <c r="E20" s="67"/>
      <c r="F20" s="67"/>
      <c r="G20" s="67"/>
      <c r="H20" s="67"/>
      <c r="I20" s="67"/>
      <c r="J20" s="67"/>
      <c r="K20" s="67"/>
      <c r="L20" s="67"/>
      <c r="M20" s="67"/>
      <c r="N20" s="283"/>
      <c r="O20" s="101"/>
      <c r="P20" s="284"/>
      <c r="Q20" s="285"/>
      <c r="R20" s="101"/>
      <c r="S20" s="266">
        <f>+IF(JULIO!S20=0,"",JULIO!S20)</f>
        <v>1010104</v>
      </c>
      <c r="T20" s="267" t="str">
        <f>+IF(JULIO!T20=0,"",JULIO!T20)</f>
        <v>Otros</v>
      </c>
      <c r="U20" s="373">
        <f t="shared" ref="U20:AJ20" si="15">SUM(U21:U32)</f>
        <v>1587602697.9166667</v>
      </c>
      <c r="V20" s="220">
        <f t="shared" si="15"/>
        <v>21000000</v>
      </c>
      <c r="W20" s="220">
        <f t="shared" si="15"/>
        <v>0</v>
      </c>
      <c r="X20" s="271">
        <f t="shared" si="15"/>
        <v>1608602697.9166667</v>
      </c>
      <c r="Y20" s="270">
        <f t="shared" si="15"/>
        <v>735408918</v>
      </c>
      <c r="Z20" s="300">
        <f t="shared" si="15"/>
        <v>37761542</v>
      </c>
      <c r="AA20" s="271">
        <f t="shared" si="15"/>
        <v>773170460</v>
      </c>
      <c r="AB20" s="270">
        <f t="shared" si="15"/>
        <v>735408918</v>
      </c>
      <c r="AC20" s="300">
        <f>SUM(AC21:AC32)</f>
        <v>37761542</v>
      </c>
      <c r="AD20" s="271">
        <f t="shared" si="15"/>
        <v>773170460</v>
      </c>
      <c r="AE20" s="270">
        <f t="shared" si="15"/>
        <v>728706637</v>
      </c>
      <c r="AF20" s="300">
        <f>SUM(AF21:AF32)</f>
        <v>10770544</v>
      </c>
      <c r="AG20" s="271">
        <f t="shared" si="15"/>
        <v>739477181</v>
      </c>
      <c r="AH20" s="270">
        <f t="shared" si="15"/>
        <v>835432237.91666663</v>
      </c>
      <c r="AI20" s="220">
        <f t="shared" si="15"/>
        <v>835432237.91666663</v>
      </c>
      <c r="AJ20" s="269">
        <f t="shared" si="15"/>
        <v>869125516.91666663</v>
      </c>
      <c r="AK20" s="101"/>
      <c r="AL20" s="301">
        <f>SUM(AL21:AL32)</f>
        <v>0</v>
      </c>
      <c r="AM20" s="302">
        <f>SUM(AM21:AM32)</f>
        <v>0</v>
      </c>
      <c r="AN20" s="101"/>
      <c r="AO20" s="156"/>
      <c r="AP20" s="303" t="s">
        <v>65</v>
      </c>
      <c r="AQ20" s="304" t="s">
        <v>75</v>
      </c>
      <c r="AR20" s="304" t="s">
        <v>66</v>
      </c>
      <c r="AS20" s="305" t="s">
        <v>66</v>
      </c>
      <c r="AT20" s="304" t="s">
        <v>67</v>
      </c>
      <c r="AU20" s="306" t="s">
        <v>68</v>
      </c>
      <c r="AV20" s="306" t="s">
        <v>68</v>
      </c>
      <c r="AW20" s="306" t="s">
        <v>31</v>
      </c>
      <c r="AX20" s="306" t="s">
        <v>34</v>
      </c>
      <c r="AY20" s="306" t="s">
        <v>147</v>
      </c>
      <c r="AZ20" s="307" t="s">
        <v>147</v>
      </c>
      <c r="BA20" s="67"/>
      <c r="BB20" s="308" t="s">
        <v>148</v>
      </c>
      <c r="BC20" s="142">
        <f>+F115+F117+F119+F120+F121+F123+F124</f>
        <v>0</v>
      </c>
      <c r="BD20" s="143">
        <f>+I115+I117+I119+I120+I121+I123+I124</f>
        <v>0</v>
      </c>
      <c r="BE20" s="144">
        <f>+K115+K117+K119+K120+K121+K123+K124</f>
        <v>0</v>
      </c>
      <c r="BF20" s="553">
        <f>MARZO!BF20+ABRIL!BE20+MAYO!BE20+JUNIO!BE20</f>
        <v>0</v>
      </c>
      <c r="BG20" s="67"/>
      <c r="BH20" s="67"/>
      <c r="BI20" s="67"/>
      <c r="BJ20" s="67"/>
      <c r="BK20" s="67"/>
      <c r="BL20" s="67"/>
      <c r="BM20" s="745" t="s">
        <v>149</v>
      </c>
      <c r="BN20" s="188">
        <f>+X141</f>
        <v>548000000</v>
      </c>
      <c r="BO20" s="188">
        <f>+AA141</f>
        <v>254316758</v>
      </c>
      <c r="BP20" s="188">
        <f>+AD141</f>
        <v>254316758</v>
      </c>
      <c r="BQ20" s="755">
        <f>+AF141</f>
        <v>51758350</v>
      </c>
    </row>
    <row r="21" spans="1:69" ht="24.75" customHeight="1" thickBot="1">
      <c r="A21" s="309" t="str">
        <f>+IF(JULIO!A21=0,"",JULIO!A21)</f>
        <v>1.1.02.05.001.09.02</v>
      </c>
      <c r="B21" s="310" t="str">
        <f>+IF(JULIO!B21=0,"",JULIO!B21)</f>
        <v>Venta de Servicios de Salud</v>
      </c>
      <c r="C21" s="171">
        <f t="shared" ref="C21:N21" si="16">C22+C25+C28+C41+C42+C45+C48+C51+C54+C57+C60+C63+C66+C69+C72+C75+C78+C81</f>
        <v>157258153137.47653</v>
      </c>
      <c r="D21" s="172">
        <f t="shared" si="16"/>
        <v>0</v>
      </c>
      <c r="E21" s="172">
        <f t="shared" si="16"/>
        <v>26157486765</v>
      </c>
      <c r="F21" s="172">
        <f t="shared" si="16"/>
        <v>183415639902.47653</v>
      </c>
      <c r="G21" s="172">
        <f t="shared" si="16"/>
        <v>134782020517</v>
      </c>
      <c r="H21" s="172">
        <f t="shared" si="16"/>
        <v>16081007062</v>
      </c>
      <c r="I21" s="172">
        <f t="shared" si="16"/>
        <v>150863027579</v>
      </c>
      <c r="J21" s="172">
        <f t="shared" si="16"/>
        <v>78777478351</v>
      </c>
      <c r="K21" s="172">
        <f t="shared" si="16"/>
        <v>7961016243</v>
      </c>
      <c r="L21" s="172">
        <f t="shared" si="16"/>
        <v>86738494594</v>
      </c>
      <c r="M21" s="172">
        <f t="shared" si="16"/>
        <v>32552612323.476513</v>
      </c>
      <c r="N21" s="173">
        <f t="shared" si="16"/>
        <v>96677145308.476517</v>
      </c>
      <c r="O21" s="67"/>
      <c r="P21" s="288">
        <f>P22+P25+P28+P41+P42+P45+P48+P51+P54+P57+P60+P63+P66+P69+P72+P75+P78+P81</f>
        <v>0</v>
      </c>
      <c r="Q21" s="289">
        <f>Q22+Q25+Q28+Q41+Q42+Q45+Q48+Q51+Q54+Q57+Q60+Q63+Q66+Q69+Q72+Q75+Q78+Q81</f>
        <v>19296265683</v>
      </c>
      <c r="R21" s="101"/>
      <c r="S21" s="311" t="str">
        <f>+IF(JULIO!S21=0,"",JULIO!S21)</f>
        <v>2.1.1.01.01.001.08.01</v>
      </c>
      <c r="T21" s="312" t="str">
        <f>+IF(JULIO!T21=0,"",JULIO!T21)</f>
        <v xml:space="preserve">Prima de Navidad </v>
      </c>
      <c r="U21" s="373">
        <f>+ENERO!U21</f>
        <v>544320925</v>
      </c>
      <c r="V21" s="220">
        <f>JULIO!V21+AGOSTO!AL21</f>
        <v>0</v>
      </c>
      <c r="W21" s="220">
        <f>JULIO!W21+AGOSTO!AM21</f>
        <v>0</v>
      </c>
      <c r="X21" s="271">
        <f t="shared" ref="X21:X33" si="17">SUM(U21:W21)</f>
        <v>544320925</v>
      </c>
      <c r="Y21" s="270">
        <f>JULIO!AA21</f>
        <v>6880624</v>
      </c>
      <c r="Z21" s="208">
        <v>3943055</v>
      </c>
      <c r="AA21" s="271">
        <f t="shared" ref="AA21:AA33" si="18">SUM(Y21:Z21)</f>
        <v>10823679</v>
      </c>
      <c r="AB21" s="270">
        <f>JULIO!AD21</f>
        <v>6880624</v>
      </c>
      <c r="AC21" s="208">
        <v>3943055</v>
      </c>
      <c r="AD21" s="271">
        <f t="shared" ref="AD21:AD33" si="19">SUM(AB21:AC21)</f>
        <v>10823679</v>
      </c>
      <c r="AE21" s="270">
        <f>JULIO!AG21</f>
        <v>6473230</v>
      </c>
      <c r="AF21" s="208">
        <v>407394</v>
      </c>
      <c r="AG21" s="271">
        <f t="shared" ref="AG21:AG33" si="20">SUM(AE21:AF21)</f>
        <v>6880624</v>
      </c>
      <c r="AH21" s="270">
        <f t="shared" ref="AH21:AH33" si="21">X21-AA21</f>
        <v>533497246</v>
      </c>
      <c r="AI21" s="220">
        <f t="shared" ref="AI21:AI33" si="22">X21-AD21</f>
        <v>533497246</v>
      </c>
      <c r="AJ21" s="269">
        <f t="shared" ref="AJ21:AJ33" si="23">X21-AG21</f>
        <v>537440301</v>
      </c>
      <c r="AK21" s="101"/>
      <c r="AL21" s="204">
        <v>0</v>
      </c>
      <c r="AM21" s="210">
        <v>0</v>
      </c>
      <c r="AN21" s="101"/>
      <c r="AO21" s="156"/>
      <c r="AP21" s="313"/>
      <c r="AQ21" s="314"/>
      <c r="AR21" s="315" t="str">
        <f>AR6</f>
        <v>AGOSTO</v>
      </c>
      <c r="AS21" s="316" t="str">
        <f>AR6</f>
        <v>AGOSTO</v>
      </c>
      <c r="AT21" s="315" t="str">
        <f>AR6</f>
        <v>AGOSTO</v>
      </c>
      <c r="AU21" s="315" t="s">
        <v>31</v>
      </c>
      <c r="AV21" s="315" t="s">
        <v>34</v>
      </c>
      <c r="AW21" s="317"/>
      <c r="AX21" s="317"/>
      <c r="AY21" s="315" t="s">
        <v>31</v>
      </c>
      <c r="AZ21" s="318" t="s">
        <v>34</v>
      </c>
      <c r="BA21" s="101"/>
      <c r="BB21" s="308" t="s">
        <v>152</v>
      </c>
      <c r="BC21" s="142">
        <f>SUM(F128)</f>
        <v>45360108023.099998</v>
      </c>
      <c r="BD21" s="143">
        <f>SUMIF($B8:B122,$B24,I8:I122)+I122+I92+I111</f>
        <v>47795053924</v>
      </c>
      <c r="BE21" s="142">
        <f>SUM(K128)</f>
        <v>3070127331</v>
      </c>
      <c r="BF21" s="553">
        <f>MARZO!BF21+ABRIL!BE21+MAYO!BE21+JUNIO!BE21</f>
        <v>43654823414</v>
      </c>
      <c r="BG21" s="67"/>
      <c r="BH21" s="67"/>
      <c r="BI21" s="67"/>
      <c r="BJ21" s="67"/>
      <c r="BK21" s="67"/>
      <c r="BL21" s="67"/>
      <c r="BM21" s="745" t="s">
        <v>153</v>
      </c>
      <c r="BN21" s="188">
        <v>0</v>
      </c>
      <c r="BO21" s="186">
        <v>0</v>
      </c>
      <c r="BP21" s="186">
        <v>0</v>
      </c>
      <c r="BQ21" s="754">
        <v>0</v>
      </c>
    </row>
    <row r="22" spans="1:69" ht="24.75" customHeight="1" thickBot="1">
      <c r="A22" s="286" t="str">
        <f>+IF(JULIO!A22=0,"",JULIO!A22)</f>
        <v>1.1.02.05.001.09.02.02</v>
      </c>
      <c r="B22" s="319" t="str">
        <f>+IF(JULIO!B22=0,"",JULIO!B22)</f>
        <v>EPS - REGIMEN CONTRIBUTIVO</v>
      </c>
      <c r="C22" s="288">
        <f t="shared" ref="C22:N22" si="24">SUM(C23:C24)</f>
        <v>56030749893.586876</v>
      </c>
      <c r="D22" s="320">
        <f t="shared" si="24"/>
        <v>0</v>
      </c>
      <c r="E22" s="320">
        <f t="shared" si="24"/>
        <v>6782368117</v>
      </c>
      <c r="F22" s="320">
        <f t="shared" si="24"/>
        <v>62813118010.586876</v>
      </c>
      <c r="G22" s="320">
        <f t="shared" si="24"/>
        <v>53508565930</v>
      </c>
      <c r="H22" s="320">
        <f t="shared" si="24"/>
        <v>8534318345</v>
      </c>
      <c r="I22" s="320">
        <f t="shared" si="24"/>
        <v>62042884275</v>
      </c>
      <c r="J22" s="320">
        <f t="shared" si="24"/>
        <v>33030670834</v>
      </c>
      <c r="K22" s="320">
        <f t="shared" si="24"/>
        <v>4997653343</v>
      </c>
      <c r="L22" s="320">
        <f t="shared" si="24"/>
        <v>38028324177</v>
      </c>
      <c r="M22" s="320">
        <f t="shared" si="24"/>
        <v>770233735.58687592</v>
      </c>
      <c r="N22" s="289">
        <f t="shared" si="24"/>
        <v>24784793833.586876</v>
      </c>
      <c r="O22" s="101"/>
      <c r="P22" s="288">
        <f>SUM(P23:P24)</f>
        <v>0</v>
      </c>
      <c r="Q22" s="289">
        <f>SUM(Q23:Q24)</f>
        <v>6782368117</v>
      </c>
      <c r="R22" s="101"/>
      <c r="S22" s="311" t="str">
        <f>+IF(JULIO!S22=0,"",JULIO!S22)</f>
        <v>2.1.1.01.01.001.08.02</v>
      </c>
      <c r="T22" s="312" t="str">
        <f>+IF(JULIO!T22=0,"",JULIO!T22)</f>
        <v>Prima de Vacaciones</v>
      </c>
      <c r="U22" s="373">
        <f>+ENERO!U22</f>
        <v>272160462.5</v>
      </c>
      <c r="V22" s="220">
        <f>JULIO!V22+AGOSTO!AL22</f>
        <v>0</v>
      </c>
      <c r="W22" s="220">
        <f>JULIO!W22+AGOSTO!AM22</f>
        <v>0</v>
      </c>
      <c r="X22" s="271">
        <f t="shared" si="17"/>
        <v>272160462.5</v>
      </c>
      <c r="Y22" s="270">
        <f>JULIO!AA22</f>
        <v>142381498</v>
      </c>
      <c r="Z22" s="208">
        <v>10846690</v>
      </c>
      <c r="AA22" s="271">
        <f t="shared" si="18"/>
        <v>153228188</v>
      </c>
      <c r="AB22" s="270">
        <f>JULIO!AD22</f>
        <v>142381498</v>
      </c>
      <c r="AC22" s="208">
        <v>10846690</v>
      </c>
      <c r="AD22" s="271">
        <f t="shared" si="19"/>
        <v>153228188</v>
      </c>
      <c r="AE22" s="270">
        <f>JULIO!AG22</f>
        <v>140784209</v>
      </c>
      <c r="AF22" s="208">
        <v>1597289</v>
      </c>
      <c r="AG22" s="271">
        <f t="shared" si="20"/>
        <v>142381498</v>
      </c>
      <c r="AH22" s="270">
        <f t="shared" si="21"/>
        <v>118932274.5</v>
      </c>
      <c r="AI22" s="220">
        <f t="shared" si="22"/>
        <v>118932274.5</v>
      </c>
      <c r="AJ22" s="269">
        <f t="shared" si="23"/>
        <v>129778964.5</v>
      </c>
      <c r="AK22" s="101"/>
      <c r="AL22" s="204">
        <v>0</v>
      </c>
      <c r="AM22" s="210">
        <v>0</v>
      </c>
      <c r="AN22" s="101"/>
      <c r="AO22" s="108"/>
      <c r="AP22" s="536" t="s">
        <v>156</v>
      </c>
      <c r="AQ22" s="537">
        <f>X17+X66</f>
        <v>6034913230</v>
      </c>
      <c r="AR22" s="537">
        <f>AD17+AD66</f>
        <v>3450309079</v>
      </c>
      <c r="AS22" s="537">
        <f>AG17+AG66</f>
        <v>3449903312</v>
      </c>
      <c r="AT22" s="338"/>
      <c r="AU22" s="325">
        <f t="shared" ref="AU22:AU32" si="25">IF(AQ22=0," ",AR22/AQ22)</f>
        <v>0.57172472039005606</v>
      </c>
      <c r="AV22" s="325">
        <f t="shared" ref="AV22:AV32" si="26">IF(AQ22=0," ",AS22/AQ22)</f>
        <v>0.57165748379782422</v>
      </c>
      <c r="AW22" s="323">
        <f>AR22/$AO$2*12</f>
        <v>5175463618.5</v>
      </c>
      <c r="AX22" s="323">
        <f>AS22/$AO$2*12</f>
        <v>5174854968</v>
      </c>
      <c r="AY22" s="323">
        <f t="shared" ref="AY22:AY31" si="27">AW22-AQ22</f>
        <v>-859449611.5</v>
      </c>
      <c r="AZ22" s="326">
        <f t="shared" ref="AZ22:AZ31" si="28">AQ22-AX22</f>
        <v>860058262</v>
      </c>
      <c r="BA22" s="67"/>
      <c r="BB22" s="327" t="s">
        <v>157</v>
      </c>
      <c r="BC22" s="328">
        <f>BC7+BC8+BC20+BC21</f>
        <v>207759352612.47653</v>
      </c>
      <c r="BD22" s="329">
        <f>BD7+BD8+BD20+BD21</f>
        <v>167870621098</v>
      </c>
      <c r="BE22" s="328">
        <f>SUM(BE8+BE21)</f>
        <v>11398266547</v>
      </c>
      <c r="BF22" s="553">
        <f>MARZO!BF22+ABRIL!BE22+MAYO!BE22+JUNIO!BE22</f>
        <v>74936900818</v>
      </c>
      <c r="BG22" s="67"/>
      <c r="BH22" s="67"/>
      <c r="BI22" s="67"/>
      <c r="BJ22" s="67"/>
      <c r="BK22" s="67"/>
      <c r="BL22" s="101"/>
      <c r="BM22" s="743" t="s">
        <v>108</v>
      </c>
      <c r="BN22" s="188">
        <f>BN23+BN24</f>
        <v>3214060585</v>
      </c>
      <c r="BO22" s="186">
        <f>BO23+BO24</f>
        <v>1111431495</v>
      </c>
      <c r="BP22" s="186">
        <f>BP23+BP24</f>
        <v>1096890165</v>
      </c>
      <c r="BQ22" s="748">
        <f>BQ23+BQ24</f>
        <v>146704469</v>
      </c>
    </row>
    <row r="23" spans="1:69" ht="24.75" customHeight="1">
      <c r="A23" s="202" t="str">
        <f>+IF(JULIO!A23=0,"",JULIO!A23)</f>
        <v>1.1.02.05.001.09.02.02</v>
      </c>
      <c r="B23" s="331" t="str">
        <f>+CONCATENATE("Vigencia ",INSTRUCCIONES!$F$3)</f>
        <v>Vigencia 2025</v>
      </c>
      <c r="C23" s="204">
        <f>+ENERO!C23</f>
        <v>49300076925.586876</v>
      </c>
      <c r="D23" s="205">
        <f>JULIO!D23+AGOSTO!P23</f>
        <v>0</v>
      </c>
      <c r="E23" s="205">
        <f>JULIO!E23+AGOSTO!Q23</f>
        <v>0</v>
      </c>
      <c r="F23" s="205">
        <f>SUM(C23:E23)</f>
        <v>49300076925.586876</v>
      </c>
      <c r="G23" s="205">
        <f>JULIO!I23</f>
        <v>39995524845</v>
      </c>
      <c r="H23" s="208">
        <v>5854217660</v>
      </c>
      <c r="I23" s="205">
        <f>SUM(G23:H23)</f>
        <v>45849742505</v>
      </c>
      <c r="J23" s="205">
        <f>JULIO!L23</f>
        <v>19517629749</v>
      </c>
      <c r="K23" s="208">
        <v>2317552658</v>
      </c>
      <c r="L23" s="205">
        <f>SUM(J23:K23)</f>
        <v>21835182407</v>
      </c>
      <c r="M23" s="205">
        <f>F23-I23</f>
        <v>3450334420.5868759</v>
      </c>
      <c r="N23" s="206">
        <f>F23-L23</f>
        <v>27464894518.586876</v>
      </c>
      <c r="O23" s="101"/>
      <c r="P23" s="204">
        <v>0</v>
      </c>
      <c r="Q23" s="210">
        <v>0</v>
      </c>
      <c r="R23" s="101"/>
      <c r="S23" s="311" t="str">
        <f>+IF(JULIO!S23=0,"",JULIO!S23)</f>
        <v>2.1.1.01.01.001.07</v>
      </c>
      <c r="T23" s="312" t="str">
        <f>+IF(JULIO!T23=0,"",JULIO!T23)</f>
        <v>Bonificación  por servicios prestados</v>
      </c>
      <c r="U23" s="373">
        <f>+ENERO!U23</f>
        <v>190512323.74999997</v>
      </c>
      <c r="V23" s="220">
        <f>JULIO!V23+AGOSTO!AL23</f>
        <v>0</v>
      </c>
      <c r="W23" s="220">
        <f>JULIO!W23+AGOSTO!AM23</f>
        <v>0</v>
      </c>
      <c r="X23" s="271">
        <f t="shared" si="17"/>
        <v>190512323.74999997</v>
      </c>
      <c r="Y23" s="270">
        <f>JULIO!AA23</f>
        <v>119523830</v>
      </c>
      <c r="Z23" s="208">
        <v>5248231</v>
      </c>
      <c r="AA23" s="271">
        <f t="shared" si="18"/>
        <v>124772061</v>
      </c>
      <c r="AB23" s="270">
        <f>JULIO!AD23</f>
        <v>119523830</v>
      </c>
      <c r="AC23" s="208">
        <v>5248231</v>
      </c>
      <c r="AD23" s="271">
        <f t="shared" si="19"/>
        <v>124772061</v>
      </c>
      <c r="AE23" s="270">
        <f>JULIO!AG23</f>
        <v>118702241</v>
      </c>
      <c r="AF23" s="208">
        <v>4909852</v>
      </c>
      <c r="AG23" s="271">
        <f t="shared" si="20"/>
        <v>123612093</v>
      </c>
      <c r="AH23" s="270">
        <f t="shared" si="21"/>
        <v>65740262.74999997</v>
      </c>
      <c r="AI23" s="220">
        <f t="shared" si="22"/>
        <v>65740262.74999997</v>
      </c>
      <c r="AJ23" s="269">
        <f t="shared" si="23"/>
        <v>66900230.74999997</v>
      </c>
      <c r="AK23" s="101"/>
      <c r="AL23" s="204">
        <v>0</v>
      </c>
      <c r="AM23" s="210">
        <v>0</v>
      </c>
      <c r="AN23" s="101"/>
      <c r="AO23" s="196"/>
      <c r="AP23" s="538" t="s">
        <v>159</v>
      </c>
      <c r="AQ23" s="334">
        <f>X16+X65-AQ22</f>
        <v>1625602697.916667</v>
      </c>
      <c r="AR23" s="334">
        <f>AD16+AD65-AR22</f>
        <v>782420871</v>
      </c>
      <c r="AS23" s="334">
        <f>AG16+AG65-AS22</f>
        <v>748727592</v>
      </c>
      <c r="AT23" s="110"/>
      <c r="AU23" s="139">
        <f t="shared" si="25"/>
        <v>0.48131125274504749</v>
      </c>
      <c r="AV23" s="139">
        <f t="shared" si="26"/>
        <v>0.46058461453069138</v>
      </c>
      <c r="AW23" s="334">
        <f>(AR23-AD21-AD22-AD23-AD25-AD30-AD33-AD70-AD71-AD72-AD74-AD78-AD81)/$AO$2*12+AX22/12*2.5+AD30+AD33+AD78+AD81</f>
        <v>1808903007.5</v>
      </c>
      <c r="AX23" s="334">
        <f>(AS23-AG21-AG22-AG23-AG25-AG30-AG33-AG70-AG71-AG72-AG74-AG78-AG81)/$AO$2*12+AX22/12*2.5+AG30+AG33+AG78+AG81</f>
        <v>1782988749.5</v>
      </c>
      <c r="AY23" s="334">
        <f t="shared" si="27"/>
        <v>183300309.58333302</v>
      </c>
      <c r="AZ23" s="335">
        <f t="shared" si="28"/>
        <v>-157386051.58333302</v>
      </c>
      <c r="BA23" s="67"/>
      <c r="BB23" s="336"/>
      <c r="BC23" s="336"/>
      <c r="BD23" s="336"/>
      <c r="BE23" s="336"/>
      <c r="BF23" s="67"/>
      <c r="BG23" s="67"/>
      <c r="BH23" s="67"/>
      <c r="BI23" s="67"/>
      <c r="BJ23" s="67"/>
      <c r="BK23" s="67"/>
      <c r="BL23" s="67"/>
      <c r="BM23" s="745" t="s">
        <v>160</v>
      </c>
      <c r="BN23" s="188">
        <f>X176</f>
        <v>0</v>
      </c>
      <c r="BO23" s="186">
        <f>AA176</f>
        <v>0</v>
      </c>
      <c r="BP23" s="186">
        <f>AD176</f>
        <v>0</v>
      </c>
      <c r="BQ23" s="748">
        <f>AF176</f>
        <v>0</v>
      </c>
    </row>
    <row r="24" spans="1:69" ht="24.75" customHeight="1">
      <c r="A24" s="202" t="str">
        <f>+IF(JULIO!A24=0,"",JULIO!A24)</f>
        <v>1.1.02.05.001.09.02.02,99</v>
      </c>
      <c r="B24" s="331" t="str">
        <f>+IF(JULIO!B24=0,"",JULIO!B24)</f>
        <v>Vigencia Anterior</v>
      </c>
      <c r="C24" s="204">
        <f>+ENERO!C24</f>
        <v>6730672968</v>
      </c>
      <c r="D24" s="205">
        <f>JULIO!D24+AGOSTO!P24</f>
        <v>0</v>
      </c>
      <c r="E24" s="205">
        <f>JULIO!E24+AGOSTO!Q24</f>
        <v>6782368117</v>
      </c>
      <c r="F24" s="205">
        <f>SUM(C24:E24)</f>
        <v>13513041085</v>
      </c>
      <c r="G24" s="205">
        <f>JULIO!I24</f>
        <v>13513041085</v>
      </c>
      <c r="H24" s="208">
        <f>2679305720+794965</f>
        <v>2680100685</v>
      </c>
      <c r="I24" s="205">
        <f>SUM(G24:H24)</f>
        <v>16193141770</v>
      </c>
      <c r="J24" s="205">
        <f>JULIO!L24</f>
        <v>13513041085</v>
      </c>
      <c r="K24" s="208">
        <f>2679305720+794965</f>
        <v>2680100685</v>
      </c>
      <c r="L24" s="205">
        <f>SUM(J24:K24)</f>
        <v>16193141770</v>
      </c>
      <c r="M24" s="205">
        <f>F24-I24</f>
        <v>-2680100685</v>
      </c>
      <c r="N24" s="206">
        <f>F24-L24</f>
        <v>-2680100685</v>
      </c>
      <c r="O24" s="67"/>
      <c r="P24" s="204">
        <v>0</v>
      </c>
      <c r="Q24" s="210">
        <v>6782368117</v>
      </c>
      <c r="R24" s="101"/>
      <c r="S24" s="311" t="str">
        <f>+IF(JULIO!S24=0,"",JULIO!S24)</f>
        <v>2.1.1.01.01.001.06</v>
      </c>
      <c r="T24" s="312" t="str">
        <f>+IF(JULIO!T24=0,"",JULIO!T24)</f>
        <v>Prima de Servicios</v>
      </c>
      <c r="U24" s="373">
        <f>+ENERO!U24</f>
        <v>272160462.5</v>
      </c>
      <c r="V24" s="220">
        <f>JULIO!V24+AGOSTO!AL24</f>
        <v>0</v>
      </c>
      <c r="W24" s="220">
        <f>JULIO!W24+AGOSTO!AM24</f>
        <v>0</v>
      </c>
      <c r="X24" s="271">
        <f t="shared" si="17"/>
        <v>272160462.5</v>
      </c>
      <c r="Y24" s="270">
        <f>JULIO!AA24</f>
        <v>234654968</v>
      </c>
      <c r="Z24" s="208">
        <v>1467239</v>
      </c>
      <c r="AA24" s="271">
        <f t="shared" si="18"/>
        <v>236122207</v>
      </c>
      <c r="AB24" s="270">
        <f>JULIO!AD24</f>
        <v>234654968</v>
      </c>
      <c r="AC24" s="208">
        <v>1467239</v>
      </c>
      <c r="AD24" s="271">
        <f t="shared" si="19"/>
        <v>236122207</v>
      </c>
      <c r="AE24" s="270">
        <f>JULIO!AG24</f>
        <v>233512476</v>
      </c>
      <c r="AF24" s="208">
        <v>1142492</v>
      </c>
      <c r="AG24" s="271">
        <f t="shared" si="20"/>
        <v>234654968</v>
      </c>
      <c r="AH24" s="270">
        <f t="shared" si="21"/>
        <v>36038255.5</v>
      </c>
      <c r="AI24" s="220">
        <f t="shared" si="22"/>
        <v>36038255.5</v>
      </c>
      <c r="AJ24" s="269">
        <f t="shared" si="23"/>
        <v>37505494.5</v>
      </c>
      <c r="AK24" s="101"/>
      <c r="AL24" s="204"/>
      <c r="AM24" s="210">
        <v>0</v>
      </c>
      <c r="AN24" s="101"/>
      <c r="AO24" s="196"/>
      <c r="AP24" s="303" t="s">
        <v>163</v>
      </c>
      <c r="AQ24" s="338">
        <f>X35+X83</f>
        <v>86358946637</v>
      </c>
      <c r="AR24" s="338">
        <f>AD35+AD83</f>
        <v>63980650747</v>
      </c>
      <c r="AS24" s="338">
        <f>AG35+AG83</f>
        <v>45230082287</v>
      </c>
      <c r="AT24" s="338"/>
      <c r="AU24" s="205">
        <f t="shared" si="25"/>
        <v>0.74086881832794216</v>
      </c>
      <c r="AV24" s="205">
        <f t="shared" si="26"/>
        <v>0.52374518273271098</v>
      </c>
      <c r="AW24" s="205">
        <f>(AR24-AD41-AD88)/$AO$2*12+AD41+AD88</f>
        <v>87750663178.5</v>
      </c>
      <c r="AX24" s="205">
        <f>(AS24-AG41-AG88)/$AO$2*12+AG41+AG88</f>
        <v>59624810488.5</v>
      </c>
      <c r="AY24" s="205">
        <f t="shared" si="27"/>
        <v>1391716541.5</v>
      </c>
      <c r="AZ24" s="206">
        <f t="shared" si="28"/>
        <v>26734136148.5</v>
      </c>
      <c r="BA24" s="101"/>
      <c r="BB24" s="339"/>
      <c r="BC24" s="67"/>
      <c r="BD24" s="67"/>
      <c r="BE24" s="67"/>
      <c r="BF24" s="67"/>
      <c r="BG24" s="67"/>
      <c r="BH24" s="67"/>
      <c r="BI24" s="67"/>
      <c r="BJ24" s="67"/>
      <c r="BK24" s="67"/>
      <c r="BL24" s="67"/>
      <c r="BM24" s="745" t="s">
        <v>164</v>
      </c>
      <c r="BN24" s="188">
        <f>X168-X190</f>
        <v>3214060585</v>
      </c>
      <c r="BO24" s="188">
        <f>AA168-AA190</f>
        <v>1111431495</v>
      </c>
      <c r="BP24" s="188">
        <f>AD168-AD190</f>
        <v>1096890165</v>
      </c>
      <c r="BQ24" s="188">
        <f>AF168-AF190</f>
        <v>146704469</v>
      </c>
    </row>
    <row r="25" spans="1:69" ht="24.75" customHeight="1">
      <c r="A25" s="286" t="str">
        <f>+IF(JULIO!A25=0,"",JULIO!A25)</f>
        <v>1.1.02.05.001.09.02.01</v>
      </c>
      <c r="B25" s="319" t="str">
        <f>+IF(JULIO!B25=0,"",JULIO!B25)</f>
        <v>ARS - REGIMEN SUBSIDIADO</v>
      </c>
      <c r="C25" s="288">
        <f t="shared" ref="C25:N25" si="29">SUM(C26:C27)</f>
        <v>91588666596</v>
      </c>
      <c r="D25" s="320">
        <f t="shared" si="29"/>
        <v>0</v>
      </c>
      <c r="E25" s="320">
        <f t="shared" si="29"/>
        <v>19375118648</v>
      </c>
      <c r="F25" s="320">
        <f t="shared" si="29"/>
        <v>110963785244</v>
      </c>
      <c r="G25" s="320">
        <f t="shared" si="29"/>
        <v>75067580438</v>
      </c>
      <c r="H25" s="320">
        <f t="shared" si="29"/>
        <v>6998704091</v>
      </c>
      <c r="I25" s="320">
        <f t="shared" si="29"/>
        <v>82066284529</v>
      </c>
      <c r="J25" s="320">
        <f t="shared" si="29"/>
        <v>42079750854</v>
      </c>
      <c r="K25" s="320">
        <f t="shared" si="29"/>
        <v>2678591728</v>
      </c>
      <c r="L25" s="320">
        <f t="shared" si="29"/>
        <v>44758342582</v>
      </c>
      <c r="M25" s="320">
        <f t="shared" si="29"/>
        <v>28897500715</v>
      </c>
      <c r="N25" s="661">
        <f t="shared" si="29"/>
        <v>66205442662</v>
      </c>
      <c r="O25" s="67"/>
      <c r="P25" s="288">
        <f>SUM(P26:P27)</f>
        <v>0</v>
      </c>
      <c r="Q25" s="289">
        <f>SUM(Q26:Q27)</f>
        <v>12513897566</v>
      </c>
      <c r="R25" s="101"/>
      <c r="S25" s="311" t="str">
        <f>+IF(JULIO!S25=0,"",JULIO!S25)</f>
        <v>1010104-5</v>
      </c>
      <c r="T25" s="312" t="str">
        <f>+IF(JULIO!T25=0,"",JULIO!T25)</f>
        <v>Bonificación Convencional</v>
      </c>
      <c r="U25" s="373">
        <f>+ENERO!U25</f>
        <v>0</v>
      </c>
      <c r="V25" s="220">
        <f>JULIO!V25+AGOSTO!AL25</f>
        <v>0</v>
      </c>
      <c r="W25" s="220">
        <f>JULIO!W25+AGOSTO!AM25</f>
        <v>0</v>
      </c>
      <c r="X25" s="271">
        <f t="shared" si="17"/>
        <v>0</v>
      </c>
      <c r="Y25" s="270">
        <f>JULIO!AA25</f>
        <v>0</v>
      </c>
      <c r="Z25" s="208">
        <v>0</v>
      </c>
      <c r="AA25" s="271">
        <f t="shared" si="18"/>
        <v>0</v>
      </c>
      <c r="AB25" s="270">
        <f>JULIO!AD25</f>
        <v>0</v>
      </c>
      <c r="AC25" s="208">
        <v>0</v>
      </c>
      <c r="AD25" s="271">
        <f t="shared" si="19"/>
        <v>0</v>
      </c>
      <c r="AE25" s="270">
        <f>JULIO!AG25</f>
        <v>0</v>
      </c>
      <c r="AF25" s="208">
        <v>0</v>
      </c>
      <c r="AG25" s="271">
        <f t="shared" si="20"/>
        <v>0</v>
      </c>
      <c r="AH25" s="270">
        <f t="shared" si="21"/>
        <v>0</v>
      </c>
      <c r="AI25" s="220">
        <f t="shared" si="22"/>
        <v>0</v>
      </c>
      <c r="AJ25" s="269">
        <f t="shared" si="23"/>
        <v>0</v>
      </c>
      <c r="AK25" s="101"/>
      <c r="AL25" s="204">
        <v>0</v>
      </c>
      <c r="AM25" s="210">
        <v>0</v>
      </c>
      <c r="AN25" s="101"/>
      <c r="AO25" s="108"/>
      <c r="AP25" s="420" t="s">
        <v>168</v>
      </c>
      <c r="AQ25" s="205">
        <f>X43+X57+X90+X104</f>
        <v>3217792492.9625015</v>
      </c>
      <c r="AR25" s="205">
        <f>AD43+AD57+AD90+AD104</f>
        <v>1826708910</v>
      </c>
      <c r="AS25" s="205">
        <f>AG43+AG57+AG90+AG104</f>
        <v>1822446068</v>
      </c>
      <c r="AT25" s="338"/>
      <c r="AU25" s="205">
        <f t="shared" si="25"/>
        <v>0.56769009002137893</v>
      </c>
      <c r="AV25" s="205">
        <f t="shared" si="26"/>
        <v>0.56636531783382393</v>
      </c>
      <c r="AW25" s="205">
        <f>(AR25-AD55-AD61-AD102-AD108)/$AO$2*12+AD55+AD61+AD102+AD108</f>
        <v>2468778762.5</v>
      </c>
      <c r="AX25" s="205">
        <f>(AS25-AG55-AG61-AG102-AG108)/$AO$2*12+AG55+AG61+AG102+AG108</f>
        <v>2462384499.5</v>
      </c>
      <c r="AY25" s="205">
        <f t="shared" si="27"/>
        <v>-749013730.46250153</v>
      </c>
      <c r="AZ25" s="206">
        <f t="shared" si="28"/>
        <v>755407993.46250153</v>
      </c>
      <c r="BA25" s="67"/>
      <c r="BB25" s="67"/>
      <c r="BC25" s="67"/>
      <c r="BD25" s="67"/>
      <c r="BE25" s="67"/>
      <c r="BF25" s="67"/>
      <c r="BG25" s="67"/>
      <c r="BH25" s="67"/>
      <c r="BI25" s="67"/>
      <c r="BJ25" s="67"/>
      <c r="BK25" s="67"/>
      <c r="BL25" s="67"/>
      <c r="BM25" s="756" t="s">
        <v>169</v>
      </c>
      <c r="BN25" s="340">
        <f>+SUM(BN26:BN28)</f>
        <v>49579849515.333328</v>
      </c>
      <c r="BO25" s="341">
        <f>+SUM(BO26:BO28)</f>
        <v>35843596965</v>
      </c>
      <c r="BP25" s="341">
        <f>+SUM(BP26:BP28)</f>
        <v>30452610779</v>
      </c>
      <c r="BQ25" s="757">
        <f>+SUM(BQ26:BQ28)</f>
        <v>1346709940</v>
      </c>
    </row>
    <row r="26" spans="1:69" ht="24.75" customHeight="1">
      <c r="A26" s="202" t="str">
        <f>+IF(JULIO!A26=0,"",JULIO!A26)</f>
        <v>1.1.02.05.001.09.02.01</v>
      </c>
      <c r="B26" s="331" t="str">
        <f>+CONCATENATE("Vigencia ",INSTRUCCIONES!$F$3)</f>
        <v>Vigencia 2025</v>
      </c>
      <c r="C26" s="204">
        <f>+ENERO!C26</f>
        <v>81866799864</v>
      </c>
      <c r="D26" s="205">
        <f>JULIO!D26+AGOSTO!P26</f>
        <v>0</v>
      </c>
      <c r="E26" s="205">
        <f>JULIO!E26+AGOSTO!Q26</f>
        <v>0</v>
      </c>
      <c r="F26" s="205">
        <f>SUM(C26:E26)</f>
        <v>81866799864</v>
      </c>
      <c r="G26" s="205">
        <f>JULIO!I26</f>
        <v>45970595058</v>
      </c>
      <c r="H26" s="208">
        <v>6628162631</v>
      </c>
      <c r="I26" s="205">
        <f>SUM(G26:H26)</f>
        <v>52598757689</v>
      </c>
      <c r="J26" s="205">
        <f>JULIO!L26</f>
        <v>12982765474</v>
      </c>
      <c r="K26" s="208">
        <v>2308050268</v>
      </c>
      <c r="L26" s="205">
        <f>SUM(J26:K26)</f>
        <v>15290815742</v>
      </c>
      <c r="M26" s="205">
        <f>F26-I26</f>
        <v>29268042175</v>
      </c>
      <c r="N26" s="206">
        <f>F26-L26</f>
        <v>66575984122</v>
      </c>
      <c r="O26" s="101"/>
      <c r="P26" s="204">
        <v>0</v>
      </c>
      <c r="Q26" s="210">
        <v>0</v>
      </c>
      <c r="R26" s="101"/>
      <c r="S26" s="311" t="str">
        <f>+IF(JULIO!S26=0,"",JULIO!S26)</f>
        <v>2.1.1.01.01.001.05</v>
      </c>
      <c r="T26" s="312" t="str">
        <f>+IF(JULIO!T26=0,"",JULIO!T26)</f>
        <v>Auxilio de Transporte</v>
      </c>
      <c r="U26" s="373">
        <f>+ENERO!U26</f>
        <v>0</v>
      </c>
      <c r="V26" s="220">
        <f>JULIO!V26+AGOSTO!AL26</f>
        <v>21000000</v>
      </c>
      <c r="W26" s="220">
        <f>JULIO!W26+AGOSTO!AM26</f>
        <v>0</v>
      </c>
      <c r="X26" s="271">
        <f t="shared" si="17"/>
        <v>21000000</v>
      </c>
      <c r="Y26" s="270">
        <f>JULIO!AA26</f>
        <v>12933331</v>
      </c>
      <c r="Z26" s="208">
        <v>0</v>
      </c>
      <c r="AA26" s="271">
        <f t="shared" si="18"/>
        <v>12933331</v>
      </c>
      <c r="AB26" s="270">
        <f>JULIO!AD26</f>
        <v>12933331</v>
      </c>
      <c r="AC26" s="208">
        <v>0</v>
      </c>
      <c r="AD26" s="271">
        <f t="shared" si="19"/>
        <v>12933331</v>
      </c>
      <c r="AE26" s="270">
        <f>JULIO!AG26</f>
        <v>12933331</v>
      </c>
      <c r="AF26" s="208">
        <v>0</v>
      </c>
      <c r="AG26" s="271">
        <f t="shared" si="20"/>
        <v>12933331</v>
      </c>
      <c r="AH26" s="270">
        <f t="shared" si="21"/>
        <v>8066669</v>
      </c>
      <c r="AI26" s="220">
        <f t="shared" si="22"/>
        <v>8066669</v>
      </c>
      <c r="AJ26" s="269">
        <f t="shared" si="23"/>
        <v>8066669</v>
      </c>
      <c r="AK26" s="101"/>
      <c r="AL26" s="204">
        <v>0</v>
      </c>
      <c r="AM26" s="210">
        <v>0</v>
      </c>
      <c r="AN26" s="101"/>
      <c r="AO26" s="108"/>
      <c r="AP26" s="539" t="s">
        <v>171</v>
      </c>
      <c r="AQ26" s="110">
        <f>X110</f>
        <v>23026615560.620834</v>
      </c>
      <c r="AR26" s="110">
        <f>AD110</f>
        <v>11177879701</v>
      </c>
      <c r="AS26" s="110">
        <f>AG110</f>
        <v>8138909310</v>
      </c>
      <c r="AT26" s="198">
        <f>AO2/12</f>
        <v>0.66666666666666663</v>
      </c>
      <c r="AU26" s="139">
        <f t="shared" si="25"/>
        <v>0.4854330273405853</v>
      </c>
      <c r="AV26" s="139">
        <f t="shared" si="26"/>
        <v>0.3534566027983212</v>
      </c>
      <c r="AW26" s="334" t="e">
        <f>(AR26-AD121-AD139-AD143-AD153-#REF!)/$AO$2*12+AD121+AD139+AD143+AD153+#REF!</f>
        <v>#REF!</v>
      </c>
      <c r="AX26" s="334" t="e">
        <f>(AS26-AG121-AG139-AG143-AG153-#REF!)/$AO$2*12+AG121+AG139+AG143+AG153+#REF!</f>
        <v>#REF!</v>
      </c>
      <c r="AY26" s="334" t="e">
        <f t="shared" si="27"/>
        <v>#REF!</v>
      </c>
      <c r="AZ26" s="335" t="e">
        <f t="shared" si="28"/>
        <v>#REF!</v>
      </c>
      <c r="BA26" s="67"/>
      <c r="BB26" s="67"/>
      <c r="BC26" s="67"/>
      <c r="BD26" s="67"/>
      <c r="BE26" s="67"/>
      <c r="BF26" s="67"/>
      <c r="BG26" s="67"/>
      <c r="BH26" s="67"/>
      <c r="BI26" s="67"/>
      <c r="BJ26" s="67"/>
      <c r="BK26" s="67"/>
      <c r="BL26" s="101"/>
      <c r="BM26" s="758" t="s">
        <v>172</v>
      </c>
      <c r="BN26" s="199">
        <f>+X197</f>
        <v>9264066391.666666</v>
      </c>
      <c r="BO26" s="199">
        <f>+AA197</f>
        <v>6628212257</v>
      </c>
      <c r="BP26" s="199">
        <f>+AD197</f>
        <v>5682841396</v>
      </c>
      <c r="BQ26" s="750">
        <f>+AF197</f>
        <v>164842854</v>
      </c>
    </row>
    <row r="27" spans="1:69" ht="24.75" customHeight="1">
      <c r="A27" s="202" t="str">
        <f>+IF(JULIO!A27=0,"",JULIO!A27)</f>
        <v>1.1.02.05.001.09.02.01.99</v>
      </c>
      <c r="B27" s="331" t="str">
        <f>+IF(JULIO!B27=0,"",JULIO!B27)</f>
        <v>Vigencia Anterior</v>
      </c>
      <c r="C27" s="204">
        <f>+ENERO!C27</f>
        <v>9721866732</v>
      </c>
      <c r="D27" s="205">
        <f>JULIO!D27+AGOSTO!P27</f>
        <v>0</v>
      </c>
      <c r="E27" s="205">
        <f>JULIO!E27+AGOSTO!Q27</f>
        <v>19375118648</v>
      </c>
      <c r="F27" s="205">
        <f>SUM(C27:E27)</f>
        <v>29096985380</v>
      </c>
      <c r="G27" s="205">
        <f>JULIO!I27</f>
        <v>29096985380</v>
      </c>
      <c r="H27" s="208">
        <v>370541460</v>
      </c>
      <c r="I27" s="205">
        <f>SUM(G27:H27)</f>
        <v>29467526840</v>
      </c>
      <c r="J27" s="205">
        <f>JULIO!L27</f>
        <v>29096985380</v>
      </c>
      <c r="K27" s="208">
        <v>370541460</v>
      </c>
      <c r="L27" s="205">
        <f>SUM(J27:K27)</f>
        <v>29467526840</v>
      </c>
      <c r="M27" s="205">
        <f>F27-I27</f>
        <v>-370541460</v>
      </c>
      <c r="N27" s="206">
        <f>F27-L27</f>
        <v>-370541460</v>
      </c>
      <c r="O27" s="67"/>
      <c r="P27" s="204">
        <v>0</v>
      </c>
      <c r="Q27" s="210">
        <v>12513897566</v>
      </c>
      <c r="R27" s="101"/>
      <c r="S27" s="311" t="str">
        <f>+IF(JULIO!S27=0,"",JULIO!S27)</f>
        <v>2.1.1.01.01.001.04</v>
      </c>
      <c r="T27" s="312" t="str">
        <f>+IF(JULIO!T27=0,"",JULIO!T27)</f>
        <v>Auxilio de Alimentación</v>
      </c>
      <c r="U27" s="373">
        <f>+ENERO!U27</f>
        <v>0</v>
      </c>
      <c r="V27" s="220">
        <f>JULIO!V27+AGOSTO!AL27</f>
        <v>0</v>
      </c>
      <c r="W27" s="220">
        <f>JULIO!W27+AGOSTO!AM27</f>
        <v>0</v>
      </c>
      <c r="X27" s="271">
        <f t="shared" si="17"/>
        <v>0</v>
      </c>
      <c r="Y27" s="270">
        <f>JULIO!AA27</f>
        <v>0</v>
      </c>
      <c r="Z27" s="208">
        <v>0</v>
      </c>
      <c r="AA27" s="271">
        <f t="shared" si="18"/>
        <v>0</v>
      </c>
      <c r="AB27" s="270">
        <f>JULIO!AD27</f>
        <v>0</v>
      </c>
      <c r="AC27" s="208">
        <v>0</v>
      </c>
      <c r="AD27" s="271">
        <f t="shared" si="19"/>
        <v>0</v>
      </c>
      <c r="AE27" s="270">
        <f>JULIO!AG27</f>
        <v>0</v>
      </c>
      <c r="AF27" s="208">
        <v>0</v>
      </c>
      <c r="AG27" s="271">
        <f t="shared" si="20"/>
        <v>0</v>
      </c>
      <c r="AH27" s="270">
        <f t="shared" si="21"/>
        <v>0</v>
      </c>
      <c r="AI27" s="220">
        <f t="shared" si="22"/>
        <v>0</v>
      </c>
      <c r="AJ27" s="269">
        <f t="shared" si="23"/>
        <v>0</v>
      </c>
      <c r="AK27" s="101"/>
      <c r="AL27" s="204">
        <v>0</v>
      </c>
      <c r="AM27" s="210">
        <v>0</v>
      </c>
      <c r="AN27" s="101"/>
      <c r="AO27" s="156"/>
      <c r="AP27" s="420" t="s">
        <v>174</v>
      </c>
      <c r="AQ27" s="205">
        <f>X168</f>
        <v>3614060585</v>
      </c>
      <c r="AR27" s="205">
        <f>AD168</f>
        <v>1299664374</v>
      </c>
      <c r="AS27" s="205">
        <f>AG168</f>
        <v>1159905841.5</v>
      </c>
      <c r="AT27" s="338"/>
      <c r="AU27" s="205">
        <f t="shared" si="25"/>
        <v>0.35961333337747575</v>
      </c>
      <c r="AV27" s="205">
        <f t="shared" si="26"/>
        <v>0.32094255594777199</v>
      </c>
      <c r="AW27" s="205">
        <f>(AR27-AD172-AD181-AD190)/$AO$2*12+AD172+AD181+AD190</f>
        <v>1752992919.5</v>
      </c>
      <c r="AX27" s="205">
        <f>(AS27-AG172-AG181-AG190)/$AO$2*12+AG172+AG181+AG190</f>
        <v>1543355120.75</v>
      </c>
      <c r="AY27" s="205">
        <f t="shared" si="27"/>
        <v>-1861067665.5</v>
      </c>
      <c r="AZ27" s="206">
        <f t="shared" si="28"/>
        <v>2070705464.25</v>
      </c>
      <c r="BA27" s="101"/>
      <c r="BB27" s="67"/>
      <c r="BC27" s="67"/>
      <c r="BD27" s="67"/>
      <c r="BE27" s="67"/>
      <c r="BF27" s="67"/>
      <c r="BG27" s="67"/>
      <c r="BH27" s="67"/>
      <c r="BI27" s="67"/>
      <c r="BJ27" s="67"/>
      <c r="BK27" s="67"/>
      <c r="BL27" s="67"/>
      <c r="BM27" s="758" t="s">
        <v>175</v>
      </c>
      <c r="BN27" s="201">
        <f>+X210</f>
        <v>3000000</v>
      </c>
      <c r="BO27" s="199">
        <f>+AA210</f>
        <v>0</v>
      </c>
      <c r="BP27" s="199">
        <f>+AD210</f>
        <v>0</v>
      </c>
      <c r="BQ27" s="750">
        <f>+AF210</f>
        <v>0</v>
      </c>
    </row>
    <row r="28" spans="1:69" ht="24.75" customHeight="1">
      <c r="A28" s="286">
        <f>+IF(JULIO!A28=0,"",JULIO!A28)</f>
        <v>1130103</v>
      </c>
      <c r="B28" s="344" t="str">
        <f>+IF(JULIO!B28=0,"",JULIO!B28)</f>
        <v>SUBSIDIO A LA OFERTA- ATENCION PERSONAS POBRES NO CUBIERTOS CON SUBSIDIO A LA DEMANDA</v>
      </c>
      <c r="C28" s="288">
        <f>C29+C32+C35+C38+C39+C40</f>
        <v>1850957800</v>
      </c>
      <c r="D28" s="320">
        <f>+D29+D32+D35+D38+D39+D40</f>
        <v>0</v>
      </c>
      <c r="E28" s="320">
        <f>+E29+E32+E35+E38+E39+E40</f>
        <v>0</v>
      </c>
      <c r="F28" s="320">
        <f>+F29+F32+F35+F38+F39+F40</f>
        <v>1850957800</v>
      </c>
      <c r="G28" s="320">
        <f t="shared" ref="G28:N28" si="30">G29+G32+G35+G38+G39+G40</f>
        <v>1294321862</v>
      </c>
      <c r="H28" s="320">
        <f t="shared" si="30"/>
        <v>177538494</v>
      </c>
      <c r="I28" s="320">
        <f t="shared" si="30"/>
        <v>1471860356</v>
      </c>
      <c r="J28" s="320">
        <f t="shared" si="30"/>
        <v>993874656</v>
      </c>
      <c r="K28" s="320">
        <f t="shared" si="30"/>
        <v>138967616</v>
      </c>
      <c r="L28" s="320">
        <f t="shared" si="30"/>
        <v>1132842272</v>
      </c>
      <c r="M28" s="320">
        <f t="shared" si="30"/>
        <v>379097444</v>
      </c>
      <c r="N28" s="289">
        <f t="shared" si="30"/>
        <v>718115528</v>
      </c>
      <c r="O28" s="67"/>
      <c r="P28" s="288">
        <f>P29+P32+P35+P38+P39+P939</f>
        <v>0</v>
      </c>
      <c r="Q28" s="289">
        <f>Q29+Q32+Q35+Q38+Q39+Q40</f>
        <v>0</v>
      </c>
      <c r="R28" s="101"/>
      <c r="S28" s="311" t="str">
        <f>+IF(JULIO!S28=0,"",JULIO!S28)</f>
        <v>1010104-8</v>
      </c>
      <c r="T28" s="312" t="str">
        <f>+IF(JULIO!T28=0,"",JULIO!T28)</f>
        <v>Indemnizaciones por Vacaciones o Supresión de Cargos por Reestructuración</v>
      </c>
      <c r="U28" s="373">
        <f>+ENERO!U28</f>
        <v>0</v>
      </c>
      <c r="V28" s="220">
        <f>JULIO!V28+AGOSTO!AL28</f>
        <v>0</v>
      </c>
      <c r="W28" s="220">
        <f>JULIO!W28+AGOSTO!AM28</f>
        <v>0</v>
      </c>
      <c r="X28" s="271">
        <f t="shared" si="17"/>
        <v>0</v>
      </c>
      <c r="Y28" s="270">
        <f>JULIO!AA28</f>
        <v>0</v>
      </c>
      <c r="Z28" s="208">
        <v>0</v>
      </c>
      <c r="AA28" s="271">
        <f t="shared" si="18"/>
        <v>0</v>
      </c>
      <c r="AB28" s="270">
        <f>JULIO!AD28</f>
        <v>0</v>
      </c>
      <c r="AC28" s="208">
        <v>0</v>
      </c>
      <c r="AD28" s="271">
        <f t="shared" si="19"/>
        <v>0</v>
      </c>
      <c r="AE28" s="270">
        <f>JULIO!AG28</f>
        <v>0</v>
      </c>
      <c r="AF28" s="208">
        <v>0</v>
      </c>
      <c r="AG28" s="271">
        <f t="shared" si="20"/>
        <v>0</v>
      </c>
      <c r="AH28" s="270">
        <f t="shared" si="21"/>
        <v>0</v>
      </c>
      <c r="AI28" s="220">
        <f t="shared" si="22"/>
        <v>0</v>
      </c>
      <c r="AJ28" s="269">
        <f t="shared" si="23"/>
        <v>0</v>
      </c>
      <c r="AK28" s="101"/>
      <c r="AL28" s="204">
        <v>0</v>
      </c>
      <c r="AM28" s="210">
        <v>0</v>
      </c>
      <c r="AN28" s="101"/>
      <c r="AO28" s="156"/>
      <c r="AP28" s="333" t="s">
        <v>179</v>
      </c>
      <c r="AQ28" s="205">
        <f>X194</f>
        <v>53293630478.666664</v>
      </c>
      <c r="AR28" s="205">
        <f>AD194</f>
        <v>34100673334</v>
      </c>
      <c r="AS28" s="205">
        <f>AG194</f>
        <v>19564820405</v>
      </c>
      <c r="AT28" s="338"/>
      <c r="AU28" s="205">
        <f t="shared" si="25"/>
        <v>0.63986395799495088</v>
      </c>
      <c r="AV28" s="205">
        <f t="shared" si="26"/>
        <v>0.36711367248346422</v>
      </c>
      <c r="AW28" s="205">
        <f>(AR28-AD206)/$AO$2*12+AD206</f>
        <v>49326978723.5</v>
      </c>
      <c r="AX28" s="205">
        <f>(AS28-AG206)/$AO$2*12+AG206</f>
        <v>27523199331</v>
      </c>
      <c r="AY28" s="205">
        <f t="shared" si="27"/>
        <v>-3966651755.1666641</v>
      </c>
      <c r="AZ28" s="206">
        <f t="shared" si="28"/>
        <v>25770431147.666664</v>
      </c>
      <c r="BA28" s="67"/>
      <c r="BB28" s="67"/>
      <c r="BC28" s="67"/>
      <c r="BD28" s="67"/>
      <c r="BE28" s="67"/>
      <c r="BF28" s="67"/>
      <c r="BG28" s="67"/>
      <c r="BH28" s="67"/>
      <c r="BI28" s="67"/>
      <c r="BJ28" s="67"/>
      <c r="BK28" s="67"/>
      <c r="BL28" s="67"/>
      <c r="BM28" s="743" t="s">
        <v>180</v>
      </c>
      <c r="BN28" s="186">
        <f>+X196-X197+X204</f>
        <v>40312783123.666664</v>
      </c>
      <c r="BO28" s="186">
        <f>+AA196-AA197+AA204</f>
        <v>29215384708</v>
      </c>
      <c r="BP28" s="186">
        <f>+AD196-AD197+AD204</f>
        <v>24769769383</v>
      </c>
      <c r="BQ28" s="748">
        <f>+AF196-AF197+AF204</f>
        <v>1181867086</v>
      </c>
    </row>
    <row r="29" spans="1:69" ht="24.75" customHeight="1">
      <c r="A29" s="202" t="str">
        <f>+IF(JULIO!A29=0,"",JULIO!A29)</f>
        <v>1130103-1</v>
      </c>
      <c r="B29" s="345" t="str">
        <f>+IF(JULIO!B29=0,"",JULIO!B29)</f>
        <v>Prestación de Servicios de salud  1er Nivel</v>
      </c>
      <c r="C29" s="270">
        <f t="shared" ref="C29:N29" si="31">SUM(C30:C31)</f>
        <v>0</v>
      </c>
      <c r="D29" s="220">
        <f t="shared" si="31"/>
        <v>0</v>
      </c>
      <c r="E29" s="220">
        <f t="shared" si="31"/>
        <v>0</v>
      </c>
      <c r="F29" s="220">
        <f t="shared" si="31"/>
        <v>0</v>
      </c>
      <c r="G29" s="220">
        <f t="shared" si="31"/>
        <v>0</v>
      </c>
      <c r="H29" s="220">
        <f t="shared" si="31"/>
        <v>0</v>
      </c>
      <c r="I29" s="220">
        <f t="shared" si="31"/>
        <v>0</v>
      </c>
      <c r="J29" s="220">
        <f t="shared" si="31"/>
        <v>0</v>
      </c>
      <c r="K29" s="220">
        <f t="shared" si="31"/>
        <v>0</v>
      </c>
      <c r="L29" s="220">
        <f t="shared" si="31"/>
        <v>0</v>
      </c>
      <c r="M29" s="220">
        <f t="shared" si="31"/>
        <v>0</v>
      </c>
      <c r="N29" s="269">
        <f t="shared" si="31"/>
        <v>0</v>
      </c>
      <c r="O29" s="67"/>
      <c r="P29" s="346">
        <f>SUM(P30:P31)</f>
        <v>0</v>
      </c>
      <c r="Q29" s="347">
        <f>SUM(Q30:Q31)</f>
        <v>0</v>
      </c>
      <c r="R29" s="101"/>
      <c r="S29" s="311" t="str">
        <f>+IF(JULIO!S29=0,"",JULIO!S29)</f>
        <v>1010104-9</v>
      </c>
      <c r="T29" s="312" t="str">
        <f>+IF(JULIO!T29=0,"",JULIO!T29)</f>
        <v>Gastos de Representacion</v>
      </c>
      <c r="U29" s="373">
        <f>+ENERO!U29</f>
        <v>0</v>
      </c>
      <c r="V29" s="220">
        <f>JULIO!V29+AGOSTO!AL29</f>
        <v>0</v>
      </c>
      <c r="W29" s="220">
        <f>JULIO!W29+AGOSTO!AM29</f>
        <v>0</v>
      </c>
      <c r="X29" s="271">
        <f t="shared" si="17"/>
        <v>0</v>
      </c>
      <c r="Y29" s="270">
        <f>JULIO!AA29</f>
        <v>0</v>
      </c>
      <c r="Z29" s="208">
        <v>0</v>
      </c>
      <c r="AA29" s="271">
        <f t="shared" si="18"/>
        <v>0</v>
      </c>
      <c r="AB29" s="270">
        <f>JULIO!AD29</f>
        <v>0</v>
      </c>
      <c r="AC29" s="208">
        <v>0</v>
      </c>
      <c r="AD29" s="271">
        <f t="shared" si="19"/>
        <v>0</v>
      </c>
      <c r="AE29" s="270">
        <f>JULIO!AG29</f>
        <v>0</v>
      </c>
      <c r="AF29" s="208">
        <v>0</v>
      </c>
      <c r="AG29" s="271">
        <f t="shared" si="20"/>
        <v>0</v>
      </c>
      <c r="AH29" s="270">
        <f t="shared" si="21"/>
        <v>0</v>
      </c>
      <c r="AI29" s="220">
        <f t="shared" si="22"/>
        <v>0</v>
      </c>
      <c r="AJ29" s="269">
        <f t="shared" si="23"/>
        <v>0</v>
      </c>
      <c r="AK29" s="101"/>
      <c r="AL29" s="204">
        <v>0</v>
      </c>
      <c r="AM29" s="210">
        <v>0</v>
      </c>
      <c r="AN29" s="101"/>
      <c r="AO29" s="108"/>
      <c r="AP29" s="333" t="s">
        <v>185</v>
      </c>
      <c r="AQ29" s="205">
        <f>X208</f>
        <v>4665559635</v>
      </c>
      <c r="AR29" s="205">
        <f>AD208</f>
        <v>4596162843</v>
      </c>
      <c r="AS29" s="205">
        <f>AG208</f>
        <v>4596162843</v>
      </c>
      <c r="AT29" s="110"/>
      <c r="AU29" s="139">
        <f t="shared" si="25"/>
        <v>0.98512573036696383</v>
      </c>
      <c r="AV29" s="139">
        <f t="shared" si="26"/>
        <v>0.98512573036696383</v>
      </c>
      <c r="AW29" s="334">
        <f>(AR29-AD217)/$AO$2*12+AD217</f>
        <v>4596162843</v>
      </c>
      <c r="AX29" s="334">
        <f>(AS29-AG217)/$AO$2*12+AG217</f>
        <v>4596162843</v>
      </c>
      <c r="AY29" s="334">
        <f t="shared" si="27"/>
        <v>-69396792</v>
      </c>
      <c r="AZ29" s="335">
        <f t="shared" si="28"/>
        <v>69396792</v>
      </c>
      <c r="BA29" s="67"/>
      <c r="BB29" s="336"/>
      <c r="BC29" s="336"/>
      <c r="BD29" s="336"/>
      <c r="BE29" s="336"/>
      <c r="BF29" s="336"/>
      <c r="BG29" s="67"/>
      <c r="BH29" s="67"/>
      <c r="BI29" s="67"/>
      <c r="BJ29" s="67"/>
      <c r="BK29" s="67"/>
      <c r="BL29" s="101"/>
      <c r="BM29" s="759" t="s">
        <v>117</v>
      </c>
      <c r="BN29" s="340">
        <f>X234-X240</f>
        <v>22232273766</v>
      </c>
      <c r="BO29" s="340">
        <f>AA234-AA240</f>
        <v>16596150063</v>
      </c>
      <c r="BP29" s="340">
        <f>AD234-AD240</f>
        <v>12748715988</v>
      </c>
      <c r="BQ29" s="340">
        <f>AF234-AF240</f>
        <v>1178145939</v>
      </c>
    </row>
    <row r="30" spans="1:69" ht="24.75" customHeight="1">
      <c r="A30" s="202" t="str">
        <f>+IF(JULIO!A30=0,"",JULIO!A30)</f>
        <v>1130103-1-1</v>
      </c>
      <c r="B30" s="331" t="str">
        <f>+CONCATENATE("Vigencia ",INSTRUCCIONES!$F$3)</f>
        <v>Vigencia 2025</v>
      </c>
      <c r="C30" s="204">
        <f>+ENERO!C30</f>
        <v>0</v>
      </c>
      <c r="D30" s="205">
        <f>JULIO!D30+AGOSTO!P30</f>
        <v>0</v>
      </c>
      <c r="E30" s="205">
        <f>JULIO!E30+AGOSTO!Q30</f>
        <v>0</v>
      </c>
      <c r="F30" s="205">
        <f>SUM(C30:E30)</f>
        <v>0</v>
      </c>
      <c r="G30" s="205">
        <f>JULIO!I30</f>
        <v>0</v>
      </c>
      <c r="H30" s="208">
        <v>0</v>
      </c>
      <c r="I30" s="205">
        <f>SUM(G30:H30)</f>
        <v>0</v>
      </c>
      <c r="J30" s="205">
        <f>JULIO!L30</f>
        <v>0</v>
      </c>
      <c r="K30" s="208">
        <v>0</v>
      </c>
      <c r="L30" s="205">
        <f>SUM(J30:K30)</f>
        <v>0</v>
      </c>
      <c r="M30" s="205">
        <f>F30-I30</f>
        <v>0</v>
      </c>
      <c r="N30" s="206">
        <f>F30-L30</f>
        <v>0</v>
      </c>
      <c r="O30" s="101"/>
      <c r="P30" s="204">
        <v>0</v>
      </c>
      <c r="Q30" s="210">
        <v>0</v>
      </c>
      <c r="R30" s="101"/>
      <c r="S30" s="311" t="str">
        <f>+IF(JULIO!S30=0,"",JULIO!S30)</f>
        <v>2.1.1.01.03.001.03</v>
      </c>
      <c r="T30" s="312" t="str">
        <f>+IF(JULIO!T30=0,"",JULIO!T30)</f>
        <v>Bonificación Especial por Recreación</v>
      </c>
      <c r="U30" s="373">
        <f>+ENERO!U30</f>
        <v>36288061.666666657</v>
      </c>
      <c r="V30" s="220">
        <f>JULIO!V30+AGOSTO!AL30</f>
        <v>0</v>
      </c>
      <c r="W30" s="220">
        <f>JULIO!W30+AGOSTO!AM30</f>
        <v>0</v>
      </c>
      <c r="X30" s="271">
        <f t="shared" si="17"/>
        <v>36288061.666666657</v>
      </c>
      <c r="Y30" s="270">
        <f>JULIO!AA30</f>
        <v>17792202</v>
      </c>
      <c r="Z30" s="208">
        <v>1382182</v>
      </c>
      <c r="AA30" s="271">
        <f t="shared" si="18"/>
        <v>19174384</v>
      </c>
      <c r="AB30" s="270">
        <f>JULIO!AD30</f>
        <v>17792202</v>
      </c>
      <c r="AC30" s="208">
        <v>1382182</v>
      </c>
      <c r="AD30" s="271">
        <f t="shared" si="19"/>
        <v>19174384</v>
      </c>
      <c r="AE30" s="270">
        <f>JULIO!AG30</f>
        <v>17567519</v>
      </c>
      <c r="AF30" s="208">
        <v>204683</v>
      </c>
      <c r="AG30" s="271">
        <f t="shared" si="20"/>
        <v>17772202</v>
      </c>
      <c r="AH30" s="270">
        <f t="shared" si="21"/>
        <v>17113677.666666657</v>
      </c>
      <c r="AI30" s="220">
        <f t="shared" si="22"/>
        <v>17113677.666666657</v>
      </c>
      <c r="AJ30" s="269">
        <f t="shared" si="23"/>
        <v>18515859.666666657</v>
      </c>
      <c r="AK30" s="101"/>
      <c r="AL30" s="204">
        <v>0</v>
      </c>
      <c r="AM30" s="210">
        <v>0</v>
      </c>
      <c r="AN30" s="101"/>
      <c r="AO30" s="196" t="s">
        <v>92</v>
      </c>
      <c r="AP30" s="420" t="s">
        <v>188</v>
      </c>
      <c r="AQ30" s="205">
        <f>X219+X231</f>
        <v>25922231295</v>
      </c>
      <c r="AR30" s="205">
        <f>AD219+AD231</f>
        <v>13634737728</v>
      </c>
      <c r="AS30" s="205">
        <f>AG219+AG231</f>
        <v>9186436422</v>
      </c>
      <c r="AT30" s="338"/>
      <c r="AU30" s="205">
        <f t="shared" si="25"/>
        <v>0.52598626919241831</v>
      </c>
      <c r="AV30" s="205">
        <f t="shared" si="26"/>
        <v>0.35438447861438233</v>
      </c>
      <c r="AW30" s="205">
        <f>(AR30-AD224-AD229-AD240-AD255)/$AO$2*12+AD224+AD229+AD240+AD255</f>
        <v>20452106592</v>
      </c>
      <c r="AX30" s="205">
        <f>(AS30-AG224-AG229-AG240-AG255)/$AO$2*12+AG224+AG229+AG240+AG255</f>
        <v>13779654633</v>
      </c>
      <c r="AY30" s="205">
        <f t="shared" si="27"/>
        <v>-5470124703</v>
      </c>
      <c r="AZ30" s="206">
        <f t="shared" si="28"/>
        <v>12142576662</v>
      </c>
      <c r="BA30" s="67"/>
      <c r="BB30" s="336"/>
      <c r="BC30" s="336"/>
      <c r="BD30" s="336"/>
      <c r="BE30" s="336"/>
      <c r="BF30" s="336"/>
      <c r="BG30" s="67"/>
      <c r="BH30" s="67"/>
      <c r="BI30" s="67"/>
      <c r="BJ30" s="67"/>
      <c r="BK30" s="67"/>
      <c r="BL30" s="67"/>
      <c r="BM30" s="759" t="s">
        <v>122</v>
      </c>
      <c r="BN30" s="340">
        <f>X219-X229</f>
        <v>3239175000</v>
      </c>
      <c r="BO30" s="340">
        <f>AA219-AA229</f>
        <v>886021740</v>
      </c>
      <c r="BP30" s="340">
        <f>AD219-AD229</f>
        <v>886021740</v>
      </c>
      <c r="BQ30" s="340">
        <f>AF219-AF229</f>
        <v>99792900</v>
      </c>
    </row>
    <row r="31" spans="1:69" ht="24.75" customHeight="1">
      <c r="A31" s="202" t="str">
        <f>+IF(JULIO!A31=0,"",JULIO!A31)</f>
        <v>1130103-1-2</v>
      </c>
      <c r="B31" s="331" t="str">
        <f>+IF(JULIO!B31=0,"",JULIO!B31)</f>
        <v>Vigencia Anterior</v>
      </c>
      <c r="C31" s="204">
        <f>+ENERO!C31</f>
        <v>0</v>
      </c>
      <c r="D31" s="205">
        <f>JULIO!D31+AGOSTO!P31</f>
        <v>0</v>
      </c>
      <c r="E31" s="205">
        <f>JULIO!E31+AGOSTO!Q31</f>
        <v>0</v>
      </c>
      <c r="F31" s="205">
        <f>SUM(C31:E31)</f>
        <v>0</v>
      </c>
      <c r="G31" s="205">
        <f>JULIO!I31</f>
        <v>0</v>
      </c>
      <c r="H31" s="208">
        <v>0</v>
      </c>
      <c r="I31" s="205">
        <f>SUM(G31:H31)</f>
        <v>0</v>
      </c>
      <c r="J31" s="205">
        <f>JULIO!L31</f>
        <v>0</v>
      </c>
      <c r="K31" s="208">
        <v>0</v>
      </c>
      <c r="L31" s="205">
        <f>SUM(J31:K31)</f>
        <v>0</v>
      </c>
      <c r="M31" s="205">
        <f>F31-I31</f>
        <v>0</v>
      </c>
      <c r="N31" s="206">
        <f>F31-L31</f>
        <v>0</v>
      </c>
      <c r="O31" s="67"/>
      <c r="P31" s="204">
        <v>0</v>
      </c>
      <c r="Q31" s="210">
        <v>0</v>
      </c>
      <c r="R31" s="101"/>
      <c r="S31" s="311" t="str">
        <f>+IF(JULIO!S31=0,"",JULIO!S31)</f>
        <v>2.1.1.01.03.001.01</v>
      </c>
      <c r="T31" s="312" t="str">
        <f>+IF(JULIO!T31=0,"",JULIO!T31)</f>
        <v>Vacaciones</v>
      </c>
      <c r="U31" s="373">
        <f>+ENERO!U31</f>
        <v>272160462.5</v>
      </c>
      <c r="V31" s="220">
        <f>JULIO!V31+AGOSTO!AL31</f>
        <v>0</v>
      </c>
      <c r="W31" s="220">
        <f>JULIO!W31+AGOSTO!AM31</f>
        <v>0</v>
      </c>
      <c r="X31" s="271">
        <f t="shared" si="17"/>
        <v>272160462.5</v>
      </c>
      <c r="Y31" s="270">
        <f>JULIO!AA31</f>
        <v>201242465</v>
      </c>
      <c r="Z31" s="208">
        <v>14874145</v>
      </c>
      <c r="AA31" s="271">
        <f t="shared" si="18"/>
        <v>216116610</v>
      </c>
      <c r="AB31" s="270">
        <f>JULIO!AD31</f>
        <v>201242465</v>
      </c>
      <c r="AC31" s="208">
        <v>14874145</v>
      </c>
      <c r="AD31" s="271">
        <f t="shared" si="19"/>
        <v>216116610</v>
      </c>
      <c r="AE31" s="270">
        <f>JULIO!AG31</f>
        <v>198733631</v>
      </c>
      <c r="AF31" s="208">
        <v>2508834</v>
      </c>
      <c r="AG31" s="271">
        <f t="shared" si="20"/>
        <v>201242465</v>
      </c>
      <c r="AH31" s="270">
        <f t="shared" si="21"/>
        <v>56043852.5</v>
      </c>
      <c r="AI31" s="220">
        <f t="shared" si="22"/>
        <v>56043852.5</v>
      </c>
      <c r="AJ31" s="269">
        <f t="shared" si="23"/>
        <v>70917997.5</v>
      </c>
      <c r="AK31" s="101"/>
      <c r="AL31" s="204">
        <v>0</v>
      </c>
      <c r="AM31" s="210">
        <v>0</v>
      </c>
      <c r="AN31" s="101"/>
      <c r="AO31" s="156"/>
      <c r="AP31" s="303" t="s">
        <v>190</v>
      </c>
      <c r="AQ31" s="338">
        <f>X257</f>
        <v>0.30987548828125</v>
      </c>
      <c r="AR31" s="338">
        <f>AD257</f>
        <v>-35795970837</v>
      </c>
      <c r="AS31" s="338">
        <f>AG257</f>
        <v>-93897394080.5</v>
      </c>
      <c r="AT31" s="338"/>
      <c r="AU31" s="205">
        <f t="shared" si="25"/>
        <v>-115517271261.25822</v>
      </c>
      <c r="AV31" s="205">
        <f t="shared" si="26"/>
        <v>-303016526416.17334</v>
      </c>
      <c r="AW31" s="205">
        <f>AQ31</f>
        <v>0.30987548828125</v>
      </c>
      <c r="AX31" s="205">
        <f>AQ31</f>
        <v>0.30987548828125</v>
      </c>
      <c r="AY31" s="205">
        <f t="shared" si="27"/>
        <v>0</v>
      </c>
      <c r="AZ31" s="206">
        <f t="shared" si="28"/>
        <v>0</v>
      </c>
      <c r="BA31" s="67"/>
      <c r="BB31" s="67"/>
      <c r="BC31" s="67"/>
      <c r="BD31" s="67"/>
      <c r="BE31" s="67"/>
      <c r="BF31" s="67"/>
      <c r="BG31" s="67"/>
      <c r="BH31" s="67"/>
      <c r="BI31" s="67"/>
      <c r="BJ31" s="67"/>
      <c r="BK31" s="67"/>
      <c r="BL31" s="67"/>
      <c r="BM31" s="759" t="s">
        <v>191</v>
      </c>
      <c r="BN31" s="340">
        <f>X261</f>
        <v>30116386787.222057</v>
      </c>
      <c r="BO31" s="340">
        <f>AA261</f>
        <v>27170472248</v>
      </c>
      <c r="BP31" s="340">
        <f>AD261</f>
        <v>27164272248</v>
      </c>
      <c r="BQ31" s="340">
        <f>AF261</f>
        <v>0</v>
      </c>
    </row>
    <row r="32" spans="1:69" ht="24.75" customHeight="1" thickBot="1">
      <c r="A32" s="202" t="str">
        <f>+IF(JULIO!A32=0,"",JULIO!A32)</f>
        <v>1.1.02.05.001.09.02.15</v>
      </c>
      <c r="B32" s="345" t="str">
        <f>+IF(JULIO!B32=0,"",JULIO!B32)</f>
        <v>Prestación de Servicios de salud  2o. Nivel</v>
      </c>
      <c r="C32" s="270">
        <f t="shared" ref="C32:N32" si="32">SUM(C33:C34)</f>
        <v>1850957800</v>
      </c>
      <c r="D32" s="220">
        <f t="shared" si="32"/>
        <v>0</v>
      </c>
      <c r="E32" s="220">
        <f t="shared" si="32"/>
        <v>0</v>
      </c>
      <c r="F32" s="220">
        <f t="shared" si="32"/>
        <v>1850957800</v>
      </c>
      <c r="G32" s="220">
        <f t="shared" si="32"/>
        <v>1294321862</v>
      </c>
      <c r="H32" s="220">
        <f t="shared" si="32"/>
        <v>177538494</v>
      </c>
      <c r="I32" s="220">
        <f t="shared" si="32"/>
        <v>1471860356</v>
      </c>
      <c r="J32" s="220">
        <f t="shared" si="32"/>
        <v>993874656</v>
      </c>
      <c r="K32" s="220">
        <f t="shared" si="32"/>
        <v>138967616</v>
      </c>
      <c r="L32" s="220">
        <f t="shared" si="32"/>
        <v>1132842272</v>
      </c>
      <c r="M32" s="220">
        <f t="shared" si="32"/>
        <v>379097444</v>
      </c>
      <c r="N32" s="269">
        <f t="shared" si="32"/>
        <v>718115528</v>
      </c>
      <c r="O32" s="67"/>
      <c r="P32" s="346">
        <f>SUM(P33:P34)</f>
        <v>0</v>
      </c>
      <c r="Q32" s="347">
        <f>SUM(Q33:Q34)</f>
        <v>0</v>
      </c>
      <c r="R32" s="101"/>
      <c r="S32" s="311" t="str">
        <f>+IF(JULIO!S32=0,"",JULIO!S32)</f>
        <v>1010104-12</v>
      </c>
      <c r="T32" s="312" t="str">
        <f>+IF(JULIO!T32=0,"",JULIO!T32)</f>
        <v/>
      </c>
      <c r="U32" s="373">
        <f>+ENERO!U32</f>
        <v>0</v>
      </c>
      <c r="V32" s="220">
        <f>JULIO!V32+AGOSTO!AL32</f>
        <v>0</v>
      </c>
      <c r="W32" s="220">
        <f>JULIO!W32+AGOSTO!AM32</f>
        <v>0</v>
      </c>
      <c r="X32" s="271">
        <f t="shared" si="17"/>
        <v>0</v>
      </c>
      <c r="Y32" s="270">
        <f>JULIO!AA32</f>
        <v>0</v>
      </c>
      <c r="Z32" s="208">
        <v>0</v>
      </c>
      <c r="AA32" s="271">
        <f t="shared" si="18"/>
        <v>0</v>
      </c>
      <c r="AB32" s="270">
        <f>JULIO!AD32</f>
        <v>0</v>
      </c>
      <c r="AC32" s="208">
        <v>0</v>
      </c>
      <c r="AD32" s="271">
        <f t="shared" si="19"/>
        <v>0</v>
      </c>
      <c r="AE32" s="270">
        <f>JULIO!AG32</f>
        <v>0</v>
      </c>
      <c r="AF32" s="208">
        <v>0</v>
      </c>
      <c r="AG32" s="271">
        <f t="shared" si="20"/>
        <v>0</v>
      </c>
      <c r="AH32" s="270">
        <f t="shared" si="21"/>
        <v>0</v>
      </c>
      <c r="AI32" s="220">
        <f t="shared" si="22"/>
        <v>0</v>
      </c>
      <c r="AJ32" s="269">
        <f t="shared" si="23"/>
        <v>0</v>
      </c>
      <c r="AK32" s="101"/>
      <c r="AL32" s="204">
        <v>0</v>
      </c>
      <c r="AM32" s="210">
        <v>0</v>
      </c>
      <c r="AN32" s="101"/>
      <c r="AO32" s="108"/>
      <c r="AP32" s="540" t="s">
        <v>194</v>
      </c>
      <c r="AQ32" s="260">
        <f>SUM(AQ22:AQ31)</f>
        <v>207759352612.47656</v>
      </c>
      <c r="AR32" s="260">
        <f>SUM(AR22:AR31)</f>
        <v>99053236750</v>
      </c>
      <c r="AS32" s="260">
        <f>SUM(AS22:AS31)</f>
        <v>0</v>
      </c>
      <c r="AT32" s="349"/>
      <c r="AU32" s="350">
        <f t="shared" si="25"/>
        <v>0.47676908646687594</v>
      </c>
      <c r="AV32" s="350">
        <f t="shared" si="26"/>
        <v>0</v>
      </c>
      <c r="AW32" s="158" t="e">
        <f>SUM(AW22:AW31)</f>
        <v>#REF!</v>
      </c>
      <c r="AX32" s="158" t="e">
        <f>SUM(AX22:AX31)</f>
        <v>#REF!</v>
      </c>
      <c r="AY32" s="158" t="e">
        <f>SUM(AY22:AY31)</f>
        <v>#REF!</v>
      </c>
      <c r="AZ32" s="159" t="e">
        <f>SUM(AZ22:AZ31)</f>
        <v>#REF!</v>
      </c>
      <c r="BA32" s="67"/>
      <c r="BB32" s="336"/>
      <c r="BC32" s="336"/>
      <c r="BD32" s="336"/>
      <c r="BE32" s="336"/>
      <c r="BF32" s="336"/>
      <c r="BG32" s="67"/>
      <c r="BH32" s="67"/>
      <c r="BI32" s="67"/>
      <c r="BJ32" s="67"/>
      <c r="BK32" s="67"/>
      <c r="BL32" s="101"/>
      <c r="BM32" s="759" t="s">
        <v>195</v>
      </c>
      <c r="BN32" s="340">
        <f>+BN7+BN25+BN29+BN30+BN31</f>
        <v>207759352612.16669</v>
      </c>
      <c r="BO32" s="340">
        <f>+BO7+BO25+BO29+BO30+BO31</f>
        <v>161131143983</v>
      </c>
      <c r="BP32" s="340">
        <f>+BP7+BP25+BP29+BP30+BP31</f>
        <v>134849207587</v>
      </c>
      <c r="BQ32" s="760">
        <f>+BQ7+BQ25+BQ29+BQ30+BQ31</f>
        <v>9810939909</v>
      </c>
    </row>
    <row r="33" spans="1:69" ht="24.75" customHeight="1" thickBot="1">
      <c r="A33" s="202" t="str">
        <f>+IF(JULIO!A33=0,"",JULIO!A33)</f>
        <v>1.1.02.05.001.09.02.15</v>
      </c>
      <c r="B33" s="331" t="str">
        <f>+CONCATENATE("Vigencia ",INSTRUCCIONES!$F$3)</f>
        <v>Vigencia 2025</v>
      </c>
      <c r="C33" s="204">
        <f>+ENERO!C33</f>
        <v>1140706891</v>
      </c>
      <c r="D33" s="205">
        <f>JULIO!D33+AGOSTO!P33</f>
        <v>0</v>
      </c>
      <c r="E33" s="205">
        <f>JULIO!E33+AGOSTO!Q33</f>
        <v>0</v>
      </c>
      <c r="F33" s="205">
        <f>SUM(C33:E33)</f>
        <v>1140706891</v>
      </c>
      <c r="G33" s="205">
        <f>JULIO!I33</f>
        <v>1020880465</v>
      </c>
      <c r="H33" s="208">
        <v>160972908</v>
      </c>
      <c r="I33" s="205">
        <f>SUM(G33:H33)</f>
        <v>1181853373</v>
      </c>
      <c r="J33" s="205">
        <f>JULIO!L33</f>
        <v>720433259</v>
      </c>
      <c r="K33" s="208">
        <f>121824813+577217</f>
        <v>122402030</v>
      </c>
      <c r="L33" s="205">
        <f>SUM(J33:K33)</f>
        <v>842835289</v>
      </c>
      <c r="M33" s="205">
        <f>F33-I33</f>
        <v>-41146482</v>
      </c>
      <c r="N33" s="206">
        <f>F33-L33</f>
        <v>297871602</v>
      </c>
      <c r="O33" s="101"/>
      <c r="P33" s="204">
        <v>0</v>
      </c>
      <c r="Q33" s="210">
        <v>0</v>
      </c>
      <c r="R33" s="101"/>
      <c r="S33" s="266">
        <f>+IF(JULIO!S33=0,"",JULIO!S33)</f>
        <v>1010199</v>
      </c>
      <c r="T33" s="267" t="str">
        <f>+IF(JULIO!T33=0,"",JULIO!T33)</f>
        <v>Vigencias Anteriores</v>
      </c>
      <c r="U33" s="373">
        <f>+ENERO!U33</f>
        <v>0</v>
      </c>
      <c r="V33" s="220">
        <f>JULIO!V33+AGOSTO!AL33</f>
        <v>0</v>
      </c>
      <c r="W33" s="220">
        <f>JULIO!W33+AGOSTO!AM33</f>
        <v>0</v>
      </c>
      <c r="X33" s="271">
        <f t="shared" si="17"/>
        <v>0</v>
      </c>
      <c r="Y33" s="270">
        <f>JULIO!AA33</f>
        <v>0</v>
      </c>
      <c r="Z33" s="208">
        <v>0</v>
      </c>
      <c r="AA33" s="271">
        <f t="shared" si="18"/>
        <v>0</v>
      </c>
      <c r="AB33" s="270">
        <f>JULIO!AD33</f>
        <v>0</v>
      </c>
      <c r="AC33" s="208">
        <v>0</v>
      </c>
      <c r="AD33" s="271">
        <f t="shared" si="19"/>
        <v>0</v>
      </c>
      <c r="AE33" s="270">
        <f>JULIO!AG33</f>
        <v>0</v>
      </c>
      <c r="AF33" s="208">
        <v>0</v>
      </c>
      <c r="AG33" s="271">
        <f t="shared" si="20"/>
        <v>0</v>
      </c>
      <c r="AH33" s="270">
        <f t="shared" si="21"/>
        <v>0</v>
      </c>
      <c r="AI33" s="220">
        <f t="shared" si="22"/>
        <v>0</v>
      </c>
      <c r="AJ33" s="269">
        <f t="shared" si="23"/>
        <v>0</v>
      </c>
      <c r="AK33" s="101"/>
      <c r="AL33" s="204">
        <v>0</v>
      </c>
      <c r="AM33" s="210">
        <v>0</v>
      </c>
      <c r="AN33" s="101"/>
      <c r="AO33" s="156"/>
      <c r="AP33" s="351"/>
      <c r="AQ33" s="352">
        <f>IF((AQ32-X8)&lt;&gt;0,(AQ32-X8),"")</f>
        <v>0.309906005859375</v>
      </c>
      <c r="AR33" s="352"/>
      <c r="AS33" s="352"/>
      <c r="AT33" s="352"/>
      <c r="AU33" s="353"/>
      <c r="AV33" s="325"/>
      <c r="AW33" s="323"/>
      <c r="AX33" s="323"/>
      <c r="AY33" s="323"/>
      <c r="AZ33" s="326"/>
      <c r="BA33" s="67"/>
      <c r="BB33" s="336"/>
      <c r="BC33" s="336"/>
      <c r="BD33" s="336"/>
      <c r="BE33" s="336"/>
      <c r="BF33" s="336"/>
      <c r="BG33" s="67"/>
      <c r="BH33" s="67"/>
      <c r="BI33" s="67"/>
      <c r="BJ33" s="67"/>
      <c r="BK33" s="67"/>
      <c r="BL33" s="67"/>
      <c r="BM33" s="761" t="s">
        <v>197</v>
      </c>
      <c r="BN33" s="762">
        <f>X258</f>
        <v>0</v>
      </c>
      <c r="BO33" s="763">
        <f>AA258</f>
        <v>0</v>
      </c>
      <c r="BP33" s="763">
        <f>AD258</f>
        <v>0</v>
      </c>
      <c r="BQ33" s="764">
        <f>AF258</f>
        <v>0</v>
      </c>
    </row>
    <row r="34" spans="1:69" ht="24.75" customHeight="1" thickBot="1">
      <c r="A34" s="202" t="str">
        <f>+IF(JULIO!A34=0,"",JULIO!A34)</f>
        <v>1.1.02.05.001.09.02.15.99</v>
      </c>
      <c r="B34" s="331" t="str">
        <f>+IF(JULIO!B34=0,"",JULIO!B34)</f>
        <v>Vigencia Anterior</v>
      </c>
      <c r="C34" s="204">
        <f>+ENERO!C34</f>
        <v>710250909</v>
      </c>
      <c r="D34" s="205">
        <f>JULIO!D34+AGOSTO!P34</f>
        <v>0</v>
      </c>
      <c r="E34" s="205">
        <f>JULIO!E34+AGOSTO!Q34</f>
        <v>0</v>
      </c>
      <c r="F34" s="205">
        <f>SUM(C34:E34)</f>
        <v>710250909</v>
      </c>
      <c r="G34" s="205">
        <f>JULIO!I34</f>
        <v>273441397</v>
      </c>
      <c r="H34" s="208">
        <v>16565586</v>
      </c>
      <c r="I34" s="205">
        <f>SUM(G34:H34)</f>
        <v>290006983</v>
      </c>
      <c r="J34" s="205">
        <f>JULIO!L34</f>
        <v>273441397</v>
      </c>
      <c r="K34" s="208">
        <v>16565586</v>
      </c>
      <c r="L34" s="205">
        <f>SUM(J34:K34)</f>
        <v>290006983</v>
      </c>
      <c r="M34" s="205">
        <f>F34-I34</f>
        <v>420243926</v>
      </c>
      <c r="N34" s="206">
        <f>F34-L34</f>
        <v>420243926</v>
      </c>
      <c r="O34" s="67"/>
      <c r="P34" s="204">
        <v>0</v>
      </c>
      <c r="Q34" s="210">
        <v>0</v>
      </c>
      <c r="R34" s="101"/>
      <c r="S34" s="189" t="str">
        <f>+IF(JULIO!S34=0,"",JULIO!S34)</f>
        <v/>
      </c>
      <c r="T34" s="488" t="str">
        <f>+IF(JULIO!T34=0,"",JULIO!T34)</f>
        <v/>
      </c>
      <c r="U34" s="191"/>
      <c r="V34" s="191"/>
      <c r="W34" s="191"/>
      <c r="X34" s="191"/>
      <c r="Y34" s="191"/>
      <c r="Z34" s="191"/>
      <c r="AA34" s="191"/>
      <c r="AB34" s="191"/>
      <c r="AC34" s="191"/>
      <c r="AD34" s="191"/>
      <c r="AE34" s="191"/>
      <c r="AF34" s="191"/>
      <c r="AG34" s="191"/>
      <c r="AH34" s="191"/>
      <c r="AI34" s="191"/>
      <c r="AJ34" s="192"/>
      <c r="AK34" s="101"/>
      <c r="AL34" s="249"/>
      <c r="AM34" s="250"/>
      <c r="AN34" s="101"/>
      <c r="AO34" s="156"/>
      <c r="AP34" s="354"/>
      <c r="AQ34" s="101"/>
      <c r="AR34" s="101"/>
      <c r="AS34" s="101" t="s">
        <v>198</v>
      </c>
      <c r="AT34" s="101"/>
      <c r="AU34" s="355" t="s">
        <v>199</v>
      </c>
      <c r="AV34" s="356" t="s">
        <v>200</v>
      </c>
      <c r="AW34" s="243" t="s">
        <v>198</v>
      </c>
      <c r="AX34" s="357"/>
      <c r="AY34" s="243" t="s">
        <v>201</v>
      </c>
      <c r="AZ34" s="244" t="s">
        <v>202</v>
      </c>
      <c r="BA34" s="67"/>
      <c r="BB34" s="67"/>
      <c r="BC34" s="67"/>
      <c r="BD34" s="67"/>
      <c r="BE34" s="67"/>
      <c r="BF34" s="67"/>
      <c r="BG34" s="67"/>
      <c r="BH34" s="67"/>
      <c r="BI34" s="67"/>
      <c r="BJ34" s="67"/>
      <c r="BK34" s="67"/>
      <c r="BL34" s="67"/>
      <c r="BM34" s="101"/>
      <c r="BN34" s="101"/>
      <c r="BO34" s="101"/>
      <c r="BP34" s="101"/>
      <c r="BQ34" s="101"/>
    </row>
    <row r="35" spans="1:69" ht="24.75" customHeight="1" thickBot="1">
      <c r="A35" s="202" t="str">
        <f>+IF(JULIO!A35=0,"",JULIO!A35)</f>
        <v>1130103-3</v>
      </c>
      <c r="B35" s="345" t="str">
        <f>+IF(JULIO!B35=0,"",JULIO!B35)</f>
        <v>Prestación de Servicios de salud  3o. Nivel</v>
      </c>
      <c r="C35" s="270">
        <f t="shared" ref="C35:N35" si="33">SUM(C36:C37)</f>
        <v>0</v>
      </c>
      <c r="D35" s="220">
        <f t="shared" si="33"/>
        <v>0</v>
      </c>
      <c r="E35" s="220">
        <f t="shared" si="33"/>
        <v>0</v>
      </c>
      <c r="F35" s="220">
        <f t="shared" si="33"/>
        <v>0</v>
      </c>
      <c r="G35" s="220">
        <f t="shared" si="33"/>
        <v>0</v>
      </c>
      <c r="H35" s="220">
        <f t="shared" si="33"/>
        <v>0</v>
      </c>
      <c r="I35" s="220">
        <f t="shared" si="33"/>
        <v>0</v>
      </c>
      <c r="J35" s="220">
        <f t="shared" si="33"/>
        <v>0</v>
      </c>
      <c r="K35" s="220">
        <f t="shared" si="33"/>
        <v>0</v>
      </c>
      <c r="L35" s="220">
        <f t="shared" si="33"/>
        <v>0</v>
      </c>
      <c r="M35" s="220">
        <f t="shared" si="33"/>
        <v>0</v>
      </c>
      <c r="N35" s="269">
        <f t="shared" si="33"/>
        <v>0</v>
      </c>
      <c r="O35" s="67"/>
      <c r="P35" s="346">
        <f>SUM(P36:P37)</f>
        <v>0</v>
      </c>
      <c r="Q35" s="347">
        <f>SUM(Q36:Q37)</f>
        <v>0</v>
      </c>
      <c r="R35" s="101"/>
      <c r="S35" s="257" t="str">
        <f>+IF(JULIO!S35=0,"",JULIO!S35)</f>
        <v>2.1.2.02.02.008</v>
      </c>
      <c r="T35" s="546" t="str">
        <f>+IF(JULIO!T35=0,"",JULIO!T35)</f>
        <v>Servicios Personales Indirectos</v>
      </c>
      <c r="U35" s="230">
        <f t="shared" ref="U35:AJ35" si="34">SUM(U36:U41)</f>
        <v>12514508007</v>
      </c>
      <c r="V35" s="231">
        <f t="shared" si="34"/>
        <v>3513000000</v>
      </c>
      <c r="W35" s="231">
        <f t="shared" si="34"/>
        <v>865000000</v>
      </c>
      <c r="X35" s="234">
        <f t="shared" si="34"/>
        <v>16892508007</v>
      </c>
      <c r="Y35" s="233">
        <f t="shared" si="34"/>
        <v>15853928510</v>
      </c>
      <c r="Z35" s="231">
        <f t="shared" si="34"/>
        <v>39108000</v>
      </c>
      <c r="AA35" s="234">
        <f t="shared" si="34"/>
        <v>15893036510</v>
      </c>
      <c r="AB35" s="233">
        <f t="shared" si="34"/>
        <v>11337737861</v>
      </c>
      <c r="AC35" s="231">
        <f t="shared" si="34"/>
        <v>1426275778</v>
      </c>
      <c r="AD35" s="234">
        <f t="shared" si="34"/>
        <v>12764013639</v>
      </c>
      <c r="AE35" s="233">
        <f t="shared" si="34"/>
        <v>7476632282</v>
      </c>
      <c r="AF35" s="231">
        <f t="shared" si="34"/>
        <v>1260984529</v>
      </c>
      <c r="AG35" s="234">
        <f t="shared" si="34"/>
        <v>8737616811</v>
      </c>
      <c r="AH35" s="233">
        <f t="shared" si="34"/>
        <v>999471497</v>
      </c>
      <c r="AI35" s="231">
        <f t="shared" si="34"/>
        <v>4128494368</v>
      </c>
      <c r="AJ35" s="232">
        <f t="shared" si="34"/>
        <v>8154891196</v>
      </c>
      <c r="AK35" s="101"/>
      <c r="AL35" s="233">
        <f>SUM(AL36:AL41)</f>
        <v>0</v>
      </c>
      <c r="AM35" s="232">
        <f>SUM(AM36:AM41)</f>
        <v>865000000</v>
      </c>
      <c r="AN35" s="101"/>
      <c r="AO35" s="156"/>
      <c r="AP35" s="358"/>
      <c r="AQ35" s="61"/>
      <c r="AR35" s="359"/>
      <c r="AS35" s="359"/>
      <c r="AT35" s="359"/>
      <c r="AU35" s="360">
        <f>AR17-AR32</f>
        <v>68817384348</v>
      </c>
      <c r="AV35" s="361">
        <f>AS17-AR32</f>
        <v>0</v>
      </c>
      <c r="AW35" s="1329" t="s">
        <v>205</v>
      </c>
      <c r="AX35" s="1330"/>
      <c r="AY35" s="361" t="e">
        <f>AY17+AY32</f>
        <v>#REF!</v>
      </c>
      <c r="AZ35" s="362" t="e">
        <f>AZ17+AY32</f>
        <v>#REF!</v>
      </c>
      <c r="BA35" s="67"/>
      <c r="BB35" s="336"/>
      <c r="BC35" s="336"/>
      <c r="BD35" s="336"/>
      <c r="BE35" s="336"/>
      <c r="BF35" s="336"/>
      <c r="BG35" s="67"/>
      <c r="BH35" s="67"/>
      <c r="BI35" s="67"/>
      <c r="BJ35" s="67"/>
      <c r="BK35" s="67"/>
      <c r="BL35" s="67"/>
      <c r="BM35" s="67"/>
      <c r="BN35" s="67"/>
      <c r="BO35" s="67"/>
      <c r="BP35" s="67"/>
      <c r="BQ35" s="67"/>
    </row>
    <row r="36" spans="1:69" ht="24.75" customHeight="1" thickBot="1">
      <c r="A36" s="202" t="str">
        <f>+IF(JULIO!A36=0,"",JULIO!A36)</f>
        <v>1130103-3-1</v>
      </c>
      <c r="B36" s="331" t="str">
        <f>+CONCATENATE("Vigencia ",INSTRUCCIONES!$F$3)</f>
        <v>Vigencia 2025</v>
      </c>
      <c r="C36" s="204">
        <f>+ENERO!C36</f>
        <v>0</v>
      </c>
      <c r="D36" s="205">
        <f>JULIO!D36+AGOSTO!P36</f>
        <v>0</v>
      </c>
      <c r="E36" s="205">
        <f>JULIO!E36+AGOSTO!Q36</f>
        <v>0</v>
      </c>
      <c r="F36" s="205">
        <f t="shared" ref="F36:F41" si="35">SUM(C36:E36)</f>
        <v>0</v>
      </c>
      <c r="G36" s="205">
        <f>JULIO!I36</f>
        <v>0</v>
      </c>
      <c r="H36" s="208">
        <v>0</v>
      </c>
      <c r="I36" s="205">
        <f t="shared" ref="I36:I41" si="36">SUM(G36:H36)</f>
        <v>0</v>
      </c>
      <c r="J36" s="205">
        <f>JULIO!L36</f>
        <v>0</v>
      </c>
      <c r="K36" s="208">
        <v>0</v>
      </c>
      <c r="L36" s="205">
        <f t="shared" ref="L36:L41" si="37">SUM(J36:K36)</f>
        <v>0</v>
      </c>
      <c r="M36" s="205">
        <f t="shared" ref="M36:M41" si="38">F36-I36</f>
        <v>0</v>
      </c>
      <c r="N36" s="206">
        <f t="shared" ref="N36:N41" si="39">F36-L36</f>
        <v>0</v>
      </c>
      <c r="O36" s="101"/>
      <c r="P36" s="204">
        <v>0</v>
      </c>
      <c r="Q36" s="210">
        <v>0</v>
      </c>
      <c r="R36" s="101"/>
      <c r="S36" s="266" t="str">
        <f>+IF(JULIO!S36=0,"",JULIO!S36)</f>
        <v>2.1.2.02.02.008.802</v>
      </c>
      <c r="T36" s="267" t="str">
        <f>+IF(JULIO!T36=0,"",JULIO!T36)</f>
        <v>Servicios Personales Administrativos (Contador, Abogado, otros)</v>
      </c>
      <c r="U36" s="373">
        <f>+ENERO!U36</f>
        <v>771615965</v>
      </c>
      <c r="V36" s="220">
        <f>JULIO!V36+AGOSTO!AL36</f>
        <v>450000000</v>
      </c>
      <c r="W36" s="220">
        <f>JULIO!W36+AGOSTO!AM36</f>
        <v>0</v>
      </c>
      <c r="X36" s="271">
        <f t="shared" ref="X36:X41" si="40">SUM(U36:W36)</f>
        <v>1221615965</v>
      </c>
      <c r="Y36" s="270">
        <f>JULIO!AA36</f>
        <v>1085016020</v>
      </c>
      <c r="Z36" s="208">
        <v>36261000</v>
      </c>
      <c r="AA36" s="271">
        <f t="shared" ref="AA36:AA41" si="41">SUM(Y36:Z36)</f>
        <v>1121277020</v>
      </c>
      <c r="AB36" s="270">
        <f>JULIO!AD36</f>
        <v>437426650</v>
      </c>
      <c r="AC36" s="208">
        <v>10243463</v>
      </c>
      <c r="AD36" s="271">
        <f t="shared" ref="AD36:AD41" si="42">SUM(AB36:AC36)</f>
        <v>447670113</v>
      </c>
      <c r="AE36" s="270">
        <f>JULIO!AG36</f>
        <v>345838778</v>
      </c>
      <c r="AF36" s="208">
        <v>67488200</v>
      </c>
      <c r="AG36" s="271">
        <f t="shared" ref="AG36:AG41" si="43">SUM(AE36:AF36)</f>
        <v>413326978</v>
      </c>
      <c r="AH36" s="270">
        <f t="shared" ref="AH36:AH41" si="44">X36-AA36</f>
        <v>100338945</v>
      </c>
      <c r="AI36" s="220">
        <f t="shared" ref="AI36:AI41" si="45">X36-AD36</f>
        <v>773945852</v>
      </c>
      <c r="AJ36" s="269">
        <f t="shared" ref="AJ36:AJ41" si="46">X36-AG36</f>
        <v>808288987</v>
      </c>
      <c r="AK36" s="101"/>
      <c r="AL36" s="204">
        <v>0</v>
      </c>
      <c r="AM36" s="210">
        <v>0</v>
      </c>
      <c r="AN36" s="101"/>
      <c r="AO36" s="363"/>
      <c r="AP36" s="364"/>
      <c r="AQ36" s="364"/>
      <c r="AR36" s="364"/>
      <c r="AS36" s="364"/>
      <c r="AT36" s="364"/>
      <c r="AU36" s="364"/>
      <c r="AV36" s="364"/>
      <c r="AW36" s="364"/>
      <c r="AX36" s="364"/>
      <c r="AY36" s="364"/>
      <c r="AZ36" s="365"/>
      <c r="BA36" s="67"/>
      <c r="BB36" s="336"/>
      <c r="BC36" s="336"/>
      <c r="BD36" s="336"/>
      <c r="BE36" s="336"/>
      <c r="BF36" s="336"/>
      <c r="BG36" s="67"/>
      <c r="BH36" s="67"/>
      <c r="BI36" s="67"/>
      <c r="BJ36" s="67"/>
      <c r="BK36" s="67"/>
      <c r="BL36" s="67"/>
      <c r="BM36" s="67"/>
      <c r="BN36" s="67"/>
      <c r="BO36" s="67"/>
      <c r="BP36" s="67"/>
      <c r="BQ36" s="67"/>
    </row>
    <row r="37" spans="1:69" ht="24.75" customHeight="1">
      <c r="A37" s="202" t="str">
        <f>+IF(JULIO!A37=0,"",JULIO!A37)</f>
        <v>1130103-3-2</v>
      </c>
      <c r="B37" s="331" t="str">
        <f>+IF(JULIO!B37=0,"",JULIO!B37)</f>
        <v>Vigencia Anterior</v>
      </c>
      <c r="C37" s="204">
        <f>+ENERO!C37</f>
        <v>0</v>
      </c>
      <c r="D37" s="205">
        <f>JULIO!D37+AGOSTO!P37</f>
        <v>0</v>
      </c>
      <c r="E37" s="205">
        <f>JULIO!E37+AGOSTO!Q37</f>
        <v>0</v>
      </c>
      <c r="F37" s="205">
        <f t="shared" si="35"/>
        <v>0</v>
      </c>
      <c r="G37" s="205">
        <f>JULIO!I37</f>
        <v>0</v>
      </c>
      <c r="H37" s="208">
        <v>0</v>
      </c>
      <c r="I37" s="205">
        <f t="shared" si="36"/>
        <v>0</v>
      </c>
      <c r="J37" s="205">
        <f>JULIO!L37</f>
        <v>0</v>
      </c>
      <c r="K37" s="208">
        <v>0</v>
      </c>
      <c r="L37" s="205">
        <f t="shared" si="37"/>
        <v>0</v>
      </c>
      <c r="M37" s="205">
        <f t="shared" si="38"/>
        <v>0</v>
      </c>
      <c r="N37" s="206">
        <f t="shared" si="39"/>
        <v>0</v>
      </c>
      <c r="O37" s="67"/>
      <c r="P37" s="204">
        <v>0</v>
      </c>
      <c r="Q37" s="210">
        <v>0</v>
      </c>
      <c r="R37" s="101"/>
      <c r="S37" s="266" t="str">
        <f>+IF(JULIO!S37=0,"",JULIO!S37)</f>
        <v>1010200-2</v>
      </c>
      <c r="T37" s="267" t="str">
        <f>+IF(JULIO!T37=0,"",JULIO!T37)</f>
        <v>Personal Supernumerario</v>
      </c>
      <c r="U37" s="373">
        <f>+ENERO!U37</f>
        <v>0</v>
      </c>
      <c r="V37" s="220">
        <f>JULIO!V37+AGOSTO!AL37</f>
        <v>0</v>
      </c>
      <c r="W37" s="220">
        <f>JULIO!W37+AGOSTO!AM37</f>
        <v>0</v>
      </c>
      <c r="X37" s="271">
        <f t="shared" si="40"/>
        <v>0</v>
      </c>
      <c r="Y37" s="270">
        <f>JULIO!AA37</f>
        <v>0</v>
      </c>
      <c r="Z37" s="208"/>
      <c r="AA37" s="271">
        <f t="shared" si="41"/>
        <v>0</v>
      </c>
      <c r="AB37" s="270">
        <f>JULIO!AD37</f>
        <v>0</v>
      </c>
      <c r="AC37" s="208"/>
      <c r="AD37" s="271">
        <f t="shared" si="42"/>
        <v>0</v>
      </c>
      <c r="AE37" s="270">
        <f>JULIO!AG37</f>
        <v>0</v>
      </c>
      <c r="AF37" s="208"/>
      <c r="AG37" s="271">
        <f t="shared" si="43"/>
        <v>0</v>
      </c>
      <c r="AH37" s="270">
        <f t="shared" si="44"/>
        <v>0</v>
      </c>
      <c r="AI37" s="220">
        <f t="shared" si="45"/>
        <v>0</v>
      </c>
      <c r="AJ37" s="269">
        <f t="shared" si="46"/>
        <v>0</v>
      </c>
      <c r="AK37" s="101"/>
      <c r="AL37" s="204">
        <v>0</v>
      </c>
      <c r="AM37" s="210">
        <v>0</v>
      </c>
      <c r="AN37" s="101"/>
      <c r="AO37" s="366" t="s">
        <v>209</v>
      </c>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row>
    <row r="38" spans="1:69" ht="24.75" customHeight="1">
      <c r="A38" s="367" t="str">
        <f>+IF(JULIO!A38=0,"",JULIO!A38)</f>
        <v>1130103-4</v>
      </c>
      <c r="B38" s="368" t="str">
        <f>+IF(JULIO!B38=0,"",JULIO!B38)</f>
        <v xml:space="preserve"> Aportes Patronales  1o. Nivel</v>
      </c>
      <c r="C38" s="204">
        <f>+ENERO!C38</f>
        <v>0</v>
      </c>
      <c r="D38" s="205">
        <f>JULIO!D38+AGOSTO!P38</f>
        <v>0</v>
      </c>
      <c r="E38" s="205">
        <f>JULIO!E38+AGOSTO!Q38</f>
        <v>0</v>
      </c>
      <c r="F38" s="205">
        <f t="shared" si="35"/>
        <v>0</v>
      </c>
      <c r="G38" s="205">
        <f>JULIO!I38</f>
        <v>0</v>
      </c>
      <c r="H38" s="208">
        <v>0</v>
      </c>
      <c r="I38" s="205">
        <f t="shared" si="36"/>
        <v>0</v>
      </c>
      <c r="J38" s="205">
        <f>JULIO!L38</f>
        <v>0</v>
      </c>
      <c r="K38" s="208">
        <v>0</v>
      </c>
      <c r="L38" s="205">
        <f t="shared" si="37"/>
        <v>0</v>
      </c>
      <c r="M38" s="205">
        <f t="shared" si="38"/>
        <v>0</v>
      </c>
      <c r="N38" s="206">
        <f t="shared" si="39"/>
        <v>0</v>
      </c>
      <c r="O38" s="369"/>
      <c r="P38" s="204">
        <v>0</v>
      </c>
      <c r="Q38" s="210">
        <v>0</v>
      </c>
      <c r="R38" s="101"/>
      <c r="S38" s="266" t="str">
        <f>+IF(JULIO!S38=0,"",JULIO!S38)</f>
        <v>2.1.2.02.02.008.810</v>
      </c>
      <c r="T38" s="267" t="str">
        <f>+IF(JULIO!T38=0,"",JULIO!T38)</f>
        <v>Honorarios de la Junta Directiva</v>
      </c>
      <c r="U38" s="373">
        <f>+ENERO!U38</f>
        <v>38518134</v>
      </c>
      <c r="V38" s="220">
        <f>JULIO!V38+AGOSTO!AL38</f>
        <v>0</v>
      </c>
      <c r="W38" s="220">
        <f>JULIO!W38+AGOSTO!AM38</f>
        <v>0</v>
      </c>
      <c r="X38" s="271">
        <f t="shared" si="40"/>
        <v>38518134</v>
      </c>
      <c r="Y38" s="270">
        <f>JULIO!AA38</f>
        <v>14946750</v>
      </c>
      <c r="Z38" s="208">
        <v>2847000</v>
      </c>
      <c r="AA38" s="271">
        <f t="shared" si="41"/>
        <v>17793750</v>
      </c>
      <c r="AB38" s="270">
        <f>JULIO!AD38</f>
        <v>14946750</v>
      </c>
      <c r="AC38" s="208">
        <v>2847000</v>
      </c>
      <c r="AD38" s="271">
        <f t="shared" si="42"/>
        <v>17793750</v>
      </c>
      <c r="AE38" s="270">
        <f>JULIO!AG38</f>
        <v>14946750</v>
      </c>
      <c r="AF38" s="208">
        <v>0</v>
      </c>
      <c r="AG38" s="271">
        <f t="shared" si="43"/>
        <v>14946750</v>
      </c>
      <c r="AH38" s="270">
        <f t="shared" si="44"/>
        <v>20724384</v>
      </c>
      <c r="AI38" s="220">
        <f t="shared" si="45"/>
        <v>20724384</v>
      </c>
      <c r="AJ38" s="269">
        <f t="shared" si="46"/>
        <v>23571384</v>
      </c>
      <c r="AK38" s="101"/>
      <c r="AL38" s="204">
        <v>0</v>
      </c>
      <c r="AM38" s="210">
        <v>0</v>
      </c>
      <c r="AN38" s="101"/>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row>
    <row r="39" spans="1:69" ht="24.75" customHeight="1">
      <c r="A39" s="367" t="str">
        <f>+IF(JULIO!A39=0,"",JULIO!A39)</f>
        <v>1130103-5</v>
      </c>
      <c r="B39" s="368" t="str">
        <f>+IF(JULIO!B39=0,"",JULIO!B39)</f>
        <v xml:space="preserve"> Aportes Patronales  2o. Nivel</v>
      </c>
      <c r="C39" s="204">
        <f>+ENERO!C39</f>
        <v>0</v>
      </c>
      <c r="D39" s="205">
        <f>JULIO!D39+AGOSTO!P39</f>
        <v>0</v>
      </c>
      <c r="E39" s="205">
        <f>JULIO!E39+AGOSTO!Q39</f>
        <v>0</v>
      </c>
      <c r="F39" s="205">
        <f t="shared" si="35"/>
        <v>0</v>
      </c>
      <c r="G39" s="205">
        <f>JULIO!I39</f>
        <v>0</v>
      </c>
      <c r="H39" s="208">
        <v>0</v>
      </c>
      <c r="I39" s="205">
        <f t="shared" si="36"/>
        <v>0</v>
      </c>
      <c r="J39" s="205">
        <f>JULIO!L39</f>
        <v>0</v>
      </c>
      <c r="K39" s="208">
        <v>0</v>
      </c>
      <c r="L39" s="205">
        <f t="shared" si="37"/>
        <v>0</v>
      </c>
      <c r="M39" s="205">
        <f t="shared" si="38"/>
        <v>0</v>
      </c>
      <c r="N39" s="206">
        <f t="shared" si="39"/>
        <v>0</v>
      </c>
      <c r="O39" s="369"/>
      <c r="P39" s="204">
        <v>0</v>
      </c>
      <c r="Q39" s="210">
        <v>0</v>
      </c>
      <c r="R39" s="101"/>
      <c r="S39" s="266" t="str">
        <f>+IF(JULIO!S39=0,"",JULIO!S39)</f>
        <v>2.1.2.02.02.009.906</v>
      </c>
      <c r="T39" s="267" t="str">
        <f>+IF(JULIO!T39=0,"",JULIO!T39)</f>
        <v>Servicios de Agremiación (administrativo)</v>
      </c>
      <c r="U39" s="373">
        <f>+ENERO!U39</f>
        <v>9849382921</v>
      </c>
      <c r="V39" s="220">
        <f>JULIO!V39+AGOSTO!AL39</f>
        <v>2280000000</v>
      </c>
      <c r="W39" s="220">
        <f>JULIO!W39+AGOSTO!AM39</f>
        <v>865000000</v>
      </c>
      <c r="X39" s="271">
        <f t="shared" si="40"/>
        <v>12994382921</v>
      </c>
      <c r="Y39" s="270">
        <f>JULIO!AA39</f>
        <v>12116855306</v>
      </c>
      <c r="Z39" s="208">
        <v>0</v>
      </c>
      <c r="AA39" s="271">
        <f t="shared" si="41"/>
        <v>12116855306</v>
      </c>
      <c r="AB39" s="270">
        <f>JULIO!AD39</f>
        <v>8248254027</v>
      </c>
      <c r="AC39" s="208">
        <v>1413185315</v>
      </c>
      <c r="AD39" s="271">
        <f t="shared" si="42"/>
        <v>9661439342</v>
      </c>
      <c r="AE39" s="270">
        <f>JULIO!AG39</f>
        <v>4478736320</v>
      </c>
      <c r="AF39" s="208">
        <v>1193496329</v>
      </c>
      <c r="AG39" s="271">
        <f t="shared" si="43"/>
        <v>5672232649</v>
      </c>
      <c r="AH39" s="270">
        <f t="shared" si="44"/>
        <v>877527615</v>
      </c>
      <c r="AI39" s="220">
        <f t="shared" si="45"/>
        <v>3332943579</v>
      </c>
      <c r="AJ39" s="269">
        <f t="shared" si="46"/>
        <v>7322150272</v>
      </c>
      <c r="AK39" s="101"/>
      <c r="AL39" s="204">
        <v>0</v>
      </c>
      <c r="AM39" s="210">
        <v>865000000</v>
      </c>
      <c r="AN39" s="101"/>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row>
    <row r="40" spans="1:69" ht="24.75" customHeight="1">
      <c r="A40" s="367" t="str">
        <f>+IF(JULIO!A40=0,"",JULIO!A40)</f>
        <v>1130103-6</v>
      </c>
      <c r="B40" s="368" t="str">
        <f>+IF(JULIO!B40=0,"",JULIO!B40)</f>
        <v xml:space="preserve"> Aportes Patronales  3er. Nivel</v>
      </c>
      <c r="C40" s="204">
        <f>+ENERO!C40</f>
        <v>0</v>
      </c>
      <c r="D40" s="205">
        <f>JULIO!D40+AGOSTO!P40</f>
        <v>0</v>
      </c>
      <c r="E40" s="205">
        <f>JULIO!E40+AGOSTO!Q40</f>
        <v>0</v>
      </c>
      <c r="F40" s="205">
        <f t="shared" si="35"/>
        <v>0</v>
      </c>
      <c r="G40" s="205">
        <f>JULIO!I40</f>
        <v>0</v>
      </c>
      <c r="H40" s="208">
        <v>0</v>
      </c>
      <c r="I40" s="205">
        <f t="shared" si="36"/>
        <v>0</v>
      </c>
      <c r="J40" s="205">
        <f>JULIO!L40</f>
        <v>0</v>
      </c>
      <c r="K40" s="208">
        <v>0</v>
      </c>
      <c r="L40" s="205">
        <f t="shared" si="37"/>
        <v>0</v>
      </c>
      <c r="M40" s="205">
        <f t="shared" si="38"/>
        <v>0</v>
      </c>
      <c r="N40" s="206">
        <f t="shared" si="39"/>
        <v>0</v>
      </c>
      <c r="O40" s="369"/>
      <c r="P40" s="204">
        <v>0</v>
      </c>
      <c r="Q40" s="210">
        <v>0</v>
      </c>
      <c r="R40" s="101"/>
      <c r="S40" s="266" t="str">
        <f>+IF(JULIO!S40=0,"",JULIO!S40)</f>
        <v/>
      </c>
      <c r="T40" s="267" t="str">
        <f>+IF(JULIO!T40=0,"",JULIO!T40)</f>
        <v>Certificación, Habilitación y Acreditación</v>
      </c>
      <c r="U40" s="373">
        <f>+ENERO!U40</f>
        <v>0</v>
      </c>
      <c r="V40" s="220">
        <f>JULIO!V40+AGOSTO!AL40</f>
        <v>0</v>
      </c>
      <c r="W40" s="220">
        <f>JULIO!W40+AGOSTO!AM40</f>
        <v>0</v>
      </c>
      <c r="X40" s="271">
        <f t="shared" si="40"/>
        <v>0</v>
      </c>
      <c r="Y40" s="270">
        <f>JULIO!AA40</f>
        <v>0</v>
      </c>
      <c r="Z40" s="208"/>
      <c r="AA40" s="271">
        <f t="shared" si="41"/>
        <v>0</v>
      </c>
      <c r="AB40" s="270">
        <f>JULIO!AD40</f>
        <v>0</v>
      </c>
      <c r="AC40" s="208"/>
      <c r="AD40" s="271">
        <f t="shared" si="42"/>
        <v>0</v>
      </c>
      <c r="AE40" s="270">
        <f>JULIO!AG40</f>
        <v>0</v>
      </c>
      <c r="AF40" s="208"/>
      <c r="AG40" s="271">
        <f t="shared" si="43"/>
        <v>0</v>
      </c>
      <c r="AH40" s="270">
        <f t="shared" si="44"/>
        <v>0</v>
      </c>
      <c r="AI40" s="220">
        <f t="shared" si="45"/>
        <v>0</v>
      </c>
      <c r="AJ40" s="269">
        <f t="shared" si="46"/>
        <v>0</v>
      </c>
      <c r="AK40" s="101"/>
      <c r="AL40" s="204">
        <v>0</v>
      </c>
      <c r="AM40" s="210">
        <v>0</v>
      </c>
      <c r="AN40" s="101"/>
      <c r="AO40" s="67"/>
      <c r="AP40" s="67"/>
      <c r="AQ40" s="67"/>
      <c r="AR40" s="67"/>
      <c r="AS40" s="67"/>
      <c r="AT40" s="67"/>
      <c r="AU40" s="67"/>
      <c r="AV40" s="67"/>
      <c r="AW40" s="67"/>
      <c r="AX40" s="67"/>
      <c r="AY40" s="67"/>
      <c r="AZ40" s="67"/>
      <c r="BA40" s="67"/>
      <c r="BB40" s="336"/>
      <c r="BC40" s="336"/>
      <c r="BD40" s="336"/>
      <c r="BE40" s="336"/>
      <c r="BF40" s="67"/>
      <c r="BG40" s="67"/>
      <c r="BH40" s="67"/>
      <c r="BI40" s="67"/>
      <c r="BJ40" s="67"/>
      <c r="BK40" s="67"/>
      <c r="BL40" s="67"/>
      <c r="BM40" s="67"/>
      <c r="BN40" s="67"/>
      <c r="BO40" s="67"/>
      <c r="BP40" s="67"/>
      <c r="BQ40" s="67"/>
    </row>
    <row r="41" spans="1:69" ht="24.75" customHeight="1">
      <c r="A41" s="286">
        <f>+IF(JULIO!A41=0,"",JULIO!A41)</f>
        <v>1130104</v>
      </c>
      <c r="B41" s="319" t="str">
        <f>+IF(JULIO!B41=0,"",JULIO!B41)</f>
        <v>SUBSIDIO A LA OFERTA- ACTIVIDADES NO POS-S</v>
      </c>
      <c r="C41" s="204">
        <f>+ENERO!C41</f>
        <v>0</v>
      </c>
      <c r="D41" s="231">
        <f>JULIO!D41+AGOSTO!P41</f>
        <v>0</v>
      </c>
      <c r="E41" s="231">
        <f>JULIO!E41+AGOSTO!Q41</f>
        <v>0</v>
      </c>
      <c r="F41" s="231">
        <f t="shared" si="35"/>
        <v>0</v>
      </c>
      <c r="G41" s="231">
        <f>JULIO!I41</f>
        <v>0</v>
      </c>
      <c r="H41" s="208">
        <v>0</v>
      </c>
      <c r="I41" s="231">
        <f t="shared" si="36"/>
        <v>0</v>
      </c>
      <c r="J41" s="231">
        <f>JULIO!L41</f>
        <v>0</v>
      </c>
      <c r="K41" s="208">
        <v>0</v>
      </c>
      <c r="L41" s="231">
        <f t="shared" si="37"/>
        <v>0</v>
      </c>
      <c r="M41" s="231">
        <f t="shared" si="38"/>
        <v>0</v>
      </c>
      <c r="N41" s="232">
        <f t="shared" si="39"/>
        <v>0</v>
      </c>
      <c r="O41" s="67"/>
      <c r="P41" s="208">
        <v>0</v>
      </c>
      <c r="Q41" s="210">
        <v>0</v>
      </c>
      <c r="R41" s="101"/>
      <c r="S41" s="266" t="str">
        <f>+IF(JULIO!S41=0,"",JULIO!S41)</f>
        <v>2.1.2.02.02.009.99.02</v>
      </c>
      <c r="T41" s="267" t="str">
        <f>+IF(JULIO!T41=0,"",JULIO!T41)</f>
        <v>Vigencias Anteriores</v>
      </c>
      <c r="U41" s="373">
        <f>+ENERO!U41</f>
        <v>1854990987</v>
      </c>
      <c r="V41" s="220">
        <f>JULIO!V41+AGOSTO!AL41</f>
        <v>783000000</v>
      </c>
      <c r="W41" s="220">
        <f>JULIO!W41+AGOSTO!AM41</f>
        <v>0</v>
      </c>
      <c r="X41" s="271">
        <f t="shared" si="40"/>
        <v>2637990987</v>
      </c>
      <c r="Y41" s="270">
        <f>JULIO!AA41</f>
        <v>2637110434</v>
      </c>
      <c r="Z41" s="208">
        <v>0</v>
      </c>
      <c r="AA41" s="271">
        <f t="shared" si="41"/>
        <v>2637110434</v>
      </c>
      <c r="AB41" s="270">
        <f>JULIO!AD41</f>
        <v>2637110434</v>
      </c>
      <c r="AC41" s="208">
        <v>0</v>
      </c>
      <c r="AD41" s="271">
        <f t="shared" si="42"/>
        <v>2637110434</v>
      </c>
      <c r="AE41" s="270">
        <f>JULIO!AG41</f>
        <v>2637110434</v>
      </c>
      <c r="AF41" s="208">
        <v>0</v>
      </c>
      <c r="AG41" s="271">
        <f t="shared" si="43"/>
        <v>2637110434</v>
      </c>
      <c r="AH41" s="270">
        <f t="shared" si="44"/>
        <v>880553</v>
      </c>
      <c r="AI41" s="220">
        <f t="shared" si="45"/>
        <v>880553</v>
      </c>
      <c r="AJ41" s="269">
        <f t="shared" si="46"/>
        <v>880553</v>
      </c>
      <c r="AK41" s="101"/>
      <c r="AL41" s="204">
        <v>0</v>
      </c>
      <c r="AM41" s="210">
        <v>0</v>
      </c>
      <c r="AN41" s="101"/>
      <c r="AO41" s="67"/>
      <c r="AP41" s="67"/>
      <c r="AQ41" s="67"/>
      <c r="AR41" s="67"/>
      <c r="AS41" s="67"/>
      <c r="AT41" s="67"/>
      <c r="AU41" s="67"/>
      <c r="AV41" s="67"/>
      <c r="AW41" s="67"/>
      <c r="AX41" s="67"/>
      <c r="AY41" s="67"/>
      <c r="AZ41" s="67"/>
      <c r="BA41" s="67"/>
      <c r="BB41" s="336"/>
      <c r="BC41" s="336"/>
      <c r="BD41" s="336"/>
      <c r="BE41" s="336"/>
      <c r="BF41" s="67"/>
      <c r="BG41" s="67"/>
      <c r="BH41" s="67"/>
      <c r="BI41" s="67"/>
      <c r="BJ41" s="67"/>
      <c r="BK41" s="67"/>
      <c r="BL41" s="67"/>
      <c r="BM41" s="336"/>
      <c r="BN41" s="336"/>
      <c r="BO41" s="336"/>
      <c r="BP41" s="336"/>
      <c r="BQ41" s="336"/>
    </row>
    <row r="42" spans="1:69" ht="24.75" customHeight="1">
      <c r="A42" s="286" t="str">
        <f>+IF(JULIO!A42=0,"",JULIO!A42)</f>
        <v>1.1.02.05.001.09.02.03</v>
      </c>
      <c r="B42" s="319" t="str">
        <f>+IF(JULIO!B42=0,"",JULIO!B42)</f>
        <v>SALUD PUBLICA - PLAN DE INTERVENCIONES COLECTIVAS</v>
      </c>
      <c r="C42" s="288">
        <f t="shared" ref="C42:N42" si="47">SUM(C43:C44)</f>
        <v>287170800</v>
      </c>
      <c r="D42" s="320">
        <f t="shared" si="47"/>
        <v>0</v>
      </c>
      <c r="E42" s="320">
        <f t="shared" si="47"/>
        <v>0</v>
      </c>
      <c r="F42" s="320">
        <f t="shared" si="47"/>
        <v>287170800</v>
      </c>
      <c r="G42" s="320">
        <f t="shared" si="47"/>
        <v>93349271</v>
      </c>
      <c r="H42" s="320">
        <f t="shared" si="47"/>
        <v>7537986</v>
      </c>
      <c r="I42" s="320">
        <f t="shared" si="47"/>
        <v>100887257</v>
      </c>
      <c r="J42" s="320">
        <f t="shared" si="47"/>
        <v>75044358</v>
      </c>
      <c r="K42" s="320">
        <f t="shared" si="47"/>
        <v>0</v>
      </c>
      <c r="L42" s="320">
        <f t="shared" si="47"/>
        <v>75044358</v>
      </c>
      <c r="M42" s="320">
        <f t="shared" si="47"/>
        <v>186283543</v>
      </c>
      <c r="N42" s="289">
        <f t="shared" si="47"/>
        <v>212126442</v>
      </c>
      <c r="O42" s="67"/>
      <c r="P42" s="288">
        <f>SUM(P43:P44)</f>
        <v>0</v>
      </c>
      <c r="Q42" s="289">
        <f>SUM(Q43:Q44)</f>
        <v>0</v>
      </c>
      <c r="R42" s="101"/>
      <c r="S42" s="189">
        <f>+IF(JULIO!S42=0,"",JULIO!S42)</f>
        <v>1130106</v>
      </c>
      <c r="T42" s="488" t="str">
        <f>+IF(JULIO!T42=0,"",JULIO!T42)</f>
        <v/>
      </c>
      <c r="U42" s="191"/>
      <c r="V42" s="191"/>
      <c r="W42" s="191"/>
      <c r="X42" s="191"/>
      <c r="Y42" s="191"/>
      <c r="Z42" s="191"/>
      <c r="AA42" s="191"/>
      <c r="AB42" s="191"/>
      <c r="AC42" s="191"/>
      <c r="AD42" s="191"/>
      <c r="AE42" s="191"/>
      <c r="AF42" s="191"/>
      <c r="AG42" s="191"/>
      <c r="AH42" s="191"/>
      <c r="AI42" s="191"/>
      <c r="AJ42" s="192"/>
      <c r="AK42" s="216"/>
      <c r="AL42" s="370"/>
      <c r="AM42" s="371"/>
      <c r="AN42" s="101"/>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row>
    <row r="43" spans="1:69" ht="24.75" customHeight="1">
      <c r="A43" s="202" t="str">
        <f>+IF(JULIO!A43=0,"",JULIO!A43)</f>
        <v>1.1.02.05.001.09.02.03</v>
      </c>
      <c r="B43" s="331" t="str">
        <f>+CONCATENATE("Vigencia ",INSTRUCCIONES!$F$3)</f>
        <v>Vigencia 2025</v>
      </c>
      <c r="C43" s="204">
        <f>+ENERO!C43</f>
        <v>0</v>
      </c>
      <c r="D43" s="205">
        <f>JULIO!D43+AGOSTO!P43</f>
        <v>0</v>
      </c>
      <c r="E43" s="205">
        <f>JULIO!E43+AGOSTO!Q43</f>
        <v>0</v>
      </c>
      <c r="F43" s="205">
        <f>SUM(C43:E43)</f>
        <v>0</v>
      </c>
      <c r="G43" s="205">
        <f>JULIO!I43</f>
        <v>30952039</v>
      </c>
      <c r="H43" s="208">
        <v>7537986</v>
      </c>
      <c r="I43" s="205">
        <f>SUM(G43:H43)</f>
        <v>38490025</v>
      </c>
      <c r="J43" s="205">
        <f>JULIO!L43</f>
        <v>12647126</v>
      </c>
      <c r="K43" s="208">
        <v>0</v>
      </c>
      <c r="L43" s="205">
        <f>SUM(J43:K43)</f>
        <v>12647126</v>
      </c>
      <c r="M43" s="205">
        <f>F43-I43</f>
        <v>-38490025</v>
      </c>
      <c r="N43" s="206">
        <f>F43-L43</f>
        <v>-12647126</v>
      </c>
      <c r="O43" s="67"/>
      <c r="P43" s="204">
        <v>0</v>
      </c>
      <c r="Q43" s="210">
        <v>0</v>
      </c>
      <c r="R43" s="101"/>
      <c r="S43" s="257">
        <f>+IF(JULIO!S43=0,"",JULIO!S43)</f>
        <v>1010300</v>
      </c>
      <c r="T43" s="546" t="str">
        <f>+IF(JULIO!T43=0,"",JULIO!T43)</f>
        <v>Contribuciones Inherentes nómina al Sector Privado</v>
      </c>
      <c r="U43" s="230">
        <f t="shared" ref="U43:AJ43" si="48">U44+U49+U55</f>
        <v>2871199937.9625015</v>
      </c>
      <c r="V43" s="231">
        <f t="shared" si="48"/>
        <v>0</v>
      </c>
      <c r="W43" s="231">
        <f t="shared" si="48"/>
        <v>0</v>
      </c>
      <c r="X43" s="234">
        <f t="shared" si="48"/>
        <v>2871199937.9625015</v>
      </c>
      <c r="Y43" s="233">
        <f t="shared" si="48"/>
        <v>1487215097</v>
      </c>
      <c r="Z43" s="231">
        <f t="shared" si="48"/>
        <v>122258542</v>
      </c>
      <c r="AA43" s="234">
        <f t="shared" si="48"/>
        <v>1609473639</v>
      </c>
      <c r="AB43" s="233">
        <f t="shared" si="48"/>
        <v>1487215097</v>
      </c>
      <c r="AC43" s="231">
        <f t="shared" si="48"/>
        <v>122258542</v>
      </c>
      <c r="AD43" s="234">
        <f t="shared" si="48"/>
        <v>1609473639</v>
      </c>
      <c r="AE43" s="233">
        <f t="shared" si="48"/>
        <v>1483096133</v>
      </c>
      <c r="AF43" s="231">
        <f t="shared" si="48"/>
        <v>122114664</v>
      </c>
      <c r="AG43" s="234">
        <f t="shared" si="48"/>
        <v>1605210797</v>
      </c>
      <c r="AH43" s="233">
        <f t="shared" si="48"/>
        <v>1261726298.9625013</v>
      </c>
      <c r="AI43" s="231">
        <f t="shared" si="48"/>
        <v>1261726298.9625013</v>
      </c>
      <c r="AJ43" s="232">
        <f t="shared" si="48"/>
        <v>1265989140.9625013</v>
      </c>
      <c r="AK43" s="101"/>
      <c r="AL43" s="233">
        <f>AL44+AL49+AL55</f>
        <v>0</v>
      </c>
      <c r="AM43" s="232">
        <f>AM44+AM49+AM55</f>
        <v>0</v>
      </c>
      <c r="AN43" s="101"/>
      <c r="AO43" s="67"/>
      <c r="AP43" s="372"/>
      <c r="AQ43" s="67"/>
      <c r="AR43" s="67"/>
      <c r="AS43" s="67"/>
      <c r="AT43" s="67"/>
      <c r="AU43" s="67"/>
      <c r="AV43" s="67"/>
      <c r="AW43" s="67"/>
      <c r="AX43" s="67"/>
      <c r="AY43" s="67"/>
      <c r="AZ43" s="67"/>
      <c r="BA43" s="67"/>
      <c r="BB43" s="336"/>
      <c r="BC43" s="336"/>
      <c r="BD43" s="336"/>
      <c r="BE43" s="336"/>
      <c r="BF43" s="67"/>
      <c r="BG43" s="67"/>
      <c r="BH43" s="67"/>
      <c r="BI43" s="67"/>
      <c r="BJ43" s="67"/>
      <c r="BK43" s="67"/>
      <c r="BL43" s="67"/>
      <c r="BM43" s="67"/>
      <c r="BN43" s="67"/>
      <c r="BO43" s="67"/>
      <c r="BP43" s="67"/>
      <c r="BQ43" s="67"/>
    </row>
    <row r="44" spans="1:69" ht="24.75" customHeight="1">
      <c r="A44" s="202" t="str">
        <f>+IF(JULIO!A44=0,"",JULIO!A44)</f>
        <v>1.1.02.05.001.09.02.03.99</v>
      </c>
      <c r="B44" s="331" t="str">
        <f>+IF(JULIO!B44=0,"",JULIO!B44)</f>
        <v>Vigencia Anterior</v>
      </c>
      <c r="C44" s="204">
        <f>+ENERO!C44</f>
        <v>287170800</v>
      </c>
      <c r="D44" s="205">
        <f>JULIO!D44+AGOSTO!P44</f>
        <v>0</v>
      </c>
      <c r="E44" s="205">
        <f>JULIO!E44+AGOSTO!Q44</f>
        <v>0</v>
      </c>
      <c r="F44" s="205">
        <f>SUM(C44:E44)</f>
        <v>287170800</v>
      </c>
      <c r="G44" s="205">
        <f>JULIO!I44</f>
        <v>62397232</v>
      </c>
      <c r="H44" s="208">
        <v>0</v>
      </c>
      <c r="I44" s="205">
        <f>SUM(G44:H44)</f>
        <v>62397232</v>
      </c>
      <c r="J44" s="205">
        <f>JULIO!L44</f>
        <v>62397232</v>
      </c>
      <c r="K44" s="208">
        <v>0</v>
      </c>
      <c r="L44" s="205">
        <f>SUM(J44:K44)</f>
        <v>62397232</v>
      </c>
      <c r="M44" s="205">
        <f>F44-I44</f>
        <v>224773568</v>
      </c>
      <c r="N44" s="206">
        <f>F44-L44</f>
        <v>224773568</v>
      </c>
      <c r="O44" s="67"/>
      <c r="P44" s="204">
        <v>0</v>
      </c>
      <c r="Q44" s="210">
        <v>0</v>
      </c>
      <c r="R44" s="101"/>
      <c r="S44" s="266">
        <f>+IF(JULIO!S44=0,"",JULIO!S44)</f>
        <v>1010301</v>
      </c>
      <c r="T44" s="267" t="str">
        <f>+IF(JULIO!T44=0,"",JULIO!T44)</f>
        <v>Contribuciones - SGP - Aportes Patronales - Cuenta Maestra</v>
      </c>
      <c r="U44" s="373">
        <f t="shared" ref="U44:AJ44" si="49">SUM(U45:U48)</f>
        <v>0</v>
      </c>
      <c r="V44" s="220">
        <f t="shared" si="49"/>
        <v>0</v>
      </c>
      <c r="W44" s="220">
        <f t="shared" si="49"/>
        <v>0</v>
      </c>
      <c r="X44" s="271">
        <f t="shared" si="49"/>
        <v>0</v>
      </c>
      <c r="Y44" s="270">
        <f t="shared" si="49"/>
        <v>0</v>
      </c>
      <c r="Z44" s="300">
        <f t="shared" si="49"/>
        <v>0</v>
      </c>
      <c r="AA44" s="271">
        <f t="shared" si="49"/>
        <v>0</v>
      </c>
      <c r="AB44" s="270">
        <f t="shared" si="49"/>
        <v>0</v>
      </c>
      <c r="AC44" s="300">
        <f t="shared" si="49"/>
        <v>0</v>
      </c>
      <c r="AD44" s="271">
        <f t="shared" si="49"/>
        <v>0</v>
      </c>
      <c r="AE44" s="270">
        <f t="shared" si="49"/>
        <v>0</v>
      </c>
      <c r="AF44" s="300">
        <f t="shared" si="49"/>
        <v>0</v>
      </c>
      <c r="AG44" s="271">
        <f t="shared" si="49"/>
        <v>0</v>
      </c>
      <c r="AH44" s="270">
        <f t="shared" si="49"/>
        <v>0</v>
      </c>
      <c r="AI44" s="220">
        <f t="shared" si="49"/>
        <v>0</v>
      </c>
      <c r="AJ44" s="269">
        <f t="shared" si="49"/>
        <v>0</v>
      </c>
      <c r="AK44" s="101"/>
      <c r="AL44" s="301">
        <f>SUM(AL45:AL48)</f>
        <v>0</v>
      </c>
      <c r="AM44" s="302">
        <f>SUM(AM45:AM48)</f>
        <v>0</v>
      </c>
      <c r="AN44" s="101"/>
      <c r="AO44" s="67"/>
      <c r="AP44" s="67"/>
      <c r="AQ44" s="67"/>
      <c r="AR44" s="67"/>
      <c r="AS44" s="67"/>
      <c r="AT44" s="67"/>
      <c r="AU44" s="67"/>
      <c r="AV44" s="67"/>
      <c r="AW44" s="67"/>
      <c r="AX44" s="67"/>
      <c r="AY44" s="67"/>
      <c r="AZ44" s="67"/>
      <c r="BA44" s="67"/>
      <c r="BB44" s="336"/>
      <c r="BC44" s="336"/>
      <c r="BD44" s="336"/>
      <c r="BE44" s="336"/>
      <c r="BF44" s="67"/>
      <c r="BG44" s="67"/>
      <c r="BH44" s="67"/>
      <c r="BI44" s="67"/>
      <c r="BJ44" s="67"/>
      <c r="BK44" s="67"/>
      <c r="BL44" s="67"/>
      <c r="BM44" s="67"/>
      <c r="BN44" s="67"/>
      <c r="BO44" s="67"/>
      <c r="BP44" s="67"/>
      <c r="BQ44" s="67"/>
    </row>
    <row r="45" spans="1:69" ht="24.75" customHeight="1">
      <c r="A45" s="286" t="str">
        <f>+IF(JULIO!A45=0,"",JULIO!A45)</f>
        <v>1.1.02.05.001.09.02.04</v>
      </c>
      <c r="B45" s="319" t="str">
        <f>+IF(JULIO!B45=0,"",JULIO!B45)</f>
        <v>EVENTOS CATASTROFICOS Y ACCIDENTES DE TRANSITO</v>
      </c>
      <c r="C45" s="288">
        <f t="shared" ref="C45:N45" si="50">SUM(C46:C47)</f>
        <v>1301505717</v>
      </c>
      <c r="D45" s="320">
        <f t="shared" si="50"/>
        <v>0</v>
      </c>
      <c r="E45" s="320">
        <f t="shared" si="50"/>
        <v>0</v>
      </c>
      <c r="F45" s="320">
        <f t="shared" si="50"/>
        <v>1301505717</v>
      </c>
      <c r="G45" s="320">
        <f t="shared" si="50"/>
        <v>591171242</v>
      </c>
      <c r="H45" s="320">
        <f t="shared" si="50"/>
        <v>19098280</v>
      </c>
      <c r="I45" s="320">
        <f t="shared" si="50"/>
        <v>610269522</v>
      </c>
      <c r="J45" s="320">
        <f t="shared" si="50"/>
        <v>385250405</v>
      </c>
      <c r="K45" s="320">
        <f t="shared" si="50"/>
        <v>0</v>
      </c>
      <c r="L45" s="320">
        <f t="shared" si="50"/>
        <v>385250405</v>
      </c>
      <c r="M45" s="320">
        <f t="shared" si="50"/>
        <v>691236195</v>
      </c>
      <c r="N45" s="289">
        <f t="shared" si="50"/>
        <v>916255312</v>
      </c>
      <c r="O45" s="67"/>
      <c r="P45" s="288">
        <f>SUM(P46:P47)</f>
        <v>0</v>
      </c>
      <c r="Q45" s="289">
        <f>SUM(Q46:Q47)</f>
        <v>0</v>
      </c>
      <c r="R45" s="101"/>
      <c r="S45" s="311" t="str">
        <f>+IF(JULIO!S45=0,"",JULIO!S45)</f>
        <v>1010301-1</v>
      </c>
      <c r="T45" s="312" t="str">
        <f>+IF(JULIO!T45=0,"",JULIO!T45)</f>
        <v>E.P.S. - Aportes cuenta maestra</v>
      </c>
      <c r="U45" s="373">
        <f>+ENERO!U45</f>
        <v>0</v>
      </c>
      <c r="V45" s="220">
        <f>JULIO!V45+AGOSTO!AL45</f>
        <v>0</v>
      </c>
      <c r="W45" s="220">
        <f>JULIO!W45+AGOSTO!AM45</f>
        <v>0</v>
      </c>
      <c r="X45" s="271">
        <f>SUM(U45:W45)</f>
        <v>0</v>
      </c>
      <c r="Y45" s="270">
        <f>JULIO!AA45</f>
        <v>0</v>
      </c>
      <c r="Z45" s="208">
        <v>0</v>
      </c>
      <c r="AA45" s="271">
        <f>SUM(Y45:Z45)</f>
        <v>0</v>
      </c>
      <c r="AB45" s="270">
        <f>JULIO!AD45</f>
        <v>0</v>
      </c>
      <c r="AC45" s="208">
        <v>0</v>
      </c>
      <c r="AD45" s="271">
        <f>SUM(AB45:AC45)</f>
        <v>0</v>
      </c>
      <c r="AE45" s="270">
        <f>JULIO!AG45</f>
        <v>0</v>
      </c>
      <c r="AF45" s="208">
        <v>0</v>
      </c>
      <c r="AG45" s="271">
        <f>SUM(AE45:AF45)</f>
        <v>0</v>
      </c>
      <c r="AH45" s="270">
        <f>X45-AA45</f>
        <v>0</v>
      </c>
      <c r="AI45" s="220">
        <f>X45-AD45</f>
        <v>0</v>
      </c>
      <c r="AJ45" s="269">
        <f>X45-AG45</f>
        <v>0</v>
      </c>
      <c r="AK45" s="101"/>
      <c r="AL45" s="204">
        <v>0</v>
      </c>
      <c r="AM45" s="210">
        <v>0</v>
      </c>
      <c r="AN45" s="101"/>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row>
    <row r="46" spans="1:69" ht="24.75" customHeight="1">
      <c r="A46" s="202" t="str">
        <f>+IF(JULIO!A46=0,"",JULIO!A46)</f>
        <v>1.1.02.05.001.09.02.04</v>
      </c>
      <c r="B46" s="331" t="str">
        <f>+CONCATENATE("Vigencia ",INSTRUCCIONES!$F$3)</f>
        <v>Vigencia 2025</v>
      </c>
      <c r="C46" s="204">
        <f>+ENERO!C46</f>
        <v>795758987</v>
      </c>
      <c r="D46" s="205">
        <f>JULIO!D46+AGOSTO!P46</f>
        <v>0</v>
      </c>
      <c r="E46" s="205">
        <f>JULIO!E46+AGOSTO!Q46</f>
        <v>0</v>
      </c>
      <c r="F46" s="205">
        <f>SUM(C46:E46)</f>
        <v>795758987</v>
      </c>
      <c r="G46" s="205">
        <f>JULIO!I46</f>
        <v>210136224</v>
      </c>
      <c r="H46" s="208">
        <v>19098280</v>
      </c>
      <c r="I46" s="205">
        <f>SUM(G46:H46)</f>
        <v>229234504</v>
      </c>
      <c r="J46" s="205">
        <f>JULIO!L46</f>
        <v>4215387</v>
      </c>
      <c r="K46" s="208">
        <v>0</v>
      </c>
      <c r="L46" s="205">
        <f>SUM(J46:K46)</f>
        <v>4215387</v>
      </c>
      <c r="M46" s="205">
        <f>F46-I46</f>
        <v>566524483</v>
      </c>
      <c r="N46" s="206">
        <f>F46-L46</f>
        <v>791543600</v>
      </c>
      <c r="O46" s="67"/>
      <c r="P46" s="204">
        <v>0</v>
      </c>
      <c r="Q46" s="210">
        <v>0</v>
      </c>
      <c r="R46" s="101"/>
      <c r="S46" s="311" t="str">
        <f>+IF(JULIO!S46=0,"",JULIO!S46)</f>
        <v>1010301-2</v>
      </c>
      <c r="T46" s="312" t="str">
        <f>+IF(JULIO!T46=0,"",JULIO!T46)</f>
        <v>Fondos pensionales - Aportes cuenta maestra</v>
      </c>
      <c r="U46" s="373">
        <f>+ENERO!U46</f>
        <v>0</v>
      </c>
      <c r="V46" s="220">
        <f>JULIO!V46+AGOSTO!AL46</f>
        <v>0</v>
      </c>
      <c r="W46" s="220">
        <f>JULIO!W46+AGOSTO!AM46</f>
        <v>0</v>
      </c>
      <c r="X46" s="271">
        <f>SUM(U46:W46)</f>
        <v>0</v>
      </c>
      <c r="Y46" s="270">
        <f>JULIO!AA46</f>
        <v>0</v>
      </c>
      <c r="Z46" s="208">
        <v>0</v>
      </c>
      <c r="AA46" s="271">
        <f>SUM(Y46:Z46)</f>
        <v>0</v>
      </c>
      <c r="AB46" s="270">
        <f>JULIO!AD46</f>
        <v>0</v>
      </c>
      <c r="AC46" s="208">
        <v>0</v>
      </c>
      <c r="AD46" s="271">
        <f>SUM(AB46:AC46)</f>
        <v>0</v>
      </c>
      <c r="AE46" s="270">
        <f>JULIO!AG46</f>
        <v>0</v>
      </c>
      <c r="AF46" s="208">
        <v>0</v>
      </c>
      <c r="AG46" s="271">
        <f>SUM(AE46:AF46)</f>
        <v>0</v>
      </c>
      <c r="AH46" s="270">
        <f>X46-AA46</f>
        <v>0</v>
      </c>
      <c r="AI46" s="220">
        <f>X46-AD46</f>
        <v>0</v>
      </c>
      <c r="AJ46" s="269">
        <f>X46-AG46</f>
        <v>0</v>
      </c>
      <c r="AK46" s="101"/>
      <c r="AL46" s="204">
        <v>0</v>
      </c>
      <c r="AM46" s="210">
        <v>0</v>
      </c>
      <c r="AN46" s="101"/>
      <c r="AO46" s="376"/>
      <c r="AP46" s="372"/>
      <c r="AQ46" s="67"/>
      <c r="AR46" s="67"/>
      <c r="AS46" s="67"/>
      <c r="AT46" s="67"/>
      <c r="AU46" s="67"/>
      <c r="AV46" s="67"/>
      <c r="AW46" s="67"/>
      <c r="AX46" s="67"/>
      <c r="AY46" s="67"/>
      <c r="AZ46" s="67"/>
      <c r="BA46" s="67"/>
      <c r="BB46" s="336"/>
      <c r="BC46" s="336"/>
      <c r="BD46" s="336"/>
      <c r="BE46" s="336"/>
      <c r="BF46" s="67"/>
      <c r="BG46" s="67"/>
      <c r="BH46" s="67"/>
      <c r="BI46" s="67"/>
      <c r="BJ46" s="67"/>
      <c r="BK46" s="67"/>
      <c r="BL46" s="67"/>
      <c r="BM46" s="336"/>
      <c r="BN46" s="336"/>
      <c r="BO46" s="336"/>
      <c r="BP46" s="336"/>
      <c r="BQ46" s="336"/>
    </row>
    <row r="47" spans="1:69" ht="24.75" customHeight="1">
      <c r="A47" s="202" t="str">
        <f>+IF(JULIO!A47=0,"",JULIO!A47)</f>
        <v>1.1.02.05.001.09.02.04.99</v>
      </c>
      <c r="B47" s="331" t="str">
        <f>+IF(JULIO!B47=0,"",JULIO!B47)</f>
        <v>Vigencia Anterior</v>
      </c>
      <c r="C47" s="204">
        <f>+ENERO!C47</f>
        <v>505746730</v>
      </c>
      <c r="D47" s="205">
        <f>JULIO!D47+AGOSTO!P47</f>
        <v>0</v>
      </c>
      <c r="E47" s="205">
        <f>JULIO!E47+AGOSTO!Q47</f>
        <v>0</v>
      </c>
      <c r="F47" s="205">
        <f>SUM(C47:E47)</f>
        <v>505746730</v>
      </c>
      <c r="G47" s="205">
        <f>JULIO!I47</f>
        <v>381035018</v>
      </c>
      <c r="H47" s="208">
        <v>0</v>
      </c>
      <c r="I47" s="205">
        <f>SUM(G47:H47)</f>
        <v>381035018</v>
      </c>
      <c r="J47" s="205">
        <f>JULIO!L47</f>
        <v>381035018</v>
      </c>
      <c r="K47" s="208">
        <v>0</v>
      </c>
      <c r="L47" s="205">
        <f>SUM(J47:K47)</f>
        <v>381035018</v>
      </c>
      <c r="M47" s="205">
        <f>F47-I47</f>
        <v>124711712</v>
      </c>
      <c r="N47" s="206">
        <f>F47-L47</f>
        <v>124711712</v>
      </c>
      <c r="O47" s="67"/>
      <c r="P47" s="204">
        <v>0</v>
      </c>
      <c r="Q47" s="210">
        <v>0</v>
      </c>
      <c r="R47" s="101"/>
      <c r="S47" s="311" t="str">
        <f>+IF(JULIO!S47=0,"",JULIO!S47)</f>
        <v>1010301-3</v>
      </c>
      <c r="T47" s="312" t="str">
        <f>+IF(JULIO!T47=0,"",JULIO!T47)</f>
        <v>Fondos de cesantías - Aportes cuenta maestra</v>
      </c>
      <c r="U47" s="373">
        <f>+ENERO!U47</f>
        <v>0</v>
      </c>
      <c r="V47" s="220">
        <f>JULIO!V47+AGOSTO!AL47</f>
        <v>0</v>
      </c>
      <c r="W47" s="220">
        <f>JULIO!W47+AGOSTO!AM47</f>
        <v>0</v>
      </c>
      <c r="X47" s="271">
        <f>SUM(U47:W47)</f>
        <v>0</v>
      </c>
      <c r="Y47" s="270">
        <f>JULIO!AA47</f>
        <v>0</v>
      </c>
      <c r="Z47" s="208">
        <v>0</v>
      </c>
      <c r="AA47" s="271">
        <f>SUM(Y47:Z47)</f>
        <v>0</v>
      </c>
      <c r="AB47" s="270">
        <f>JULIO!AD47</f>
        <v>0</v>
      </c>
      <c r="AC47" s="208">
        <v>0</v>
      </c>
      <c r="AD47" s="271">
        <f>SUM(AB47:AC47)</f>
        <v>0</v>
      </c>
      <c r="AE47" s="270">
        <f>JULIO!AG47</f>
        <v>0</v>
      </c>
      <c r="AF47" s="208">
        <v>0</v>
      </c>
      <c r="AG47" s="271">
        <f>SUM(AE47:AF47)</f>
        <v>0</v>
      </c>
      <c r="AH47" s="270">
        <f>X47-AA47</f>
        <v>0</v>
      </c>
      <c r="AI47" s="220">
        <f>X47-AD47</f>
        <v>0</v>
      </c>
      <c r="AJ47" s="269">
        <f>X47-AG47</f>
        <v>0</v>
      </c>
      <c r="AK47" s="101"/>
      <c r="AL47" s="204">
        <v>0</v>
      </c>
      <c r="AM47" s="210">
        <v>0</v>
      </c>
      <c r="AN47" s="101"/>
      <c r="AO47" s="67"/>
      <c r="AP47" s="67"/>
      <c r="AQ47" s="67"/>
      <c r="AR47" s="67"/>
      <c r="AS47" s="67"/>
      <c r="AT47" s="67"/>
      <c r="AU47" s="67"/>
      <c r="AV47" s="67"/>
      <c r="AW47" s="67"/>
      <c r="AX47" s="67"/>
      <c r="AY47" s="67"/>
      <c r="AZ47" s="67"/>
      <c r="BA47" s="67"/>
      <c r="BB47" s="336"/>
      <c r="BC47" s="336"/>
      <c r="BD47" s="336"/>
      <c r="BE47" s="336"/>
      <c r="BF47" s="67"/>
      <c r="BG47" s="67"/>
      <c r="BH47" s="67"/>
      <c r="BI47" s="67"/>
      <c r="BJ47" s="67"/>
      <c r="BK47" s="67"/>
      <c r="BL47" s="67"/>
      <c r="BM47" s="67"/>
      <c r="BN47" s="67"/>
      <c r="BO47" s="67"/>
      <c r="BP47" s="67"/>
      <c r="BQ47" s="67"/>
    </row>
    <row r="48" spans="1:69" ht="24.75" customHeight="1">
      <c r="A48" s="286" t="str">
        <f>+IF(JULIO!A48=0,"",JULIO!A48)</f>
        <v>1.1.02.05.001.09.02.11</v>
      </c>
      <c r="B48" s="319" t="str">
        <f>+IF(JULIO!B48=0,"",JULIO!B48)</f>
        <v>Poblacion Especial</v>
      </c>
      <c r="C48" s="288">
        <f t="shared" ref="C48:N48" si="51">SUM(C49:C50)</f>
        <v>225672391</v>
      </c>
      <c r="D48" s="320">
        <f t="shared" si="51"/>
        <v>0</v>
      </c>
      <c r="E48" s="320">
        <f t="shared" si="51"/>
        <v>0</v>
      </c>
      <c r="F48" s="320">
        <f t="shared" si="51"/>
        <v>225672391</v>
      </c>
      <c r="G48" s="320">
        <f t="shared" si="51"/>
        <v>103113827</v>
      </c>
      <c r="H48" s="320">
        <f t="shared" si="51"/>
        <v>3398409</v>
      </c>
      <c r="I48" s="320">
        <f t="shared" si="51"/>
        <v>106512236</v>
      </c>
      <c r="J48" s="320">
        <f t="shared" si="51"/>
        <v>56951342</v>
      </c>
      <c r="K48" s="320">
        <f t="shared" si="51"/>
        <v>0</v>
      </c>
      <c r="L48" s="320">
        <f t="shared" si="51"/>
        <v>56951342</v>
      </c>
      <c r="M48" s="320">
        <f t="shared" si="51"/>
        <v>119160155</v>
      </c>
      <c r="N48" s="289">
        <f t="shared" si="51"/>
        <v>168721049</v>
      </c>
      <c r="O48" s="67"/>
      <c r="P48" s="288">
        <f>SUM(P49:P50)</f>
        <v>0</v>
      </c>
      <c r="Q48" s="289">
        <f>SUM(Q49:Q50)</f>
        <v>0</v>
      </c>
      <c r="R48" s="101"/>
      <c r="S48" s="311" t="str">
        <f>+IF(JULIO!S48=0,"",JULIO!S48)</f>
        <v>1010301-4</v>
      </c>
      <c r="T48" s="312" t="str">
        <f>+IF(JULIO!T48=0,"",JULIO!T48)</f>
        <v>Riesgos laborales - Aportes cuenta maestra</v>
      </c>
      <c r="U48" s="373">
        <f>+ENERO!U48</f>
        <v>0</v>
      </c>
      <c r="V48" s="220">
        <f>JULIO!V48+AGOSTO!AL48</f>
        <v>0</v>
      </c>
      <c r="W48" s="220">
        <f>JULIO!W48+AGOSTO!AM48</f>
        <v>0</v>
      </c>
      <c r="X48" s="271">
        <f>SUM(U48:W48)</f>
        <v>0</v>
      </c>
      <c r="Y48" s="270">
        <f>JULIO!AA48</f>
        <v>0</v>
      </c>
      <c r="Z48" s="208">
        <v>0</v>
      </c>
      <c r="AA48" s="271">
        <f>SUM(Y48:Z48)</f>
        <v>0</v>
      </c>
      <c r="AB48" s="270">
        <f>JULIO!AD48</f>
        <v>0</v>
      </c>
      <c r="AC48" s="208">
        <v>0</v>
      </c>
      <c r="AD48" s="271">
        <f>SUM(AB48:AC48)</f>
        <v>0</v>
      </c>
      <c r="AE48" s="270">
        <f>JULIO!AG48</f>
        <v>0</v>
      </c>
      <c r="AF48" s="208">
        <v>0</v>
      </c>
      <c r="AG48" s="271">
        <f>SUM(AE48:AF48)</f>
        <v>0</v>
      </c>
      <c r="AH48" s="270">
        <f>X48-AA48</f>
        <v>0</v>
      </c>
      <c r="AI48" s="220">
        <f>X48-AD48</f>
        <v>0</v>
      </c>
      <c r="AJ48" s="269">
        <f>X48-AG48</f>
        <v>0</v>
      </c>
      <c r="AK48" s="101"/>
      <c r="AL48" s="204">
        <v>0</v>
      </c>
      <c r="AM48" s="210">
        <v>0</v>
      </c>
      <c r="AN48" s="101"/>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row>
    <row r="49" spans="1:39" ht="24.75" customHeight="1">
      <c r="A49" s="202" t="str">
        <f>+IF(JULIO!A49=0,"",JULIO!A49)</f>
        <v>1.1.02.05.001.09.02.11</v>
      </c>
      <c r="B49" s="331" t="str">
        <f>+CONCATENATE("Vigencia ",INSTRUCCIONES!$F$3)</f>
        <v>Vigencia 2025</v>
      </c>
      <c r="C49" s="204">
        <f>+ENERO!C49</f>
        <v>180672391</v>
      </c>
      <c r="D49" s="205">
        <f>JULIO!D49+AGOSTO!P49</f>
        <v>0</v>
      </c>
      <c r="E49" s="205">
        <f>JULIO!E49+AGOSTO!Q49</f>
        <v>0</v>
      </c>
      <c r="F49" s="205">
        <f>SUM(C49:E49)</f>
        <v>180672391</v>
      </c>
      <c r="G49" s="205">
        <f>JULIO!I49</f>
        <v>63911483</v>
      </c>
      <c r="H49" s="208">
        <v>3398409</v>
      </c>
      <c r="I49" s="205">
        <f>SUM(G49:H49)</f>
        <v>67309892</v>
      </c>
      <c r="J49" s="205">
        <f>JULIO!L49</f>
        <v>17748998</v>
      </c>
      <c r="K49" s="208">
        <v>0</v>
      </c>
      <c r="L49" s="205">
        <f>SUM(J49:K49)</f>
        <v>17748998</v>
      </c>
      <c r="M49" s="205">
        <f>F49-I49</f>
        <v>113362499</v>
      </c>
      <c r="N49" s="206">
        <f>F49-L49</f>
        <v>162923393</v>
      </c>
      <c r="O49" s="67"/>
      <c r="P49" s="204">
        <v>0</v>
      </c>
      <c r="Q49" s="210">
        <v>0</v>
      </c>
      <c r="R49" s="101"/>
      <c r="S49" s="266">
        <f>+IF(JULIO!S49=0,"",JULIO!S49)</f>
        <v>1010302</v>
      </c>
      <c r="T49" s="267" t="str">
        <f>+IF(JULIO!T49=0,"",JULIO!T49)</f>
        <v>Contribuciones - Otros</v>
      </c>
      <c r="U49" s="373">
        <f t="shared" ref="U49:AJ49" si="52">SUM(U50:U54)</f>
        <v>2369058848.2960005</v>
      </c>
      <c r="V49" s="220">
        <f t="shared" si="52"/>
        <v>-30000000</v>
      </c>
      <c r="W49" s="220">
        <f t="shared" si="52"/>
        <v>0</v>
      </c>
      <c r="X49" s="271">
        <f t="shared" si="52"/>
        <v>2339058848.2960005</v>
      </c>
      <c r="Y49" s="270">
        <f t="shared" si="52"/>
        <v>962907463</v>
      </c>
      <c r="Z49" s="300">
        <f t="shared" si="52"/>
        <v>122258542</v>
      </c>
      <c r="AA49" s="271">
        <f t="shared" si="52"/>
        <v>1085166005</v>
      </c>
      <c r="AB49" s="270">
        <f t="shared" si="52"/>
        <v>962907463</v>
      </c>
      <c r="AC49" s="300">
        <f t="shared" si="52"/>
        <v>122258542</v>
      </c>
      <c r="AD49" s="271">
        <f t="shared" si="52"/>
        <v>1085166005</v>
      </c>
      <c r="AE49" s="270">
        <f t="shared" si="52"/>
        <v>958788499</v>
      </c>
      <c r="AF49" s="300">
        <f t="shared" si="52"/>
        <v>122114664</v>
      </c>
      <c r="AG49" s="271">
        <f t="shared" si="52"/>
        <v>1080903163</v>
      </c>
      <c r="AH49" s="270">
        <f t="shared" si="52"/>
        <v>1253892843.2960002</v>
      </c>
      <c r="AI49" s="220">
        <f t="shared" si="52"/>
        <v>1253892843.2960002</v>
      </c>
      <c r="AJ49" s="269">
        <f t="shared" si="52"/>
        <v>1258155685.2960002</v>
      </c>
      <c r="AK49" s="101"/>
      <c r="AL49" s="301">
        <f>SUM(AL50:AL54)</f>
        <v>0</v>
      </c>
      <c r="AM49" s="302">
        <f>SUM(AM50:AM54)</f>
        <v>0</v>
      </c>
    </row>
    <row r="50" spans="1:39" ht="24.75" customHeight="1">
      <c r="A50" s="202" t="str">
        <f>+IF(JULIO!A50=0,"",JULIO!A50)</f>
        <v>1.1.02.05.001.09.02.11.99</v>
      </c>
      <c r="B50" s="331" t="str">
        <f>+IF(JULIO!B50=0,"",JULIO!B50)</f>
        <v>Vigencia Anterior</v>
      </c>
      <c r="C50" s="204">
        <f>+ENERO!C50</f>
        <v>45000000</v>
      </c>
      <c r="D50" s="205">
        <f>JULIO!D50+AGOSTO!P50</f>
        <v>0</v>
      </c>
      <c r="E50" s="205">
        <f>JULIO!E50+AGOSTO!Q50</f>
        <v>0</v>
      </c>
      <c r="F50" s="205">
        <f>SUM(C50:E50)</f>
        <v>45000000</v>
      </c>
      <c r="G50" s="205">
        <f>JULIO!I50</f>
        <v>39202344</v>
      </c>
      <c r="H50" s="208">
        <v>0</v>
      </c>
      <c r="I50" s="205">
        <f>SUM(G50:H50)</f>
        <v>39202344</v>
      </c>
      <c r="J50" s="205">
        <f>JULIO!L50</f>
        <v>39202344</v>
      </c>
      <c r="K50" s="208">
        <v>0</v>
      </c>
      <c r="L50" s="205">
        <f>SUM(J50:K50)</f>
        <v>39202344</v>
      </c>
      <c r="M50" s="205">
        <f>F50-I50</f>
        <v>5797656</v>
      </c>
      <c r="N50" s="206">
        <f>F50-L50</f>
        <v>5797656</v>
      </c>
      <c r="O50" s="67"/>
      <c r="P50" s="204">
        <v>0</v>
      </c>
      <c r="Q50" s="210">
        <v>0</v>
      </c>
      <c r="R50" s="101"/>
      <c r="S50" s="311" t="str">
        <f>+IF(JULIO!S50=0,"",JULIO!S50)</f>
        <v>2.1.1.01.02.002</v>
      </c>
      <c r="T50" s="312" t="str">
        <f>+IF(JULIO!T50=0,"",JULIO!T50)</f>
        <v>Aportes a E.P.S. - recursos propios</v>
      </c>
      <c r="U50" s="373">
        <f>+ENERO!U50</f>
        <v>555207343.50000024</v>
      </c>
      <c r="V50" s="220">
        <f>JULIO!V50+AGOSTO!AL50</f>
        <v>0</v>
      </c>
      <c r="W50" s="220">
        <f>JULIO!W50+AGOSTO!AM50</f>
        <v>0</v>
      </c>
      <c r="X50" s="271">
        <f t="shared" ref="X50:X55" si="53">SUM(U50:W50)</f>
        <v>555207343.50000024</v>
      </c>
      <c r="Y50" s="270">
        <f>JULIO!AA50</f>
        <v>285494778</v>
      </c>
      <c r="Z50" s="208">
        <v>38009600</v>
      </c>
      <c r="AA50" s="271">
        <f t="shared" ref="AA50:AA55" si="54">SUM(Y50:Z50)</f>
        <v>323504378</v>
      </c>
      <c r="AB50" s="270">
        <f>JULIO!AD50</f>
        <v>285494778</v>
      </c>
      <c r="AC50" s="208">
        <v>38009600</v>
      </c>
      <c r="AD50" s="271">
        <f t="shared" ref="AD50:AD55" si="55">SUM(AB50:AC50)</f>
        <v>323504378</v>
      </c>
      <c r="AE50" s="270">
        <f>JULIO!AG50</f>
        <v>285494778</v>
      </c>
      <c r="AF50" s="208">
        <v>38009600</v>
      </c>
      <c r="AG50" s="271">
        <f t="shared" ref="AG50:AG55" si="56">SUM(AE50:AF50)</f>
        <v>323504378</v>
      </c>
      <c r="AH50" s="270">
        <f t="shared" ref="AH50:AH55" si="57">X50-AA50</f>
        <v>231702965.50000024</v>
      </c>
      <c r="AI50" s="220">
        <f t="shared" ref="AI50:AI55" si="58">X50-AD50</f>
        <v>231702965.50000024</v>
      </c>
      <c r="AJ50" s="269">
        <f t="shared" ref="AJ50:AJ55" si="59">X50-AG50</f>
        <v>231702965.50000024</v>
      </c>
      <c r="AK50" s="101"/>
      <c r="AL50" s="204"/>
      <c r="AM50" s="210">
        <v>0</v>
      </c>
    </row>
    <row r="51" spans="1:39" ht="24.75" customHeight="1">
      <c r="A51" s="286" t="str">
        <f>+IF(JULIO!A51=0,"",JULIO!A51)</f>
        <v>1.1.02.05.001.09.02.16</v>
      </c>
      <c r="B51" s="319" t="str">
        <f>+IF(JULIO!B51=0,"",JULIO!B51)</f>
        <v>Fondo Nacional de la Salud personas privadas de la Libertad</v>
      </c>
      <c r="C51" s="288">
        <f t="shared" ref="C51:N51" si="60">SUM(C52:C53)</f>
        <v>168856</v>
      </c>
      <c r="D51" s="320">
        <f t="shared" si="60"/>
        <v>0</v>
      </c>
      <c r="E51" s="320">
        <f t="shared" si="60"/>
        <v>0</v>
      </c>
      <c r="F51" s="320">
        <f t="shared" si="60"/>
        <v>168856</v>
      </c>
      <c r="G51" s="320">
        <f t="shared" si="60"/>
        <v>27492607</v>
      </c>
      <c r="H51" s="320">
        <f t="shared" si="60"/>
        <v>0</v>
      </c>
      <c r="I51" s="320">
        <f t="shared" si="60"/>
        <v>27492607</v>
      </c>
      <c r="J51" s="320">
        <f t="shared" si="60"/>
        <v>0</v>
      </c>
      <c r="K51" s="320">
        <f t="shared" si="60"/>
        <v>0</v>
      </c>
      <c r="L51" s="320">
        <f t="shared" si="60"/>
        <v>0</v>
      </c>
      <c r="M51" s="320">
        <f t="shared" si="60"/>
        <v>-27323751</v>
      </c>
      <c r="N51" s="289">
        <f t="shared" si="60"/>
        <v>168856</v>
      </c>
      <c r="O51" s="67"/>
      <c r="P51" s="288">
        <f>SUM(P52:P53)</f>
        <v>0</v>
      </c>
      <c r="Q51" s="289">
        <f>SUM(Q52:Q53)</f>
        <v>0</v>
      </c>
      <c r="R51" s="101"/>
      <c r="S51" s="311" t="str">
        <f>+IF(JULIO!S51=0,"",JULIO!S51)</f>
        <v>2.1.1.01.02.001</v>
      </c>
      <c r="T51" s="312" t="str">
        <f>+IF(JULIO!T51=0,"",JULIO!T51)</f>
        <v>Aportes Fondos Pensionales - recursos propios</v>
      </c>
      <c r="U51" s="373">
        <f>+ENERO!U51</f>
        <v>783822132</v>
      </c>
      <c r="V51" s="220">
        <f>JULIO!V51+AGOSTO!AL51</f>
        <v>0</v>
      </c>
      <c r="W51" s="220">
        <f>JULIO!W51+AGOSTO!AM51</f>
        <v>0</v>
      </c>
      <c r="X51" s="271">
        <f t="shared" si="53"/>
        <v>783822132</v>
      </c>
      <c r="Y51" s="270">
        <f>JULIO!AA51</f>
        <v>404528388</v>
      </c>
      <c r="Z51" s="208">
        <v>54180700</v>
      </c>
      <c r="AA51" s="271">
        <f t="shared" si="54"/>
        <v>458709088</v>
      </c>
      <c r="AB51" s="270">
        <f>JULIO!AD51</f>
        <v>404528388</v>
      </c>
      <c r="AC51" s="208">
        <v>54180700</v>
      </c>
      <c r="AD51" s="271">
        <f t="shared" si="55"/>
        <v>458709088</v>
      </c>
      <c r="AE51" s="270">
        <f>JULIO!AG51</f>
        <v>404528388</v>
      </c>
      <c r="AF51" s="208">
        <v>54180700</v>
      </c>
      <c r="AG51" s="271">
        <f t="shared" si="56"/>
        <v>458709088</v>
      </c>
      <c r="AH51" s="270">
        <f t="shared" si="57"/>
        <v>325113044</v>
      </c>
      <c r="AI51" s="220">
        <f t="shared" si="58"/>
        <v>325113044</v>
      </c>
      <c r="AJ51" s="269">
        <f t="shared" si="59"/>
        <v>325113044</v>
      </c>
      <c r="AK51" s="101"/>
      <c r="AL51" s="204"/>
      <c r="AM51" s="210">
        <v>0</v>
      </c>
    </row>
    <row r="52" spans="1:39" ht="24.75" customHeight="1">
      <c r="A52" s="202" t="str">
        <f>+IF(JULIO!A52=0,"",JULIO!A52)</f>
        <v>1.1.02.05.001.09.02.16</v>
      </c>
      <c r="B52" s="331" t="str">
        <f>+CONCATENATE("Vigencia ",INSTRUCCIONES!$F$3)</f>
        <v>Vigencia 2025</v>
      </c>
      <c r="C52" s="204">
        <f>+ENERO!C52</f>
        <v>168856</v>
      </c>
      <c r="D52" s="205">
        <f>JULIO!D52+AGOSTO!P52</f>
        <v>0</v>
      </c>
      <c r="E52" s="205">
        <f>JULIO!E52+AGOSTO!Q52</f>
        <v>0</v>
      </c>
      <c r="F52" s="205">
        <f>SUM(C52:E52)</f>
        <v>168856</v>
      </c>
      <c r="G52" s="205">
        <f>JULIO!I52</f>
        <v>27492607</v>
      </c>
      <c r="H52" s="208">
        <v>0</v>
      </c>
      <c r="I52" s="205">
        <f>SUM(G52:H52)</f>
        <v>27492607</v>
      </c>
      <c r="J52" s="205">
        <f>JULIO!L52</f>
        <v>0</v>
      </c>
      <c r="K52" s="208">
        <v>0</v>
      </c>
      <c r="L52" s="205">
        <f>SUM(J52:K52)</f>
        <v>0</v>
      </c>
      <c r="M52" s="205">
        <f>F52-I52</f>
        <v>-27323751</v>
      </c>
      <c r="N52" s="206">
        <f>F52-L52</f>
        <v>168856</v>
      </c>
      <c r="O52" s="67"/>
      <c r="P52" s="204">
        <v>0</v>
      </c>
      <c r="Q52" s="210">
        <v>0</v>
      </c>
      <c r="R52" s="101"/>
      <c r="S52" s="311" t="str">
        <f>+IF(JULIO!S52=0,"",JULIO!S52)</f>
        <v>2.1.1.01.02.003</v>
      </c>
      <c r="T52" s="312" t="str">
        <f>+IF(JULIO!T52=0,"",JULIO!T52)</f>
        <v>Aportes a Fondos de Cesantia - recursos propios</v>
      </c>
      <c r="U52" s="373">
        <f>+ENERO!U52</f>
        <v>609639436</v>
      </c>
      <c r="V52" s="220">
        <f>JULIO!V52+AGOSTO!AL52</f>
        <v>-30000000</v>
      </c>
      <c r="W52" s="220">
        <f>JULIO!W52+AGOSTO!AM52</f>
        <v>0</v>
      </c>
      <c r="X52" s="271">
        <f t="shared" si="53"/>
        <v>579639436</v>
      </c>
      <c r="Y52" s="270">
        <f>JULIO!AA52</f>
        <v>75916197</v>
      </c>
      <c r="Z52" s="208">
        <v>4262842</v>
      </c>
      <c r="AA52" s="271">
        <f t="shared" si="54"/>
        <v>80179039</v>
      </c>
      <c r="AB52" s="270">
        <f>JULIO!AD52</f>
        <v>75916197</v>
      </c>
      <c r="AC52" s="208">
        <v>4262842</v>
      </c>
      <c r="AD52" s="271">
        <f t="shared" si="55"/>
        <v>80179039</v>
      </c>
      <c r="AE52" s="270">
        <f>JULIO!AG52</f>
        <v>71797233</v>
      </c>
      <c r="AF52" s="208">
        <v>4118964</v>
      </c>
      <c r="AG52" s="271">
        <f t="shared" si="56"/>
        <v>75916197</v>
      </c>
      <c r="AH52" s="270">
        <f t="shared" si="57"/>
        <v>499460397</v>
      </c>
      <c r="AI52" s="220">
        <f t="shared" si="58"/>
        <v>499460397</v>
      </c>
      <c r="AJ52" s="269">
        <f t="shared" si="59"/>
        <v>503723239</v>
      </c>
      <c r="AK52" s="101"/>
      <c r="AL52" s="204"/>
      <c r="AM52" s="210">
        <v>0</v>
      </c>
    </row>
    <row r="53" spans="1:39" ht="24.75" customHeight="1">
      <c r="A53" s="202" t="str">
        <f>+IF(JULIO!A53=0,"",JULIO!A53)</f>
        <v>1.1.02.05.001.09.02.16.99</v>
      </c>
      <c r="B53" s="331" t="str">
        <f>+IF(JULIO!B53=0,"",JULIO!B53)</f>
        <v>Vigencia Anterior</v>
      </c>
      <c r="C53" s="204">
        <f>+ENERO!C53</f>
        <v>0</v>
      </c>
      <c r="D53" s="205">
        <f>JULIO!D53+AGOSTO!P53</f>
        <v>0</v>
      </c>
      <c r="E53" s="205">
        <f>JULIO!E53+AGOSTO!Q53</f>
        <v>0</v>
      </c>
      <c r="F53" s="205">
        <f>SUM(C53:E53)</f>
        <v>0</v>
      </c>
      <c r="G53" s="205">
        <f>JULIO!I53</f>
        <v>0</v>
      </c>
      <c r="H53" s="208">
        <v>0</v>
      </c>
      <c r="I53" s="205">
        <f>SUM(G53:H53)</f>
        <v>0</v>
      </c>
      <c r="J53" s="205">
        <f>JULIO!L53</f>
        <v>0</v>
      </c>
      <c r="K53" s="208">
        <v>0</v>
      </c>
      <c r="L53" s="205">
        <f>SUM(J53:K53)</f>
        <v>0</v>
      </c>
      <c r="M53" s="205">
        <f>F53-I53</f>
        <v>0</v>
      </c>
      <c r="N53" s="206">
        <f>F53-L53</f>
        <v>0</v>
      </c>
      <c r="O53" s="67"/>
      <c r="P53" s="204">
        <v>0</v>
      </c>
      <c r="Q53" s="210">
        <v>0</v>
      </c>
      <c r="R53" s="101"/>
      <c r="S53" s="311" t="str">
        <f>+IF(JULIO!S53=0,"",JULIO!S53)</f>
        <v>2.1.1.01.02.005</v>
      </c>
      <c r="T53" s="312" t="str">
        <f>+IF(JULIO!T53=0,"",JULIO!T53)</f>
        <v>Aporte a ARL. - recursos propios</v>
      </c>
      <c r="U53" s="373">
        <f>+ENERO!U53</f>
        <v>159115892.79599997</v>
      </c>
      <c r="V53" s="220">
        <f>JULIO!V53+AGOSTO!AL53</f>
        <v>0</v>
      </c>
      <c r="W53" s="220">
        <f>JULIO!W53+AGOSTO!AM53</f>
        <v>0</v>
      </c>
      <c r="X53" s="271">
        <f t="shared" si="53"/>
        <v>159115892.79599997</v>
      </c>
      <c r="Y53" s="270">
        <f>JULIO!AA53</f>
        <v>55994800</v>
      </c>
      <c r="Z53" s="208">
        <v>7636000</v>
      </c>
      <c r="AA53" s="271">
        <f t="shared" si="54"/>
        <v>63630800</v>
      </c>
      <c r="AB53" s="270">
        <f>JULIO!AD53</f>
        <v>55994800</v>
      </c>
      <c r="AC53" s="208">
        <v>7636000</v>
      </c>
      <c r="AD53" s="271">
        <f t="shared" si="55"/>
        <v>63630800</v>
      </c>
      <c r="AE53" s="270">
        <f>JULIO!AG53</f>
        <v>55994800</v>
      </c>
      <c r="AF53" s="208">
        <v>7636000</v>
      </c>
      <c r="AG53" s="271">
        <f t="shared" si="56"/>
        <v>63630800</v>
      </c>
      <c r="AH53" s="270">
        <f t="shared" si="57"/>
        <v>95485092.795999974</v>
      </c>
      <c r="AI53" s="220">
        <f t="shared" si="58"/>
        <v>95485092.795999974</v>
      </c>
      <c r="AJ53" s="269">
        <f t="shared" si="59"/>
        <v>95485092.795999974</v>
      </c>
      <c r="AK53" s="101"/>
      <c r="AL53" s="204"/>
      <c r="AM53" s="210">
        <v>0</v>
      </c>
    </row>
    <row r="54" spans="1:39" ht="24.75" customHeight="1">
      <c r="A54" s="286" t="str">
        <f>+IF(JULIO!A54=0,"",JULIO!A54)</f>
        <v>1.1.02.05.001.09.02.17</v>
      </c>
      <c r="B54" s="319" t="str">
        <f>+IF(JULIO!B54=0,"",JULIO!B54)</f>
        <v>EMPRESAS MEDICINA PREPAGADA</v>
      </c>
      <c r="C54" s="288">
        <f t="shared" ref="C54:N54" si="61">SUM(C55:C56)</f>
        <v>968592.84788797423</v>
      </c>
      <c r="D54" s="320">
        <f t="shared" si="61"/>
        <v>0</v>
      </c>
      <c r="E54" s="320">
        <f t="shared" si="61"/>
        <v>0</v>
      </c>
      <c r="F54" s="320">
        <f t="shared" si="61"/>
        <v>968592.84788797423</v>
      </c>
      <c r="G54" s="320">
        <f t="shared" si="61"/>
        <v>13073443</v>
      </c>
      <c r="H54" s="320">
        <f t="shared" si="61"/>
        <v>0</v>
      </c>
      <c r="I54" s="320">
        <f t="shared" si="61"/>
        <v>13073443</v>
      </c>
      <c r="J54" s="320">
        <f t="shared" si="61"/>
        <v>11142773</v>
      </c>
      <c r="K54" s="320">
        <f t="shared" si="61"/>
        <v>0</v>
      </c>
      <c r="L54" s="320">
        <f t="shared" si="61"/>
        <v>11142773</v>
      </c>
      <c r="M54" s="320">
        <f t="shared" si="61"/>
        <v>-12104850.152112026</v>
      </c>
      <c r="N54" s="289">
        <f t="shared" si="61"/>
        <v>-10174180.152112026</v>
      </c>
      <c r="O54" s="67"/>
      <c r="P54" s="288">
        <f>SUM(P55:P56)</f>
        <v>0</v>
      </c>
      <c r="Q54" s="289">
        <f>SUM(Q55:Q56)</f>
        <v>0</v>
      </c>
      <c r="R54" s="101"/>
      <c r="S54" s="311" t="str">
        <f>+IF(JULIO!S54=0,"",JULIO!S54)</f>
        <v>2.1.1.01.02.004</v>
      </c>
      <c r="T54" s="312" t="str">
        <f>+IF(JULIO!T54=0,"",JULIO!T54)</f>
        <v>Aporte a Caja Compensación Familiar</v>
      </c>
      <c r="U54" s="373">
        <f>+ENERO!U54</f>
        <v>261274044</v>
      </c>
      <c r="V54" s="220">
        <f>JULIO!V54+AGOSTO!AL54</f>
        <v>0</v>
      </c>
      <c r="W54" s="220">
        <f>JULIO!W54+AGOSTO!AM54</f>
        <v>0</v>
      </c>
      <c r="X54" s="271">
        <f t="shared" si="53"/>
        <v>261274044</v>
      </c>
      <c r="Y54" s="270">
        <f>JULIO!AA54</f>
        <v>140973300</v>
      </c>
      <c r="Z54" s="208">
        <v>18169400</v>
      </c>
      <c r="AA54" s="271">
        <f t="shared" si="54"/>
        <v>159142700</v>
      </c>
      <c r="AB54" s="270">
        <f>JULIO!AD54</f>
        <v>140973300</v>
      </c>
      <c r="AC54" s="208">
        <v>18169400</v>
      </c>
      <c r="AD54" s="271">
        <f t="shared" si="55"/>
        <v>159142700</v>
      </c>
      <c r="AE54" s="270">
        <f>JULIO!AG54</f>
        <v>140973300</v>
      </c>
      <c r="AF54" s="208">
        <v>18169400</v>
      </c>
      <c r="AG54" s="271">
        <f t="shared" si="56"/>
        <v>159142700</v>
      </c>
      <c r="AH54" s="270">
        <f t="shared" si="57"/>
        <v>102131344</v>
      </c>
      <c r="AI54" s="220">
        <f t="shared" si="58"/>
        <v>102131344</v>
      </c>
      <c r="AJ54" s="269">
        <f t="shared" si="59"/>
        <v>102131344</v>
      </c>
      <c r="AK54" s="101"/>
      <c r="AL54" s="204"/>
      <c r="AM54" s="210">
        <v>0</v>
      </c>
    </row>
    <row r="55" spans="1:39" ht="24.75" customHeight="1">
      <c r="A55" s="202" t="str">
        <f>+IF(JULIO!A55=0,"",JULIO!A55)</f>
        <v>1.1.02.05.001.09.02.17</v>
      </c>
      <c r="B55" s="331" t="str">
        <f>+CONCATENATE("Vigencia ",INSTRUCCIONES!$F$3)</f>
        <v>Vigencia 2025</v>
      </c>
      <c r="C55" s="204">
        <f>+ENERO!C55</f>
        <v>968592.84788797423</v>
      </c>
      <c r="D55" s="205">
        <f>JULIO!D55+AGOSTO!P55</f>
        <v>0</v>
      </c>
      <c r="E55" s="205">
        <f>JULIO!E55+AGOSTO!Q55</f>
        <v>0</v>
      </c>
      <c r="F55" s="205">
        <f>SUM(C55:E55)</f>
        <v>968592.84788797423</v>
      </c>
      <c r="G55" s="205">
        <f>JULIO!I55</f>
        <v>2732534</v>
      </c>
      <c r="H55" s="208">
        <v>0</v>
      </c>
      <c r="I55" s="205">
        <f>SUM(G55:H55)</f>
        <v>2732534</v>
      </c>
      <c r="J55" s="205">
        <f>JULIO!L55</f>
        <v>801864</v>
      </c>
      <c r="K55" s="208">
        <v>0</v>
      </c>
      <c r="L55" s="320">
        <f>SUM(J55:K55)</f>
        <v>801864</v>
      </c>
      <c r="M55" s="205">
        <f>F55-I55</f>
        <v>-1763941.1521120258</v>
      </c>
      <c r="N55" s="206">
        <f>F55-L55</f>
        <v>166728.84788797423</v>
      </c>
      <c r="O55" s="67"/>
      <c r="P55" s="204">
        <v>0</v>
      </c>
      <c r="Q55" s="210">
        <v>0</v>
      </c>
      <c r="R55" s="101"/>
      <c r="S55" s="266" t="str">
        <f>+IF(JULIO!S55=0,"",JULIO!S55)</f>
        <v>2.1.1.01.02.003.99</v>
      </c>
      <c r="T55" s="267" t="str">
        <f>+IF(JULIO!T55=0,"",JULIO!T55)</f>
        <v>Vigencias Anteriores</v>
      </c>
      <c r="U55" s="373">
        <f>+ENERO!U55</f>
        <v>502141089.6665011</v>
      </c>
      <c r="V55" s="220">
        <f>JULIO!V55+AGOSTO!AL55</f>
        <v>30000000</v>
      </c>
      <c r="W55" s="220">
        <f>JULIO!W55+AGOSTO!AM55</f>
        <v>0</v>
      </c>
      <c r="X55" s="271">
        <f t="shared" si="53"/>
        <v>532141089.6665011</v>
      </c>
      <c r="Y55" s="270">
        <f>JULIO!AA55</f>
        <v>524307634</v>
      </c>
      <c r="Z55" s="208">
        <v>0</v>
      </c>
      <c r="AA55" s="271">
        <f t="shared" si="54"/>
        <v>524307634</v>
      </c>
      <c r="AB55" s="270">
        <f>JULIO!AD55</f>
        <v>524307634</v>
      </c>
      <c r="AC55" s="208">
        <v>0</v>
      </c>
      <c r="AD55" s="271">
        <f t="shared" si="55"/>
        <v>524307634</v>
      </c>
      <c r="AE55" s="270">
        <f>JULIO!AG55</f>
        <v>524307634</v>
      </c>
      <c r="AF55" s="208">
        <v>0</v>
      </c>
      <c r="AG55" s="271">
        <f t="shared" si="56"/>
        <v>524307634</v>
      </c>
      <c r="AH55" s="270">
        <f t="shared" si="57"/>
        <v>7833455.6665011048</v>
      </c>
      <c r="AI55" s="220">
        <f t="shared" si="58"/>
        <v>7833455.6665011048</v>
      </c>
      <c r="AJ55" s="269">
        <f t="shared" si="59"/>
        <v>7833455.6665011048</v>
      </c>
      <c r="AK55" s="101"/>
      <c r="AL55" s="204">
        <v>0</v>
      </c>
      <c r="AM55" s="210">
        <v>0</v>
      </c>
    </row>
    <row r="56" spans="1:39" ht="24.75" customHeight="1">
      <c r="A56" s="202" t="str">
        <f>+IF(JULIO!A56=0,"",JULIO!A56)</f>
        <v>1.1.02.05.001.09.02.17.99</v>
      </c>
      <c r="B56" s="331" t="str">
        <f>+IF(JULIO!B56=0,"",JULIO!B56)</f>
        <v>Vigencia Anterior</v>
      </c>
      <c r="C56" s="204">
        <f>+ENERO!C56</f>
        <v>0</v>
      </c>
      <c r="D56" s="205">
        <f>JULIO!D56+AGOSTO!P56</f>
        <v>0</v>
      </c>
      <c r="E56" s="205">
        <f>JULIO!E56+AGOSTO!Q56</f>
        <v>0</v>
      </c>
      <c r="F56" s="205">
        <f>SUM(C56:E56)</f>
        <v>0</v>
      </c>
      <c r="G56" s="205">
        <f>JULIO!I56</f>
        <v>10340909</v>
      </c>
      <c r="H56" s="208">
        <v>0</v>
      </c>
      <c r="I56" s="205">
        <f>SUM(G56:H56)</f>
        <v>10340909</v>
      </c>
      <c r="J56" s="205">
        <f>JULIO!L56</f>
        <v>10340909</v>
      </c>
      <c r="K56" s="208">
        <v>0</v>
      </c>
      <c r="L56" s="205">
        <f>SUM(J56:K56)</f>
        <v>10340909</v>
      </c>
      <c r="M56" s="205">
        <f>F56-I56</f>
        <v>-10340909</v>
      </c>
      <c r="N56" s="206">
        <f>F56-L56</f>
        <v>-10340909</v>
      </c>
      <c r="O56" s="67"/>
      <c r="P56" s="204">
        <v>0</v>
      </c>
      <c r="Q56" s="210">
        <v>0</v>
      </c>
      <c r="R56" s="101"/>
      <c r="S56" s="189">
        <f>+IF(JULIO!S56=0,"",JULIO!S56)</f>
        <v>10340904</v>
      </c>
      <c r="T56" s="488" t="str">
        <f>+IF(JULIO!T56=0,"",JULIO!T56)</f>
        <v/>
      </c>
      <c r="U56" s="191"/>
      <c r="V56" s="191"/>
      <c r="W56" s="191"/>
      <c r="X56" s="191"/>
      <c r="Y56" s="191"/>
      <c r="Z56" s="191"/>
      <c r="AA56" s="191"/>
      <c r="AB56" s="191"/>
      <c r="AC56" s="191"/>
      <c r="AD56" s="191"/>
      <c r="AE56" s="191"/>
      <c r="AF56" s="191"/>
      <c r="AG56" s="191"/>
      <c r="AH56" s="191"/>
      <c r="AI56" s="191"/>
      <c r="AJ56" s="192"/>
      <c r="AK56" s="216"/>
      <c r="AL56" s="370"/>
      <c r="AM56" s="371"/>
    </row>
    <row r="57" spans="1:39" ht="24.75" customHeight="1">
      <c r="A57" s="286" t="str">
        <f>+IF(JULIO!A57=0,"",JULIO!A57)</f>
        <v>1.1.02.05.001.09.02.09</v>
      </c>
      <c r="B57" s="319" t="str">
        <f>+IF(JULIO!B57=0,"",JULIO!B57)</f>
        <v>IPS PRIVADAS</v>
      </c>
      <c r="C57" s="288">
        <f t="shared" ref="C57:N57" si="62">SUM(C58:C59)</f>
        <v>8042608</v>
      </c>
      <c r="D57" s="320">
        <f t="shared" si="62"/>
        <v>0</v>
      </c>
      <c r="E57" s="320">
        <f t="shared" si="62"/>
        <v>0</v>
      </c>
      <c r="F57" s="320">
        <f t="shared" si="62"/>
        <v>8042608</v>
      </c>
      <c r="G57" s="320">
        <f t="shared" si="62"/>
        <v>0</v>
      </c>
      <c r="H57" s="320">
        <f t="shared" si="62"/>
        <v>0</v>
      </c>
      <c r="I57" s="320">
        <f t="shared" si="62"/>
        <v>0</v>
      </c>
      <c r="J57" s="320">
        <f t="shared" si="62"/>
        <v>0</v>
      </c>
      <c r="K57" s="320">
        <f t="shared" si="62"/>
        <v>0</v>
      </c>
      <c r="L57" s="320">
        <f t="shared" si="62"/>
        <v>0</v>
      </c>
      <c r="M57" s="320">
        <f t="shared" si="62"/>
        <v>8042608</v>
      </c>
      <c r="N57" s="289">
        <f t="shared" si="62"/>
        <v>8042608</v>
      </c>
      <c r="O57" s="67"/>
      <c r="P57" s="288">
        <f>SUM(P58:P59)</f>
        <v>0</v>
      </c>
      <c r="Q57" s="289">
        <f>SUM(Q58:Q59)</f>
        <v>0</v>
      </c>
      <c r="R57" s="101"/>
      <c r="S57" s="257">
        <f>+IF(JULIO!S57=0,"",JULIO!S57)</f>
        <v>1010400</v>
      </c>
      <c r="T57" s="546" t="str">
        <f>+IF(JULIO!T57=0,"",JULIO!T57)</f>
        <v>Contribuciones Inherentes nómina del Sector Publico</v>
      </c>
      <c r="U57" s="230">
        <f t="shared" ref="U57:AJ57" si="63">U58+U61</f>
        <v>326592555</v>
      </c>
      <c r="V57" s="231">
        <f t="shared" si="63"/>
        <v>0</v>
      </c>
      <c r="W57" s="231">
        <f t="shared" si="63"/>
        <v>0</v>
      </c>
      <c r="X57" s="234">
        <f t="shared" si="63"/>
        <v>326592555</v>
      </c>
      <c r="Y57" s="233">
        <f t="shared" si="63"/>
        <v>176255900</v>
      </c>
      <c r="Z57" s="231">
        <f t="shared" si="63"/>
        <v>22717800</v>
      </c>
      <c r="AA57" s="234">
        <f t="shared" si="63"/>
        <v>198973700</v>
      </c>
      <c r="AB57" s="233">
        <f t="shared" si="63"/>
        <v>176255900</v>
      </c>
      <c r="AC57" s="231">
        <f t="shared" si="63"/>
        <v>22717800</v>
      </c>
      <c r="AD57" s="234">
        <f t="shared" si="63"/>
        <v>198973700</v>
      </c>
      <c r="AE57" s="233">
        <f t="shared" si="63"/>
        <v>176255900</v>
      </c>
      <c r="AF57" s="231">
        <f t="shared" si="63"/>
        <v>22717800</v>
      </c>
      <c r="AG57" s="234">
        <f t="shared" si="63"/>
        <v>198973700</v>
      </c>
      <c r="AH57" s="233">
        <f t="shared" si="63"/>
        <v>127618855</v>
      </c>
      <c r="AI57" s="231">
        <f t="shared" si="63"/>
        <v>127618855</v>
      </c>
      <c r="AJ57" s="232">
        <f t="shared" si="63"/>
        <v>127618855</v>
      </c>
      <c r="AK57" s="101"/>
      <c r="AL57" s="233">
        <f>AL58+AL61</f>
        <v>0</v>
      </c>
      <c r="AM57" s="232">
        <f>AM58+AM61</f>
        <v>0</v>
      </c>
    </row>
    <row r="58" spans="1:39" ht="24.75" customHeight="1">
      <c r="A58" s="202" t="str">
        <f>+IF(JULIO!A58=0,"",JULIO!A58)</f>
        <v>1.1.02.05.001.09.02.09</v>
      </c>
      <c r="B58" s="331" t="str">
        <f>+CONCATENATE("Vigencia ",INSTRUCCIONES!$F$3)</f>
        <v>Vigencia 2025</v>
      </c>
      <c r="C58" s="204">
        <f>+ENERO!C58</f>
        <v>8042608</v>
      </c>
      <c r="D58" s="205">
        <f>JULIO!D58+AGOSTO!P58</f>
        <v>0</v>
      </c>
      <c r="E58" s="205">
        <f>JULIO!E58+AGOSTO!Q58</f>
        <v>0</v>
      </c>
      <c r="F58" s="205">
        <f>SUM(C58:E58)</f>
        <v>8042608</v>
      </c>
      <c r="G58" s="205">
        <f>JULIO!I58</f>
        <v>0</v>
      </c>
      <c r="H58" s="208">
        <v>0</v>
      </c>
      <c r="I58" s="205">
        <f>SUM(G58:H58)</f>
        <v>0</v>
      </c>
      <c r="J58" s="205">
        <f>JULIO!L58</f>
        <v>0</v>
      </c>
      <c r="K58" s="208"/>
      <c r="L58" s="205">
        <f>SUM(J58:K58)</f>
        <v>0</v>
      </c>
      <c r="M58" s="205">
        <f>F58-I58</f>
        <v>8042608</v>
      </c>
      <c r="N58" s="206">
        <f>F58-L58</f>
        <v>8042608</v>
      </c>
      <c r="O58" s="67"/>
      <c r="P58" s="204">
        <v>0</v>
      </c>
      <c r="Q58" s="210">
        <v>0</v>
      </c>
      <c r="R58" s="101"/>
      <c r="S58" s="266">
        <f>+IF(JULIO!S58=0,"",JULIO!S58)</f>
        <v>1010402</v>
      </c>
      <c r="T58" s="267" t="str">
        <f>+IF(JULIO!T58=0,"",JULIO!T58)</f>
        <v>Contribuciones - Otros</v>
      </c>
      <c r="U58" s="373">
        <f t="shared" ref="U58:AJ58" si="64">SUM(U59:U60)</f>
        <v>326592555</v>
      </c>
      <c r="V58" s="220">
        <f t="shared" si="64"/>
        <v>0</v>
      </c>
      <c r="W58" s="220">
        <f t="shared" si="64"/>
        <v>0</v>
      </c>
      <c r="X58" s="271">
        <f t="shared" si="64"/>
        <v>326592555</v>
      </c>
      <c r="Y58" s="270">
        <f t="shared" si="64"/>
        <v>176255900</v>
      </c>
      <c r="Z58" s="300">
        <f t="shared" si="64"/>
        <v>22717800</v>
      </c>
      <c r="AA58" s="271">
        <f t="shared" si="64"/>
        <v>198973700</v>
      </c>
      <c r="AB58" s="270">
        <f t="shared" si="64"/>
        <v>176255900</v>
      </c>
      <c r="AC58" s="300">
        <f t="shared" si="64"/>
        <v>22717800</v>
      </c>
      <c r="AD58" s="271">
        <f t="shared" si="64"/>
        <v>198973700</v>
      </c>
      <c r="AE58" s="270">
        <f t="shared" si="64"/>
        <v>176255900</v>
      </c>
      <c r="AF58" s="300">
        <f t="shared" si="64"/>
        <v>22717800</v>
      </c>
      <c r="AG58" s="271">
        <f t="shared" si="64"/>
        <v>198973700</v>
      </c>
      <c r="AH58" s="270">
        <f t="shared" si="64"/>
        <v>127618855</v>
      </c>
      <c r="AI58" s="220">
        <f t="shared" si="64"/>
        <v>127618855</v>
      </c>
      <c r="AJ58" s="269">
        <f t="shared" si="64"/>
        <v>127618855</v>
      </c>
      <c r="AK58" s="101"/>
      <c r="AL58" s="301">
        <f>SUM(AL59:AL60)</f>
        <v>0</v>
      </c>
      <c r="AM58" s="302">
        <f>SUM(AM59:AM60)</f>
        <v>0</v>
      </c>
    </row>
    <row r="59" spans="1:39" ht="24.75" customHeight="1">
      <c r="A59" s="202" t="str">
        <f>+IF(JULIO!A59=0,"",JULIO!A59)</f>
        <v>1.1.02.05.001.09.02.09.99</v>
      </c>
      <c r="B59" s="331" t="str">
        <f>+IF(JULIO!B59=0,"",JULIO!B59)</f>
        <v>Vigencia Anterior</v>
      </c>
      <c r="C59" s="204">
        <f>+ENERO!C59</f>
        <v>0</v>
      </c>
      <c r="D59" s="205">
        <f>JULIO!D59+AGOSTO!P59</f>
        <v>0</v>
      </c>
      <c r="E59" s="205">
        <f>JULIO!E59+AGOSTO!Q59</f>
        <v>0</v>
      </c>
      <c r="F59" s="205">
        <f>SUM(C59:E59)</f>
        <v>0</v>
      </c>
      <c r="G59" s="205">
        <f>JULIO!I59</f>
        <v>0</v>
      </c>
      <c r="H59" s="208">
        <v>0</v>
      </c>
      <c r="I59" s="205">
        <f>SUM(G59:H59)</f>
        <v>0</v>
      </c>
      <c r="J59" s="205">
        <f>JULIO!L59</f>
        <v>0</v>
      </c>
      <c r="K59" s="208">
        <v>0</v>
      </c>
      <c r="L59" s="205">
        <f>SUM(J59:K59)</f>
        <v>0</v>
      </c>
      <c r="M59" s="205">
        <f>F59-I59</f>
        <v>0</v>
      </c>
      <c r="N59" s="206">
        <f>F59-L59</f>
        <v>0</v>
      </c>
      <c r="O59" s="67"/>
      <c r="P59" s="204">
        <v>0</v>
      </c>
      <c r="Q59" s="210">
        <v>0</v>
      </c>
      <c r="R59" s="101"/>
      <c r="S59" s="311" t="str">
        <f>+IF(JULIO!S59=0,"",JULIO!S59)</f>
        <v>2.1.1.01.02.006</v>
      </c>
      <c r="T59" s="267" t="str">
        <f>+IF(JULIO!T59=0,"",JULIO!T59)</f>
        <v>I.C.B.F.</v>
      </c>
      <c r="U59" s="373">
        <f>+ENERO!U59</f>
        <v>195955533</v>
      </c>
      <c r="V59" s="220">
        <f>JULIO!V59+AGOSTO!AL59</f>
        <v>0</v>
      </c>
      <c r="W59" s="220">
        <f>JULIO!W59+AGOSTO!AM59</f>
        <v>0</v>
      </c>
      <c r="X59" s="271">
        <f>SUM(U59:W59)</f>
        <v>195955533</v>
      </c>
      <c r="Y59" s="270">
        <f>JULIO!AA59</f>
        <v>105742400</v>
      </c>
      <c r="Z59" s="208">
        <v>13629000</v>
      </c>
      <c r="AA59" s="271">
        <f>SUM(Y59:Z59)</f>
        <v>119371400</v>
      </c>
      <c r="AB59" s="270">
        <f>JULIO!AD59</f>
        <v>105742400</v>
      </c>
      <c r="AC59" s="208">
        <v>13629000</v>
      </c>
      <c r="AD59" s="271">
        <f>SUM(AB59:AC59)</f>
        <v>119371400</v>
      </c>
      <c r="AE59" s="270">
        <f>JULIO!AG59</f>
        <v>105742400</v>
      </c>
      <c r="AF59" s="208">
        <v>13629000</v>
      </c>
      <c r="AG59" s="271">
        <f>SUM(AE59:AF59)</f>
        <v>119371400</v>
      </c>
      <c r="AH59" s="270">
        <f>X59-AA59</f>
        <v>76584133</v>
      </c>
      <c r="AI59" s="220">
        <f>X59-AD59</f>
        <v>76584133</v>
      </c>
      <c r="AJ59" s="269">
        <f>X59-AG59</f>
        <v>76584133</v>
      </c>
      <c r="AK59" s="101"/>
      <c r="AL59" s="204">
        <v>0</v>
      </c>
      <c r="AM59" s="210">
        <v>0</v>
      </c>
    </row>
    <row r="60" spans="1:39" ht="24.75" customHeight="1">
      <c r="A60" s="286" t="str">
        <f>+IF(JULIO!A60=0,"",JULIO!A60)</f>
        <v>1.1.02.05.001.09.02.10</v>
      </c>
      <c r="B60" s="319" t="str">
        <f>+IF(JULIO!B60=0,"",JULIO!B60)</f>
        <v>IPS PUBLICAS</v>
      </c>
      <c r="C60" s="288">
        <f t="shared" ref="C60:N60" si="65">SUM(C61:C62)</f>
        <v>46623238</v>
      </c>
      <c r="D60" s="320">
        <f t="shared" si="65"/>
        <v>0</v>
      </c>
      <c r="E60" s="320">
        <f t="shared" si="65"/>
        <v>0</v>
      </c>
      <c r="F60" s="320">
        <f t="shared" si="65"/>
        <v>46623238</v>
      </c>
      <c r="G60" s="320">
        <f t="shared" si="65"/>
        <v>19757189</v>
      </c>
      <c r="H60" s="320">
        <f t="shared" si="65"/>
        <v>31107400</v>
      </c>
      <c r="I60" s="320">
        <f t="shared" si="65"/>
        <v>50864589</v>
      </c>
      <c r="J60" s="320">
        <f t="shared" si="65"/>
        <v>11106242</v>
      </c>
      <c r="K60" s="320">
        <f t="shared" si="65"/>
        <v>88235</v>
      </c>
      <c r="L60" s="320">
        <f t="shared" si="65"/>
        <v>11194477</v>
      </c>
      <c r="M60" s="320">
        <f t="shared" si="65"/>
        <v>-4241351</v>
      </c>
      <c r="N60" s="289">
        <f t="shared" si="65"/>
        <v>35428761</v>
      </c>
      <c r="O60" s="67"/>
      <c r="P60" s="288">
        <f>SUM(P61:P62)</f>
        <v>0</v>
      </c>
      <c r="Q60" s="289">
        <f>SUM(Q61:Q62)</f>
        <v>0</v>
      </c>
      <c r="R60" s="101"/>
      <c r="S60" s="311" t="str">
        <f>+IF(JULIO!S60=0,"",JULIO!S60)</f>
        <v>2.1.1.01.02.007</v>
      </c>
      <c r="T60" s="267" t="str">
        <f>+IF(JULIO!T60=0,"",JULIO!T60)</f>
        <v>SENA</v>
      </c>
      <c r="U60" s="373">
        <f>+ENERO!U60</f>
        <v>130637022</v>
      </c>
      <c r="V60" s="220">
        <f>JULIO!V60+AGOSTO!AL60</f>
        <v>0</v>
      </c>
      <c r="W60" s="220">
        <f>JULIO!W60+AGOSTO!AM60</f>
        <v>0</v>
      </c>
      <c r="X60" s="271">
        <f>SUM(U60:W60)</f>
        <v>130637022</v>
      </c>
      <c r="Y60" s="270">
        <f>JULIO!AA60</f>
        <v>70513500</v>
      </c>
      <c r="Z60" s="208">
        <v>9088800</v>
      </c>
      <c r="AA60" s="271">
        <f>SUM(Y60:Z60)</f>
        <v>79602300</v>
      </c>
      <c r="AB60" s="270">
        <f>JULIO!AD60</f>
        <v>70513500</v>
      </c>
      <c r="AC60" s="208">
        <v>9088800</v>
      </c>
      <c r="AD60" s="271">
        <f>SUM(AB60:AC60)</f>
        <v>79602300</v>
      </c>
      <c r="AE60" s="270">
        <f>JULIO!AG60</f>
        <v>70513500</v>
      </c>
      <c r="AF60" s="208">
        <v>9088800</v>
      </c>
      <c r="AG60" s="271">
        <f>SUM(AE60:AF60)</f>
        <v>79602300</v>
      </c>
      <c r="AH60" s="270">
        <f>X60-AA60</f>
        <v>51034722</v>
      </c>
      <c r="AI60" s="220">
        <f>X60-AD60</f>
        <v>51034722</v>
      </c>
      <c r="AJ60" s="269">
        <f>X60-AG60</f>
        <v>51034722</v>
      </c>
      <c r="AK60" s="101"/>
      <c r="AL60" s="204">
        <v>0</v>
      </c>
      <c r="AM60" s="210">
        <v>0</v>
      </c>
    </row>
    <row r="61" spans="1:39" ht="24.75" customHeight="1">
      <c r="A61" s="202" t="str">
        <f>+IF(JULIO!A61=0,"",JULIO!A61)</f>
        <v>1.1.02.05.001.09.02.10</v>
      </c>
      <c r="B61" s="331" t="str">
        <f>+CONCATENATE("Vigencia ",INSTRUCCIONES!$F$3)</f>
        <v>Vigencia 2025</v>
      </c>
      <c r="C61" s="204">
        <f>+ENERO!C61</f>
        <v>46623238</v>
      </c>
      <c r="D61" s="205">
        <f>JULIO!D61+AGOSTO!P61</f>
        <v>0</v>
      </c>
      <c r="E61" s="205">
        <f>JULIO!E61+AGOSTO!Q61</f>
        <v>0</v>
      </c>
      <c r="F61" s="205">
        <f>SUM(C61:E61)</f>
        <v>46623238</v>
      </c>
      <c r="G61" s="205">
        <f>JULIO!I61</f>
        <v>9614328</v>
      </c>
      <c r="H61" s="208">
        <v>31107400</v>
      </c>
      <c r="I61" s="205">
        <f>SUM(G61:H61)</f>
        <v>40721728</v>
      </c>
      <c r="J61" s="205">
        <f>JULIO!L61</f>
        <v>963381</v>
      </c>
      <c r="K61" s="208">
        <v>88235</v>
      </c>
      <c r="L61" s="205">
        <f>SUM(J61:K61)</f>
        <v>1051616</v>
      </c>
      <c r="M61" s="205">
        <f>F61-I61</f>
        <v>5901510</v>
      </c>
      <c r="N61" s="206">
        <f>F61-L61</f>
        <v>45571622</v>
      </c>
      <c r="O61" s="67"/>
      <c r="P61" s="204">
        <v>0</v>
      </c>
      <c r="Q61" s="210">
        <v>0</v>
      </c>
      <c r="R61" s="101"/>
      <c r="S61" s="266">
        <f>+IF(JULIO!S61=0,"",JULIO!S61)</f>
        <v>1010499</v>
      </c>
      <c r="T61" s="267" t="str">
        <f>+IF(JULIO!T61=0,"",JULIO!T61)</f>
        <v>Vigencias Anteriores</v>
      </c>
      <c r="U61" s="373">
        <f>+ENERO!U61</f>
        <v>0</v>
      </c>
      <c r="V61" s="220">
        <f>JULIO!V61+AGOSTO!AL61</f>
        <v>0</v>
      </c>
      <c r="W61" s="220">
        <f>JULIO!W61+AGOSTO!AM61</f>
        <v>0</v>
      </c>
      <c r="X61" s="271">
        <f>SUM(U61:W61)</f>
        <v>0</v>
      </c>
      <c r="Y61" s="270">
        <f>JULIO!AA61</f>
        <v>0</v>
      </c>
      <c r="Z61" s="208">
        <v>0</v>
      </c>
      <c r="AA61" s="271">
        <f>SUM(Y61:Z61)</f>
        <v>0</v>
      </c>
      <c r="AB61" s="270">
        <f>JULIO!AD61</f>
        <v>0</v>
      </c>
      <c r="AC61" s="208">
        <v>0</v>
      </c>
      <c r="AD61" s="271">
        <f>SUM(AB61:AC61)</f>
        <v>0</v>
      </c>
      <c r="AE61" s="270">
        <f>JULIO!AG61</f>
        <v>0</v>
      </c>
      <c r="AF61" s="208">
        <v>0</v>
      </c>
      <c r="AG61" s="271">
        <f>SUM(AE61:AF61)</f>
        <v>0</v>
      </c>
      <c r="AH61" s="270">
        <f>X61-AA61</f>
        <v>0</v>
      </c>
      <c r="AI61" s="220">
        <f>X61-AD61</f>
        <v>0</v>
      </c>
      <c r="AJ61" s="269">
        <f>X61-AG61</f>
        <v>0</v>
      </c>
      <c r="AK61" s="101"/>
      <c r="AL61" s="204">
        <v>0</v>
      </c>
      <c r="AM61" s="210">
        <v>0</v>
      </c>
    </row>
    <row r="62" spans="1:39" ht="24.75" customHeight="1">
      <c r="A62" s="202" t="str">
        <f>+IF(JULIO!A62=0,"",JULIO!A62)</f>
        <v>1.1.02.05.001.09.02.10.99</v>
      </c>
      <c r="B62" s="331" t="str">
        <f>+IF(JULIO!B62=0,"",JULIO!B62)</f>
        <v>Vigencia Anterior</v>
      </c>
      <c r="C62" s="204">
        <f>+ENERO!C62</f>
        <v>0</v>
      </c>
      <c r="D62" s="205">
        <f>JULIO!D62+AGOSTO!P62</f>
        <v>0</v>
      </c>
      <c r="E62" s="205">
        <f>JULIO!E62+AGOSTO!Q62</f>
        <v>0</v>
      </c>
      <c r="F62" s="205">
        <f>SUM(C62:E62)</f>
        <v>0</v>
      </c>
      <c r="G62" s="205">
        <f>JULIO!I62</f>
        <v>10142861</v>
      </c>
      <c r="H62" s="208">
        <v>0</v>
      </c>
      <c r="I62" s="205">
        <f>SUM(G62:H62)</f>
        <v>10142861</v>
      </c>
      <c r="J62" s="205">
        <f>JULIO!L62</f>
        <v>10142861</v>
      </c>
      <c r="K62" s="208">
        <v>0</v>
      </c>
      <c r="L62" s="205">
        <f>SUM(J62:K62)</f>
        <v>10142861</v>
      </c>
      <c r="M62" s="205">
        <f>F62-I62</f>
        <v>-10142861</v>
      </c>
      <c r="N62" s="206">
        <f>F62-L62</f>
        <v>-10142861</v>
      </c>
      <c r="O62" s="67"/>
      <c r="P62" s="204">
        <v>0</v>
      </c>
      <c r="Q62" s="210">
        <v>0</v>
      </c>
      <c r="R62" s="101"/>
      <c r="S62" s="189">
        <f>+IF(JULIO!S62=0,"",JULIO!S62)</f>
        <v>1174808</v>
      </c>
      <c r="T62" s="488" t="str">
        <f>+IF(JULIO!T62=0,"",JULIO!T62)</f>
        <v/>
      </c>
      <c r="U62" s="191"/>
      <c r="V62" s="191"/>
      <c r="W62" s="191"/>
      <c r="X62" s="191"/>
      <c r="Y62" s="191"/>
      <c r="Z62" s="191"/>
      <c r="AA62" s="191"/>
      <c r="AB62" s="191"/>
      <c r="AC62" s="191"/>
      <c r="AD62" s="191"/>
      <c r="AE62" s="191"/>
      <c r="AF62" s="191"/>
      <c r="AG62" s="191"/>
      <c r="AH62" s="191"/>
      <c r="AI62" s="191"/>
      <c r="AJ62" s="192"/>
      <c r="AK62" s="216"/>
      <c r="AL62" s="370"/>
      <c r="AM62" s="371"/>
    </row>
    <row r="63" spans="1:39" ht="24.75" customHeight="1">
      <c r="A63" s="286" t="str">
        <f>+IF(JULIO!A63=0,"",JULIO!A63)</f>
        <v>1.1.02.05.001.09.02.90.01</v>
      </c>
      <c r="B63" s="319" t="str">
        <f>+IF(JULIO!B63=0,"",JULIO!B63)</f>
        <v>COMPAÑIAS DE SEGUROS  - ACCIDENTES DE TRANSITO (SOAT)</v>
      </c>
      <c r="C63" s="288">
        <f t="shared" ref="C63:N63" si="66">SUM(C64:C65)</f>
        <v>2461795617.04175</v>
      </c>
      <c r="D63" s="320">
        <f t="shared" si="66"/>
        <v>0</v>
      </c>
      <c r="E63" s="320">
        <f t="shared" si="66"/>
        <v>0</v>
      </c>
      <c r="F63" s="320">
        <f t="shared" si="66"/>
        <v>2461795617.04175</v>
      </c>
      <c r="G63" s="320">
        <f t="shared" si="66"/>
        <v>1403830548</v>
      </c>
      <c r="H63" s="320">
        <f t="shared" si="66"/>
        <v>110967165</v>
      </c>
      <c r="I63" s="320">
        <f t="shared" si="66"/>
        <v>1514797713</v>
      </c>
      <c r="J63" s="320">
        <f t="shared" si="66"/>
        <v>769096397</v>
      </c>
      <c r="K63" s="320">
        <f t="shared" si="66"/>
        <v>83669915</v>
      </c>
      <c r="L63" s="320">
        <f t="shared" si="66"/>
        <v>852766312</v>
      </c>
      <c r="M63" s="320">
        <f t="shared" si="66"/>
        <v>946997904.04174984</v>
      </c>
      <c r="N63" s="289">
        <f t="shared" si="66"/>
        <v>1609029305.04175</v>
      </c>
      <c r="O63" s="67"/>
      <c r="P63" s="288">
        <f>SUM(P64:P65)</f>
        <v>0</v>
      </c>
      <c r="Q63" s="289">
        <f>SUM(Q64:Q65)</f>
        <v>0</v>
      </c>
      <c r="R63" s="101"/>
      <c r="S63" s="228">
        <f>+IF(JULIO!S63=0,"",JULIO!S63)</f>
        <v>1020010</v>
      </c>
      <c r="T63" s="229" t="str">
        <f>+IF(JULIO!T63=0,"",JULIO!T63)</f>
        <v>Gastos de Operación</v>
      </c>
      <c r="U63" s="230">
        <f t="shared" ref="U63:AJ63" si="67">U65+U83+U90+U104</f>
        <v>64518803470</v>
      </c>
      <c r="V63" s="231">
        <f t="shared" si="67"/>
        <v>-2523000000</v>
      </c>
      <c r="W63" s="231">
        <f t="shared" si="67"/>
        <v>7490635160</v>
      </c>
      <c r="X63" s="234">
        <f t="shared" si="67"/>
        <v>69486438630</v>
      </c>
      <c r="Y63" s="233">
        <f t="shared" si="67"/>
        <v>62422527971</v>
      </c>
      <c r="Z63" s="231">
        <f t="shared" si="67"/>
        <v>0</v>
      </c>
      <c r="AA63" s="234">
        <f t="shared" si="67"/>
        <v>62422527971</v>
      </c>
      <c r="AB63" s="233">
        <f t="shared" si="67"/>
        <v>46235777455</v>
      </c>
      <c r="AC63" s="231">
        <f t="shared" si="67"/>
        <v>4999121224</v>
      </c>
      <c r="AD63" s="234">
        <f t="shared" si="67"/>
        <v>51234898679</v>
      </c>
      <c r="AE63" s="233">
        <f t="shared" si="67"/>
        <v>31908271910</v>
      </c>
      <c r="AF63" s="231">
        <f t="shared" si="67"/>
        <v>4602455137</v>
      </c>
      <c r="AG63" s="234">
        <f t="shared" si="67"/>
        <v>36510727047</v>
      </c>
      <c r="AH63" s="233">
        <f t="shared" si="67"/>
        <v>7063910659</v>
      </c>
      <c r="AI63" s="231">
        <f t="shared" si="67"/>
        <v>18251539951</v>
      </c>
      <c r="AJ63" s="232">
        <f t="shared" si="67"/>
        <v>32975711583</v>
      </c>
      <c r="AK63" s="101"/>
      <c r="AL63" s="233">
        <f>AL65+AL83+AL90+AL104</f>
        <v>0</v>
      </c>
      <c r="AM63" s="232">
        <f>AM65+AM83+AM90+AM104</f>
        <v>4562452399</v>
      </c>
    </row>
    <row r="64" spans="1:39" ht="24.75" customHeight="1">
      <c r="A64" s="202" t="str">
        <f>+IF(JULIO!A64=0,"",JULIO!A64)</f>
        <v>1.1.02.05.001.09.02.90.01</v>
      </c>
      <c r="B64" s="331" t="str">
        <f>+CONCATENATE("Vigencia ",INSTRUCCIONES!$F$3)</f>
        <v>Vigencia 2025</v>
      </c>
      <c r="C64" s="204">
        <f>+ENERO!C64</f>
        <v>2137731076.9417498</v>
      </c>
      <c r="D64" s="205">
        <f>JULIO!D64+AGOSTO!P64</f>
        <v>0</v>
      </c>
      <c r="E64" s="205">
        <f>JULIO!E64+AGOSTO!Q64</f>
        <v>0</v>
      </c>
      <c r="F64" s="205">
        <f>SUM(C64:E64)</f>
        <v>2137731076.9417498</v>
      </c>
      <c r="G64" s="205">
        <f>JULIO!I64</f>
        <v>1075138815</v>
      </c>
      <c r="H64" s="208">
        <v>110967165</v>
      </c>
      <c r="I64" s="205">
        <f>SUM(G64:H64)</f>
        <v>1186105980</v>
      </c>
      <c r="J64" s="205">
        <f>JULIO!L64</f>
        <v>440404664</v>
      </c>
      <c r="K64" s="208">
        <v>83669915</v>
      </c>
      <c r="L64" s="205">
        <f>SUM(J64:K64)</f>
        <v>524074579</v>
      </c>
      <c r="M64" s="205">
        <f>F64-I64</f>
        <v>951625096.94174981</v>
      </c>
      <c r="N64" s="206">
        <f>F64-L64</f>
        <v>1613656497.9417498</v>
      </c>
      <c r="O64" s="67"/>
      <c r="P64" s="204">
        <v>0</v>
      </c>
      <c r="Q64" s="210">
        <v>0</v>
      </c>
      <c r="R64" s="101"/>
      <c r="S64" s="189">
        <f>+IF(JULIO!S64=0,"",JULIO!S64)</f>
        <v>2290826</v>
      </c>
      <c r="T64" s="488" t="str">
        <f>+IF(JULIO!T64=0,"",JULIO!T64)</f>
        <v/>
      </c>
      <c r="U64" s="191"/>
      <c r="V64" s="191"/>
      <c r="W64" s="191"/>
      <c r="X64" s="191"/>
      <c r="Y64" s="191"/>
      <c r="Z64" s="191"/>
      <c r="AA64" s="191"/>
      <c r="AB64" s="191"/>
      <c r="AC64" s="191"/>
      <c r="AD64" s="191"/>
      <c r="AE64" s="191"/>
      <c r="AF64" s="191"/>
      <c r="AG64" s="191"/>
      <c r="AH64" s="191"/>
      <c r="AI64" s="191"/>
      <c r="AJ64" s="192"/>
      <c r="AK64" s="101"/>
      <c r="AL64" s="249"/>
      <c r="AM64" s="250"/>
    </row>
    <row r="65" spans="1:39" ht="24.75" customHeight="1">
      <c r="A65" s="202" t="str">
        <f>+IF(JULIO!A65=0,"",JULIO!A65)</f>
        <v>1.1.02.05.001.09.02.90.01.99</v>
      </c>
      <c r="B65" s="331" t="str">
        <f>+IF(JULIO!B65=0,"",JULIO!B65)</f>
        <v>Vigencia Anterior</v>
      </c>
      <c r="C65" s="204">
        <f>+ENERO!C65</f>
        <v>324064540.10000002</v>
      </c>
      <c r="D65" s="205">
        <f>JULIO!D65+AGOSTO!P65</f>
        <v>0</v>
      </c>
      <c r="E65" s="205">
        <f>JULIO!E65+AGOSTO!Q65</f>
        <v>0</v>
      </c>
      <c r="F65" s="205">
        <f>SUM(C65:E65)</f>
        <v>324064540.10000002</v>
      </c>
      <c r="G65" s="205">
        <f>JULIO!I65</f>
        <v>328691733</v>
      </c>
      <c r="H65" s="208">
        <v>0</v>
      </c>
      <c r="I65" s="205">
        <f>SUM(G65:H65)</f>
        <v>328691733</v>
      </c>
      <c r="J65" s="205">
        <f>JULIO!L65</f>
        <v>328691733</v>
      </c>
      <c r="K65" s="208">
        <v>0</v>
      </c>
      <c r="L65" s="205">
        <f>SUM(J65:K65)</f>
        <v>328691733</v>
      </c>
      <c r="M65" s="205">
        <f>F65-I65</f>
        <v>-4627192.8999999762</v>
      </c>
      <c r="N65" s="206">
        <f>F65-L65</f>
        <v>-4627192.8999999762</v>
      </c>
      <c r="O65" s="67"/>
      <c r="P65" s="204">
        <v>0</v>
      </c>
      <c r="Q65" s="210">
        <v>0</v>
      </c>
      <c r="R65" s="101"/>
      <c r="S65" s="257" t="str">
        <f>+IF(JULIO!S65=0,"",JULIO!S65)</f>
        <v>2.1.1.01.01-1</v>
      </c>
      <c r="T65" s="546" t="str">
        <f>+IF(JULIO!T65=0,"",JULIO!T65)</f>
        <v>Servicios Personales Asociados a Nómina</v>
      </c>
      <c r="U65" s="230">
        <f t="shared" ref="U65:AJ65" si="68">SUM(U66:U69)+U81</f>
        <v>0</v>
      </c>
      <c r="V65" s="231">
        <f t="shared" si="68"/>
        <v>0</v>
      </c>
      <c r="W65" s="231">
        <f t="shared" si="68"/>
        <v>0</v>
      </c>
      <c r="X65" s="234">
        <f t="shared" si="68"/>
        <v>0</v>
      </c>
      <c r="Y65" s="233">
        <f t="shared" si="68"/>
        <v>0</v>
      </c>
      <c r="Z65" s="231">
        <f t="shared" si="68"/>
        <v>0</v>
      </c>
      <c r="AA65" s="234">
        <f t="shared" si="68"/>
        <v>0</v>
      </c>
      <c r="AB65" s="233">
        <f t="shared" si="68"/>
        <v>0</v>
      </c>
      <c r="AC65" s="231">
        <f t="shared" si="68"/>
        <v>0</v>
      </c>
      <c r="AD65" s="234">
        <f t="shared" si="68"/>
        <v>0</v>
      </c>
      <c r="AE65" s="233">
        <f t="shared" si="68"/>
        <v>0</v>
      </c>
      <c r="AF65" s="231">
        <f t="shared" si="68"/>
        <v>0</v>
      </c>
      <c r="AG65" s="234">
        <f t="shared" si="68"/>
        <v>0</v>
      </c>
      <c r="AH65" s="233">
        <f t="shared" si="68"/>
        <v>0</v>
      </c>
      <c r="AI65" s="231">
        <f t="shared" si="68"/>
        <v>0</v>
      </c>
      <c r="AJ65" s="232">
        <f t="shared" si="68"/>
        <v>0</v>
      </c>
      <c r="AK65" s="101"/>
      <c r="AL65" s="233">
        <f>SUM(AL66:AL69)+AL81</f>
        <v>0</v>
      </c>
      <c r="AM65" s="232">
        <f>SUM(AM66:AM69)+AM81</f>
        <v>0</v>
      </c>
    </row>
    <row r="66" spans="1:39" ht="24.75" customHeight="1">
      <c r="A66" s="286" t="str">
        <f>+IF(JULIO!A66=0,"",JULIO!A66)</f>
        <v>1.1.02.05.001.09.02.18.01</v>
      </c>
      <c r="B66" s="319" t="str">
        <f>+IF(JULIO!B66=0,"",JULIO!B66)</f>
        <v xml:space="preserve">COMPAÑIAS DE SEGUROS  - PLANES DE SALUD </v>
      </c>
      <c r="C66" s="288">
        <f t="shared" ref="C66:N66" si="69">SUM(C67:C68)</f>
        <v>185631948</v>
      </c>
      <c r="D66" s="320">
        <f t="shared" si="69"/>
        <v>0</v>
      </c>
      <c r="E66" s="320">
        <f t="shared" si="69"/>
        <v>0</v>
      </c>
      <c r="F66" s="320">
        <f t="shared" si="69"/>
        <v>185631948</v>
      </c>
      <c r="G66" s="320">
        <f t="shared" si="69"/>
        <v>88660961</v>
      </c>
      <c r="H66" s="320">
        <f t="shared" si="69"/>
        <v>11245944</v>
      </c>
      <c r="I66" s="320">
        <f t="shared" si="69"/>
        <v>99906905</v>
      </c>
      <c r="J66" s="320">
        <f t="shared" si="69"/>
        <v>36400949</v>
      </c>
      <c r="K66" s="320">
        <f t="shared" si="69"/>
        <v>490717</v>
      </c>
      <c r="L66" s="320">
        <f t="shared" si="69"/>
        <v>36891666</v>
      </c>
      <c r="M66" s="320">
        <f t="shared" si="69"/>
        <v>85725043</v>
      </c>
      <c r="N66" s="289">
        <f t="shared" si="69"/>
        <v>148740282</v>
      </c>
      <c r="O66" s="67"/>
      <c r="P66" s="288">
        <f>SUM(P67:P68)</f>
        <v>0</v>
      </c>
      <c r="Q66" s="289">
        <f>SUM(Q67:Q68)</f>
        <v>0</v>
      </c>
      <c r="R66" s="101"/>
      <c r="S66" s="266" t="str">
        <f>+IF(JULIO!S66=0,"",JULIO!S66)</f>
        <v>2.1.1.01.01.001.01-1</v>
      </c>
      <c r="T66" s="267" t="str">
        <f>+IF(JULIO!T66=0,"",JULIO!T66)</f>
        <v>Sueldos del Personal de nómina</v>
      </c>
      <c r="U66" s="373">
        <f>+ENERO!U66</f>
        <v>0</v>
      </c>
      <c r="V66" s="220">
        <f>JULIO!V66+AGOSTO!AL66</f>
        <v>0</v>
      </c>
      <c r="W66" s="220">
        <f>JULIO!W66+AGOSTO!AM66</f>
        <v>0</v>
      </c>
      <c r="X66" s="271">
        <f>SUM(U66:W66)</f>
        <v>0</v>
      </c>
      <c r="Y66" s="270">
        <f>JULIO!AA66</f>
        <v>0</v>
      </c>
      <c r="Z66" s="208">
        <v>0</v>
      </c>
      <c r="AA66" s="271">
        <f>SUM(Y66:Z66)</f>
        <v>0</v>
      </c>
      <c r="AB66" s="270">
        <f>JULIO!AD66</f>
        <v>0</v>
      </c>
      <c r="AC66" s="208">
        <v>0</v>
      </c>
      <c r="AD66" s="271">
        <f>SUM(AB66:AC66)</f>
        <v>0</v>
      </c>
      <c r="AE66" s="270">
        <f>JULIO!AG66</f>
        <v>0</v>
      </c>
      <c r="AF66" s="208">
        <v>0</v>
      </c>
      <c r="AG66" s="271">
        <f>SUM(AE66:AF66)</f>
        <v>0</v>
      </c>
      <c r="AH66" s="270">
        <f>X66-AA66</f>
        <v>0</v>
      </c>
      <c r="AI66" s="220">
        <f>X66-AD66</f>
        <v>0</v>
      </c>
      <c r="AJ66" s="269">
        <f>X66-AG66</f>
        <v>0</v>
      </c>
      <c r="AK66" s="101"/>
      <c r="AL66" s="204">
        <v>0</v>
      </c>
      <c r="AM66" s="210">
        <v>0</v>
      </c>
    </row>
    <row r="67" spans="1:39" ht="24.75" customHeight="1">
      <c r="A67" s="202" t="str">
        <f>+IF(JULIO!A67=0,"",JULIO!A67)</f>
        <v>1.1.02.05.001.09.02.18.01</v>
      </c>
      <c r="B67" s="331" t="str">
        <f>+CONCATENATE("Vigencia ",INSTRUCCIONES!$F$3)</f>
        <v>Vigencia 2025</v>
      </c>
      <c r="C67" s="204">
        <f>+ENERO!C67</f>
        <v>111911928</v>
      </c>
      <c r="D67" s="205">
        <f>JULIO!D67+AGOSTO!P67</f>
        <v>0</v>
      </c>
      <c r="E67" s="205">
        <f>JULIO!E67+AGOSTO!Q67</f>
        <v>0</v>
      </c>
      <c r="F67" s="205">
        <f>SUM(C67:E67)</f>
        <v>111911928</v>
      </c>
      <c r="G67" s="205">
        <f>JULIO!I67</f>
        <v>76748116</v>
      </c>
      <c r="H67" s="208">
        <v>11245944</v>
      </c>
      <c r="I67" s="205">
        <f>SUM(G67:H67)</f>
        <v>87994060</v>
      </c>
      <c r="J67" s="205">
        <f>JULIO!L67</f>
        <v>24488104</v>
      </c>
      <c r="K67" s="208">
        <v>490717</v>
      </c>
      <c r="L67" s="205">
        <f>SUM(J67:K67)</f>
        <v>24978821</v>
      </c>
      <c r="M67" s="205">
        <f>F67-I67</f>
        <v>23917868</v>
      </c>
      <c r="N67" s="206">
        <f>F67-L67</f>
        <v>86933107</v>
      </c>
      <c r="O67" s="67"/>
      <c r="P67" s="204">
        <v>0</v>
      </c>
      <c r="Q67" s="210">
        <v>0</v>
      </c>
      <c r="R67" s="101"/>
      <c r="S67" s="266" t="str">
        <f>+IF(JULIO!S67=0,"",JULIO!S67)</f>
        <v>2.1.1.01.01.001.02-1</v>
      </c>
      <c r="T67" s="267" t="str">
        <f>+IF(JULIO!T67=0,"",JULIO!T67)</f>
        <v>Horas Extras,Dominic.,Festivos y Rec. Nocturnos</v>
      </c>
      <c r="U67" s="373">
        <f>+ENERO!U67</f>
        <v>0</v>
      </c>
      <c r="V67" s="220">
        <f>JULIO!V67+AGOSTO!AL67</f>
        <v>0</v>
      </c>
      <c r="W67" s="220">
        <f>JULIO!W67+AGOSTO!AM67</f>
        <v>0</v>
      </c>
      <c r="X67" s="271">
        <f>SUM(U67:W67)</f>
        <v>0</v>
      </c>
      <c r="Y67" s="270">
        <f>JULIO!AA67</f>
        <v>0</v>
      </c>
      <c r="Z67" s="208">
        <v>0</v>
      </c>
      <c r="AA67" s="271">
        <f>SUM(Y67:Z67)</f>
        <v>0</v>
      </c>
      <c r="AB67" s="270">
        <f>JULIO!AD67</f>
        <v>0</v>
      </c>
      <c r="AC67" s="208">
        <v>0</v>
      </c>
      <c r="AD67" s="271">
        <f>SUM(AB67:AC67)</f>
        <v>0</v>
      </c>
      <c r="AE67" s="270">
        <f>JULIO!AG67</f>
        <v>0</v>
      </c>
      <c r="AF67" s="208">
        <v>0</v>
      </c>
      <c r="AG67" s="271">
        <f>SUM(AE67:AF67)</f>
        <v>0</v>
      </c>
      <c r="AH67" s="270">
        <f>X67-AA67</f>
        <v>0</v>
      </c>
      <c r="AI67" s="220">
        <f>X67-AD67</f>
        <v>0</v>
      </c>
      <c r="AJ67" s="269">
        <f>X67-AG67</f>
        <v>0</v>
      </c>
      <c r="AK67" s="101"/>
      <c r="AL67" s="204">
        <v>0</v>
      </c>
      <c r="AM67" s="210">
        <v>0</v>
      </c>
    </row>
    <row r="68" spans="1:39" ht="24.75" customHeight="1">
      <c r="A68" s="202" t="str">
        <f>+IF(JULIO!A68=0,"",JULIO!A68)</f>
        <v>1.1.02.05.001.09.02.18.01.99</v>
      </c>
      <c r="B68" s="331" t="str">
        <f>+IF(JULIO!B68=0,"",JULIO!B68)</f>
        <v>Vigencia Anterior</v>
      </c>
      <c r="C68" s="204">
        <f>+ENERO!C68</f>
        <v>73720020</v>
      </c>
      <c r="D68" s="205">
        <f>JULIO!D68+AGOSTO!P68</f>
        <v>0</v>
      </c>
      <c r="E68" s="205">
        <f>JULIO!E68+AGOSTO!Q68</f>
        <v>0</v>
      </c>
      <c r="F68" s="205">
        <f>SUM(C68:E68)</f>
        <v>73720020</v>
      </c>
      <c r="G68" s="205">
        <f>JULIO!I68</f>
        <v>11912845</v>
      </c>
      <c r="H68" s="208">
        <v>0</v>
      </c>
      <c r="I68" s="205">
        <f>SUM(G68:H68)</f>
        <v>11912845</v>
      </c>
      <c r="J68" s="205">
        <f>JULIO!L68</f>
        <v>11912845</v>
      </c>
      <c r="K68" s="208">
        <v>0</v>
      </c>
      <c r="L68" s="205">
        <f>SUM(J68:K68)</f>
        <v>11912845</v>
      </c>
      <c r="M68" s="205">
        <f>F68-I68</f>
        <v>61807175</v>
      </c>
      <c r="N68" s="206">
        <f>F68-L68</f>
        <v>61807175</v>
      </c>
      <c r="O68" s="67"/>
      <c r="P68" s="204">
        <v>0</v>
      </c>
      <c r="Q68" s="210">
        <v>0</v>
      </c>
      <c r="R68" s="101"/>
      <c r="S68" s="266">
        <f>+IF(JULIO!S68=0,"",JULIO!S68)</f>
        <v>1010103</v>
      </c>
      <c r="T68" s="267" t="str">
        <f>+IF(JULIO!T68=0,"",JULIO!T68)</f>
        <v>Prima Técnica</v>
      </c>
      <c r="U68" s="373">
        <f>+ENERO!U68</f>
        <v>0</v>
      </c>
      <c r="V68" s="220">
        <f>JULIO!V68+AGOSTO!AL68</f>
        <v>0</v>
      </c>
      <c r="W68" s="220">
        <f>JULIO!W68+AGOSTO!AM68</f>
        <v>0</v>
      </c>
      <c r="X68" s="271">
        <f>SUM(U68:W68)</f>
        <v>0</v>
      </c>
      <c r="Y68" s="270">
        <f>JULIO!AA68</f>
        <v>0</v>
      </c>
      <c r="Z68" s="208">
        <v>0</v>
      </c>
      <c r="AA68" s="271">
        <f>SUM(Y68:Z68)</f>
        <v>0</v>
      </c>
      <c r="AB68" s="270">
        <f>JULIO!AD68</f>
        <v>0</v>
      </c>
      <c r="AC68" s="208">
        <v>0</v>
      </c>
      <c r="AD68" s="271">
        <f>SUM(AB68:AC68)</f>
        <v>0</v>
      </c>
      <c r="AE68" s="270">
        <f>JULIO!AG68</f>
        <v>0</v>
      </c>
      <c r="AF68" s="208">
        <v>0</v>
      </c>
      <c r="AG68" s="271">
        <f>SUM(AE68:AF68)</f>
        <v>0</v>
      </c>
      <c r="AH68" s="270">
        <f>X68-AA68</f>
        <v>0</v>
      </c>
      <c r="AI68" s="220">
        <f>X68-AD68</f>
        <v>0</v>
      </c>
      <c r="AJ68" s="269">
        <f>X68-AG68</f>
        <v>0</v>
      </c>
      <c r="AK68" s="101"/>
      <c r="AL68" s="204">
        <v>0</v>
      </c>
      <c r="AM68" s="210">
        <v>0</v>
      </c>
    </row>
    <row r="69" spans="1:39" ht="24.75" customHeight="1">
      <c r="A69" s="286" t="str">
        <f>+IF(JULIO!A69=0,"",JULIO!A69)</f>
        <v>1.1.02.05.001.09.02.90.02</v>
      </c>
      <c r="B69" s="319" t="str">
        <f>+IF(JULIO!B69=0,"",JULIO!B69)</f>
        <v>ENTIDADES DE REGIMEN ESPECIAL (Magisterio, Fuerza Pca.)</v>
      </c>
      <c r="C69" s="288">
        <f t="shared" ref="C69:N69" si="70">SUM(C70:C71)</f>
        <v>1378696551</v>
      </c>
      <c r="D69" s="320">
        <f t="shared" si="70"/>
        <v>0</v>
      </c>
      <c r="E69" s="320">
        <f t="shared" si="70"/>
        <v>0</v>
      </c>
      <c r="F69" s="320">
        <f t="shared" si="70"/>
        <v>1378696551</v>
      </c>
      <c r="G69" s="320">
        <f t="shared" si="70"/>
        <v>1767379861</v>
      </c>
      <c r="H69" s="320">
        <f t="shared" si="70"/>
        <v>102655792</v>
      </c>
      <c r="I69" s="320">
        <f t="shared" si="70"/>
        <v>1870035653</v>
      </c>
      <c r="J69" s="320">
        <f t="shared" si="70"/>
        <v>906005217</v>
      </c>
      <c r="K69" s="320">
        <f t="shared" si="70"/>
        <v>2993770</v>
      </c>
      <c r="L69" s="320">
        <f t="shared" si="70"/>
        <v>908998987</v>
      </c>
      <c r="M69" s="320">
        <f t="shared" si="70"/>
        <v>-491339102</v>
      </c>
      <c r="N69" s="289">
        <f t="shared" si="70"/>
        <v>469697564</v>
      </c>
      <c r="O69" s="67"/>
      <c r="P69" s="288">
        <f>SUM(P70:P71)</f>
        <v>0</v>
      </c>
      <c r="Q69" s="289">
        <f>SUM(Q70:Q71)</f>
        <v>0</v>
      </c>
      <c r="R69" s="101"/>
      <c r="S69" s="266">
        <f>+IF(JULIO!S69=0,"",JULIO!S69)</f>
        <v>1010104</v>
      </c>
      <c r="T69" s="267" t="str">
        <f>+IF(JULIO!T69=0,"",JULIO!T69)</f>
        <v>Otros</v>
      </c>
      <c r="U69" s="373">
        <f t="shared" ref="U69:AJ69" si="71">SUM(U70:U80)</f>
        <v>0</v>
      </c>
      <c r="V69" s="220">
        <f t="shared" si="71"/>
        <v>0</v>
      </c>
      <c r="W69" s="220">
        <f t="shared" si="71"/>
        <v>0</v>
      </c>
      <c r="X69" s="271">
        <f t="shared" si="71"/>
        <v>0</v>
      </c>
      <c r="Y69" s="270">
        <f t="shared" si="71"/>
        <v>0</v>
      </c>
      <c r="Z69" s="300">
        <f t="shared" si="71"/>
        <v>0</v>
      </c>
      <c r="AA69" s="271">
        <f t="shared" si="71"/>
        <v>0</v>
      </c>
      <c r="AB69" s="270">
        <f t="shared" si="71"/>
        <v>0</v>
      </c>
      <c r="AC69" s="300">
        <f t="shared" si="71"/>
        <v>0</v>
      </c>
      <c r="AD69" s="271">
        <f t="shared" si="71"/>
        <v>0</v>
      </c>
      <c r="AE69" s="270">
        <f t="shared" si="71"/>
        <v>0</v>
      </c>
      <c r="AF69" s="300">
        <f t="shared" si="71"/>
        <v>0</v>
      </c>
      <c r="AG69" s="271">
        <f t="shared" si="71"/>
        <v>0</v>
      </c>
      <c r="AH69" s="270">
        <f t="shared" si="71"/>
        <v>0</v>
      </c>
      <c r="AI69" s="220">
        <f t="shared" si="71"/>
        <v>0</v>
      </c>
      <c r="AJ69" s="269">
        <f t="shared" si="71"/>
        <v>0</v>
      </c>
      <c r="AK69" s="101"/>
      <c r="AL69" s="301">
        <f>SUM(AL70:AL80)</f>
        <v>0</v>
      </c>
      <c r="AM69" s="302">
        <f>SUM(AM70:AM80)</f>
        <v>0</v>
      </c>
    </row>
    <row r="70" spans="1:39" ht="24.75" customHeight="1">
      <c r="A70" s="202" t="str">
        <f>+IF(JULIO!A70=0,"",JULIO!A70)</f>
        <v>1.1.02.05.001.09.02.90.02</v>
      </c>
      <c r="B70" s="331" t="str">
        <f>+CONCATENATE("Vigencia ",INSTRUCCIONES!$F$3)</f>
        <v>Vigencia 2025</v>
      </c>
      <c r="C70" s="204">
        <f>+ENERO!C70</f>
        <v>898696551</v>
      </c>
      <c r="D70" s="205">
        <f>JULIO!D70+AGOSTO!P70</f>
        <v>0</v>
      </c>
      <c r="E70" s="205">
        <f>JULIO!E70+AGOSTO!Q70</f>
        <v>0</v>
      </c>
      <c r="F70" s="205">
        <f>SUM(C70:E70)</f>
        <v>898696551</v>
      </c>
      <c r="G70" s="205">
        <f>JULIO!I70</f>
        <v>942519865</v>
      </c>
      <c r="H70" s="208">
        <v>102655792</v>
      </c>
      <c r="I70" s="205">
        <f>SUM(G70:H70)</f>
        <v>1045175657</v>
      </c>
      <c r="J70" s="205">
        <f>JULIO!L70</f>
        <v>81145221</v>
      </c>
      <c r="K70" s="208">
        <v>2993770</v>
      </c>
      <c r="L70" s="205">
        <f>SUM(J70:K70)</f>
        <v>84138991</v>
      </c>
      <c r="M70" s="205">
        <f>F70-I70</f>
        <v>-146479106</v>
      </c>
      <c r="N70" s="206">
        <f>F70-L70</f>
        <v>814557560</v>
      </c>
      <c r="O70" s="67"/>
      <c r="P70" s="204">
        <v>0</v>
      </c>
      <c r="Q70" s="210">
        <v>0</v>
      </c>
      <c r="R70" s="101"/>
      <c r="S70" s="311" t="str">
        <f>+IF(JULIO!S70=0,"",JULIO!S70)</f>
        <v>2.1.1.01.01.001.08.01-1</v>
      </c>
      <c r="T70" s="312" t="str">
        <f>+IF(JULIO!T70=0,"",JULIO!T70)</f>
        <v xml:space="preserve">Prima de Navidad </v>
      </c>
      <c r="U70" s="373">
        <f>+ENERO!U70</f>
        <v>0</v>
      </c>
      <c r="V70" s="220">
        <f>JULIO!V70+AGOSTO!AL70</f>
        <v>0</v>
      </c>
      <c r="W70" s="220">
        <f>JULIO!W70+AGOSTO!AM70</f>
        <v>0</v>
      </c>
      <c r="X70" s="271">
        <f t="shared" ref="X70:X81" si="72">SUM(U70:W70)</f>
        <v>0</v>
      </c>
      <c r="Y70" s="270">
        <f>JULIO!AA70</f>
        <v>0</v>
      </c>
      <c r="Z70" s="208">
        <v>0</v>
      </c>
      <c r="AA70" s="271">
        <f t="shared" ref="AA70:AA81" si="73">SUM(Y70:Z70)</f>
        <v>0</v>
      </c>
      <c r="AB70" s="270">
        <f>JULIO!AD70</f>
        <v>0</v>
      </c>
      <c r="AC70" s="208">
        <v>0</v>
      </c>
      <c r="AD70" s="271">
        <f t="shared" ref="AD70:AD81" si="74">SUM(AB70:AC70)</f>
        <v>0</v>
      </c>
      <c r="AE70" s="270">
        <f>JULIO!AG70</f>
        <v>0</v>
      </c>
      <c r="AF70" s="208">
        <v>0</v>
      </c>
      <c r="AG70" s="271">
        <f t="shared" ref="AG70:AG81" si="75">SUM(AE70:AF70)</f>
        <v>0</v>
      </c>
      <c r="AH70" s="270">
        <f t="shared" ref="AH70:AH81" si="76">X70-AA70</f>
        <v>0</v>
      </c>
      <c r="AI70" s="220">
        <f t="shared" ref="AI70:AI81" si="77">X70-AD70</f>
        <v>0</v>
      </c>
      <c r="AJ70" s="269">
        <f t="shared" ref="AJ70:AJ81" si="78">X70-AG70</f>
        <v>0</v>
      </c>
      <c r="AK70" s="101"/>
      <c r="AL70" s="204">
        <v>0</v>
      </c>
      <c r="AM70" s="210">
        <v>0</v>
      </c>
    </row>
    <row r="71" spans="1:39" ht="24.75" customHeight="1">
      <c r="A71" s="202" t="str">
        <f>+IF(JULIO!A71=0,"",JULIO!A71)</f>
        <v>1.1.02.05.001.09.02.90.02.99</v>
      </c>
      <c r="B71" s="331" t="str">
        <f>+IF(JULIO!B71=0,"",JULIO!B71)</f>
        <v>Vigencia Anterior</v>
      </c>
      <c r="C71" s="204">
        <f>+ENERO!C71</f>
        <v>480000000</v>
      </c>
      <c r="D71" s="205">
        <f>JULIO!D71+AGOSTO!P71</f>
        <v>0</v>
      </c>
      <c r="E71" s="205">
        <f>JULIO!E71+AGOSTO!Q71</f>
        <v>0</v>
      </c>
      <c r="F71" s="205">
        <f>SUM(C71:E71)</f>
        <v>480000000</v>
      </c>
      <c r="G71" s="205">
        <f>JULIO!I71</f>
        <v>824859996</v>
      </c>
      <c r="H71" s="208">
        <v>0</v>
      </c>
      <c r="I71" s="205">
        <f>SUM(G71:H71)</f>
        <v>824859996</v>
      </c>
      <c r="J71" s="205">
        <f>JULIO!L71</f>
        <v>824859996</v>
      </c>
      <c r="K71" s="208">
        <v>0</v>
      </c>
      <c r="L71" s="205">
        <f>SUM(J71:K71)</f>
        <v>824859996</v>
      </c>
      <c r="M71" s="205">
        <f>F71-I71</f>
        <v>-344859996</v>
      </c>
      <c r="N71" s="206">
        <f>F71-L71</f>
        <v>-344859996</v>
      </c>
      <c r="O71" s="67"/>
      <c r="P71" s="204">
        <v>0</v>
      </c>
      <c r="Q71" s="210">
        <v>0</v>
      </c>
      <c r="R71" s="101"/>
      <c r="S71" s="311" t="str">
        <f>+IF(JULIO!S71=0,"",JULIO!S71)</f>
        <v>2.1.1.01.01.001.08.02-1</v>
      </c>
      <c r="T71" s="312" t="str">
        <f>+IF(JULIO!T71=0,"",JULIO!T71)</f>
        <v>Prima de Vacaciones</v>
      </c>
      <c r="U71" s="373">
        <f>+ENERO!U71</f>
        <v>0</v>
      </c>
      <c r="V71" s="220">
        <f>JULIO!V71+AGOSTO!AL71</f>
        <v>0</v>
      </c>
      <c r="W71" s="220">
        <f>JULIO!W71+AGOSTO!AM71</f>
        <v>0</v>
      </c>
      <c r="X71" s="271">
        <f t="shared" si="72"/>
        <v>0</v>
      </c>
      <c r="Y71" s="270">
        <f>JULIO!AA71</f>
        <v>0</v>
      </c>
      <c r="Z71" s="208">
        <v>0</v>
      </c>
      <c r="AA71" s="271">
        <f t="shared" si="73"/>
        <v>0</v>
      </c>
      <c r="AB71" s="270">
        <f>JULIO!AD71</f>
        <v>0</v>
      </c>
      <c r="AC71" s="208">
        <v>0</v>
      </c>
      <c r="AD71" s="271">
        <f t="shared" si="74"/>
        <v>0</v>
      </c>
      <c r="AE71" s="270">
        <f>JULIO!AG71</f>
        <v>0</v>
      </c>
      <c r="AF71" s="208">
        <v>0</v>
      </c>
      <c r="AG71" s="271">
        <f t="shared" si="75"/>
        <v>0</v>
      </c>
      <c r="AH71" s="270">
        <f t="shared" si="76"/>
        <v>0</v>
      </c>
      <c r="AI71" s="220">
        <f t="shared" si="77"/>
        <v>0</v>
      </c>
      <c r="AJ71" s="269">
        <f t="shared" si="78"/>
        <v>0</v>
      </c>
      <c r="AK71" s="101"/>
      <c r="AL71" s="204">
        <v>0</v>
      </c>
      <c r="AM71" s="210">
        <v>0</v>
      </c>
    </row>
    <row r="72" spans="1:39" ht="24.75" customHeight="1">
      <c r="A72" s="286" t="str">
        <f>+IF(JULIO!A72=0,"",JULIO!A72)</f>
        <v>1.1.02.05.001.09.02.06</v>
      </c>
      <c r="B72" s="319" t="str">
        <f>+IF(JULIO!B72=0,"",JULIO!B72)</f>
        <v>ADMINISTRADORAS DE RIESGOS LABORALES</v>
      </c>
      <c r="C72" s="288">
        <f t="shared" ref="C72:N72" si="79">SUM(C73:C74)</f>
        <v>374950682</v>
      </c>
      <c r="D72" s="320">
        <f t="shared" si="79"/>
        <v>0</v>
      </c>
      <c r="E72" s="320">
        <f t="shared" si="79"/>
        <v>0</v>
      </c>
      <c r="F72" s="320">
        <f t="shared" si="79"/>
        <v>374950682</v>
      </c>
      <c r="G72" s="320">
        <f t="shared" si="79"/>
        <v>247412762</v>
      </c>
      <c r="H72" s="320">
        <f t="shared" si="79"/>
        <v>31712751</v>
      </c>
      <c r="I72" s="320">
        <f t="shared" si="79"/>
        <v>279125513</v>
      </c>
      <c r="J72" s="320">
        <f t="shared" si="79"/>
        <v>180750813</v>
      </c>
      <c r="K72" s="320">
        <f t="shared" si="79"/>
        <v>34641625</v>
      </c>
      <c r="L72" s="320">
        <f t="shared" si="79"/>
        <v>215392438</v>
      </c>
      <c r="M72" s="320">
        <f t="shared" si="79"/>
        <v>95825169</v>
      </c>
      <c r="N72" s="289">
        <f t="shared" si="79"/>
        <v>159558244</v>
      </c>
      <c r="O72" s="67"/>
      <c r="P72" s="288">
        <f>SUM(P73:P74)</f>
        <v>0</v>
      </c>
      <c r="Q72" s="289">
        <f>SUM(Q73:Q74)</f>
        <v>0</v>
      </c>
      <c r="R72" s="101"/>
      <c r="S72" s="311" t="str">
        <f>+IF(JULIO!S72=0,"",JULIO!S72)</f>
        <v>2.1.1.01.01.001.07-1</v>
      </c>
      <c r="T72" s="312" t="str">
        <f>+IF(JULIO!T72=0,"",JULIO!T72)</f>
        <v>Bonificación  por servicios prestados</v>
      </c>
      <c r="U72" s="373">
        <f>+ENERO!U72</f>
        <v>0</v>
      </c>
      <c r="V72" s="220">
        <f>JULIO!V72+AGOSTO!AL72</f>
        <v>0</v>
      </c>
      <c r="W72" s="220">
        <f>JULIO!W72+AGOSTO!AM72</f>
        <v>0</v>
      </c>
      <c r="X72" s="271">
        <f t="shared" si="72"/>
        <v>0</v>
      </c>
      <c r="Y72" s="270">
        <f>JULIO!AA72</f>
        <v>0</v>
      </c>
      <c r="Z72" s="208">
        <v>0</v>
      </c>
      <c r="AA72" s="271">
        <f t="shared" si="73"/>
        <v>0</v>
      </c>
      <c r="AB72" s="270">
        <f>JULIO!AD72</f>
        <v>0</v>
      </c>
      <c r="AC72" s="208">
        <v>0</v>
      </c>
      <c r="AD72" s="271">
        <f t="shared" si="74"/>
        <v>0</v>
      </c>
      <c r="AE72" s="270">
        <f>JULIO!AG72</f>
        <v>0</v>
      </c>
      <c r="AF72" s="208">
        <v>0</v>
      </c>
      <c r="AG72" s="271">
        <f t="shared" si="75"/>
        <v>0</v>
      </c>
      <c r="AH72" s="270">
        <f t="shared" si="76"/>
        <v>0</v>
      </c>
      <c r="AI72" s="220">
        <f t="shared" si="77"/>
        <v>0</v>
      </c>
      <c r="AJ72" s="269">
        <f t="shared" si="78"/>
        <v>0</v>
      </c>
      <c r="AK72" s="101"/>
      <c r="AL72" s="204">
        <v>0</v>
      </c>
      <c r="AM72" s="210">
        <v>0</v>
      </c>
    </row>
    <row r="73" spans="1:39" ht="24.75" customHeight="1">
      <c r="A73" s="202" t="str">
        <f>+IF(JULIO!A73=0,"",JULIO!A73)</f>
        <v>1.1.02.05.001.09.02.06</v>
      </c>
      <c r="B73" s="331" t="str">
        <f>+CONCATENATE("Vigencia ",INSTRUCCIONES!$F$3)</f>
        <v>Vigencia 2025</v>
      </c>
      <c r="C73" s="204">
        <f>+ENERO!C73</f>
        <v>337999834</v>
      </c>
      <c r="D73" s="205">
        <f>JULIO!D73+AGOSTO!P73</f>
        <v>0</v>
      </c>
      <c r="E73" s="205">
        <f>JULIO!E73+AGOSTO!Q73</f>
        <v>0</v>
      </c>
      <c r="F73" s="205">
        <f>SUM(C73:E73)</f>
        <v>337999834</v>
      </c>
      <c r="G73" s="205">
        <f>JULIO!I73</f>
        <v>190760370</v>
      </c>
      <c r="H73" s="208">
        <v>31712751</v>
      </c>
      <c r="I73" s="205">
        <f>SUM(G73:H73)</f>
        <v>222473121</v>
      </c>
      <c r="J73" s="205">
        <f>JULIO!L73</f>
        <v>124098421</v>
      </c>
      <c r="K73" s="208">
        <v>34641625</v>
      </c>
      <c r="L73" s="205">
        <f>SUM(J73:K73)</f>
        <v>158740046</v>
      </c>
      <c r="M73" s="205">
        <f>F73-I73</f>
        <v>115526713</v>
      </c>
      <c r="N73" s="206">
        <f>F73-L73</f>
        <v>179259788</v>
      </c>
      <c r="O73" s="67"/>
      <c r="P73" s="204">
        <v>0</v>
      </c>
      <c r="Q73" s="210">
        <v>0</v>
      </c>
      <c r="R73" s="101"/>
      <c r="S73" s="311" t="str">
        <f>+IF(JULIO!S73=0,"",JULIO!S73)</f>
        <v>2.1.1.01.01.001.06-1</v>
      </c>
      <c r="T73" s="312" t="str">
        <f>+IF(JULIO!T73=0,"",JULIO!T73)</f>
        <v>Prima de Servicios</v>
      </c>
      <c r="U73" s="373">
        <f>+ENERO!U73</f>
        <v>0</v>
      </c>
      <c r="V73" s="220">
        <f>JULIO!V73+AGOSTO!AL73</f>
        <v>0</v>
      </c>
      <c r="W73" s="220">
        <f>JULIO!W73+AGOSTO!AM73</f>
        <v>0</v>
      </c>
      <c r="X73" s="271">
        <f t="shared" si="72"/>
        <v>0</v>
      </c>
      <c r="Y73" s="270">
        <f>JULIO!AA73</f>
        <v>0</v>
      </c>
      <c r="Z73" s="208">
        <v>0</v>
      </c>
      <c r="AA73" s="271">
        <f t="shared" si="73"/>
        <v>0</v>
      </c>
      <c r="AB73" s="270">
        <f>JULIO!AD73</f>
        <v>0</v>
      </c>
      <c r="AC73" s="208">
        <v>0</v>
      </c>
      <c r="AD73" s="271">
        <f t="shared" si="74"/>
        <v>0</v>
      </c>
      <c r="AE73" s="270">
        <f>JULIO!AG73</f>
        <v>0</v>
      </c>
      <c r="AF73" s="208">
        <v>0</v>
      </c>
      <c r="AG73" s="271">
        <f t="shared" si="75"/>
        <v>0</v>
      </c>
      <c r="AH73" s="270">
        <f t="shared" si="76"/>
        <v>0</v>
      </c>
      <c r="AI73" s="220">
        <f t="shared" si="77"/>
        <v>0</v>
      </c>
      <c r="AJ73" s="269">
        <f t="shared" si="78"/>
        <v>0</v>
      </c>
      <c r="AK73" s="101"/>
      <c r="AL73" s="204">
        <v>0</v>
      </c>
      <c r="AM73" s="210">
        <v>0</v>
      </c>
    </row>
    <row r="74" spans="1:39" ht="24.75" customHeight="1">
      <c r="A74" s="202" t="str">
        <f>+IF(JULIO!A74=0,"",JULIO!A74)</f>
        <v>1.1.02.05.001.09.02.06.99</v>
      </c>
      <c r="B74" s="331" t="str">
        <f>+IF(JULIO!B74=0,"",JULIO!B74)</f>
        <v>Vigencia Anterior</v>
      </c>
      <c r="C74" s="204">
        <f>+ENERO!C74</f>
        <v>36950848</v>
      </c>
      <c r="D74" s="205">
        <f>JULIO!D74+AGOSTO!P74</f>
        <v>0</v>
      </c>
      <c r="E74" s="205">
        <f>JULIO!E74+AGOSTO!Q74</f>
        <v>0</v>
      </c>
      <c r="F74" s="205">
        <f>SUM(C74:E74)</f>
        <v>36950848</v>
      </c>
      <c r="G74" s="205">
        <f>JULIO!I74</f>
        <v>56652392</v>
      </c>
      <c r="H74" s="208">
        <v>0</v>
      </c>
      <c r="I74" s="205">
        <f>SUM(G74:H74)</f>
        <v>56652392</v>
      </c>
      <c r="J74" s="205">
        <f>JULIO!L74</f>
        <v>56652392</v>
      </c>
      <c r="K74" s="208">
        <v>0</v>
      </c>
      <c r="L74" s="205">
        <f>SUM(J74:K74)</f>
        <v>56652392</v>
      </c>
      <c r="M74" s="205">
        <f>F74-I74</f>
        <v>-19701544</v>
      </c>
      <c r="N74" s="206">
        <f>F74-L74</f>
        <v>-19701544</v>
      </c>
      <c r="O74" s="67"/>
      <c r="P74" s="204">
        <v>0</v>
      </c>
      <c r="Q74" s="210">
        <v>0</v>
      </c>
      <c r="R74" s="101"/>
      <c r="S74" s="311" t="str">
        <f>+IF(JULIO!S74=0,"",JULIO!S74)</f>
        <v>1010104-5</v>
      </c>
      <c r="T74" s="312" t="str">
        <f>+IF(JULIO!T74=0,"",JULIO!T74)</f>
        <v>Bonificación Convencional</v>
      </c>
      <c r="U74" s="373">
        <f>+ENERO!U74</f>
        <v>0</v>
      </c>
      <c r="V74" s="220">
        <f>JULIO!V74+AGOSTO!AL74</f>
        <v>0</v>
      </c>
      <c r="W74" s="220">
        <f>JULIO!W74+AGOSTO!AM74</f>
        <v>0</v>
      </c>
      <c r="X74" s="271">
        <f t="shared" si="72"/>
        <v>0</v>
      </c>
      <c r="Y74" s="270">
        <f>JULIO!AA74</f>
        <v>0</v>
      </c>
      <c r="Z74" s="208">
        <v>0</v>
      </c>
      <c r="AA74" s="271">
        <f t="shared" si="73"/>
        <v>0</v>
      </c>
      <c r="AB74" s="270">
        <f>JULIO!AD74</f>
        <v>0</v>
      </c>
      <c r="AC74" s="208">
        <v>0</v>
      </c>
      <c r="AD74" s="271">
        <f t="shared" si="74"/>
        <v>0</v>
      </c>
      <c r="AE74" s="270">
        <f>JULIO!AG74</f>
        <v>0</v>
      </c>
      <c r="AF74" s="208">
        <v>0</v>
      </c>
      <c r="AG74" s="271">
        <f t="shared" si="75"/>
        <v>0</v>
      </c>
      <c r="AH74" s="270">
        <f t="shared" si="76"/>
        <v>0</v>
      </c>
      <c r="AI74" s="220">
        <f t="shared" si="77"/>
        <v>0</v>
      </c>
      <c r="AJ74" s="269">
        <f t="shared" si="78"/>
        <v>0</v>
      </c>
      <c r="AK74" s="101"/>
      <c r="AL74" s="204">
        <v>0</v>
      </c>
      <c r="AM74" s="210">
        <v>0</v>
      </c>
    </row>
    <row r="75" spans="1:39" ht="24.75" customHeight="1">
      <c r="A75" s="286" t="str">
        <f>+IF(JULIO!A75=0,"",JULIO!A75)</f>
        <v>1.1.02.05.001.09.02.07</v>
      </c>
      <c r="B75" s="319" t="str">
        <f>+IF(JULIO!B75=0,"",JULIO!B75)</f>
        <v>FUERZAS MILITARES</v>
      </c>
      <c r="C75" s="288">
        <f t="shared" ref="C75:N75" si="80">SUM(C76:C77)</f>
        <v>448721976</v>
      </c>
      <c r="D75" s="320">
        <f t="shared" si="80"/>
        <v>0</v>
      </c>
      <c r="E75" s="320">
        <f t="shared" si="80"/>
        <v>0</v>
      </c>
      <c r="F75" s="320">
        <f t="shared" si="80"/>
        <v>448721976</v>
      </c>
      <c r="G75" s="320">
        <f t="shared" si="80"/>
        <v>133821546</v>
      </c>
      <c r="H75" s="320">
        <f t="shared" si="80"/>
        <v>7015521</v>
      </c>
      <c r="I75" s="320">
        <f t="shared" si="80"/>
        <v>140837067</v>
      </c>
      <c r="J75" s="320">
        <f t="shared" si="80"/>
        <v>21577579</v>
      </c>
      <c r="K75" s="320">
        <f t="shared" si="80"/>
        <v>0</v>
      </c>
      <c r="L75" s="320">
        <f t="shared" si="80"/>
        <v>21577579</v>
      </c>
      <c r="M75" s="320">
        <f t="shared" si="80"/>
        <v>307884909</v>
      </c>
      <c r="N75" s="289">
        <f t="shared" si="80"/>
        <v>427144397</v>
      </c>
      <c r="O75" s="67"/>
      <c r="P75" s="288">
        <f>SUM(P76:P77)</f>
        <v>0</v>
      </c>
      <c r="Q75" s="289">
        <f>SUM(Q76:Q77)</f>
        <v>0</v>
      </c>
      <c r="R75" s="101"/>
      <c r="S75" s="311" t="str">
        <f>+IF(JULIO!S75=0,"",JULIO!S75)</f>
        <v>2.1.1.01.01.001.05-1</v>
      </c>
      <c r="T75" s="312" t="str">
        <f>+IF(JULIO!T75=0,"",JULIO!T75)</f>
        <v>Auxilio de Transporte</v>
      </c>
      <c r="U75" s="373">
        <f>+ENERO!U75</f>
        <v>0</v>
      </c>
      <c r="V75" s="220">
        <f>JULIO!V75+AGOSTO!AL75</f>
        <v>0</v>
      </c>
      <c r="W75" s="220">
        <f>JULIO!W75+AGOSTO!AM75</f>
        <v>0</v>
      </c>
      <c r="X75" s="271">
        <f t="shared" si="72"/>
        <v>0</v>
      </c>
      <c r="Y75" s="270">
        <f>JULIO!AA75</f>
        <v>0</v>
      </c>
      <c r="Z75" s="208">
        <v>0</v>
      </c>
      <c r="AA75" s="271">
        <f t="shared" si="73"/>
        <v>0</v>
      </c>
      <c r="AB75" s="270">
        <f>JULIO!AD75</f>
        <v>0</v>
      </c>
      <c r="AC75" s="208">
        <v>0</v>
      </c>
      <c r="AD75" s="271">
        <f t="shared" si="74"/>
        <v>0</v>
      </c>
      <c r="AE75" s="270">
        <f>JULIO!AG75</f>
        <v>0</v>
      </c>
      <c r="AF75" s="208">
        <v>0</v>
      </c>
      <c r="AG75" s="271">
        <f t="shared" si="75"/>
        <v>0</v>
      </c>
      <c r="AH75" s="270">
        <f t="shared" si="76"/>
        <v>0</v>
      </c>
      <c r="AI75" s="220">
        <f t="shared" si="77"/>
        <v>0</v>
      </c>
      <c r="AJ75" s="269">
        <f t="shared" si="78"/>
        <v>0</v>
      </c>
      <c r="AK75" s="101"/>
      <c r="AL75" s="204">
        <v>0</v>
      </c>
      <c r="AM75" s="210">
        <v>0</v>
      </c>
    </row>
    <row r="76" spans="1:39" ht="24.75" customHeight="1">
      <c r="A76" s="202" t="str">
        <f>+IF(JULIO!A76=0,"",JULIO!A76)</f>
        <v>1.1.02.05.001.09.02.07</v>
      </c>
      <c r="B76" s="331" t="str">
        <f>+CONCATENATE("Vigencia ",INSTRUCCIONES!$F$3)</f>
        <v>Vigencia 2025</v>
      </c>
      <c r="C76" s="204">
        <f>+ENERO!C76</f>
        <v>341067989</v>
      </c>
      <c r="D76" s="205">
        <f>JULIO!D76+AGOSTO!P76</f>
        <v>0</v>
      </c>
      <c r="E76" s="205">
        <f>JULIO!E76+AGOSTO!Q76</f>
        <v>0</v>
      </c>
      <c r="F76" s="205">
        <f>SUM(C76:E76)</f>
        <v>341067989</v>
      </c>
      <c r="G76" s="205">
        <f>JULIO!I76</f>
        <v>112416267</v>
      </c>
      <c r="H76" s="208">
        <v>7015521</v>
      </c>
      <c r="I76" s="205">
        <f>SUM(G76:H76)</f>
        <v>119431788</v>
      </c>
      <c r="J76" s="205">
        <f>JULIO!L76</f>
        <v>172300</v>
      </c>
      <c r="K76" s="208">
        <v>0</v>
      </c>
      <c r="L76" s="205">
        <f>SUM(J76:K76)</f>
        <v>172300</v>
      </c>
      <c r="M76" s="205">
        <f>F76-I76</f>
        <v>221636201</v>
      </c>
      <c r="N76" s="206">
        <f>F76-L76</f>
        <v>340895689</v>
      </c>
      <c r="O76" s="67"/>
      <c r="P76" s="204">
        <v>0</v>
      </c>
      <c r="Q76" s="210">
        <v>0</v>
      </c>
      <c r="R76" s="101"/>
      <c r="S76" s="311" t="str">
        <f>+IF(JULIO!S76=0,"",JULIO!S76)</f>
        <v>2.1.1.01.01.001.04-1</v>
      </c>
      <c r="T76" s="312" t="str">
        <f>+IF(JULIO!T76=0,"",JULIO!T76)</f>
        <v>Auxilio de Alimentación</v>
      </c>
      <c r="U76" s="373">
        <f>+ENERO!U76</f>
        <v>0</v>
      </c>
      <c r="V76" s="220">
        <f>JULIO!V76+AGOSTO!AL76</f>
        <v>0</v>
      </c>
      <c r="W76" s="220">
        <f>JULIO!W76+AGOSTO!AM76</f>
        <v>0</v>
      </c>
      <c r="X76" s="271">
        <f t="shared" si="72"/>
        <v>0</v>
      </c>
      <c r="Y76" s="270">
        <f>JULIO!AA76</f>
        <v>0</v>
      </c>
      <c r="Z76" s="208">
        <v>0</v>
      </c>
      <c r="AA76" s="271">
        <f t="shared" si="73"/>
        <v>0</v>
      </c>
      <c r="AB76" s="270">
        <f>JULIO!AD76</f>
        <v>0</v>
      </c>
      <c r="AC76" s="208">
        <v>0</v>
      </c>
      <c r="AD76" s="271">
        <f t="shared" si="74"/>
        <v>0</v>
      </c>
      <c r="AE76" s="270">
        <f>JULIO!AG76</f>
        <v>0</v>
      </c>
      <c r="AF76" s="208">
        <v>0</v>
      </c>
      <c r="AG76" s="271">
        <f t="shared" si="75"/>
        <v>0</v>
      </c>
      <c r="AH76" s="270">
        <f t="shared" si="76"/>
        <v>0</v>
      </c>
      <c r="AI76" s="220">
        <f t="shared" si="77"/>
        <v>0</v>
      </c>
      <c r="AJ76" s="269">
        <f t="shared" si="78"/>
        <v>0</v>
      </c>
      <c r="AK76" s="101"/>
      <c r="AL76" s="204">
        <v>0</v>
      </c>
      <c r="AM76" s="210">
        <v>0</v>
      </c>
    </row>
    <row r="77" spans="1:39" ht="24.75" customHeight="1">
      <c r="A77" s="202" t="str">
        <f>+IF(JULIO!A77=0,"",JULIO!A77)</f>
        <v>1.1.02.05.001.09.02.07.99</v>
      </c>
      <c r="B77" s="331" t="str">
        <f>+IF(JULIO!B77=0,"",JULIO!B77)</f>
        <v>Vigencia Anterior</v>
      </c>
      <c r="C77" s="204">
        <f>+ENERO!C77</f>
        <v>107653987</v>
      </c>
      <c r="D77" s="205">
        <f>JULIO!D77+AGOSTO!P77</f>
        <v>0</v>
      </c>
      <c r="E77" s="205">
        <f>JULIO!E77+AGOSTO!Q77</f>
        <v>0</v>
      </c>
      <c r="F77" s="205">
        <f>SUM(C77:E77)</f>
        <v>107653987</v>
      </c>
      <c r="G77" s="205">
        <f>JULIO!I77</f>
        <v>21405279</v>
      </c>
      <c r="H77" s="208">
        <v>0</v>
      </c>
      <c r="I77" s="205">
        <f>SUM(G77:H77)</f>
        <v>21405279</v>
      </c>
      <c r="J77" s="205">
        <f>JULIO!L77</f>
        <v>21405279</v>
      </c>
      <c r="K77" s="208">
        <v>0</v>
      </c>
      <c r="L77" s="205">
        <f>SUM(J77:K77)</f>
        <v>21405279</v>
      </c>
      <c r="M77" s="205">
        <f>F77-I77</f>
        <v>86248708</v>
      </c>
      <c r="N77" s="206">
        <f>F77-L77</f>
        <v>86248708</v>
      </c>
      <c r="O77" s="67"/>
      <c r="P77" s="204">
        <v>0</v>
      </c>
      <c r="Q77" s="210">
        <v>0</v>
      </c>
      <c r="R77" s="101"/>
      <c r="S77" s="311" t="str">
        <f>+IF(JULIO!S77=0,"",JULIO!S77)</f>
        <v>1010104-8</v>
      </c>
      <c r="T77" s="312" t="str">
        <f>+IF(JULIO!T77=0,"",JULIO!T77)</f>
        <v>Indemnizaciones por Vacaciones o Supresión de Cargos por Reestructuración</v>
      </c>
      <c r="U77" s="373">
        <f>+ENERO!U77</f>
        <v>0</v>
      </c>
      <c r="V77" s="220">
        <f>JULIO!V77+AGOSTO!AL77</f>
        <v>0</v>
      </c>
      <c r="W77" s="220">
        <f>JULIO!W77+AGOSTO!AM77</f>
        <v>0</v>
      </c>
      <c r="X77" s="271">
        <f t="shared" si="72"/>
        <v>0</v>
      </c>
      <c r="Y77" s="270">
        <f>JULIO!AA77</f>
        <v>0</v>
      </c>
      <c r="Z77" s="208">
        <v>0</v>
      </c>
      <c r="AA77" s="271">
        <f t="shared" si="73"/>
        <v>0</v>
      </c>
      <c r="AB77" s="270">
        <f>JULIO!AD77</f>
        <v>0</v>
      </c>
      <c r="AC77" s="208">
        <v>0</v>
      </c>
      <c r="AD77" s="271">
        <f t="shared" si="74"/>
        <v>0</v>
      </c>
      <c r="AE77" s="270">
        <f>JULIO!AG77</f>
        <v>0</v>
      </c>
      <c r="AF77" s="208">
        <v>0</v>
      </c>
      <c r="AG77" s="271">
        <f t="shared" si="75"/>
        <v>0</v>
      </c>
      <c r="AH77" s="270">
        <f t="shared" si="76"/>
        <v>0</v>
      </c>
      <c r="AI77" s="220">
        <f t="shared" si="77"/>
        <v>0</v>
      </c>
      <c r="AJ77" s="269">
        <f t="shared" si="78"/>
        <v>0</v>
      </c>
      <c r="AK77" s="101"/>
      <c r="AL77" s="204">
        <v>0</v>
      </c>
      <c r="AM77" s="210">
        <v>0</v>
      </c>
    </row>
    <row r="78" spans="1:39" ht="24.75" customHeight="1">
      <c r="A78" s="286" t="str">
        <f>+IF(JULIO!A78=0,"",JULIO!A78)</f>
        <v>1.1.02.05.001.09.02.13-1</v>
      </c>
      <c r="B78" s="319" t="str">
        <f>+IF(JULIO!B78=0,"",JULIO!B78)</f>
        <v>PARTICULARES   (Venta de Contado)</v>
      </c>
      <c r="C78" s="288">
        <f>SUM(C79:C80)</f>
        <v>681131551</v>
      </c>
      <c r="D78" s="320">
        <f>SUM(D79:D80)</f>
        <v>0</v>
      </c>
      <c r="E78" s="320">
        <f>SUM(E79:E80)</f>
        <v>0</v>
      </c>
      <c r="F78" s="320">
        <f>SUM(C78:E78)</f>
        <v>681131551</v>
      </c>
      <c r="G78" s="320">
        <f>SUM(G79:G80)</f>
        <v>231702739</v>
      </c>
      <c r="H78" s="320">
        <f>SUM(H79:H80)</f>
        <v>19567000</v>
      </c>
      <c r="I78" s="320">
        <f>SUM(G78:H78)</f>
        <v>251269739</v>
      </c>
      <c r="J78" s="320">
        <f>SUM(J79:J80)</f>
        <v>69737347</v>
      </c>
      <c r="K78" s="320">
        <f>SUM(K79:K80)</f>
        <v>10128300</v>
      </c>
      <c r="L78" s="320">
        <f>SUM(J78:K78)</f>
        <v>79865647</v>
      </c>
      <c r="M78" s="320">
        <f>F78-I78</f>
        <v>429861812</v>
      </c>
      <c r="N78" s="289">
        <f>F78-L78</f>
        <v>601265904</v>
      </c>
      <c r="O78" s="67"/>
      <c r="P78" s="288">
        <f>SUM(P79:P80)</f>
        <v>0</v>
      </c>
      <c r="Q78" s="289">
        <f>SUM(Q79:Q80)</f>
        <v>0</v>
      </c>
      <c r="R78" s="101"/>
      <c r="S78" s="311" t="str">
        <f>+IF(JULIO!S78=0,"",JULIO!S78)</f>
        <v>1010104-9</v>
      </c>
      <c r="T78" s="312" t="str">
        <f>+IF(JULIO!T78=0,"",JULIO!T78)</f>
        <v/>
      </c>
      <c r="U78" s="373">
        <f>+ENERO!U78</f>
        <v>0</v>
      </c>
      <c r="V78" s="220">
        <f>JULIO!V78+AGOSTO!AL78</f>
        <v>0</v>
      </c>
      <c r="W78" s="220">
        <f>JULIO!W78+AGOSTO!AM78</f>
        <v>0</v>
      </c>
      <c r="X78" s="271">
        <f t="shared" si="72"/>
        <v>0</v>
      </c>
      <c r="Y78" s="270">
        <f>JULIO!AA78</f>
        <v>0</v>
      </c>
      <c r="Z78" s="208">
        <v>0</v>
      </c>
      <c r="AA78" s="271">
        <f t="shared" si="73"/>
        <v>0</v>
      </c>
      <c r="AB78" s="270">
        <f>JULIO!AD78</f>
        <v>0</v>
      </c>
      <c r="AC78" s="208">
        <v>0</v>
      </c>
      <c r="AD78" s="271">
        <f t="shared" si="74"/>
        <v>0</v>
      </c>
      <c r="AE78" s="270">
        <f>JULIO!AG78</f>
        <v>0</v>
      </c>
      <c r="AF78" s="208">
        <v>0</v>
      </c>
      <c r="AG78" s="271">
        <f t="shared" si="75"/>
        <v>0</v>
      </c>
      <c r="AH78" s="270">
        <f t="shared" si="76"/>
        <v>0</v>
      </c>
      <c r="AI78" s="220">
        <f t="shared" si="77"/>
        <v>0</v>
      </c>
      <c r="AJ78" s="269">
        <f t="shared" si="78"/>
        <v>0</v>
      </c>
      <c r="AK78" s="101"/>
      <c r="AL78" s="204">
        <v>0</v>
      </c>
      <c r="AM78" s="210">
        <v>0</v>
      </c>
    </row>
    <row r="79" spans="1:39" ht="24.75" customHeight="1">
      <c r="A79" s="202" t="str">
        <f>+IF(JULIO!A79=0,"",JULIO!A79)</f>
        <v>1.1.02.05.001.09.02.13-1</v>
      </c>
      <c r="B79" s="331" t="str">
        <f>+CONCATENATE("Vigencia ",INSTRUCCIONES!$F$3)</f>
        <v>Vigencia 2025</v>
      </c>
      <c r="C79" s="204">
        <f>+ENERO!C79</f>
        <v>531131551</v>
      </c>
      <c r="D79" s="205">
        <f>JULIO!D79+AGOSTO!P79</f>
        <v>0</v>
      </c>
      <c r="E79" s="205">
        <f>JULIO!E79+AGOSTO!Q79</f>
        <v>0</v>
      </c>
      <c r="F79" s="205">
        <f>SUM(C79:E79)</f>
        <v>531131551</v>
      </c>
      <c r="G79" s="205">
        <f>JULIO!I79</f>
        <v>213303539</v>
      </c>
      <c r="H79" s="208">
        <v>16647400</v>
      </c>
      <c r="I79" s="205">
        <f>SUM(G79:H79)</f>
        <v>229950939</v>
      </c>
      <c r="J79" s="205">
        <f>JULIO!L79</f>
        <v>51338147</v>
      </c>
      <c r="K79" s="208">
        <v>7208700</v>
      </c>
      <c r="L79" s="205">
        <f>SUM(J79:K79)</f>
        <v>58546847</v>
      </c>
      <c r="M79" s="205">
        <f>F79-I79</f>
        <v>301180612</v>
      </c>
      <c r="N79" s="206">
        <f>F79-L79</f>
        <v>472584704</v>
      </c>
      <c r="O79" s="67"/>
      <c r="P79" s="204">
        <v>0</v>
      </c>
      <c r="Q79" s="210">
        <v>0</v>
      </c>
      <c r="R79" s="101"/>
      <c r="S79" s="311" t="str">
        <f>+IF(JULIO!S79=0,"",JULIO!S79)</f>
        <v>2.1.1.01.03.001.03-1</v>
      </c>
      <c r="T79" s="312" t="str">
        <f>+IF(JULIO!T79=0,"",JULIO!T79)</f>
        <v>Bonificación Especial por Recreación</v>
      </c>
      <c r="U79" s="373">
        <f>+ENERO!U79</f>
        <v>0</v>
      </c>
      <c r="V79" s="220">
        <f>JULIO!V79+AGOSTO!AL79</f>
        <v>0</v>
      </c>
      <c r="W79" s="220">
        <f>JULIO!W79+AGOSTO!AM79</f>
        <v>0</v>
      </c>
      <c r="X79" s="271">
        <f t="shared" si="72"/>
        <v>0</v>
      </c>
      <c r="Y79" s="270">
        <f>JULIO!AA79</f>
        <v>0</v>
      </c>
      <c r="Z79" s="208">
        <v>0</v>
      </c>
      <c r="AA79" s="271">
        <f t="shared" si="73"/>
        <v>0</v>
      </c>
      <c r="AB79" s="270">
        <f>JULIO!AD79</f>
        <v>0</v>
      </c>
      <c r="AC79" s="208">
        <v>0</v>
      </c>
      <c r="AD79" s="271">
        <f t="shared" si="74"/>
        <v>0</v>
      </c>
      <c r="AE79" s="270">
        <f>JULIO!AG79</f>
        <v>0</v>
      </c>
      <c r="AF79" s="208">
        <v>0</v>
      </c>
      <c r="AG79" s="271">
        <f t="shared" si="75"/>
        <v>0</v>
      </c>
      <c r="AH79" s="270">
        <f t="shared" si="76"/>
        <v>0</v>
      </c>
      <c r="AI79" s="220">
        <f t="shared" si="77"/>
        <v>0</v>
      </c>
      <c r="AJ79" s="269">
        <f t="shared" si="78"/>
        <v>0</v>
      </c>
      <c r="AK79" s="101"/>
      <c r="AL79" s="204">
        <v>0</v>
      </c>
      <c r="AM79" s="210">
        <v>0</v>
      </c>
    </row>
    <row r="80" spans="1:39" ht="24.75" customHeight="1">
      <c r="A80" s="202" t="str">
        <f>+IF(JULIO!A80=0,"",JULIO!A80)</f>
        <v>1.1.02.05.001.09.02.13.99-1</v>
      </c>
      <c r="B80" s="331" t="str">
        <f>+IF(JULIO!B80=0,"",JULIO!B80)</f>
        <v>Vigencia Anterior</v>
      </c>
      <c r="C80" s="204">
        <f>+ENERO!C80</f>
        <v>150000000</v>
      </c>
      <c r="D80" s="205">
        <f>JULIO!D80+AGOSTO!P80</f>
        <v>0</v>
      </c>
      <c r="E80" s="205">
        <f>JULIO!E80+AGOSTO!Q80</f>
        <v>0</v>
      </c>
      <c r="F80" s="205">
        <f>SUM(C80:E80)</f>
        <v>150000000</v>
      </c>
      <c r="G80" s="205">
        <f>JULIO!I80</f>
        <v>18399200</v>
      </c>
      <c r="H80" s="208">
        <v>2919600</v>
      </c>
      <c r="I80" s="205">
        <f>SUM(G80:H80)</f>
        <v>21318800</v>
      </c>
      <c r="J80" s="205">
        <f>JULIO!L80</f>
        <v>18399200</v>
      </c>
      <c r="K80" s="208">
        <v>2919600</v>
      </c>
      <c r="L80" s="205">
        <f>SUM(J80:K80)</f>
        <v>21318800</v>
      </c>
      <c r="M80" s="205">
        <f>F80-I80</f>
        <v>128681200</v>
      </c>
      <c r="N80" s="206">
        <f>F80-L80</f>
        <v>128681200</v>
      </c>
      <c r="O80" s="67"/>
      <c r="P80" s="204">
        <v>0</v>
      </c>
      <c r="Q80" s="210">
        <v>0</v>
      </c>
      <c r="R80" s="101"/>
      <c r="S80" s="311" t="str">
        <f>+IF(JULIO!S80=0,"",JULIO!S80)</f>
        <v>2.1.1.01.03.001.01-1</v>
      </c>
      <c r="T80" s="312" t="str">
        <f>+IF(JULIO!T80=0,"",JULIO!T80)</f>
        <v>Vacaciones</v>
      </c>
      <c r="U80" s="373">
        <f>+ENERO!U80</f>
        <v>0</v>
      </c>
      <c r="V80" s="220">
        <f>JULIO!V80+AGOSTO!AL80</f>
        <v>0</v>
      </c>
      <c r="W80" s="220">
        <f>JULIO!W80+AGOSTO!AM80</f>
        <v>0</v>
      </c>
      <c r="X80" s="271">
        <f t="shared" si="72"/>
        <v>0</v>
      </c>
      <c r="Y80" s="270">
        <f>JULIO!AA80</f>
        <v>0</v>
      </c>
      <c r="Z80" s="208">
        <v>0</v>
      </c>
      <c r="AA80" s="271">
        <f t="shared" si="73"/>
        <v>0</v>
      </c>
      <c r="AB80" s="270">
        <f>JULIO!AD80</f>
        <v>0</v>
      </c>
      <c r="AC80" s="208">
        <v>0</v>
      </c>
      <c r="AD80" s="271">
        <f t="shared" si="74"/>
        <v>0</v>
      </c>
      <c r="AE80" s="270">
        <f>JULIO!AG80</f>
        <v>0</v>
      </c>
      <c r="AF80" s="208">
        <v>0</v>
      </c>
      <c r="AG80" s="271">
        <f t="shared" si="75"/>
        <v>0</v>
      </c>
      <c r="AH80" s="270">
        <f t="shared" si="76"/>
        <v>0</v>
      </c>
      <c r="AI80" s="220">
        <f t="shared" si="77"/>
        <v>0</v>
      </c>
      <c r="AJ80" s="269">
        <f t="shared" si="78"/>
        <v>0</v>
      </c>
      <c r="AK80" s="101"/>
      <c r="AL80" s="204">
        <v>0</v>
      </c>
      <c r="AM80" s="210">
        <v>0</v>
      </c>
    </row>
    <row r="81" spans="1:39" ht="24.75" customHeight="1">
      <c r="A81" s="286" t="str">
        <f>+IF(JULIO!A81=0,"",JULIO!A81)</f>
        <v>1.1.02.05.001.09.02.08</v>
      </c>
      <c r="B81" s="319" t="str">
        <f>+IF(JULIO!B81=0,"",JULIO!B81)</f>
        <v>POLICIA NACIONAL</v>
      </c>
      <c r="C81" s="288">
        <f>ENERO!C81</f>
        <v>386698320</v>
      </c>
      <c r="D81" s="320">
        <f t="shared" ref="D81:N81" si="81">SUM(D82:D83)</f>
        <v>0</v>
      </c>
      <c r="E81" s="320">
        <f t="shared" si="81"/>
        <v>0</v>
      </c>
      <c r="F81" s="320">
        <f t="shared" si="81"/>
        <v>386698320</v>
      </c>
      <c r="G81" s="320">
        <f t="shared" si="81"/>
        <v>190786291</v>
      </c>
      <c r="H81" s="320">
        <f t="shared" si="81"/>
        <v>26139884</v>
      </c>
      <c r="I81" s="320">
        <f t="shared" si="81"/>
        <v>216926175</v>
      </c>
      <c r="J81" s="320">
        <f t="shared" si="81"/>
        <v>150118585</v>
      </c>
      <c r="K81" s="320">
        <f t="shared" si="81"/>
        <v>13790994</v>
      </c>
      <c r="L81" s="320">
        <f t="shared" si="81"/>
        <v>163909579</v>
      </c>
      <c r="M81" s="320">
        <f t="shared" si="81"/>
        <v>169772145</v>
      </c>
      <c r="N81" s="289">
        <f t="shared" si="81"/>
        <v>222788741</v>
      </c>
      <c r="O81" s="67"/>
      <c r="P81" s="288">
        <f>SUM(P82:P83)</f>
        <v>0</v>
      </c>
      <c r="Q81" s="289">
        <f>SUM(Q82:Q83)</f>
        <v>0</v>
      </c>
      <c r="R81" s="101"/>
      <c r="S81" s="266" t="str">
        <f>+IF(JULIO!S81=0,"",JULIO!S81)</f>
        <v>2.1.2.02.02.009.902.99</v>
      </c>
      <c r="T81" s="267" t="str">
        <f>+IF(JULIO!T81=0,"",JULIO!T81)</f>
        <v>Vigencias Anteriores</v>
      </c>
      <c r="U81" s="373">
        <f>+ENERO!U81</f>
        <v>0</v>
      </c>
      <c r="V81" s="220">
        <f>JULIO!V81+AGOSTO!AL81</f>
        <v>0</v>
      </c>
      <c r="W81" s="220">
        <f>JULIO!W81+AGOSTO!AM81</f>
        <v>0</v>
      </c>
      <c r="X81" s="271">
        <f t="shared" si="72"/>
        <v>0</v>
      </c>
      <c r="Y81" s="270">
        <f>JULIO!AA81</f>
        <v>0</v>
      </c>
      <c r="Z81" s="208">
        <v>0</v>
      </c>
      <c r="AA81" s="271">
        <f t="shared" si="73"/>
        <v>0</v>
      </c>
      <c r="AB81" s="270">
        <f>JULIO!AD81</f>
        <v>0</v>
      </c>
      <c r="AC81" s="208">
        <v>0</v>
      </c>
      <c r="AD81" s="271">
        <f t="shared" si="74"/>
        <v>0</v>
      </c>
      <c r="AE81" s="270">
        <f>JULIO!AG81</f>
        <v>0</v>
      </c>
      <c r="AF81" s="208">
        <v>0</v>
      </c>
      <c r="AG81" s="271">
        <f t="shared" si="75"/>
        <v>0</v>
      </c>
      <c r="AH81" s="270">
        <f t="shared" si="76"/>
        <v>0</v>
      </c>
      <c r="AI81" s="220">
        <f t="shared" si="77"/>
        <v>0</v>
      </c>
      <c r="AJ81" s="269">
        <f t="shared" si="78"/>
        <v>0</v>
      </c>
      <c r="AK81" s="101"/>
      <c r="AL81" s="204"/>
      <c r="AM81" s="210"/>
    </row>
    <row r="82" spans="1:39" ht="24.75" customHeight="1">
      <c r="A82" s="202" t="str">
        <f>+IF(JULIO!A82=0,"",JULIO!A82)</f>
        <v>1.1.02.05.001.09.02.08</v>
      </c>
      <c r="B82" s="331" t="str">
        <f>+CONCATENATE("Vigencia ",INSTRUCCIONES!$F$3)</f>
        <v>Vigencia 2025</v>
      </c>
      <c r="C82" s="204">
        <f>+ENERO!C82</f>
        <v>376911385</v>
      </c>
      <c r="D82" s="205">
        <f>JULIO!D82+AGOSTO!P82</f>
        <v>0</v>
      </c>
      <c r="E82" s="205">
        <f>JULIO!E82+AGOSTO!Q82</f>
        <v>0</v>
      </c>
      <c r="F82" s="205">
        <f>SUM(C82:E82)</f>
        <v>376911385</v>
      </c>
      <c r="G82" s="205">
        <f>JULIO!I82</f>
        <v>134104158</v>
      </c>
      <c r="H82" s="208">
        <v>26139884</v>
      </c>
      <c r="I82" s="205">
        <f>SUM(G82:H82)</f>
        <v>160244042</v>
      </c>
      <c r="J82" s="205">
        <f>JULIO!L82</f>
        <v>93436452</v>
      </c>
      <c r="K82" s="208">
        <v>13790994</v>
      </c>
      <c r="L82" s="205">
        <f>SUM(J82:K82)</f>
        <v>107227446</v>
      </c>
      <c r="M82" s="205">
        <f>F82-I82</f>
        <v>216667343</v>
      </c>
      <c r="N82" s="206">
        <f>F82-L82</f>
        <v>269683939</v>
      </c>
      <c r="O82" s="67"/>
      <c r="P82" s="204">
        <v>0</v>
      </c>
      <c r="Q82" s="210">
        <v>0</v>
      </c>
      <c r="R82" s="101"/>
      <c r="S82" s="189" t="str">
        <f>+IF(JULIO!S82=0,"",JULIO!S82)</f>
        <v/>
      </c>
      <c r="T82" s="488" t="str">
        <f>+IF(JULIO!T82=0,"",JULIO!T82)</f>
        <v/>
      </c>
      <c r="U82" s="191"/>
      <c r="V82" s="191"/>
      <c r="W82" s="191"/>
      <c r="X82" s="191"/>
      <c r="Y82" s="191"/>
      <c r="Z82" s="191"/>
      <c r="AA82" s="191"/>
      <c r="AB82" s="191"/>
      <c r="AC82" s="191"/>
      <c r="AD82" s="191"/>
      <c r="AE82" s="191"/>
      <c r="AF82" s="191"/>
      <c r="AG82" s="191"/>
      <c r="AH82" s="191"/>
      <c r="AI82" s="191"/>
      <c r="AJ82" s="192"/>
      <c r="AK82" s="101"/>
      <c r="AL82" s="370"/>
      <c r="AM82" s="371"/>
    </row>
    <row r="83" spans="1:39" ht="24.75" customHeight="1" thickBot="1">
      <c r="A83" s="202" t="str">
        <f>+IF(JULIO!A83=0,"",JULIO!A83)</f>
        <v>1.1.02.05.001.09.02.08,99</v>
      </c>
      <c r="B83" s="377" t="str">
        <f>+IF(JULIO!B83=0,"",JULIO!B83)</f>
        <v>Vigencia Anterior</v>
      </c>
      <c r="C83" s="242">
        <f>+ENERO!C83</f>
        <v>9786935</v>
      </c>
      <c r="D83" s="243">
        <f>JULIO!D83+AGOSTO!P83</f>
        <v>0</v>
      </c>
      <c r="E83" s="243">
        <f>JULIO!E83+AGOSTO!Q83</f>
        <v>0</v>
      </c>
      <c r="F83" s="243">
        <f>SUM(C83:E83)</f>
        <v>9786935</v>
      </c>
      <c r="G83" s="243">
        <f>JULIO!I83</f>
        <v>56682133</v>
      </c>
      <c r="H83" s="246">
        <v>0</v>
      </c>
      <c r="I83" s="243">
        <f>SUM(G83:H83)</f>
        <v>56682133</v>
      </c>
      <c r="J83" s="243">
        <f>JULIO!L83</f>
        <v>56682133</v>
      </c>
      <c r="K83" s="246">
        <v>0</v>
      </c>
      <c r="L83" s="243">
        <f>SUM(J83:K83)</f>
        <v>56682133</v>
      </c>
      <c r="M83" s="243">
        <f>F83-I83</f>
        <v>-46895198</v>
      </c>
      <c r="N83" s="244">
        <f>F83-L83</f>
        <v>-46895198</v>
      </c>
      <c r="O83" s="67"/>
      <c r="P83" s="204">
        <v>0</v>
      </c>
      <c r="Q83" s="210">
        <v>0</v>
      </c>
      <c r="R83" s="101"/>
      <c r="S83" s="257">
        <f>+IF(JULIO!S83=0,"",JULIO!S83)</f>
        <v>1020200</v>
      </c>
      <c r="T83" s="546" t="str">
        <f>+IF(JULIO!T83=0,"",JULIO!T83)</f>
        <v>Servicios Personales Indirectos</v>
      </c>
      <c r="U83" s="230">
        <f t="shared" ref="U83:AJ83" si="82">SUM(U84:U88)</f>
        <v>64518803470</v>
      </c>
      <c r="V83" s="231">
        <f t="shared" si="82"/>
        <v>-2523000000</v>
      </c>
      <c r="W83" s="231">
        <f t="shared" si="82"/>
        <v>7470635160</v>
      </c>
      <c r="X83" s="234">
        <f t="shared" si="82"/>
        <v>69466438630</v>
      </c>
      <c r="Y83" s="233">
        <f t="shared" si="82"/>
        <v>62404266400</v>
      </c>
      <c r="Z83" s="231">
        <f t="shared" si="82"/>
        <v>0</v>
      </c>
      <c r="AA83" s="234">
        <f t="shared" si="82"/>
        <v>62404266400</v>
      </c>
      <c r="AB83" s="233">
        <f t="shared" si="82"/>
        <v>46217515884</v>
      </c>
      <c r="AC83" s="231">
        <f t="shared" si="82"/>
        <v>4999121224</v>
      </c>
      <c r="AD83" s="234">
        <f t="shared" si="82"/>
        <v>51216637108</v>
      </c>
      <c r="AE83" s="233">
        <f t="shared" si="82"/>
        <v>31890010339</v>
      </c>
      <c r="AF83" s="231">
        <f t="shared" si="82"/>
        <v>4602455137</v>
      </c>
      <c r="AG83" s="234">
        <f t="shared" si="82"/>
        <v>36492465476</v>
      </c>
      <c r="AH83" s="233">
        <f t="shared" si="82"/>
        <v>7062172230</v>
      </c>
      <c r="AI83" s="231">
        <f t="shared" si="82"/>
        <v>18249801522</v>
      </c>
      <c r="AJ83" s="232">
        <f t="shared" si="82"/>
        <v>32973973154</v>
      </c>
      <c r="AK83" s="101"/>
      <c r="AL83" s="233">
        <f>SUM(AL84:AL88)</f>
        <v>0</v>
      </c>
      <c r="AM83" s="232">
        <f>SUM(AM84:AM88)</f>
        <v>4562452399</v>
      </c>
    </row>
    <row r="84" spans="1:39" ht="24.75" customHeight="1" thickBot="1">
      <c r="A84" s="378" t="str">
        <f>+IF(JULIO!A84=0,"",JULIO!A84)</f>
        <v/>
      </c>
      <c r="B84" s="379" t="str">
        <f>+IF(JULIO!B84=0,"",JULIO!B84)</f>
        <v/>
      </c>
      <c r="C84" s="67"/>
      <c r="D84" s="67"/>
      <c r="E84" s="67"/>
      <c r="F84" s="67"/>
      <c r="G84" s="67"/>
      <c r="H84" s="67"/>
      <c r="I84" s="67"/>
      <c r="J84" s="67"/>
      <c r="K84" s="67"/>
      <c r="L84" s="67"/>
      <c r="M84" s="67"/>
      <c r="N84" s="283"/>
      <c r="O84" s="369"/>
      <c r="P84" s="380"/>
      <c r="Q84" s="254"/>
      <c r="R84" s="101"/>
      <c r="S84" s="266" t="str">
        <f>+IF(JULIO!S84=0,"",JULIO!S84)</f>
        <v>2.1.2.02.02.009.902</v>
      </c>
      <c r="T84" s="267" t="str">
        <f>+IF(JULIO!T84=0,"",JULIO!T84)</f>
        <v>Servicios Personales (Personal Asistencial)</v>
      </c>
      <c r="U84" s="373">
        <f>+ENERO!U84</f>
        <v>55683487770</v>
      </c>
      <c r="V84" s="220">
        <f>JULIO!V84+AGOSTO!AL84</f>
        <v>-4585698533</v>
      </c>
      <c r="W84" s="220">
        <f>JULIO!W84+AGOSTO!AM84</f>
        <v>4562452399</v>
      </c>
      <c r="X84" s="271">
        <f>SUM(U84:W84)</f>
        <v>55660241636</v>
      </c>
      <c r="Y84" s="270">
        <f>JULIO!AA84</f>
        <v>48600750950</v>
      </c>
      <c r="Z84" s="208">
        <v>0</v>
      </c>
      <c r="AA84" s="271">
        <f>SUM(Y84:Z84)</f>
        <v>48600750950</v>
      </c>
      <c r="AB84" s="270">
        <f>JULIO!AD84</f>
        <v>32414000434</v>
      </c>
      <c r="AC84" s="208">
        <v>4999121224</v>
      </c>
      <c r="AD84" s="271">
        <f>SUM(AB84:AC84)</f>
        <v>37413121658</v>
      </c>
      <c r="AE84" s="270">
        <f>JULIO!AG84</f>
        <v>18086494889</v>
      </c>
      <c r="AF84" s="208">
        <v>4602455137</v>
      </c>
      <c r="AG84" s="271">
        <f>SUM(AE84:AF84)</f>
        <v>22688950026</v>
      </c>
      <c r="AH84" s="270">
        <f>X84-AA84</f>
        <v>7059490686</v>
      </c>
      <c r="AI84" s="220">
        <f>X84-AD84</f>
        <v>18247119978</v>
      </c>
      <c r="AJ84" s="269">
        <f>X84-AG84</f>
        <v>32971291610</v>
      </c>
      <c r="AK84" s="101"/>
      <c r="AL84" s="204">
        <v>0</v>
      </c>
      <c r="AM84" s="210">
        <v>4562452399</v>
      </c>
    </row>
    <row r="85" spans="1:39" ht="24.75" customHeight="1">
      <c r="A85" s="381" t="str">
        <f>+IF(JULIO!A85=0,"",JULIO!A85)</f>
        <v>1.1.02.05.001.09.02.90</v>
      </c>
      <c r="B85" s="382" t="str">
        <f>+IF(JULIO!B85=0,"",JULIO!B85)</f>
        <v>Otras Ventas de Servicios de Salud</v>
      </c>
      <c r="C85" s="383">
        <f t="shared" ref="C85:N85" si="83">SUM(C86:C92)</f>
        <v>0</v>
      </c>
      <c r="D85" s="384">
        <f t="shared" si="83"/>
        <v>0</v>
      </c>
      <c r="E85" s="384">
        <f t="shared" si="83"/>
        <v>21574720366</v>
      </c>
      <c r="F85" s="384">
        <f t="shared" si="83"/>
        <v>21574720366</v>
      </c>
      <c r="G85" s="384">
        <f t="shared" si="83"/>
        <v>10325193561</v>
      </c>
      <c r="H85" s="384">
        <f t="shared" si="83"/>
        <v>3666144422</v>
      </c>
      <c r="I85" s="384">
        <f t="shared" si="83"/>
        <v>13991337983</v>
      </c>
      <c r="J85" s="384">
        <f t="shared" si="83"/>
        <v>6231195687</v>
      </c>
      <c r="K85" s="384">
        <f t="shared" si="83"/>
        <v>3103333393</v>
      </c>
      <c r="L85" s="384">
        <f t="shared" si="83"/>
        <v>9334529080</v>
      </c>
      <c r="M85" s="384">
        <f t="shared" si="83"/>
        <v>7583382383</v>
      </c>
      <c r="N85" s="385">
        <f t="shared" si="83"/>
        <v>12240191286</v>
      </c>
      <c r="O85" s="67"/>
      <c r="P85" s="288">
        <f>SUM(P86:P92)</f>
        <v>0</v>
      </c>
      <c r="Q85" s="289">
        <f>SUM(Q86:Q92)</f>
        <v>0</v>
      </c>
      <c r="R85" s="101"/>
      <c r="S85" s="266" t="str">
        <f>+IF(JULIO!S85=0,"",JULIO!S85)</f>
        <v>1020200-2</v>
      </c>
      <c r="T85" s="267" t="str">
        <f>+IF(JULIO!T85=0,"",JULIO!T85)</f>
        <v>Personal Supernumerario</v>
      </c>
      <c r="U85" s="373">
        <f>+ENERO!U85</f>
        <v>0</v>
      </c>
      <c r="V85" s="220">
        <f>JULIO!V85+AGOSTO!AL85</f>
        <v>0</v>
      </c>
      <c r="W85" s="220">
        <f>JULIO!W85+AGOSTO!AM85</f>
        <v>0</v>
      </c>
      <c r="X85" s="271">
        <f>SUM(U85:W85)</f>
        <v>0</v>
      </c>
      <c r="Y85" s="270">
        <f>JULIO!AA85</f>
        <v>0</v>
      </c>
      <c r="Z85" s="208">
        <v>0</v>
      </c>
      <c r="AA85" s="271">
        <f>SUM(Y85:Z85)</f>
        <v>0</v>
      </c>
      <c r="AB85" s="270">
        <f>JULIO!AD85</f>
        <v>0</v>
      </c>
      <c r="AC85" s="208">
        <v>0</v>
      </c>
      <c r="AD85" s="271">
        <f>SUM(AB85:AC85)</f>
        <v>0</v>
      </c>
      <c r="AE85" s="270">
        <f>JULIO!AG85</f>
        <v>0</v>
      </c>
      <c r="AF85" s="208">
        <v>0</v>
      </c>
      <c r="AG85" s="271">
        <f>SUM(AE85:AF85)</f>
        <v>0</v>
      </c>
      <c r="AH85" s="270">
        <f>X85-AA85</f>
        <v>0</v>
      </c>
      <c r="AI85" s="220">
        <f>X85-AD85</f>
        <v>0</v>
      </c>
      <c r="AJ85" s="269">
        <f>X85-AG85</f>
        <v>0</v>
      </c>
      <c r="AK85" s="101"/>
      <c r="AL85" s="204">
        <v>0</v>
      </c>
      <c r="AM85" s="210">
        <v>0</v>
      </c>
    </row>
    <row r="86" spans="1:39" ht="24.75" customHeight="1">
      <c r="A86" s="386" t="str">
        <f>+IF(JULIO!A86=0,"",JULIO!A86)</f>
        <v>1.1.02.05.001.09.02.90.05.99</v>
      </c>
      <c r="B86" s="387" t="str">
        <f>+IF(JULIO!B86=0,"",JULIO!B86)</f>
        <v>Agendamiento y aplicación de la vacuna COVID 19(Res.166/2021) INSTITUCIONAL</v>
      </c>
      <c r="C86" s="268">
        <f>+ENERO!C86</f>
        <v>0</v>
      </c>
      <c r="D86" s="205">
        <f>JULIO!D86+AGOSTO!P86</f>
        <v>0</v>
      </c>
      <c r="E86" s="205">
        <f>JULIO!E86+AGOSTO!Q86</f>
        <v>0</v>
      </c>
      <c r="F86" s="205">
        <f t="shared" ref="F86:F92" si="84">SUM(C86:E86)</f>
        <v>0</v>
      </c>
      <c r="G86" s="205">
        <f>JULIO!I86</f>
        <v>0</v>
      </c>
      <c r="H86" s="208">
        <v>0</v>
      </c>
      <c r="I86" s="205">
        <f t="shared" ref="I86:I92" si="85">SUM(G86:H86)</f>
        <v>0</v>
      </c>
      <c r="J86" s="205">
        <f>JULIO!L86</f>
        <v>0</v>
      </c>
      <c r="K86" s="208">
        <v>0</v>
      </c>
      <c r="L86" s="205">
        <f t="shared" ref="L86:L92" si="86">SUM(J86:K86)</f>
        <v>0</v>
      </c>
      <c r="M86" s="205">
        <f t="shared" ref="M86:M92" si="87">F86-I86</f>
        <v>0</v>
      </c>
      <c r="N86" s="206">
        <f t="shared" ref="N86:N92" si="88">F86-L86</f>
        <v>0</v>
      </c>
      <c r="O86" s="67"/>
      <c r="P86" s="204">
        <v>0</v>
      </c>
      <c r="Q86" s="210">
        <v>0</v>
      </c>
      <c r="R86" s="101"/>
      <c r="S86" s="266" t="str">
        <f>+IF(JULIO!S86=0,"",JULIO!S86)</f>
        <v>1020200-3</v>
      </c>
      <c r="T86" s="267" t="str">
        <f>+IF(JULIO!T86=0,"",JULIO!T86)</f>
        <v>Otros Honorarios</v>
      </c>
      <c r="U86" s="373">
        <f>+ENERO!U86</f>
        <v>0</v>
      </c>
      <c r="V86" s="220">
        <f>JULIO!V86+AGOSTO!AL86</f>
        <v>0</v>
      </c>
      <c r="W86" s="220">
        <f>JULIO!W86+AGOSTO!AM86</f>
        <v>0</v>
      </c>
      <c r="X86" s="271">
        <f>SUM(U86:W86)</f>
        <v>0</v>
      </c>
      <c r="Y86" s="270">
        <f>JULIO!AA86</f>
        <v>0</v>
      </c>
      <c r="Z86" s="208">
        <v>0</v>
      </c>
      <c r="AA86" s="271">
        <f>SUM(Y86:Z86)</f>
        <v>0</v>
      </c>
      <c r="AB86" s="270">
        <f>JULIO!AD86</f>
        <v>0</v>
      </c>
      <c r="AC86" s="208">
        <v>0</v>
      </c>
      <c r="AD86" s="271">
        <f>SUM(AB86:AC86)</f>
        <v>0</v>
      </c>
      <c r="AE86" s="270">
        <f>JULIO!AG86</f>
        <v>0</v>
      </c>
      <c r="AF86" s="208">
        <v>0</v>
      </c>
      <c r="AG86" s="271">
        <f>SUM(AE86:AF86)</f>
        <v>0</v>
      </c>
      <c r="AH86" s="270">
        <f>X86-AA86</f>
        <v>0</v>
      </c>
      <c r="AI86" s="220">
        <f>X86-AD86</f>
        <v>0</v>
      </c>
      <c r="AJ86" s="269">
        <f>X86-AG86</f>
        <v>0</v>
      </c>
      <c r="AK86" s="101"/>
      <c r="AL86" s="204">
        <v>0</v>
      </c>
      <c r="AM86" s="210">
        <v>0</v>
      </c>
    </row>
    <row r="87" spans="1:39" ht="24.75" customHeight="1">
      <c r="A87" s="386">
        <f>+IF(JULIO!A87=0,"",JULIO!A87)</f>
        <v>1130202</v>
      </c>
      <c r="B87" s="387">
        <f>+IF(JULIO!B87=0,"",JULIO!B87)</f>
        <v>1130202</v>
      </c>
      <c r="C87" s="268">
        <f>+ENERO!C87</f>
        <v>0</v>
      </c>
      <c r="D87" s="205">
        <f>JULIO!D87+AGOSTO!P87</f>
        <v>0</v>
      </c>
      <c r="E87" s="205">
        <f>JULIO!E87+AGOSTO!Q87</f>
        <v>0</v>
      </c>
      <c r="F87" s="205">
        <f t="shared" si="84"/>
        <v>0</v>
      </c>
      <c r="G87" s="205">
        <f>JULIO!I87</f>
        <v>0</v>
      </c>
      <c r="H87" s="208">
        <v>0</v>
      </c>
      <c r="I87" s="680">
        <f t="shared" si="85"/>
        <v>0</v>
      </c>
      <c r="J87" s="205">
        <f>JULIO!L87</f>
        <v>0</v>
      </c>
      <c r="K87" s="208">
        <v>0</v>
      </c>
      <c r="L87" s="205">
        <f t="shared" si="86"/>
        <v>0</v>
      </c>
      <c r="M87" s="205">
        <f t="shared" si="87"/>
        <v>0</v>
      </c>
      <c r="N87" s="206">
        <f t="shared" si="88"/>
        <v>0</v>
      </c>
      <c r="O87" s="67"/>
      <c r="P87" s="204">
        <v>0</v>
      </c>
      <c r="Q87" s="210">
        <v>0</v>
      </c>
      <c r="R87" s="101"/>
      <c r="S87" s="266" t="str">
        <f>+IF(JULIO!S87=0,"",JULIO!S87)</f>
        <v>1020200-4</v>
      </c>
      <c r="T87" s="267" t="str">
        <f>+IF(JULIO!T87=0,"",JULIO!T87)</f>
        <v>Otros Honorarios</v>
      </c>
      <c r="U87" s="373">
        <f>+ENERO!U87</f>
        <v>0</v>
      </c>
      <c r="V87" s="220">
        <f>JULIO!V87+AGOSTO!AL87</f>
        <v>0</v>
      </c>
      <c r="W87" s="220">
        <f>JULIO!W87+AGOSTO!AM87</f>
        <v>0</v>
      </c>
      <c r="X87" s="271">
        <f>SUM(U87:W87)</f>
        <v>0</v>
      </c>
      <c r="Y87" s="270">
        <f>JULIO!AA87</f>
        <v>0</v>
      </c>
      <c r="Z87" s="208">
        <v>0</v>
      </c>
      <c r="AA87" s="271">
        <f>SUM(Y87:Z87)</f>
        <v>0</v>
      </c>
      <c r="AB87" s="270">
        <f>JULIO!AD87</f>
        <v>0</v>
      </c>
      <c r="AC87" s="208">
        <v>0</v>
      </c>
      <c r="AD87" s="271">
        <f>SUM(AB87:AC87)</f>
        <v>0</v>
      </c>
      <c r="AE87" s="270">
        <f>JULIO!AG87</f>
        <v>0</v>
      </c>
      <c r="AF87" s="208">
        <v>0</v>
      </c>
      <c r="AG87" s="271">
        <f>SUM(AE87:AF87)</f>
        <v>0</v>
      </c>
      <c r="AH87" s="270">
        <f>X87-AA87</f>
        <v>0</v>
      </c>
      <c r="AI87" s="220">
        <f>X87-AD87</f>
        <v>0</v>
      </c>
      <c r="AJ87" s="269">
        <f>X87-AG87</f>
        <v>0</v>
      </c>
      <c r="AK87" s="101"/>
      <c r="AL87" s="204">
        <v>0</v>
      </c>
      <c r="AM87" s="210">
        <v>0</v>
      </c>
    </row>
    <row r="88" spans="1:39" ht="24.75" customHeight="1">
      <c r="A88" s="386" t="str">
        <f>+IF(JUNIO!A88=0,"",JUNIO!A88)</f>
        <v>1.1.02.05.001.08</v>
      </c>
      <c r="B88" s="388" t="str">
        <f>+IF(JULIO!B88=0,"",JULIO!B88)</f>
        <v>Servicios Prestados a las empresas y servicios de produccion</v>
      </c>
      <c r="C88" s="268">
        <f>+ENERO!C88</f>
        <v>0</v>
      </c>
      <c r="D88" s="205">
        <f>JULIO!D88+AGOSTO!P88</f>
        <v>0</v>
      </c>
      <c r="E88" s="205">
        <f>JULIO!E88+AGOSTO!Q88</f>
        <v>2337265046</v>
      </c>
      <c r="F88" s="205">
        <f t="shared" si="84"/>
        <v>2337265046</v>
      </c>
      <c r="G88" s="205">
        <f>JULIO!I88</f>
        <v>2337265046</v>
      </c>
      <c r="H88" s="208">
        <v>0</v>
      </c>
      <c r="I88" s="680">
        <f t="shared" si="85"/>
        <v>2337265046</v>
      </c>
      <c r="J88" s="205">
        <f>JULIO!L88</f>
        <v>2278833420</v>
      </c>
      <c r="K88" s="208">
        <v>0</v>
      </c>
      <c r="L88" s="205">
        <f t="shared" si="86"/>
        <v>2278833420</v>
      </c>
      <c r="M88" s="205">
        <f t="shared" si="87"/>
        <v>0</v>
      </c>
      <c r="N88" s="206">
        <f t="shared" si="88"/>
        <v>58431626</v>
      </c>
      <c r="O88" s="67"/>
      <c r="P88" s="204">
        <v>0</v>
      </c>
      <c r="Q88" s="210">
        <v>0</v>
      </c>
      <c r="R88" s="101"/>
      <c r="S88" s="266" t="str">
        <f>+IF(JULIO!S88=0,"",JULIO!S88)</f>
        <v>2.1.2.02.02.009.99.01</v>
      </c>
      <c r="T88" s="267" t="str">
        <f>+IF(JULIO!T88=0,"",JULIO!T88)</f>
        <v>Vigencias Anteriores</v>
      </c>
      <c r="U88" s="373">
        <f>+ENERO!U88</f>
        <v>8835315700</v>
      </c>
      <c r="V88" s="220">
        <f>JULIO!V88+AGOSTO!AL88</f>
        <v>2062698533</v>
      </c>
      <c r="W88" s="220">
        <f>JULIO!W88+AGOSTO!AM88</f>
        <v>2908182761</v>
      </c>
      <c r="X88" s="271">
        <f>SUM(U88:W88)</f>
        <v>13806196994</v>
      </c>
      <c r="Y88" s="270">
        <f>JULIO!AA88</f>
        <v>13803515450</v>
      </c>
      <c r="Z88" s="208">
        <v>0</v>
      </c>
      <c r="AA88" s="271">
        <f>SUM(Y88:Z88)</f>
        <v>13803515450</v>
      </c>
      <c r="AB88" s="270">
        <f>JULIO!AD88</f>
        <v>13803515450</v>
      </c>
      <c r="AC88" s="208">
        <v>0</v>
      </c>
      <c r="AD88" s="271">
        <f>SUM(AB88:AC88)</f>
        <v>13803515450</v>
      </c>
      <c r="AE88" s="270">
        <f>JULIO!AG88</f>
        <v>13803515450</v>
      </c>
      <c r="AF88" s="208">
        <v>0</v>
      </c>
      <c r="AG88" s="271">
        <f>SUM(AE88:AF88)</f>
        <v>13803515450</v>
      </c>
      <c r="AH88" s="270">
        <f>X88-AA88</f>
        <v>2681544</v>
      </c>
      <c r="AI88" s="220">
        <f>X88-AD88</f>
        <v>2681544</v>
      </c>
      <c r="AJ88" s="269">
        <f>X88-AG88</f>
        <v>2681544</v>
      </c>
      <c r="AK88" s="101"/>
      <c r="AL88" s="204">
        <v>0</v>
      </c>
      <c r="AM88" s="210">
        <v>0</v>
      </c>
    </row>
    <row r="89" spans="1:39" ht="24.75" customHeight="1">
      <c r="A89" s="386" t="str">
        <f>+IF(JULIO!A89=0,"",JULIO!A89)</f>
        <v>1.1.02.05.001.09.02.90.04</v>
      </c>
      <c r="B89" s="388" t="str">
        <f>+IF(JULIO!B89=0,"",JULIO!B89)</f>
        <v>CONVENIOS CON EL DEPARTAMENTO LIGADOS A LA VENTA SERVICIOS</v>
      </c>
      <c r="C89" s="268">
        <f>+ENERO!C89</f>
        <v>0</v>
      </c>
      <c r="D89" s="205">
        <f>JULIO!D89+AGOSTO!P89</f>
        <v>0</v>
      </c>
      <c r="E89" s="205">
        <f>JULIO!E89+AGOSTO!Q89</f>
        <v>9574697797</v>
      </c>
      <c r="F89" s="205">
        <f t="shared" si="84"/>
        <v>9574697797</v>
      </c>
      <c r="G89" s="205">
        <f>JULIO!I89</f>
        <v>2218208529</v>
      </c>
      <c r="H89" s="208">
        <f>2142855568+371768854</f>
        <v>2514624422</v>
      </c>
      <c r="I89" s="205">
        <f t="shared" si="85"/>
        <v>4732832951</v>
      </c>
      <c r="J89" s="205">
        <f>JULIO!L89</f>
        <v>2197204714</v>
      </c>
      <c r="K89" s="208">
        <f>2142855568+368051165</f>
        <v>2510906733</v>
      </c>
      <c r="L89" s="205">
        <f t="shared" si="86"/>
        <v>4708111447</v>
      </c>
      <c r="M89" s="205">
        <f t="shared" si="87"/>
        <v>4841864846</v>
      </c>
      <c r="N89" s="206">
        <f t="shared" si="88"/>
        <v>4866586350</v>
      </c>
      <c r="O89" s="67"/>
      <c r="P89" s="204">
        <v>0</v>
      </c>
      <c r="Q89" s="210">
        <v>0</v>
      </c>
      <c r="R89" s="101"/>
      <c r="S89" s="189" t="str">
        <f>+IF(JULIO!S89=0,"",JULIO!S89)</f>
        <v/>
      </c>
      <c r="T89" s="488" t="str">
        <f>+IF(JULIO!T89=0,"",JULIO!T89)</f>
        <v/>
      </c>
      <c r="U89" s="191"/>
      <c r="V89" s="191"/>
      <c r="W89" s="191"/>
      <c r="X89" s="191"/>
      <c r="Y89" s="191"/>
      <c r="Z89" s="191"/>
      <c r="AA89" s="191"/>
      <c r="AB89" s="191"/>
      <c r="AC89" s="191"/>
      <c r="AD89" s="191"/>
      <c r="AE89" s="191"/>
      <c r="AF89" s="191"/>
      <c r="AG89" s="191"/>
      <c r="AH89" s="191"/>
      <c r="AI89" s="191"/>
      <c r="AJ89" s="192"/>
      <c r="AK89" s="101"/>
      <c r="AL89" s="370"/>
      <c r="AM89" s="371"/>
    </row>
    <row r="90" spans="1:39" ht="24.75" customHeight="1">
      <c r="A90" s="386" t="str">
        <f>+IF(JULIO!A90=0,"",JULIO!A90)</f>
        <v>1.1.02.05.001.09.02.18.03</v>
      </c>
      <c r="B90" s="388" t="str">
        <f>+IF(JULIO!B90=0,"",JULIO!B90)</f>
        <v xml:space="preserve">CONVENIOS CON EL MUNICIPIO LIGADOS A LA VENTA DE SERVICIOS </v>
      </c>
      <c r="C90" s="268">
        <f>+ENERO!C90</f>
        <v>0</v>
      </c>
      <c r="D90" s="205">
        <f>JULIO!D90+AGOSTO!P90</f>
        <v>0</v>
      </c>
      <c r="E90" s="205">
        <f>JULIO!E90+AGOSTO!Q90</f>
        <v>9662757523</v>
      </c>
      <c r="F90" s="205">
        <f t="shared" si="84"/>
        <v>9662757523</v>
      </c>
      <c r="G90" s="205">
        <f>JULIO!I90</f>
        <v>5769719986</v>
      </c>
      <c r="H90" s="208">
        <f>351520000+800000000</f>
        <v>1151520000</v>
      </c>
      <c r="I90" s="205">
        <f t="shared" si="85"/>
        <v>6921239986</v>
      </c>
      <c r="J90" s="205">
        <f>JULIO!L90</f>
        <v>1755157553</v>
      </c>
      <c r="K90" s="208">
        <f>175760000+250000000+166666660</f>
        <v>592426660</v>
      </c>
      <c r="L90" s="205">
        <f t="shared" si="86"/>
        <v>2347584213</v>
      </c>
      <c r="M90" s="205">
        <f t="shared" si="87"/>
        <v>2741517537</v>
      </c>
      <c r="N90" s="206">
        <f t="shared" si="88"/>
        <v>7315173310</v>
      </c>
      <c r="O90" s="67"/>
      <c r="P90" s="204">
        <v>0</v>
      </c>
      <c r="Q90" s="210">
        <v>0</v>
      </c>
      <c r="R90" s="389"/>
      <c r="S90" s="257">
        <f>+IF(JULIO!S90=0,"",JULIO!S90)</f>
        <v>1020300</v>
      </c>
      <c r="T90" s="546" t="str">
        <f>+IF(JULIO!T90=0,"",JULIO!T90)</f>
        <v>Contribuciones Inherentes nómina al Sector Privado</v>
      </c>
      <c r="U90" s="230">
        <f t="shared" ref="U90:AJ90" si="89">U91+U96+U102</f>
        <v>0</v>
      </c>
      <c r="V90" s="231">
        <f t="shared" si="89"/>
        <v>0</v>
      </c>
      <c r="W90" s="231">
        <f t="shared" si="89"/>
        <v>0</v>
      </c>
      <c r="X90" s="234">
        <f t="shared" si="89"/>
        <v>0</v>
      </c>
      <c r="Y90" s="233">
        <f t="shared" si="89"/>
        <v>0</v>
      </c>
      <c r="Z90" s="231">
        <f t="shared" si="89"/>
        <v>0</v>
      </c>
      <c r="AA90" s="234">
        <f t="shared" si="89"/>
        <v>0</v>
      </c>
      <c r="AB90" s="233">
        <f t="shared" si="89"/>
        <v>0</v>
      </c>
      <c r="AC90" s="231">
        <f t="shared" si="89"/>
        <v>0</v>
      </c>
      <c r="AD90" s="234">
        <f t="shared" si="89"/>
        <v>0</v>
      </c>
      <c r="AE90" s="233">
        <f t="shared" si="89"/>
        <v>0</v>
      </c>
      <c r="AF90" s="231">
        <f t="shared" si="89"/>
        <v>0</v>
      </c>
      <c r="AG90" s="234">
        <f t="shared" si="89"/>
        <v>0</v>
      </c>
      <c r="AH90" s="233">
        <f t="shared" si="89"/>
        <v>0</v>
      </c>
      <c r="AI90" s="231">
        <f t="shared" si="89"/>
        <v>0</v>
      </c>
      <c r="AJ90" s="232">
        <f t="shared" si="89"/>
        <v>0</v>
      </c>
      <c r="AK90" s="101"/>
      <c r="AL90" s="233">
        <f>AL91+AL96+AL102</f>
        <v>0</v>
      </c>
      <c r="AM90" s="232">
        <f>AM91+AM96+AM102</f>
        <v>0</v>
      </c>
    </row>
    <row r="91" spans="1:39" ht="24.75" customHeight="1">
      <c r="A91" s="386">
        <f>+IF(JULIO!A91=0,"",JULIO!A91)</f>
        <v>1130206</v>
      </c>
      <c r="B91" s="388" t="str">
        <f>+IF(JULIO!B91=0,"",JULIO!B91)</f>
        <v>OTROS CONVENIOS LIGADOS A LA VENTA DE SERVICIOS</v>
      </c>
      <c r="C91" s="268">
        <f>+ENERO!C91</f>
        <v>0</v>
      </c>
      <c r="D91" s="205">
        <f>JULIO!D91+AGOSTO!P91</f>
        <v>0</v>
      </c>
      <c r="E91" s="205">
        <f>JULIO!E91+AGOSTO!Q91</f>
        <v>0</v>
      </c>
      <c r="F91" s="205">
        <f t="shared" si="84"/>
        <v>0</v>
      </c>
      <c r="G91" s="205">
        <f>JULIO!I91</f>
        <v>0</v>
      </c>
      <c r="H91" s="208">
        <v>0</v>
      </c>
      <c r="I91" s="205">
        <f t="shared" si="85"/>
        <v>0</v>
      </c>
      <c r="J91" s="205">
        <f>JULIO!L91</f>
        <v>0</v>
      </c>
      <c r="K91" s="208">
        <v>0</v>
      </c>
      <c r="L91" s="205">
        <f t="shared" si="86"/>
        <v>0</v>
      </c>
      <c r="M91" s="205">
        <f t="shared" si="87"/>
        <v>0</v>
      </c>
      <c r="N91" s="206">
        <f t="shared" si="88"/>
        <v>0</v>
      </c>
      <c r="O91" s="67"/>
      <c r="P91" s="204">
        <v>0</v>
      </c>
      <c r="Q91" s="210">
        <v>0</v>
      </c>
      <c r="R91" s="389"/>
      <c r="S91" s="266">
        <f>+IF(JULIO!S91=0,"",JULIO!S91)</f>
        <v>1020301</v>
      </c>
      <c r="T91" s="267" t="str">
        <f>+IF(JULIO!T91=0,"",JULIO!T91)</f>
        <v>Contribuciones - SGP - Aportes Patronales - Cuenta Maestra</v>
      </c>
      <c r="U91" s="373">
        <f t="shared" ref="U91:AJ91" si="90">SUM(U92:U95)</f>
        <v>0</v>
      </c>
      <c r="V91" s="220">
        <f t="shared" si="90"/>
        <v>0</v>
      </c>
      <c r="W91" s="220">
        <f t="shared" si="90"/>
        <v>0</v>
      </c>
      <c r="X91" s="271">
        <f t="shared" si="90"/>
        <v>0</v>
      </c>
      <c r="Y91" s="270">
        <f t="shared" si="90"/>
        <v>0</v>
      </c>
      <c r="Z91" s="300">
        <f t="shared" si="90"/>
        <v>0</v>
      </c>
      <c r="AA91" s="271">
        <f t="shared" si="90"/>
        <v>0</v>
      </c>
      <c r="AB91" s="270">
        <f t="shared" si="90"/>
        <v>0</v>
      </c>
      <c r="AC91" s="300">
        <f t="shared" si="90"/>
        <v>0</v>
      </c>
      <c r="AD91" s="271">
        <f t="shared" si="90"/>
        <v>0</v>
      </c>
      <c r="AE91" s="270">
        <f t="shared" si="90"/>
        <v>0</v>
      </c>
      <c r="AF91" s="300">
        <f t="shared" si="90"/>
        <v>0</v>
      </c>
      <c r="AG91" s="271">
        <f t="shared" si="90"/>
        <v>0</v>
      </c>
      <c r="AH91" s="270">
        <f t="shared" si="90"/>
        <v>0</v>
      </c>
      <c r="AI91" s="220">
        <f t="shared" si="90"/>
        <v>0</v>
      </c>
      <c r="AJ91" s="269">
        <f t="shared" si="90"/>
        <v>0</v>
      </c>
      <c r="AK91" s="101"/>
      <c r="AL91" s="301">
        <f>SUM(AL92:AL95)</f>
        <v>0</v>
      </c>
      <c r="AM91" s="302">
        <f>SUM(AM92:AM95)</f>
        <v>0</v>
      </c>
    </row>
    <row r="92" spans="1:39" ht="24.75" customHeight="1" thickBot="1">
      <c r="A92" s="386" t="str">
        <f>+IF(JULIO!A92=0,"",JULIO!A92)</f>
        <v>1.1.02.05.001.09.02.90.05.99</v>
      </c>
      <c r="B92" s="390" t="str">
        <f>+IF(JULIO!B92=0,"",JULIO!B92)</f>
        <v>Vigencia Anterior de Otros Convenios de Salud Nacionales (vacunacion covid-19 agendamiento y aplicación)</v>
      </c>
      <c r="C92" s="391">
        <f>+ENERO!C92</f>
        <v>0</v>
      </c>
      <c r="D92" s="243">
        <f>JULIO!D92+AGOSTO!P92</f>
        <v>0</v>
      </c>
      <c r="E92" s="243">
        <f>JULIO!E92+AGOSTO!Q92</f>
        <v>0</v>
      </c>
      <c r="F92" s="243">
        <f t="shared" si="84"/>
        <v>0</v>
      </c>
      <c r="G92" s="243">
        <f>JULIO!I92</f>
        <v>0</v>
      </c>
      <c r="H92" s="246">
        <v>0</v>
      </c>
      <c r="I92" s="243">
        <f t="shared" si="85"/>
        <v>0</v>
      </c>
      <c r="J92" s="243">
        <f>JULIO!L92</f>
        <v>0</v>
      </c>
      <c r="K92" s="246">
        <v>0</v>
      </c>
      <c r="L92" s="243">
        <f t="shared" si="86"/>
        <v>0</v>
      </c>
      <c r="M92" s="243">
        <f t="shared" si="87"/>
        <v>0</v>
      </c>
      <c r="N92" s="244">
        <f t="shared" si="88"/>
        <v>0</v>
      </c>
      <c r="O92" s="67"/>
      <c r="P92" s="204">
        <v>0</v>
      </c>
      <c r="Q92" s="210">
        <v>0</v>
      </c>
      <c r="R92" s="389"/>
      <c r="S92" s="311" t="str">
        <f>+IF(JULIO!S92=0,"",JULIO!S92)</f>
        <v>1020301-1</v>
      </c>
      <c r="T92" s="312" t="str">
        <f>+IF(JULIO!T92=0,"",JULIO!T92)</f>
        <v>E.P.S. - Aportes cuenta maestra</v>
      </c>
      <c r="U92" s="373">
        <f>+ENERO!U92</f>
        <v>0</v>
      </c>
      <c r="V92" s="220">
        <f>JULIO!V92+AGOSTO!AL92</f>
        <v>0</v>
      </c>
      <c r="W92" s="220">
        <f>JULIO!W92+AGOSTO!AM92</f>
        <v>0</v>
      </c>
      <c r="X92" s="271">
        <f>SUM(U92:W92)</f>
        <v>0</v>
      </c>
      <c r="Y92" s="270">
        <f>JULIO!AA92</f>
        <v>0</v>
      </c>
      <c r="Z92" s="208">
        <v>0</v>
      </c>
      <c r="AA92" s="271">
        <f>SUM(Y92:Z92)</f>
        <v>0</v>
      </c>
      <c r="AB92" s="270">
        <f>JULIO!AD92</f>
        <v>0</v>
      </c>
      <c r="AC92" s="208">
        <v>0</v>
      </c>
      <c r="AD92" s="271">
        <f>SUM(AB92:AC92)</f>
        <v>0</v>
      </c>
      <c r="AE92" s="270">
        <f>JULIO!AG92</f>
        <v>0</v>
      </c>
      <c r="AF92" s="208">
        <v>0</v>
      </c>
      <c r="AG92" s="271">
        <f>SUM(AE92:AF92)</f>
        <v>0</v>
      </c>
      <c r="AH92" s="270">
        <f>X92-AA92</f>
        <v>0</v>
      </c>
      <c r="AI92" s="220">
        <f>X92-AD92</f>
        <v>0</v>
      </c>
      <c r="AJ92" s="269">
        <f>X92-AG92</f>
        <v>0</v>
      </c>
      <c r="AK92" s="101"/>
      <c r="AL92" s="204">
        <v>0</v>
      </c>
      <c r="AM92" s="210">
        <v>0</v>
      </c>
    </row>
    <row r="93" spans="1:39" ht="24.75" customHeight="1" thickBot="1">
      <c r="A93" s="378" t="str">
        <f>+IF(JULIO!A93=0,"",JULIO!A93)</f>
        <v/>
      </c>
      <c r="B93" s="379" t="str">
        <f>+IF(JULIO!B93=0,"",JULIO!B93)</f>
        <v/>
      </c>
      <c r="C93" s="67"/>
      <c r="D93" s="67"/>
      <c r="E93" s="67"/>
      <c r="F93" s="67"/>
      <c r="G93" s="67"/>
      <c r="H93" s="67"/>
      <c r="I93" s="67"/>
      <c r="J93" s="67"/>
      <c r="K93" s="67"/>
      <c r="L93" s="67"/>
      <c r="M93" s="67"/>
      <c r="N93" s="283"/>
      <c r="O93" s="369"/>
      <c r="P93" s="380"/>
      <c r="Q93" s="254"/>
      <c r="R93" s="389"/>
      <c r="S93" s="311" t="str">
        <f>+IF(JULIO!S93=0,"",JULIO!S93)</f>
        <v>1020301-2</v>
      </c>
      <c r="T93" s="312" t="str">
        <f>+IF(JULIO!T93=0,"",JULIO!T93)</f>
        <v>Fondos pensionales - Aportes cuenta maestra</v>
      </c>
      <c r="U93" s="373">
        <f>+ENERO!U93</f>
        <v>0</v>
      </c>
      <c r="V93" s="220">
        <f>JULIO!V93+AGOSTO!AL93</f>
        <v>0</v>
      </c>
      <c r="W93" s="220">
        <f>JULIO!W93+AGOSTO!AM93</f>
        <v>0</v>
      </c>
      <c r="X93" s="271">
        <f>SUM(U93:W93)</f>
        <v>0</v>
      </c>
      <c r="Y93" s="270">
        <f>JULIO!AA93</f>
        <v>0</v>
      </c>
      <c r="Z93" s="208">
        <v>0</v>
      </c>
      <c r="AA93" s="271">
        <f>SUM(Y93:Z93)</f>
        <v>0</v>
      </c>
      <c r="AB93" s="270">
        <f>JULIO!AD93</f>
        <v>0</v>
      </c>
      <c r="AC93" s="208">
        <v>0</v>
      </c>
      <c r="AD93" s="271">
        <f>SUM(AB93:AC93)</f>
        <v>0</v>
      </c>
      <c r="AE93" s="270">
        <f>JULIO!AG93</f>
        <v>0</v>
      </c>
      <c r="AF93" s="208">
        <v>0</v>
      </c>
      <c r="AG93" s="271">
        <f>SUM(AE93:AF93)</f>
        <v>0</v>
      </c>
      <c r="AH93" s="270">
        <f>X93-AA93</f>
        <v>0</v>
      </c>
      <c r="AI93" s="220">
        <f>X93-AD93</f>
        <v>0</v>
      </c>
      <c r="AJ93" s="269">
        <f>X93-AG93</f>
        <v>0</v>
      </c>
      <c r="AK93" s="101"/>
      <c r="AL93" s="204">
        <v>0</v>
      </c>
      <c r="AM93" s="210">
        <v>0</v>
      </c>
    </row>
    <row r="94" spans="1:39" ht="36.75" customHeight="1">
      <c r="A94" s="392" t="str">
        <f>+IF(JULIO!A94=0,"",JULIO!A94)</f>
        <v>1.1.02.06.006.06</v>
      </c>
      <c r="B94" s="393" t="str">
        <f>+IF(JULIO!B94=0,"",JULIO!B94)</f>
        <v>Aportes (No ligados a la venta de servicios de salud)</v>
      </c>
      <c r="C94" s="383">
        <f t="shared" ref="C94:N94" si="91">SUM(C95:C102)</f>
        <v>650000000</v>
      </c>
      <c r="D94" s="384">
        <f t="shared" si="91"/>
        <v>0</v>
      </c>
      <c r="E94" s="384">
        <f t="shared" si="91"/>
        <v>657553400</v>
      </c>
      <c r="F94" s="384">
        <f t="shared" si="91"/>
        <v>1307553400</v>
      </c>
      <c r="G94" s="384">
        <f t="shared" si="91"/>
        <v>1222724784</v>
      </c>
      <c r="H94" s="384">
        <f t="shared" si="91"/>
        <v>291155253</v>
      </c>
      <c r="I94" s="384">
        <f t="shared" si="91"/>
        <v>1513880037</v>
      </c>
      <c r="J94" s="384">
        <f t="shared" si="91"/>
        <v>1222724784</v>
      </c>
      <c r="K94" s="384">
        <f t="shared" si="91"/>
        <v>291155253</v>
      </c>
      <c r="L94" s="384">
        <f t="shared" si="91"/>
        <v>1513880037</v>
      </c>
      <c r="M94" s="384">
        <f t="shared" si="91"/>
        <v>-206326637</v>
      </c>
      <c r="N94" s="385">
        <f t="shared" si="91"/>
        <v>-206326637</v>
      </c>
      <c r="O94" s="67"/>
      <c r="P94" s="288">
        <f>SUM(P95:P102)</f>
        <v>0</v>
      </c>
      <c r="Q94" s="289">
        <f>SUM(Q95:Q102)</f>
        <v>657553400</v>
      </c>
      <c r="R94" s="389"/>
      <c r="S94" s="311" t="str">
        <f>+IF(JULIO!S94=0,"",JULIO!S94)</f>
        <v>1020301-3</v>
      </c>
      <c r="T94" s="312" t="str">
        <f>+IF(JULIO!T94=0,"",JULIO!T94)</f>
        <v>Fondos de cesantías - Aportes cuenta maestra</v>
      </c>
      <c r="U94" s="373">
        <f>+ENERO!U94</f>
        <v>0</v>
      </c>
      <c r="V94" s="220">
        <f>JULIO!V94+AGOSTO!AL94</f>
        <v>0</v>
      </c>
      <c r="W94" s="220">
        <f>JULIO!W94+AGOSTO!AM94</f>
        <v>0</v>
      </c>
      <c r="X94" s="271">
        <f>SUM(U94:W94)</f>
        <v>0</v>
      </c>
      <c r="Y94" s="270">
        <f>JULIO!AA94</f>
        <v>0</v>
      </c>
      <c r="Z94" s="208">
        <v>0</v>
      </c>
      <c r="AA94" s="271">
        <f>SUM(Y94:Z94)</f>
        <v>0</v>
      </c>
      <c r="AB94" s="270">
        <f>JULIO!AD94</f>
        <v>0</v>
      </c>
      <c r="AC94" s="208">
        <v>0</v>
      </c>
      <c r="AD94" s="271">
        <f>SUM(AB94:AC94)</f>
        <v>0</v>
      </c>
      <c r="AE94" s="270">
        <f>JULIO!AG94</f>
        <v>0</v>
      </c>
      <c r="AF94" s="208">
        <v>0</v>
      </c>
      <c r="AG94" s="271">
        <f>SUM(AE94:AF94)</f>
        <v>0</v>
      </c>
      <c r="AH94" s="270">
        <f>X94-AA94</f>
        <v>0</v>
      </c>
      <c r="AI94" s="220">
        <f>X94-AD94</f>
        <v>0</v>
      </c>
      <c r="AJ94" s="269">
        <f>X94-AG94</f>
        <v>0</v>
      </c>
      <c r="AK94" s="101"/>
      <c r="AL94" s="204">
        <v>0</v>
      </c>
      <c r="AM94" s="210">
        <v>0</v>
      </c>
    </row>
    <row r="95" spans="1:39" ht="24.75" customHeight="1">
      <c r="A95" s="394" t="str">
        <f>+IF(JULIO!A95=0,"",JULIO!A95)</f>
        <v>1.2.08.06.002</v>
      </c>
      <c r="B95" s="397" t="str">
        <f>+IF(JULIO!B95=0,"",JULIO!B95)</f>
        <v>Condicionadas a la adquisicion de un activo</v>
      </c>
      <c r="C95" s="268">
        <f>+ENERO!C95</f>
        <v>0</v>
      </c>
      <c r="D95" s="205">
        <f>JULIO!D95+AGOSTO!P95</f>
        <v>0</v>
      </c>
      <c r="E95" s="205">
        <f>JULIO!E95+AGOSTO!Q95</f>
        <v>0</v>
      </c>
      <c r="F95" s="205">
        <f t="shared" ref="F95:F102" si="92">SUM(C95:E95)</f>
        <v>0</v>
      </c>
      <c r="G95" s="205">
        <f>JULIO!I95</f>
        <v>0</v>
      </c>
      <c r="H95" s="208"/>
      <c r="I95" s="205">
        <f t="shared" ref="I95:I102" si="93">SUM(G95:H95)</f>
        <v>0</v>
      </c>
      <c r="J95" s="205">
        <f>JULIO!L95</f>
        <v>0</v>
      </c>
      <c r="K95" s="208"/>
      <c r="L95" s="205">
        <f t="shared" ref="L95:L102" si="94">SUM(J95:K95)</f>
        <v>0</v>
      </c>
      <c r="M95" s="205">
        <f t="shared" ref="M95:M102" si="95">F95-I95</f>
        <v>0</v>
      </c>
      <c r="N95" s="206">
        <f t="shared" ref="N95:N102" si="96">F95-L95</f>
        <v>0</v>
      </c>
      <c r="O95" s="67"/>
      <c r="P95" s="204">
        <v>0</v>
      </c>
      <c r="Q95" s="210"/>
      <c r="R95" s="389"/>
      <c r="S95" s="311" t="str">
        <f>+IF(JULIO!S95=0,"",JULIO!S95)</f>
        <v>1020301-4</v>
      </c>
      <c r="T95" s="312" t="str">
        <f>+IF(JULIO!T95=0,"",JULIO!T95)</f>
        <v>Riesgos laborales - Aportes cuenta maestra</v>
      </c>
      <c r="U95" s="373">
        <f>+ENERO!U95</f>
        <v>0</v>
      </c>
      <c r="V95" s="220">
        <f>JULIO!V95+AGOSTO!AL95</f>
        <v>0</v>
      </c>
      <c r="W95" s="220">
        <f>JULIO!W95+AGOSTO!AM95</f>
        <v>0</v>
      </c>
      <c r="X95" s="271">
        <f>SUM(U95:W95)</f>
        <v>0</v>
      </c>
      <c r="Y95" s="270">
        <f>JULIO!AA95</f>
        <v>0</v>
      </c>
      <c r="Z95" s="208">
        <v>0</v>
      </c>
      <c r="AA95" s="271">
        <f>SUM(Y95:Z95)</f>
        <v>0</v>
      </c>
      <c r="AB95" s="270">
        <f>JULIO!AD95</f>
        <v>0</v>
      </c>
      <c r="AC95" s="208">
        <v>0</v>
      </c>
      <c r="AD95" s="271">
        <f>SUM(AB95:AC95)</f>
        <v>0</v>
      </c>
      <c r="AE95" s="270">
        <f>JULIO!AG95</f>
        <v>0</v>
      </c>
      <c r="AF95" s="208">
        <v>0</v>
      </c>
      <c r="AG95" s="271">
        <f>SUM(AE95:AF95)</f>
        <v>0</v>
      </c>
      <c r="AH95" s="270">
        <f>X95-AA95</f>
        <v>0</v>
      </c>
      <c r="AI95" s="220">
        <f>X95-AD95</f>
        <v>0</v>
      </c>
      <c r="AJ95" s="269">
        <f>X95-AG95</f>
        <v>0</v>
      </c>
      <c r="AK95" s="101"/>
      <c r="AL95" s="204">
        <v>0</v>
      </c>
      <c r="AM95" s="210">
        <v>0</v>
      </c>
    </row>
    <row r="96" spans="1:39" ht="24.75" customHeight="1">
      <c r="A96" s="394" t="s">
        <v>674</v>
      </c>
      <c r="B96" s="397" t="s">
        <v>694</v>
      </c>
      <c r="C96" s="268">
        <f>+ENERO!C96</f>
        <v>0</v>
      </c>
      <c r="D96" s="205">
        <f>JULIO!D96+AGOSTO!P96</f>
        <v>0</v>
      </c>
      <c r="E96" s="205">
        <f>JULIO!E96+AGOSTO!Q96</f>
        <v>0</v>
      </c>
      <c r="F96" s="205">
        <f t="shared" si="92"/>
        <v>0</v>
      </c>
      <c r="G96" s="205">
        <f>JULIO!I96</f>
        <v>0</v>
      </c>
      <c r="H96" s="208"/>
      <c r="I96" s="205">
        <f t="shared" si="93"/>
        <v>0</v>
      </c>
      <c r="J96" s="205">
        <f>JULIO!L96</f>
        <v>0</v>
      </c>
      <c r="K96" s="208"/>
      <c r="L96" s="205">
        <f t="shared" si="94"/>
        <v>0</v>
      </c>
      <c r="M96" s="205">
        <f t="shared" si="95"/>
        <v>0</v>
      </c>
      <c r="N96" s="206">
        <f t="shared" si="96"/>
        <v>0</v>
      </c>
      <c r="O96" s="67"/>
      <c r="P96" s="204">
        <v>0</v>
      </c>
      <c r="Q96" s="210"/>
      <c r="R96" s="389"/>
      <c r="S96" s="266">
        <f>+IF(JULIO!S96=0,"",JULIO!S96)</f>
        <v>1020302</v>
      </c>
      <c r="T96" s="267" t="str">
        <f>+IF(JULIO!T96=0,"",JULIO!T96)</f>
        <v>Contribuciones - Otros</v>
      </c>
      <c r="U96" s="373">
        <f t="shared" ref="U96:AJ96" si="97">SUM(U97:U101)</f>
        <v>0</v>
      </c>
      <c r="V96" s="220">
        <f t="shared" si="97"/>
        <v>0</v>
      </c>
      <c r="W96" s="220">
        <f t="shared" si="97"/>
        <v>0</v>
      </c>
      <c r="X96" s="271">
        <f t="shared" si="97"/>
        <v>0</v>
      </c>
      <c r="Y96" s="270">
        <f t="shared" si="97"/>
        <v>0</v>
      </c>
      <c r="Z96" s="300">
        <f t="shared" si="97"/>
        <v>0</v>
      </c>
      <c r="AA96" s="271">
        <f t="shared" si="97"/>
        <v>0</v>
      </c>
      <c r="AB96" s="270">
        <f t="shared" si="97"/>
        <v>0</v>
      </c>
      <c r="AC96" s="300">
        <f t="shared" si="97"/>
        <v>0</v>
      </c>
      <c r="AD96" s="271">
        <f t="shared" si="97"/>
        <v>0</v>
      </c>
      <c r="AE96" s="270">
        <f t="shared" si="97"/>
        <v>0</v>
      </c>
      <c r="AF96" s="300">
        <f t="shared" si="97"/>
        <v>0</v>
      </c>
      <c r="AG96" s="271">
        <f t="shared" si="97"/>
        <v>0</v>
      </c>
      <c r="AH96" s="270">
        <f t="shared" si="97"/>
        <v>0</v>
      </c>
      <c r="AI96" s="220">
        <f t="shared" si="97"/>
        <v>0</v>
      </c>
      <c r="AJ96" s="269">
        <f t="shared" si="97"/>
        <v>0</v>
      </c>
      <c r="AK96" s="389"/>
      <c r="AL96" s="395">
        <f>SUM(AL97:AL101)</f>
        <v>0</v>
      </c>
      <c r="AM96" s="396">
        <f>SUM(AM97:AM101)</f>
        <v>0</v>
      </c>
    </row>
    <row r="97" spans="1:39" ht="24.75" customHeight="1">
      <c r="A97" s="394" t="s">
        <v>695</v>
      </c>
      <c r="B97" s="397" t="s">
        <v>696</v>
      </c>
      <c r="C97" s="268">
        <f>+ENERO!C97</f>
        <v>0</v>
      </c>
      <c r="D97" s="205">
        <f>JULIO!D97+AGOSTO!P97</f>
        <v>0</v>
      </c>
      <c r="E97" s="205">
        <f>JULIO!E97+AGOSTO!Q97</f>
        <v>0</v>
      </c>
      <c r="F97" s="205">
        <f t="shared" si="92"/>
        <v>0</v>
      </c>
      <c r="G97" s="205">
        <f>JULIO!I97</f>
        <v>0</v>
      </c>
      <c r="H97" s="208"/>
      <c r="I97" s="205">
        <f t="shared" si="93"/>
        <v>0</v>
      </c>
      <c r="J97" s="205">
        <f>JULIO!L97</f>
        <v>0</v>
      </c>
      <c r="K97" s="208"/>
      <c r="L97" s="205">
        <f t="shared" si="94"/>
        <v>0</v>
      </c>
      <c r="M97" s="205">
        <f t="shared" si="95"/>
        <v>0</v>
      </c>
      <c r="N97" s="206">
        <f t="shared" si="96"/>
        <v>0</v>
      </c>
      <c r="O97" s="67"/>
      <c r="P97" s="204">
        <v>0</v>
      </c>
      <c r="Q97" s="210"/>
      <c r="R97" s="389"/>
      <c r="S97" s="311" t="str">
        <f>+IF(JULIO!S97=0,"",JULIO!S97)</f>
        <v>2.1.1.01.02.002-1</v>
      </c>
      <c r="T97" s="312" t="str">
        <f>+IF(JULIO!T97=0,"",JULIO!T97)</f>
        <v>Aportes a E.P.S. - recursos propios</v>
      </c>
      <c r="U97" s="373">
        <f>+ENERO!U97</f>
        <v>0</v>
      </c>
      <c r="V97" s="220">
        <f>JULIO!V97+AGOSTO!AL97</f>
        <v>0</v>
      </c>
      <c r="W97" s="220">
        <f>JULIO!W97+AGOSTO!AM97</f>
        <v>0</v>
      </c>
      <c r="X97" s="271">
        <f t="shared" ref="X97:X102" si="98">SUM(U97:W97)</f>
        <v>0</v>
      </c>
      <c r="Y97" s="270">
        <f>JULIO!AA97</f>
        <v>0</v>
      </c>
      <c r="Z97" s="208">
        <v>0</v>
      </c>
      <c r="AA97" s="271">
        <f t="shared" ref="AA97:AA102" si="99">SUM(Y97:Z97)</f>
        <v>0</v>
      </c>
      <c r="AB97" s="270">
        <f>JULIO!AD97</f>
        <v>0</v>
      </c>
      <c r="AC97" s="208">
        <v>0</v>
      </c>
      <c r="AD97" s="271">
        <f t="shared" ref="AD97:AD102" si="100">SUM(AB97:AC97)</f>
        <v>0</v>
      </c>
      <c r="AE97" s="270">
        <f>JULIO!AG97</f>
        <v>0</v>
      </c>
      <c r="AF97" s="208">
        <v>0</v>
      </c>
      <c r="AG97" s="271">
        <f t="shared" ref="AG97:AG102" si="101">SUM(AE97:AF97)</f>
        <v>0</v>
      </c>
      <c r="AH97" s="270">
        <f t="shared" ref="AH97:AH102" si="102">X97-AA97</f>
        <v>0</v>
      </c>
      <c r="AI97" s="220">
        <f t="shared" ref="AI97:AI102" si="103">X97-AD97</f>
        <v>0</v>
      </c>
      <c r="AJ97" s="269">
        <f t="shared" ref="AJ97:AJ102" si="104">X97-AG97</f>
        <v>0</v>
      </c>
      <c r="AK97" s="389"/>
      <c r="AL97" s="204">
        <v>0</v>
      </c>
      <c r="AM97" s="210">
        <v>0</v>
      </c>
    </row>
    <row r="98" spans="1:39" ht="24.75" customHeight="1">
      <c r="A98" s="394" t="str">
        <f>+IF(JULIO!A98=0,"",JULIO!A98)</f>
        <v>1.1.02.06.007.02.08</v>
      </c>
      <c r="B98" s="397" t="str">
        <f>+IF(JULIO!B98=0,"",JULIO!B98)</f>
        <v>Transferencias para las Empresas Sociales del Estado</v>
      </c>
      <c r="C98" s="268">
        <f>+ENERO!C98</f>
        <v>0</v>
      </c>
      <c r="D98" s="205">
        <f>JULIO!D98+AGOSTO!P98</f>
        <v>0</v>
      </c>
      <c r="E98" s="205">
        <f>JULIO!E98+AGOSTO!Q98</f>
        <v>657553400</v>
      </c>
      <c r="F98" s="205">
        <f t="shared" si="92"/>
        <v>657553400</v>
      </c>
      <c r="G98" s="205">
        <f>JULIO!I98</f>
        <v>657553400</v>
      </c>
      <c r="H98" s="208">
        <v>0</v>
      </c>
      <c r="I98" s="205">
        <f t="shared" si="93"/>
        <v>657553400</v>
      </c>
      <c r="J98" s="205">
        <f>JULIO!L98</f>
        <v>657553400</v>
      </c>
      <c r="K98" s="208">
        <v>0</v>
      </c>
      <c r="L98" s="205">
        <f t="shared" si="94"/>
        <v>657553400</v>
      </c>
      <c r="M98" s="205">
        <f t="shared" si="95"/>
        <v>0</v>
      </c>
      <c r="N98" s="206">
        <f t="shared" si="96"/>
        <v>0</v>
      </c>
      <c r="O98" s="67"/>
      <c r="P98" s="204">
        <v>0</v>
      </c>
      <c r="Q98" s="210">
        <v>657553400</v>
      </c>
      <c r="R98" s="389"/>
      <c r="S98" s="311" t="str">
        <f>+IF(JULIO!S98=0,"",JULIO!S98)</f>
        <v>2.1.1.01.02.001-1</v>
      </c>
      <c r="T98" s="312" t="str">
        <f>+IF(JULIO!T98=0,"",JULIO!T98)</f>
        <v>Aportes Fondos Pensionales - recursos propios</v>
      </c>
      <c r="U98" s="373">
        <f>+ENERO!U98</f>
        <v>0</v>
      </c>
      <c r="V98" s="220">
        <f>JULIO!V98+AGOSTO!AL98</f>
        <v>0</v>
      </c>
      <c r="W98" s="220">
        <f>JULIO!W98+AGOSTO!AM98</f>
        <v>0</v>
      </c>
      <c r="X98" s="271">
        <f t="shared" si="98"/>
        <v>0</v>
      </c>
      <c r="Y98" s="270">
        <f>JULIO!AA98</f>
        <v>0</v>
      </c>
      <c r="Z98" s="208">
        <v>0</v>
      </c>
      <c r="AA98" s="271">
        <f t="shared" si="99"/>
        <v>0</v>
      </c>
      <c r="AB98" s="270">
        <f>JULIO!AD98</f>
        <v>0</v>
      </c>
      <c r="AC98" s="208">
        <v>0</v>
      </c>
      <c r="AD98" s="271">
        <f t="shared" si="100"/>
        <v>0</v>
      </c>
      <c r="AE98" s="270">
        <f>JULIO!AG98</f>
        <v>0</v>
      </c>
      <c r="AF98" s="208">
        <v>0</v>
      </c>
      <c r="AG98" s="271">
        <f t="shared" si="101"/>
        <v>0</v>
      </c>
      <c r="AH98" s="270">
        <f t="shared" si="102"/>
        <v>0</v>
      </c>
      <c r="AI98" s="220">
        <f t="shared" si="103"/>
        <v>0</v>
      </c>
      <c r="AJ98" s="269">
        <f t="shared" si="104"/>
        <v>0</v>
      </c>
      <c r="AK98" s="389"/>
      <c r="AL98" s="204">
        <v>0</v>
      </c>
      <c r="AM98" s="210">
        <v>0</v>
      </c>
    </row>
    <row r="99" spans="1:39" ht="24.75" customHeight="1">
      <c r="A99" s="394" t="str">
        <f>+IF(JULIO!A99=0,"",JULIO!A99)</f>
        <v>11303-5</v>
      </c>
      <c r="B99" s="397" t="str">
        <f>+IF(JULIO!B99=0,"",JULIO!B99)</f>
        <v>RECURSOS PARA PROGRAMA DE SANEAMIENTO FINANCIERO</v>
      </c>
      <c r="C99" s="268">
        <f>+ENERO!C99</f>
        <v>0</v>
      </c>
      <c r="D99" s="205">
        <f>JULIO!D99+AGOSTO!P99</f>
        <v>0</v>
      </c>
      <c r="E99" s="205">
        <f>JULIO!E99+AGOSTO!Q99</f>
        <v>0</v>
      </c>
      <c r="F99" s="205">
        <f t="shared" si="92"/>
        <v>0</v>
      </c>
      <c r="G99" s="205">
        <f>JULIO!I99</f>
        <v>0</v>
      </c>
      <c r="H99" s="208">
        <v>0</v>
      </c>
      <c r="I99" s="205">
        <f t="shared" si="93"/>
        <v>0</v>
      </c>
      <c r="J99" s="205">
        <f>JULIO!L99</f>
        <v>0</v>
      </c>
      <c r="K99" s="208">
        <v>0</v>
      </c>
      <c r="L99" s="205">
        <f t="shared" si="94"/>
        <v>0</v>
      </c>
      <c r="M99" s="205">
        <f t="shared" si="95"/>
        <v>0</v>
      </c>
      <c r="N99" s="206">
        <f t="shared" si="96"/>
        <v>0</v>
      </c>
      <c r="O99" s="67"/>
      <c r="P99" s="204">
        <v>0</v>
      </c>
      <c r="Q99" s="210">
        <v>0</v>
      </c>
      <c r="R99" s="389"/>
      <c r="S99" s="311" t="str">
        <f>+IF(JULIO!S99=0,"",JULIO!S99)</f>
        <v>2.1.1.01.02.003-1</v>
      </c>
      <c r="T99" s="312" t="str">
        <f>+IF(JULIO!T99=0,"",JULIO!T99)</f>
        <v>Aportes a Fondos de Cesantia - recursos propios</v>
      </c>
      <c r="U99" s="373">
        <f>+ENERO!U99</f>
        <v>0</v>
      </c>
      <c r="V99" s="220">
        <f>JULIO!V99+AGOSTO!AL99</f>
        <v>0</v>
      </c>
      <c r="W99" s="220">
        <f>JULIO!W99+AGOSTO!AM99</f>
        <v>0</v>
      </c>
      <c r="X99" s="271">
        <f t="shared" si="98"/>
        <v>0</v>
      </c>
      <c r="Y99" s="270">
        <f>JULIO!AA99</f>
        <v>0</v>
      </c>
      <c r="Z99" s="208">
        <v>0</v>
      </c>
      <c r="AA99" s="271">
        <f t="shared" si="99"/>
        <v>0</v>
      </c>
      <c r="AB99" s="270">
        <f>JULIO!AD99</f>
        <v>0</v>
      </c>
      <c r="AC99" s="208">
        <v>0</v>
      </c>
      <c r="AD99" s="271">
        <f t="shared" si="100"/>
        <v>0</v>
      </c>
      <c r="AE99" s="270">
        <f>JULIO!AG99</f>
        <v>0</v>
      </c>
      <c r="AF99" s="208">
        <v>0</v>
      </c>
      <c r="AG99" s="271">
        <f t="shared" si="101"/>
        <v>0</v>
      </c>
      <c r="AH99" s="270">
        <f t="shared" si="102"/>
        <v>0</v>
      </c>
      <c r="AI99" s="220">
        <f t="shared" si="103"/>
        <v>0</v>
      </c>
      <c r="AJ99" s="269">
        <f t="shared" si="104"/>
        <v>0</v>
      </c>
      <c r="AK99" s="389"/>
      <c r="AL99" s="204">
        <v>0</v>
      </c>
      <c r="AM99" s="210">
        <v>0</v>
      </c>
    </row>
    <row r="100" spans="1:39" ht="24.75" customHeight="1">
      <c r="A100" s="394" t="str">
        <f>+IF(JULIO!A100=0,"",JULIO!A100)</f>
        <v>1.1.02.06.006.07</v>
      </c>
      <c r="B100" s="397" t="str">
        <f>+IF(JULIO!B100=0,"",JULIO!B100)</f>
        <v>ESTAMPILLA PROHOSPITALES</v>
      </c>
      <c r="C100" s="268">
        <f>+ENERO!C100</f>
        <v>650000000</v>
      </c>
      <c r="D100" s="205">
        <f>JULIO!D100+AGOSTO!P100</f>
        <v>0</v>
      </c>
      <c r="E100" s="205">
        <f>JULIO!E100+AGOSTO!Q100</f>
        <v>0</v>
      </c>
      <c r="F100" s="205">
        <f t="shared" si="92"/>
        <v>650000000</v>
      </c>
      <c r="G100" s="205">
        <f>JULIO!I100</f>
        <v>565171384</v>
      </c>
      <c r="H100" s="208">
        <v>291155253</v>
      </c>
      <c r="I100" s="205">
        <f t="shared" si="93"/>
        <v>856326637</v>
      </c>
      <c r="J100" s="205">
        <f>JULIO!L100</f>
        <v>565171384</v>
      </c>
      <c r="K100" s="208">
        <v>291155253</v>
      </c>
      <c r="L100" s="205">
        <f t="shared" si="94"/>
        <v>856326637</v>
      </c>
      <c r="M100" s="205">
        <f t="shared" si="95"/>
        <v>-206326637</v>
      </c>
      <c r="N100" s="206">
        <f t="shared" si="96"/>
        <v>-206326637</v>
      </c>
      <c r="O100" s="67"/>
      <c r="P100" s="204">
        <v>0</v>
      </c>
      <c r="Q100" s="210">
        <v>0</v>
      </c>
      <c r="R100" s="101"/>
      <c r="S100" s="311" t="str">
        <f>+IF(JULIO!S100=0,"",JULIO!S100)</f>
        <v>2.1.1.01.02.005-1</v>
      </c>
      <c r="T100" s="312" t="str">
        <f>+IF(JULIO!T100=0,"",JULIO!T100)</f>
        <v>Aporte a ARL. - recursos propios</v>
      </c>
      <c r="U100" s="373">
        <f>+ENERO!U100</f>
        <v>0</v>
      </c>
      <c r="V100" s="220">
        <f>JULIO!V100+AGOSTO!AL100</f>
        <v>0</v>
      </c>
      <c r="W100" s="220">
        <f>JULIO!W100+AGOSTO!AM100</f>
        <v>0</v>
      </c>
      <c r="X100" s="271">
        <f t="shared" si="98"/>
        <v>0</v>
      </c>
      <c r="Y100" s="270">
        <f>JULIO!AA100</f>
        <v>0</v>
      </c>
      <c r="Z100" s="208">
        <v>0</v>
      </c>
      <c r="AA100" s="271">
        <f t="shared" si="99"/>
        <v>0</v>
      </c>
      <c r="AB100" s="270">
        <f>JULIO!AD100</f>
        <v>0</v>
      </c>
      <c r="AC100" s="208">
        <v>0</v>
      </c>
      <c r="AD100" s="271">
        <f t="shared" si="100"/>
        <v>0</v>
      </c>
      <c r="AE100" s="270">
        <f>JULIO!AG100</f>
        <v>0</v>
      </c>
      <c r="AF100" s="208">
        <v>0</v>
      </c>
      <c r="AG100" s="271">
        <f t="shared" si="101"/>
        <v>0</v>
      </c>
      <c r="AH100" s="270">
        <f t="shared" si="102"/>
        <v>0</v>
      </c>
      <c r="AI100" s="220">
        <f t="shared" si="103"/>
        <v>0</v>
      </c>
      <c r="AJ100" s="269">
        <f t="shared" si="104"/>
        <v>0</v>
      </c>
      <c r="AK100" s="389"/>
      <c r="AL100" s="204">
        <v>0</v>
      </c>
      <c r="AM100" s="210">
        <v>0</v>
      </c>
    </row>
    <row r="101" spans="1:39" ht="24.75" customHeight="1">
      <c r="A101" s="394" t="str">
        <f>+IF(JULIO!A101=0,"",JULIO!A101)</f>
        <v>11303-7</v>
      </c>
      <c r="B101" s="397" t="str">
        <f>+IF(JULIO!B101=0,"",JULIO!B101)</f>
        <v>SUBSIDIO A LA OFERTA (ART. 2.4.2.6 DECRETO 268 DE 2020)</v>
      </c>
      <c r="C101" s="268">
        <f>+ENERO!C101</f>
        <v>0</v>
      </c>
      <c r="D101" s="205">
        <f>JULIO!D101+AGOSTO!P101</f>
        <v>0</v>
      </c>
      <c r="E101" s="205">
        <f>JULIO!E101+AGOSTO!Q101</f>
        <v>0</v>
      </c>
      <c r="F101" s="205">
        <f t="shared" si="92"/>
        <v>0</v>
      </c>
      <c r="G101" s="205">
        <f>JULIO!I101</f>
        <v>0</v>
      </c>
      <c r="H101" s="208">
        <v>0</v>
      </c>
      <c r="I101" s="205">
        <f t="shared" si="93"/>
        <v>0</v>
      </c>
      <c r="J101" s="205">
        <f>JULIO!L101</f>
        <v>0</v>
      </c>
      <c r="K101" s="208">
        <v>0</v>
      </c>
      <c r="L101" s="205">
        <f t="shared" si="94"/>
        <v>0</v>
      </c>
      <c r="M101" s="205">
        <f t="shared" si="95"/>
        <v>0</v>
      </c>
      <c r="N101" s="206">
        <f t="shared" si="96"/>
        <v>0</v>
      </c>
      <c r="O101" s="67"/>
      <c r="P101" s="204">
        <v>0</v>
      </c>
      <c r="Q101" s="210">
        <v>0</v>
      </c>
      <c r="R101" s="101"/>
      <c r="S101" s="311" t="str">
        <f>+IF(JULIO!S101=0,"",JULIO!S101)</f>
        <v>2.1.1.01.02.004-1</v>
      </c>
      <c r="T101" s="312" t="str">
        <f>+IF(JULIO!T101=0,"",JULIO!T101)</f>
        <v>Aporte a Caja Compensación Familiar</v>
      </c>
      <c r="U101" s="373">
        <f>+ENERO!U101</f>
        <v>0</v>
      </c>
      <c r="V101" s="220">
        <f>JULIO!V101+AGOSTO!AL101</f>
        <v>0</v>
      </c>
      <c r="W101" s="220">
        <f>JULIO!W101+AGOSTO!AM101</f>
        <v>0</v>
      </c>
      <c r="X101" s="271">
        <f t="shared" si="98"/>
        <v>0</v>
      </c>
      <c r="Y101" s="270">
        <f>JULIO!AA101</f>
        <v>0</v>
      </c>
      <c r="Z101" s="208">
        <v>0</v>
      </c>
      <c r="AA101" s="271">
        <f t="shared" si="99"/>
        <v>0</v>
      </c>
      <c r="AB101" s="270">
        <f>JULIO!AD101</f>
        <v>0</v>
      </c>
      <c r="AC101" s="208">
        <v>0</v>
      </c>
      <c r="AD101" s="271">
        <f t="shared" si="100"/>
        <v>0</v>
      </c>
      <c r="AE101" s="270">
        <f>JULIO!AG101</f>
        <v>0</v>
      </c>
      <c r="AF101" s="208">
        <v>0</v>
      </c>
      <c r="AG101" s="271">
        <f t="shared" si="101"/>
        <v>0</v>
      </c>
      <c r="AH101" s="270">
        <f t="shared" si="102"/>
        <v>0</v>
      </c>
      <c r="AI101" s="220">
        <f t="shared" si="103"/>
        <v>0</v>
      </c>
      <c r="AJ101" s="269">
        <f t="shared" si="104"/>
        <v>0</v>
      </c>
      <c r="AK101" s="389"/>
      <c r="AL101" s="204">
        <v>0</v>
      </c>
      <c r="AM101" s="210">
        <v>0</v>
      </c>
    </row>
    <row r="102" spans="1:39" ht="24.75" customHeight="1" thickBot="1">
      <c r="A102" s="394" t="str">
        <f>+IF(JULIO!A102=0,"",JULIO!A102)</f>
        <v>1.1.02.06.006.07.99</v>
      </c>
      <c r="B102" s="390" t="str">
        <f>+IF(JULIO!B102=0,"",JULIO!B102)</f>
        <v>Vigencia Anterior estampilla</v>
      </c>
      <c r="C102" s="391">
        <f>+ENERO!C102</f>
        <v>0</v>
      </c>
      <c r="D102" s="243">
        <f>JULIO!D102+AGOSTO!P102</f>
        <v>0</v>
      </c>
      <c r="E102" s="243">
        <f>JULIO!E102+AGOSTO!Q102</f>
        <v>0</v>
      </c>
      <c r="F102" s="243">
        <f t="shared" si="92"/>
        <v>0</v>
      </c>
      <c r="G102" s="243">
        <f>JULIO!I102</f>
        <v>0</v>
      </c>
      <c r="H102" s="246">
        <v>0</v>
      </c>
      <c r="I102" s="243">
        <f t="shared" si="93"/>
        <v>0</v>
      </c>
      <c r="J102" s="243">
        <f>JULIO!L102</f>
        <v>0</v>
      </c>
      <c r="K102" s="246">
        <v>0</v>
      </c>
      <c r="L102" s="243">
        <f t="shared" si="94"/>
        <v>0</v>
      </c>
      <c r="M102" s="243">
        <f t="shared" si="95"/>
        <v>0</v>
      </c>
      <c r="N102" s="244">
        <f t="shared" si="96"/>
        <v>0</v>
      </c>
      <c r="O102" s="67"/>
      <c r="P102" s="204">
        <v>0</v>
      </c>
      <c r="Q102" s="210">
        <v>0</v>
      </c>
      <c r="R102" s="101"/>
      <c r="S102" s="266">
        <f>+IF(JULIO!S102=0,"",JULIO!S102)</f>
        <v>1020399</v>
      </c>
      <c r="T102" s="267" t="str">
        <f>+IF(JULIO!T102=0,"",JULIO!T102)</f>
        <v>Vigencias Anteriores</v>
      </c>
      <c r="U102" s="373">
        <f>+ENERO!U102</f>
        <v>0</v>
      </c>
      <c r="V102" s="220">
        <f>JULIO!V102+AGOSTO!AL102</f>
        <v>0</v>
      </c>
      <c r="W102" s="220">
        <f>JULIO!W102+AGOSTO!AM102</f>
        <v>0</v>
      </c>
      <c r="X102" s="271">
        <f t="shared" si="98"/>
        <v>0</v>
      </c>
      <c r="Y102" s="270">
        <f>JULIO!AA102</f>
        <v>0</v>
      </c>
      <c r="Z102" s="208">
        <v>0</v>
      </c>
      <c r="AA102" s="271">
        <f t="shared" si="99"/>
        <v>0</v>
      </c>
      <c r="AB102" s="270">
        <f>JULIO!AD102</f>
        <v>0</v>
      </c>
      <c r="AC102" s="208">
        <v>0</v>
      </c>
      <c r="AD102" s="271">
        <f t="shared" si="100"/>
        <v>0</v>
      </c>
      <c r="AE102" s="270">
        <f>JULIO!AG102</f>
        <v>0</v>
      </c>
      <c r="AF102" s="208">
        <v>0</v>
      </c>
      <c r="AG102" s="271">
        <f t="shared" si="101"/>
        <v>0</v>
      </c>
      <c r="AH102" s="270">
        <f t="shared" si="102"/>
        <v>0</v>
      </c>
      <c r="AI102" s="220">
        <f t="shared" si="103"/>
        <v>0</v>
      </c>
      <c r="AJ102" s="269">
        <f t="shared" si="104"/>
        <v>0</v>
      </c>
      <c r="AK102" s="101"/>
      <c r="AL102" s="204">
        <v>0</v>
      </c>
      <c r="AM102" s="210">
        <v>0</v>
      </c>
    </row>
    <row r="103" spans="1:39" ht="24.75" customHeight="1" thickBot="1">
      <c r="A103" s="398" t="str">
        <f>+IF(JULIO!A103=0,"",JULIO!A103)</f>
        <v/>
      </c>
      <c r="B103" s="399" t="str">
        <f>+IF(JULIO!B103=0,"",JULIO!B103)</f>
        <v/>
      </c>
      <c r="C103" s="400"/>
      <c r="D103" s="400"/>
      <c r="E103" s="400"/>
      <c r="F103" s="400"/>
      <c r="G103" s="400"/>
      <c r="H103" s="400"/>
      <c r="I103" s="400"/>
      <c r="J103" s="400"/>
      <c r="K103" s="400"/>
      <c r="L103" s="400"/>
      <c r="M103" s="400"/>
      <c r="N103" s="401"/>
      <c r="O103" s="67"/>
      <c r="P103" s="402"/>
      <c r="Q103" s="401"/>
      <c r="R103" s="101"/>
      <c r="S103" s="189" t="str">
        <f>+IF(JULIO!S103=0,"",JULIO!S103)</f>
        <v/>
      </c>
      <c r="T103" s="488" t="str">
        <f>+IF(JULIO!T103=0,"",JULIO!T103)</f>
        <v/>
      </c>
      <c r="U103" s="191"/>
      <c r="V103" s="191"/>
      <c r="W103" s="191"/>
      <c r="X103" s="191"/>
      <c r="Y103" s="191"/>
      <c r="Z103" s="191"/>
      <c r="AA103" s="191"/>
      <c r="AB103" s="191"/>
      <c r="AC103" s="191"/>
      <c r="AD103" s="191"/>
      <c r="AE103" s="191"/>
      <c r="AF103" s="191"/>
      <c r="AG103" s="191"/>
      <c r="AH103" s="191"/>
      <c r="AI103" s="191"/>
      <c r="AJ103" s="192"/>
      <c r="AK103" s="101"/>
      <c r="AL103" s="370"/>
      <c r="AM103" s="371"/>
    </row>
    <row r="104" spans="1:39" ht="24.75" customHeight="1">
      <c r="A104" s="392">
        <f>+IF(JULIO!A104=0,"",JULIO!A104)</f>
        <v>11304</v>
      </c>
      <c r="B104" s="393" t="str">
        <f>+IF(JULIO!B104=0,"",JULIO!B104)</f>
        <v>Otros ingresos corrientes</v>
      </c>
      <c r="C104" s="383">
        <f t="shared" ref="C104:N104" si="105">SUM(C105:C111)</f>
        <v>235000000</v>
      </c>
      <c r="D104" s="384">
        <f t="shared" si="105"/>
        <v>0</v>
      </c>
      <c r="E104" s="384">
        <f t="shared" si="105"/>
        <v>46961679</v>
      </c>
      <c r="F104" s="384">
        <f t="shared" si="105"/>
        <v>281961679</v>
      </c>
      <c r="G104" s="384">
        <f t="shared" si="105"/>
        <v>261379416</v>
      </c>
      <c r="H104" s="384">
        <f t="shared" si="105"/>
        <v>61518818</v>
      </c>
      <c r="I104" s="384">
        <f t="shared" si="105"/>
        <v>322898234</v>
      </c>
      <c r="J104" s="384">
        <f t="shared" si="105"/>
        <v>244094116</v>
      </c>
      <c r="K104" s="384">
        <f t="shared" si="105"/>
        <v>42761658</v>
      </c>
      <c r="L104" s="384">
        <f t="shared" si="105"/>
        <v>286855774</v>
      </c>
      <c r="M104" s="384">
        <f t="shared" si="105"/>
        <v>-40936555</v>
      </c>
      <c r="N104" s="385">
        <f t="shared" si="105"/>
        <v>-4894095</v>
      </c>
      <c r="O104" s="67"/>
      <c r="P104" s="288">
        <f>SUM(P105:P111)</f>
        <v>0</v>
      </c>
      <c r="Q104" s="289">
        <f>SUM(Q105:Q111)</f>
        <v>0</v>
      </c>
      <c r="R104" s="101"/>
      <c r="S104" s="257">
        <f>+IF(JULIO!S104=0,"",JULIO!S104)</f>
        <v>1020400</v>
      </c>
      <c r="T104" s="546" t="str">
        <f>+IF(JULIO!T104=0,"",JULIO!T104)</f>
        <v>Contribuciones Inherentes nómina del Sector Publico</v>
      </c>
      <c r="U104" s="230">
        <f t="shared" ref="U104:AJ104" si="106">U105+U108</f>
        <v>0</v>
      </c>
      <c r="V104" s="231">
        <f t="shared" si="106"/>
        <v>0</v>
      </c>
      <c r="W104" s="231">
        <f t="shared" si="106"/>
        <v>20000000</v>
      </c>
      <c r="X104" s="234">
        <f t="shared" si="106"/>
        <v>20000000</v>
      </c>
      <c r="Y104" s="233">
        <f t="shared" si="106"/>
        <v>18261571</v>
      </c>
      <c r="Z104" s="231">
        <f t="shared" si="106"/>
        <v>0</v>
      </c>
      <c r="AA104" s="234">
        <f t="shared" si="106"/>
        <v>18261571</v>
      </c>
      <c r="AB104" s="233">
        <f t="shared" si="106"/>
        <v>18261571</v>
      </c>
      <c r="AC104" s="231">
        <f t="shared" si="106"/>
        <v>0</v>
      </c>
      <c r="AD104" s="234">
        <f t="shared" si="106"/>
        <v>18261571</v>
      </c>
      <c r="AE104" s="233">
        <f t="shared" si="106"/>
        <v>18261571</v>
      </c>
      <c r="AF104" s="231">
        <f t="shared" si="106"/>
        <v>0</v>
      </c>
      <c r="AG104" s="234">
        <f t="shared" si="106"/>
        <v>18261571</v>
      </c>
      <c r="AH104" s="233">
        <f t="shared" si="106"/>
        <v>1738429</v>
      </c>
      <c r="AI104" s="231">
        <f t="shared" si="106"/>
        <v>1738429</v>
      </c>
      <c r="AJ104" s="232">
        <f t="shared" si="106"/>
        <v>1738429</v>
      </c>
      <c r="AK104" s="101"/>
      <c r="AL104" s="233">
        <f>AL105+AL108</f>
        <v>0</v>
      </c>
      <c r="AM104" s="232">
        <f>AM105+AM108</f>
        <v>0</v>
      </c>
    </row>
    <row r="105" spans="1:39" ht="24.75" customHeight="1">
      <c r="A105" s="394" t="str">
        <f>+IF(JULIO!A105=0,"",JULIO!A105)</f>
        <v>1.1.02.05.002.07</v>
      </c>
      <c r="B105" s="397" t="str">
        <f>+IF(JULIO!B105=0,"",JULIO!B105)</f>
        <v>Servicios financieros y servicios conexos, servicios inmobiliarios y servicios de leasing (ARRENDAMIENTOS)</v>
      </c>
      <c r="C105" s="268">
        <f>+ENERO!C105</f>
        <v>235000000</v>
      </c>
      <c r="D105" s="205">
        <f>JULIO!D105+AGOSTO!P105</f>
        <v>0</v>
      </c>
      <c r="E105" s="205">
        <f>JULIO!E105+AGOSTO!Q105</f>
        <v>0</v>
      </c>
      <c r="F105" s="205">
        <f t="shared" ref="F105:F111" si="107">SUM(C105:E105)</f>
        <v>235000000</v>
      </c>
      <c r="G105" s="205">
        <f>JULIO!I105</f>
        <v>190338169</v>
      </c>
      <c r="H105" s="208">
        <v>29022418</v>
      </c>
      <c r="I105" s="205">
        <f t="shared" ref="I105:I111" si="108">SUM(G105:H105)</f>
        <v>219360587</v>
      </c>
      <c r="J105" s="205">
        <f>JULIO!L105</f>
        <v>179565773</v>
      </c>
      <c r="K105" s="208">
        <v>10265258</v>
      </c>
      <c r="L105" s="205">
        <f t="shared" ref="L105:L111" si="109">SUM(J105:K105)</f>
        <v>189831031</v>
      </c>
      <c r="M105" s="205">
        <f t="shared" ref="M105:M111" si="110">F105-I105</f>
        <v>15639413</v>
      </c>
      <c r="N105" s="206">
        <f t="shared" ref="N105:N111" si="111">F105-L105</f>
        <v>45168969</v>
      </c>
      <c r="O105" s="67"/>
      <c r="P105" s="204">
        <v>0</v>
      </c>
      <c r="Q105" s="210"/>
      <c r="R105" s="101"/>
      <c r="S105" s="266">
        <f>+IF(JULIO!S105=0,"",JULIO!S105)</f>
        <v>1020402</v>
      </c>
      <c r="T105" s="267" t="str">
        <f>+IF(JULIO!T105=0,"",JULIO!T105)</f>
        <v>Contribuciones - Otros</v>
      </c>
      <c r="U105" s="373">
        <f t="shared" ref="U105:AJ105" si="112">SUM(U106:U107)</f>
        <v>0</v>
      </c>
      <c r="V105" s="220">
        <f t="shared" si="112"/>
        <v>0</v>
      </c>
      <c r="W105" s="220">
        <f t="shared" si="112"/>
        <v>0</v>
      </c>
      <c r="X105" s="271">
        <f t="shared" si="112"/>
        <v>0</v>
      </c>
      <c r="Y105" s="270">
        <f t="shared" si="112"/>
        <v>0</v>
      </c>
      <c r="Z105" s="300">
        <f t="shared" si="112"/>
        <v>0</v>
      </c>
      <c r="AA105" s="271">
        <f t="shared" si="112"/>
        <v>0</v>
      </c>
      <c r="AB105" s="270">
        <f t="shared" si="112"/>
        <v>0</v>
      </c>
      <c r="AC105" s="300">
        <f t="shared" si="112"/>
        <v>0</v>
      </c>
      <c r="AD105" s="271">
        <f t="shared" si="112"/>
        <v>0</v>
      </c>
      <c r="AE105" s="270">
        <f t="shared" si="112"/>
        <v>0</v>
      </c>
      <c r="AF105" s="300">
        <f t="shared" si="112"/>
        <v>0</v>
      </c>
      <c r="AG105" s="271">
        <f t="shared" si="112"/>
        <v>0</v>
      </c>
      <c r="AH105" s="270">
        <f t="shared" si="112"/>
        <v>0</v>
      </c>
      <c r="AI105" s="220">
        <f t="shared" si="112"/>
        <v>0</v>
      </c>
      <c r="AJ105" s="269">
        <f t="shared" si="112"/>
        <v>0</v>
      </c>
      <c r="AK105" s="216"/>
      <c r="AL105" s="301">
        <f>SUM(AL106:AL107)</f>
        <v>0</v>
      </c>
      <c r="AM105" s="302">
        <f>SUM(AM106:AM107)</f>
        <v>0</v>
      </c>
    </row>
    <row r="106" spans="1:39" ht="24.75" customHeight="1">
      <c r="A106" s="394">
        <f>+IF(JUNIO!A106=0,"",JUNIO!A106)</f>
        <v>1020402</v>
      </c>
      <c r="B106" s="403" t="str">
        <f>+IF(JUNIO!B106=0,"",JUNIO!B106)</f>
        <v/>
      </c>
      <c r="C106" s="268">
        <f>+ENERO!C106</f>
        <v>0</v>
      </c>
      <c r="D106" s="205">
        <f>JULIO!D106+AGOSTO!P106</f>
        <v>0</v>
      </c>
      <c r="E106" s="205">
        <f>JULIO!E106+AGOSTO!Q106</f>
        <v>0</v>
      </c>
      <c r="F106" s="205">
        <f t="shared" si="107"/>
        <v>0</v>
      </c>
      <c r="G106" s="205">
        <f>JULIO!I106</f>
        <v>0</v>
      </c>
      <c r="H106" s="208"/>
      <c r="I106" s="205">
        <f t="shared" si="108"/>
        <v>0</v>
      </c>
      <c r="J106" s="205">
        <f>JULIO!L106</f>
        <v>0</v>
      </c>
      <c r="K106" s="208">
        <v>0</v>
      </c>
      <c r="L106" s="205">
        <f t="shared" si="109"/>
        <v>0</v>
      </c>
      <c r="M106" s="205">
        <f t="shared" si="110"/>
        <v>0</v>
      </c>
      <c r="N106" s="206">
        <f t="shared" si="111"/>
        <v>0</v>
      </c>
      <c r="O106" s="67"/>
      <c r="P106" s="204">
        <v>0</v>
      </c>
      <c r="Q106" s="210"/>
      <c r="R106" s="101"/>
      <c r="S106" s="311" t="str">
        <f>+IF(JULIO!S106=0,"",JULIO!S106)</f>
        <v>2.1.1.01.02.007-1</v>
      </c>
      <c r="T106" s="267" t="str">
        <f>+IF(JULIO!T106=0,"",JULIO!T106)</f>
        <v>S.E.N.A.</v>
      </c>
      <c r="U106" s="373">
        <f>+ENERO!U106</f>
        <v>0</v>
      </c>
      <c r="V106" s="220">
        <f>JULIO!V106+AGOSTO!AL106</f>
        <v>0</v>
      </c>
      <c r="W106" s="220">
        <f>JULIO!W106+AGOSTO!AM106</f>
        <v>0</v>
      </c>
      <c r="X106" s="271">
        <f>SUM(U106:W106)</f>
        <v>0</v>
      </c>
      <c r="Y106" s="270">
        <f>JULIO!AA106</f>
        <v>0</v>
      </c>
      <c r="Z106" s="208">
        <v>0</v>
      </c>
      <c r="AA106" s="271">
        <f>SUM(Y106:Z106)</f>
        <v>0</v>
      </c>
      <c r="AB106" s="270">
        <f>JULIO!AD106</f>
        <v>0</v>
      </c>
      <c r="AC106" s="208">
        <v>0</v>
      </c>
      <c r="AD106" s="271">
        <f>SUM(AB106:AC106)</f>
        <v>0</v>
      </c>
      <c r="AE106" s="270">
        <f>JULIO!AG106</f>
        <v>0</v>
      </c>
      <c r="AF106" s="208">
        <v>0</v>
      </c>
      <c r="AG106" s="271">
        <f>SUM(AE106:AF106)</f>
        <v>0</v>
      </c>
      <c r="AH106" s="270">
        <f>X106-AA106</f>
        <v>0</v>
      </c>
      <c r="AI106" s="220">
        <f>X106-AD106</f>
        <v>0</v>
      </c>
      <c r="AJ106" s="269">
        <f>X106-AG106</f>
        <v>0</v>
      </c>
      <c r="AK106" s="101"/>
      <c r="AL106" s="204">
        <v>0</v>
      </c>
      <c r="AM106" s="210">
        <v>0</v>
      </c>
    </row>
    <row r="107" spans="1:39" ht="24.75" customHeight="1">
      <c r="A107" s="394" t="str">
        <f>+IF(JULIO!A107=0,"",JULIO!A107)</f>
        <v/>
      </c>
      <c r="B107" s="397" t="str">
        <f>+IF(JULIO!B107=0,"",JULIO!B107)</f>
        <v/>
      </c>
      <c r="C107" s="268">
        <f>+ENERO!C107</f>
        <v>0</v>
      </c>
      <c r="D107" s="205">
        <f>JULIO!D107+AGOSTO!P107</f>
        <v>0</v>
      </c>
      <c r="E107" s="205">
        <f>JULIO!E107+AGOSTO!Q107</f>
        <v>0</v>
      </c>
      <c r="F107" s="205">
        <f t="shared" si="107"/>
        <v>0</v>
      </c>
      <c r="G107" s="205">
        <f>JULIO!I107</f>
        <v>0</v>
      </c>
      <c r="H107" s="208"/>
      <c r="I107" s="205">
        <f t="shared" si="108"/>
        <v>0</v>
      </c>
      <c r="J107" s="205">
        <f>JULIO!L107</f>
        <v>0</v>
      </c>
      <c r="K107" s="208">
        <v>0</v>
      </c>
      <c r="L107" s="205">
        <f t="shared" si="109"/>
        <v>0</v>
      </c>
      <c r="M107" s="205">
        <f t="shared" si="110"/>
        <v>0</v>
      </c>
      <c r="N107" s="206">
        <f t="shared" si="111"/>
        <v>0</v>
      </c>
      <c r="O107" s="67"/>
      <c r="P107" s="204">
        <v>0</v>
      </c>
      <c r="Q107" s="210"/>
      <c r="R107" s="101"/>
      <c r="S107" s="311" t="str">
        <f>+IF(JULIO!S107=0,"",JULIO!S107)</f>
        <v>2.1.1.01.02.006-1</v>
      </c>
      <c r="T107" s="267" t="str">
        <f>+IF(JULIO!T107=0,"",JULIO!T107)</f>
        <v>I.C.B.F.</v>
      </c>
      <c r="U107" s="373">
        <f>+ENERO!U107</f>
        <v>0</v>
      </c>
      <c r="V107" s="220">
        <f>JULIO!V107+AGOSTO!AL107</f>
        <v>0</v>
      </c>
      <c r="W107" s="220">
        <f>JULIO!W107+AGOSTO!AM107</f>
        <v>0</v>
      </c>
      <c r="X107" s="271">
        <f>SUM(U107:W107)</f>
        <v>0</v>
      </c>
      <c r="Y107" s="270">
        <f>JULIO!AA107</f>
        <v>0</v>
      </c>
      <c r="Z107" s="208">
        <v>0</v>
      </c>
      <c r="AA107" s="271">
        <f>SUM(Y107:Z107)</f>
        <v>0</v>
      </c>
      <c r="AB107" s="270">
        <f>JULIO!AD107</f>
        <v>0</v>
      </c>
      <c r="AC107" s="208">
        <v>0</v>
      </c>
      <c r="AD107" s="271">
        <f>SUM(AB107:AC107)</f>
        <v>0</v>
      </c>
      <c r="AE107" s="270">
        <f>JULIO!AG107</f>
        <v>0</v>
      </c>
      <c r="AF107" s="208">
        <v>0</v>
      </c>
      <c r="AG107" s="271">
        <f>SUM(AE107:AF107)</f>
        <v>0</v>
      </c>
      <c r="AH107" s="270">
        <f>X107-AA107</f>
        <v>0</v>
      </c>
      <c r="AI107" s="220">
        <f>X107-AD107</f>
        <v>0</v>
      </c>
      <c r="AJ107" s="269">
        <f>X107-AG107</f>
        <v>0</v>
      </c>
      <c r="AK107" s="101"/>
      <c r="AL107" s="204">
        <v>0</v>
      </c>
      <c r="AM107" s="210">
        <v>0</v>
      </c>
    </row>
    <row r="108" spans="1:39" ht="24.75" customHeight="1">
      <c r="A108" s="394" t="str">
        <f>+IF(JULIO!A108=0,"",JULIO!A108)</f>
        <v/>
      </c>
      <c r="B108" s="397" t="str">
        <f>+IF(JULIO!B108=0,"",JULIO!B108)</f>
        <v/>
      </c>
      <c r="C108" s="268">
        <f>+ENERO!C108</f>
        <v>0</v>
      </c>
      <c r="D108" s="205">
        <f>JULIO!D108+AGOSTO!P108</f>
        <v>0</v>
      </c>
      <c r="E108" s="205">
        <f>JULIO!E108+AGOSTO!Q108</f>
        <v>0</v>
      </c>
      <c r="F108" s="205">
        <f t="shared" si="107"/>
        <v>0</v>
      </c>
      <c r="G108" s="205">
        <f>JULIO!I108</f>
        <v>0</v>
      </c>
      <c r="H108" s="208"/>
      <c r="I108" s="205">
        <f t="shared" si="108"/>
        <v>0</v>
      </c>
      <c r="J108" s="205">
        <f>JULIO!L108</f>
        <v>0</v>
      </c>
      <c r="K108" s="208">
        <v>0</v>
      </c>
      <c r="L108" s="205">
        <f t="shared" si="109"/>
        <v>0</v>
      </c>
      <c r="M108" s="205">
        <f t="shared" si="110"/>
        <v>0</v>
      </c>
      <c r="N108" s="206">
        <f t="shared" si="111"/>
        <v>0</v>
      </c>
      <c r="O108" s="67"/>
      <c r="P108" s="204">
        <v>0</v>
      </c>
      <c r="Q108" s="210"/>
      <c r="R108" s="101"/>
      <c r="S108" s="266" t="str">
        <f>+IF(JULIO!S108=0,"",JULIO!S108)</f>
        <v>2.1.2.02.02.008.99.04</v>
      </c>
      <c r="T108" s="267" t="str">
        <f>+IF(JULIO!T108=0,"",JULIO!T108)</f>
        <v>Vigencias Anteriores Servicios personales administrativos</v>
      </c>
      <c r="U108" s="373">
        <f>+ENERO!U108</f>
        <v>0</v>
      </c>
      <c r="V108" s="220">
        <f>JULIO!V108+AGOSTO!AL108</f>
        <v>0</v>
      </c>
      <c r="W108" s="220">
        <f>JULIO!W108+AGOSTO!AM108</f>
        <v>20000000</v>
      </c>
      <c r="X108" s="271">
        <f>SUM(U108:W108)</f>
        <v>20000000</v>
      </c>
      <c r="Y108" s="270">
        <f>JULIO!AA108</f>
        <v>18261571</v>
      </c>
      <c r="Z108" s="208">
        <v>0</v>
      </c>
      <c r="AA108" s="271">
        <f>SUM(Y108:Z108)</f>
        <v>18261571</v>
      </c>
      <c r="AB108" s="270">
        <f>JULIO!AD108</f>
        <v>18261571</v>
      </c>
      <c r="AC108" s="208">
        <v>0</v>
      </c>
      <c r="AD108" s="271">
        <f>SUM(AB108:AC108)</f>
        <v>18261571</v>
      </c>
      <c r="AE108" s="270">
        <f>JULIO!AG108</f>
        <v>18261571</v>
      </c>
      <c r="AF108" s="208">
        <v>0</v>
      </c>
      <c r="AG108" s="271">
        <f>SUM(AE108:AF108)</f>
        <v>18261571</v>
      </c>
      <c r="AH108" s="270">
        <f>X108-AA108</f>
        <v>1738429</v>
      </c>
      <c r="AI108" s="220">
        <f>X108-AD108</f>
        <v>1738429</v>
      </c>
      <c r="AJ108" s="269">
        <f>X108-AG108</f>
        <v>1738429</v>
      </c>
      <c r="AK108" s="101"/>
      <c r="AL108" s="204">
        <v>0</v>
      </c>
      <c r="AM108" s="210">
        <v>0</v>
      </c>
    </row>
    <row r="109" spans="1:39" ht="24.75" customHeight="1">
      <c r="A109" s="394" t="str">
        <f>+IF(JULIO!A109=0,"",JULIO!A109)</f>
        <v>1.1.02.05.002.08</v>
      </c>
      <c r="B109" s="397" t="str">
        <f>+IF(JULIO!B109=0,"",JULIO!B109)</f>
        <v>Servicios prestados a las empresas y servicios de producción(APROVECHAMIENTOS)</v>
      </c>
      <c r="C109" s="268">
        <f>+ENERO!C109</f>
        <v>0</v>
      </c>
      <c r="D109" s="205">
        <f>JULIO!D109+AGOSTO!P109</f>
        <v>0</v>
      </c>
      <c r="E109" s="205">
        <f>JULIO!E109+AGOSTO!Q109</f>
        <v>27224890</v>
      </c>
      <c r="F109" s="205">
        <f t="shared" si="107"/>
        <v>27224890</v>
      </c>
      <c r="G109" s="205">
        <f>JULIO!I109</f>
        <v>51304458</v>
      </c>
      <c r="H109" s="208">
        <v>32496400</v>
      </c>
      <c r="I109" s="205">
        <f t="shared" si="108"/>
        <v>83800858</v>
      </c>
      <c r="J109" s="205">
        <f>JULIO!L109</f>
        <v>44791554</v>
      </c>
      <c r="K109" s="208">
        <v>32496400</v>
      </c>
      <c r="L109" s="205">
        <f t="shared" si="109"/>
        <v>77287954</v>
      </c>
      <c r="M109" s="205">
        <f t="shared" si="110"/>
        <v>-56575968</v>
      </c>
      <c r="N109" s="206">
        <f t="shared" si="111"/>
        <v>-50063064</v>
      </c>
      <c r="O109" s="67"/>
      <c r="P109" s="204">
        <v>0</v>
      </c>
      <c r="Q109" s="210"/>
      <c r="R109" s="101"/>
      <c r="S109" s="189">
        <f>+IF(JULIO!S109=0,"",JULIO!S109)</f>
        <v>23625024</v>
      </c>
      <c r="T109" s="488" t="str">
        <f>+IF(JULIO!T109=0,"",JULIO!T109)</f>
        <v/>
      </c>
      <c r="U109" s="191"/>
      <c r="V109" s="191"/>
      <c r="W109" s="191"/>
      <c r="X109" s="191"/>
      <c r="Y109" s="191"/>
      <c r="Z109" s="191"/>
      <c r="AA109" s="191"/>
      <c r="AB109" s="191"/>
      <c r="AC109" s="191"/>
      <c r="AD109" s="191"/>
      <c r="AE109" s="191"/>
      <c r="AF109" s="191"/>
      <c r="AG109" s="191"/>
      <c r="AH109" s="191"/>
      <c r="AI109" s="191"/>
      <c r="AJ109" s="192"/>
      <c r="AK109" s="216"/>
      <c r="AL109" s="370"/>
      <c r="AM109" s="371"/>
    </row>
    <row r="110" spans="1:39" ht="24.75" customHeight="1">
      <c r="A110" s="394" t="str">
        <f>+IF(JULIO!A110=0,"",JULIO!A110)</f>
        <v>1.1.02.05.002.09</v>
      </c>
      <c r="B110" s="397" t="str">
        <f>+IF(JULIO!B110=0,"",JULIO!B110)</f>
        <v>Convenio Docencia Servicio</v>
      </c>
      <c r="C110" s="268">
        <f>+ENERO!C110</f>
        <v>0</v>
      </c>
      <c r="D110" s="205">
        <f>JULIO!D110+AGOSTO!P110</f>
        <v>0</v>
      </c>
      <c r="E110" s="205">
        <f>JULIO!E110+AGOSTO!Q110</f>
        <v>0</v>
      </c>
      <c r="F110" s="205">
        <f t="shared" si="107"/>
        <v>0</v>
      </c>
      <c r="G110" s="205">
        <f>JULIO!I110</f>
        <v>0</v>
      </c>
      <c r="H110" s="208"/>
      <c r="I110" s="205">
        <f t="shared" si="108"/>
        <v>0</v>
      </c>
      <c r="J110" s="205">
        <f>JULIO!L110</f>
        <v>0</v>
      </c>
      <c r="K110" s="208">
        <v>0</v>
      </c>
      <c r="L110" s="205">
        <f t="shared" si="109"/>
        <v>0</v>
      </c>
      <c r="M110" s="205">
        <f t="shared" si="110"/>
        <v>0</v>
      </c>
      <c r="N110" s="206">
        <f t="shared" si="111"/>
        <v>0</v>
      </c>
      <c r="O110" s="67"/>
      <c r="P110" s="204">
        <v>0</v>
      </c>
      <c r="Q110" s="210">
        <v>0</v>
      </c>
      <c r="R110" s="101"/>
      <c r="S110" s="228">
        <f>+IF(JULIO!S110=0,"",JULIO!S110)</f>
        <v>2000000</v>
      </c>
      <c r="T110" s="404" t="str">
        <f>+IF(JULIO!T110=0,"",JULIO!T110)</f>
        <v>GASTOS GENERALES</v>
      </c>
      <c r="U110" s="405">
        <f t="shared" ref="U110:AJ110" si="113">U112+U145</f>
        <v>21968169670.620834</v>
      </c>
      <c r="V110" s="406">
        <f t="shared" si="113"/>
        <v>-535062130</v>
      </c>
      <c r="W110" s="406">
        <f t="shared" si="113"/>
        <v>1593508020</v>
      </c>
      <c r="X110" s="407">
        <f t="shared" si="113"/>
        <v>23026615560.620834</v>
      </c>
      <c r="Y110" s="217">
        <f t="shared" si="113"/>
        <v>13086594726</v>
      </c>
      <c r="Z110" s="406">
        <f t="shared" si="113"/>
        <v>797407617</v>
      </c>
      <c r="AA110" s="407">
        <f t="shared" si="113"/>
        <v>13884002343</v>
      </c>
      <c r="AB110" s="217">
        <f t="shared" si="113"/>
        <v>9933462304</v>
      </c>
      <c r="AC110" s="406">
        <f t="shared" si="113"/>
        <v>1244417397</v>
      </c>
      <c r="AD110" s="407">
        <f t="shared" si="113"/>
        <v>11177879701</v>
      </c>
      <c r="AE110" s="217">
        <f t="shared" si="113"/>
        <v>7544193011</v>
      </c>
      <c r="AF110" s="406">
        <f t="shared" si="113"/>
        <v>594716299</v>
      </c>
      <c r="AG110" s="407">
        <f t="shared" si="113"/>
        <v>8138909310</v>
      </c>
      <c r="AH110" s="217">
        <f t="shared" si="113"/>
        <v>9142613217.6208324</v>
      </c>
      <c r="AI110" s="406">
        <f t="shared" si="113"/>
        <v>11848735859.620832</v>
      </c>
      <c r="AJ110" s="218">
        <f t="shared" si="113"/>
        <v>14887706250.620832</v>
      </c>
      <c r="AK110" s="216"/>
      <c r="AL110" s="233">
        <f>AL112+AL145</f>
        <v>0</v>
      </c>
      <c r="AM110" s="232">
        <f>AM112+AM145</f>
        <v>964813284</v>
      </c>
    </row>
    <row r="111" spans="1:39" ht="24.75" customHeight="1" thickBot="1">
      <c r="A111" s="394" t="str">
        <f>+IF(JULIO!A111=0,"",JULIO!A111)</f>
        <v>1.1.02.05.002.07.99</v>
      </c>
      <c r="B111" s="408" t="str">
        <f>+IF(JULIO!B111=0,"",JULIO!B111)</f>
        <v>Vigencia anterior Servicios financieros y servicios conexos, servicios inmobiliarios y servicios de leasing (ARRENDAMIENTOS)</v>
      </c>
      <c r="C111" s="391">
        <f>+ENERO!C111</f>
        <v>0</v>
      </c>
      <c r="D111" s="243">
        <f>JULIO!D111+AGOSTO!P111</f>
        <v>0</v>
      </c>
      <c r="E111" s="243">
        <f>JULIO!E111+AGOSTO!Q111</f>
        <v>19736789</v>
      </c>
      <c r="F111" s="243">
        <f t="shared" si="107"/>
        <v>19736789</v>
      </c>
      <c r="G111" s="243">
        <f>JULIO!I111</f>
        <v>19736789</v>
      </c>
      <c r="H111" s="246">
        <v>0</v>
      </c>
      <c r="I111" s="243">
        <f t="shared" si="108"/>
        <v>19736789</v>
      </c>
      <c r="J111" s="243">
        <f>JULIO!L111</f>
        <v>19736789</v>
      </c>
      <c r="K111" s="246">
        <v>0</v>
      </c>
      <c r="L111" s="243">
        <f t="shared" si="109"/>
        <v>19736789</v>
      </c>
      <c r="M111" s="243">
        <f t="shared" si="110"/>
        <v>0</v>
      </c>
      <c r="N111" s="244">
        <f t="shared" si="111"/>
        <v>0</v>
      </c>
      <c r="O111" s="67"/>
      <c r="P111" s="204">
        <v>0</v>
      </c>
      <c r="Q111" s="210">
        <v>0</v>
      </c>
      <c r="R111" s="101"/>
      <c r="S111" s="189">
        <f>+IF(JULIO!S111=0,"",JULIO!S111)</f>
        <v>18355520</v>
      </c>
      <c r="T111" s="488" t="str">
        <f>+IF(JULIO!T111=0,"",JULIO!T111)</f>
        <v/>
      </c>
      <c r="U111" s="191"/>
      <c r="V111" s="191"/>
      <c r="W111" s="191"/>
      <c r="X111" s="191"/>
      <c r="Y111" s="191"/>
      <c r="Z111" s="191"/>
      <c r="AA111" s="191"/>
      <c r="AB111" s="191"/>
      <c r="AC111" s="191"/>
      <c r="AD111" s="191"/>
      <c r="AE111" s="191"/>
      <c r="AF111" s="191"/>
      <c r="AG111" s="191"/>
      <c r="AH111" s="191"/>
      <c r="AI111" s="191"/>
      <c r="AJ111" s="192"/>
      <c r="AK111" s="101"/>
      <c r="AL111" s="194"/>
      <c r="AM111" s="195"/>
    </row>
    <row r="112" spans="1:39" ht="24.75" customHeight="1" thickBot="1">
      <c r="A112" s="398">
        <f>+IF(JULIO!A112=0,"",JULIO!A112)</f>
        <v>18355520</v>
      </c>
      <c r="B112" s="399">
        <f>+IF(JULIO!B112=0,"",JULIO!B112)</f>
        <v>18355520</v>
      </c>
      <c r="C112" s="400"/>
      <c r="D112" s="400"/>
      <c r="E112" s="400"/>
      <c r="F112" s="400"/>
      <c r="G112" s="400"/>
      <c r="H112" s="400"/>
      <c r="I112" s="400"/>
      <c r="J112" s="400"/>
      <c r="K112" s="400"/>
      <c r="L112" s="400"/>
      <c r="M112" s="400"/>
      <c r="N112" s="401"/>
      <c r="O112" s="67"/>
      <c r="P112" s="402"/>
      <c r="Q112" s="401"/>
      <c r="R112" s="101"/>
      <c r="S112" s="228">
        <f>+IF(JULIO!S112=0,"",JULIO!S112)</f>
        <v>2010000</v>
      </c>
      <c r="T112" s="229" t="str">
        <f>+IF(JULIO!T112=0,"",JULIO!T112)</f>
        <v>Gastos de Administración</v>
      </c>
      <c r="U112" s="230">
        <f t="shared" ref="U112:AJ112" si="114">U114+U123+U141</f>
        <v>10075238362.444445</v>
      </c>
      <c r="V112" s="231">
        <f t="shared" si="114"/>
        <v>-730062130</v>
      </c>
      <c r="W112" s="231">
        <f t="shared" si="114"/>
        <v>169879991</v>
      </c>
      <c r="X112" s="234">
        <f t="shared" si="114"/>
        <v>9515056223.4444447</v>
      </c>
      <c r="Y112" s="233">
        <f t="shared" si="114"/>
        <v>6965839259</v>
      </c>
      <c r="Z112" s="231">
        <f t="shared" si="114"/>
        <v>552852870</v>
      </c>
      <c r="AA112" s="234">
        <f t="shared" si="114"/>
        <v>7518692129</v>
      </c>
      <c r="AB112" s="233">
        <f t="shared" si="114"/>
        <v>5383787892</v>
      </c>
      <c r="AC112" s="231">
        <f t="shared" si="114"/>
        <v>776991039</v>
      </c>
      <c r="AD112" s="234">
        <f t="shared" si="114"/>
        <v>6160778931</v>
      </c>
      <c r="AE112" s="233">
        <f t="shared" si="114"/>
        <v>4767642107</v>
      </c>
      <c r="AF112" s="231">
        <f t="shared" si="114"/>
        <v>571564769</v>
      </c>
      <c r="AG112" s="234">
        <f t="shared" si="114"/>
        <v>5339206876</v>
      </c>
      <c r="AH112" s="233">
        <f t="shared" si="114"/>
        <v>1996364094.4444442</v>
      </c>
      <c r="AI112" s="231">
        <f t="shared" si="114"/>
        <v>3354277292.4444442</v>
      </c>
      <c r="AJ112" s="232">
        <f t="shared" si="114"/>
        <v>4175849347.4444442</v>
      </c>
      <c r="AK112" s="101"/>
      <c r="AL112" s="233">
        <f>AL114+AL123+AL141</f>
        <v>0</v>
      </c>
      <c r="AM112" s="232">
        <f>AM114+AM123+AM141</f>
        <v>0</v>
      </c>
    </row>
    <row r="113" spans="1:39" ht="24.75" customHeight="1" thickBot="1">
      <c r="A113" s="123">
        <f>+IF(JULIO!A113=0,"",JULIO!A113)</f>
        <v>2000</v>
      </c>
      <c r="B113" s="265" t="str">
        <f>+IF(JULIO!B113=0,"",JULIO!B113)</f>
        <v>INGRESOS DE CAPITAL</v>
      </c>
      <c r="C113" s="409">
        <f t="shared" ref="C113:N113" si="115">SUM(C115:C124)</f>
        <v>0</v>
      </c>
      <c r="D113" s="410">
        <f t="shared" si="115"/>
        <v>0</v>
      </c>
      <c r="E113" s="410">
        <f t="shared" si="115"/>
        <v>0</v>
      </c>
      <c r="F113" s="410">
        <f t="shared" si="115"/>
        <v>0</v>
      </c>
      <c r="G113" s="410">
        <f t="shared" si="115"/>
        <v>0</v>
      </c>
      <c r="H113" s="410">
        <f t="shared" si="115"/>
        <v>0</v>
      </c>
      <c r="I113" s="410">
        <f t="shared" si="115"/>
        <v>0</v>
      </c>
      <c r="J113" s="410">
        <f t="shared" si="115"/>
        <v>0</v>
      </c>
      <c r="K113" s="410">
        <f t="shared" si="115"/>
        <v>0</v>
      </c>
      <c r="L113" s="410">
        <f t="shared" si="115"/>
        <v>0</v>
      </c>
      <c r="M113" s="410">
        <f t="shared" si="115"/>
        <v>0</v>
      </c>
      <c r="N113" s="411">
        <f t="shared" si="115"/>
        <v>0</v>
      </c>
      <c r="O113" s="369"/>
      <c r="P113" s="171">
        <f>SUM(P115:P124)</f>
        <v>0</v>
      </c>
      <c r="Q113" s="173">
        <f>SUM(Q115:Q124)</f>
        <v>0</v>
      </c>
      <c r="R113" s="101"/>
      <c r="S113" s="189">
        <f>+IF(JULIO!S113=0,"",JULIO!S113)</f>
        <v>2000</v>
      </c>
      <c r="T113" s="488" t="str">
        <f>+IF(JULIO!T113=0,"",JULIO!T113)</f>
        <v/>
      </c>
      <c r="U113" s="191"/>
      <c r="V113" s="191"/>
      <c r="W113" s="191"/>
      <c r="X113" s="191"/>
      <c r="Y113" s="191"/>
      <c r="Z113" s="191"/>
      <c r="AA113" s="191"/>
      <c r="AB113" s="191"/>
      <c r="AC113" s="191"/>
      <c r="AD113" s="191"/>
      <c r="AE113" s="191"/>
      <c r="AF113" s="191"/>
      <c r="AG113" s="191"/>
      <c r="AH113" s="191"/>
      <c r="AI113" s="191"/>
      <c r="AJ113" s="192"/>
      <c r="AK113" s="101"/>
      <c r="AL113" s="194"/>
      <c r="AM113" s="195"/>
    </row>
    <row r="114" spans="1:39" ht="20.25" customHeight="1" thickBot="1">
      <c r="A114" s="398">
        <f>+IF(JULIO!A114=0,"",JULIO!A114)</f>
        <v>2000</v>
      </c>
      <c r="B114" s="399">
        <f>+IF(JULIO!B114=0,"",JULIO!B114)</f>
        <v>2000</v>
      </c>
      <c r="C114" s="400"/>
      <c r="D114" s="400"/>
      <c r="E114" s="400"/>
      <c r="F114" s="400"/>
      <c r="G114" s="400"/>
      <c r="H114" s="400"/>
      <c r="I114" s="400"/>
      <c r="J114" s="400"/>
      <c r="K114" s="400"/>
      <c r="L114" s="400"/>
      <c r="M114" s="400"/>
      <c r="N114" s="401"/>
      <c r="O114" s="67"/>
      <c r="P114" s="402"/>
      <c r="Q114" s="401"/>
      <c r="R114" s="101"/>
      <c r="S114" s="257">
        <f>+IF(JULIO!S114=0,"",JULIO!S114)</f>
        <v>2010100</v>
      </c>
      <c r="T114" s="546" t="str">
        <f>+IF(JULIO!T114=0,"",JULIO!T114)</f>
        <v>Adquisición de bienes</v>
      </c>
      <c r="U114" s="230">
        <f t="shared" ref="U114:AJ114" si="116">SUM(U115:U121)</f>
        <v>1246863273.1666665</v>
      </c>
      <c r="V114" s="231">
        <f t="shared" si="116"/>
        <v>0</v>
      </c>
      <c r="W114" s="231">
        <f t="shared" si="116"/>
        <v>0</v>
      </c>
      <c r="X114" s="234">
        <f t="shared" si="116"/>
        <v>1246863273.1666665</v>
      </c>
      <c r="Y114" s="233">
        <f t="shared" si="116"/>
        <v>393359115</v>
      </c>
      <c r="Z114" s="231">
        <f t="shared" si="116"/>
        <v>23328203</v>
      </c>
      <c r="AA114" s="234">
        <f t="shared" si="116"/>
        <v>416687318</v>
      </c>
      <c r="AB114" s="233">
        <f t="shared" si="116"/>
        <v>328144591</v>
      </c>
      <c r="AC114" s="231">
        <f t="shared" si="116"/>
        <v>37992069</v>
      </c>
      <c r="AD114" s="234">
        <f t="shared" si="116"/>
        <v>366136660</v>
      </c>
      <c r="AE114" s="233">
        <f t="shared" si="116"/>
        <v>242796286</v>
      </c>
      <c r="AF114" s="231">
        <f t="shared" si="116"/>
        <v>1585558</v>
      </c>
      <c r="AG114" s="234">
        <f t="shared" si="116"/>
        <v>244381844</v>
      </c>
      <c r="AH114" s="233">
        <f t="shared" si="116"/>
        <v>830175955.16666663</v>
      </c>
      <c r="AI114" s="231">
        <f t="shared" si="116"/>
        <v>880726613.16666663</v>
      </c>
      <c r="AJ114" s="232">
        <f t="shared" si="116"/>
        <v>1002481429.1666666</v>
      </c>
      <c r="AK114" s="101"/>
      <c r="AL114" s="233">
        <f>SUM(AL115:AL121)</f>
        <v>0</v>
      </c>
      <c r="AM114" s="232">
        <f>SUM(AM115:AM121)</f>
        <v>0</v>
      </c>
    </row>
    <row r="115" spans="1:39" ht="24.75" customHeight="1">
      <c r="A115" s="412">
        <f>+IF(JULIO!A115=0,"",JULIO!A115)</f>
        <v>2100</v>
      </c>
      <c r="B115" s="387" t="str">
        <f>+IF(JULIO!B115=0,"",JULIO!B115)</f>
        <v>CREDITO INTERNO</v>
      </c>
      <c r="C115" s="204">
        <f>+ENERO!C115</f>
        <v>0</v>
      </c>
      <c r="D115" s="413">
        <f>JULIO!D115+AGOSTO!P115</f>
        <v>0</v>
      </c>
      <c r="E115" s="413">
        <f>JULIO!E115+AGOSTO!Q115</f>
        <v>0</v>
      </c>
      <c r="F115" s="414">
        <f t="shared" ref="F115:F124" si="117">SUM(C115:E115)</f>
        <v>0</v>
      </c>
      <c r="G115" s="415">
        <f>JULIO!I115</f>
        <v>0</v>
      </c>
      <c r="H115" s="208">
        <v>0</v>
      </c>
      <c r="I115" s="414">
        <f t="shared" ref="I115:I124" si="118">SUM(G115:H115)</f>
        <v>0</v>
      </c>
      <c r="J115" s="415">
        <f>JULIO!L115</f>
        <v>0</v>
      </c>
      <c r="K115" s="208">
        <v>0</v>
      </c>
      <c r="L115" s="416">
        <f t="shared" ref="L115:L124" si="119">SUM(J115:K115)</f>
        <v>0</v>
      </c>
      <c r="M115" s="417">
        <f t="shared" ref="M115:M124" si="120">F115-I115</f>
        <v>0</v>
      </c>
      <c r="N115" s="416">
        <f t="shared" ref="N115:N124" si="121">F115-L115</f>
        <v>0</v>
      </c>
      <c r="O115" s="369"/>
      <c r="P115" s="204">
        <v>0</v>
      </c>
      <c r="Q115" s="210">
        <v>0</v>
      </c>
      <c r="R115" s="101"/>
      <c r="S115" s="266" t="str">
        <f>+IF(JULIO!S115=0,"",JULIO!S115)</f>
        <v>2.1.2.02.01.003.302</v>
      </c>
      <c r="T115" s="267" t="str">
        <f>+IF(JULIO!T115=0,"",JULIO!T115)</f>
        <v>Papeleria</v>
      </c>
      <c r="U115" s="373">
        <f>+ENERO!U115</f>
        <v>252782338.5</v>
      </c>
      <c r="V115" s="220">
        <f>JULIO!V115+AGOSTO!AL115</f>
        <v>0</v>
      </c>
      <c r="W115" s="220">
        <f>JULIO!W115+AGOSTO!AM115</f>
        <v>0</v>
      </c>
      <c r="X115" s="271">
        <f t="shared" ref="X115:X121" si="122">SUM(U115:W115)</f>
        <v>252782338.5</v>
      </c>
      <c r="Y115" s="270">
        <f>JULIO!AA115</f>
        <v>159648209</v>
      </c>
      <c r="Z115" s="208">
        <v>19050153</v>
      </c>
      <c r="AA115" s="271">
        <f t="shared" ref="AA115:AA121" si="123">SUM(Y115:Z115)</f>
        <v>178698362</v>
      </c>
      <c r="AB115" s="270">
        <f>JULIO!AD115</f>
        <v>131669531</v>
      </c>
      <c r="AC115" s="208">
        <v>31246832</v>
      </c>
      <c r="AD115" s="271">
        <f t="shared" ref="AD115:AD121" si="124">SUM(AB115:AC115)</f>
        <v>162916363</v>
      </c>
      <c r="AE115" s="270">
        <f>JULIO!AG115</f>
        <v>50849331</v>
      </c>
      <c r="AF115" s="208">
        <v>1585558</v>
      </c>
      <c r="AG115" s="271">
        <f t="shared" ref="AG115:AG121" si="125">SUM(AE115:AF115)</f>
        <v>52434889</v>
      </c>
      <c r="AH115" s="270">
        <f t="shared" ref="AH115:AH121" si="126">X115-AA115</f>
        <v>74083976.5</v>
      </c>
      <c r="AI115" s="220">
        <f t="shared" ref="AI115:AI121" si="127">X115-AD115</f>
        <v>89865975.5</v>
      </c>
      <c r="AJ115" s="269">
        <f t="shared" ref="AJ115:AJ121" si="128">X115-AG115</f>
        <v>200347449.5</v>
      </c>
      <c r="AK115" s="101"/>
      <c r="AL115" s="204">
        <v>0</v>
      </c>
      <c r="AM115" s="210">
        <v>0</v>
      </c>
    </row>
    <row r="116" spans="1:39" ht="24.75" customHeight="1">
      <c r="A116" s="412" t="str">
        <f>+IF(JULIO!A116=0,"",JULIO!A116)</f>
        <v>2100-1</v>
      </c>
      <c r="B116" s="388" t="str">
        <f>+IF(JULIO!B116=0,"",JULIO!B116)</f>
        <v>Vigencia Anterior</v>
      </c>
      <c r="C116" s="204">
        <f>+ENERO!C116</f>
        <v>0</v>
      </c>
      <c r="D116" s="413">
        <f>JULIO!D116+AGOSTO!P116</f>
        <v>0</v>
      </c>
      <c r="E116" s="413">
        <f>JULIO!E116+AGOSTO!Q116</f>
        <v>0</v>
      </c>
      <c r="F116" s="414">
        <f t="shared" si="117"/>
        <v>0</v>
      </c>
      <c r="G116" s="415">
        <f>JULIO!I116</f>
        <v>0</v>
      </c>
      <c r="H116" s="208">
        <v>0</v>
      </c>
      <c r="I116" s="414">
        <f t="shared" si="118"/>
        <v>0</v>
      </c>
      <c r="J116" s="415">
        <f>JULIO!L116</f>
        <v>0</v>
      </c>
      <c r="K116" s="208">
        <v>0</v>
      </c>
      <c r="L116" s="416">
        <f t="shared" si="119"/>
        <v>0</v>
      </c>
      <c r="M116" s="417">
        <f t="shared" si="120"/>
        <v>0</v>
      </c>
      <c r="N116" s="416">
        <f t="shared" si="121"/>
        <v>0</v>
      </c>
      <c r="O116" s="369"/>
      <c r="P116" s="204">
        <v>0</v>
      </c>
      <c r="Q116" s="210">
        <v>0</v>
      </c>
      <c r="R116" s="101"/>
      <c r="S116" s="266" t="str">
        <f>+IF(JULIO!S116=0,"",JULIO!S116)</f>
        <v>2.1.2.02.01.003.301</v>
      </c>
      <c r="T116" s="267" t="str">
        <f>+IF(JULIO!T116=0,"",JULIO!T116)</f>
        <v>Combustible</v>
      </c>
      <c r="U116" s="373">
        <f>+ENERO!U116</f>
        <v>77916666.666666657</v>
      </c>
      <c r="V116" s="220">
        <f>JULIO!V116+AGOSTO!AL116</f>
        <v>0</v>
      </c>
      <c r="W116" s="220">
        <f>JULIO!W116+AGOSTO!AM116</f>
        <v>0</v>
      </c>
      <c r="X116" s="271">
        <f t="shared" si="122"/>
        <v>77916666.666666657</v>
      </c>
      <c r="Y116" s="270">
        <f>JULIO!AA116</f>
        <v>60000000</v>
      </c>
      <c r="Z116" s="208">
        <v>0</v>
      </c>
      <c r="AA116" s="271">
        <f t="shared" si="123"/>
        <v>60000000</v>
      </c>
      <c r="AB116" s="270">
        <f>JULIO!AD116</f>
        <v>22764154</v>
      </c>
      <c r="AC116" s="208">
        <v>3309707</v>
      </c>
      <c r="AD116" s="271">
        <f t="shared" si="124"/>
        <v>26073861</v>
      </c>
      <c r="AE116" s="270">
        <f>JULIO!AG116</f>
        <v>18236049</v>
      </c>
      <c r="AF116" s="208">
        <v>0</v>
      </c>
      <c r="AG116" s="271">
        <f t="shared" si="125"/>
        <v>18236049</v>
      </c>
      <c r="AH116" s="270">
        <f t="shared" si="126"/>
        <v>17916666.666666657</v>
      </c>
      <c r="AI116" s="220">
        <f t="shared" si="127"/>
        <v>51842805.666666657</v>
      </c>
      <c r="AJ116" s="269">
        <f t="shared" si="128"/>
        <v>59680617.666666657</v>
      </c>
      <c r="AK116" s="101"/>
      <c r="AL116" s="204">
        <v>0</v>
      </c>
      <c r="AM116" s="210">
        <v>0</v>
      </c>
    </row>
    <row r="117" spans="1:39" ht="24.75" customHeight="1">
      <c r="A117" s="412">
        <f>+IF(JULIO!A117=0,"",JULIO!A117)</f>
        <v>2200</v>
      </c>
      <c r="B117" s="387" t="str">
        <f>+IF(JULIO!B117=0,"",JULIO!B117)</f>
        <v>CREDITO EXTERNO</v>
      </c>
      <c r="C117" s="204">
        <f>+ENERO!C117</f>
        <v>0</v>
      </c>
      <c r="D117" s="413">
        <f>JULIO!D117+AGOSTO!P117</f>
        <v>0</v>
      </c>
      <c r="E117" s="413">
        <f>JULIO!E117+AGOSTO!Q117</f>
        <v>0</v>
      </c>
      <c r="F117" s="414">
        <f t="shared" si="117"/>
        <v>0</v>
      </c>
      <c r="G117" s="415">
        <f>JULIO!I117</f>
        <v>0</v>
      </c>
      <c r="H117" s="208">
        <v>0</v>
      </c>
      <c r="I117" s="414">
        <f t="shared" si="118"/>
        <v>0</v>
      </c>
      <c r="J117" s="415">
        <f>JULIO!L117</f>
        <v>0</v>
      </c>
      <c r="K117" s="208">
        <v>0</v>
      </c>
      <c r="L117" s="416">
        <f t="shared" si="119"/>
        <v>0</v>
      </c>
      <c r="M117" s="417">
        <f t="shared" si="120"/>
        <v>0</v>
      </c>
      <c r="N117" s="416">
        <f t="shared" si="121"/>
        <v>0</v>
      </c>
      <c r="O117" s="369"/>
      <c r="P117" s="204">
        <v>0</v>
      </c>
      <c r="Q117" s="210">
        <v>0</v>
      </c>
      <c r="R117" s="101"/>
      <c r="S117" s="266" t="str">
        <f>+IF(JULIO!S117=0,"",JULIO!S117)</f>
        <v>2.1.3.07.02.031</v>
      </c>
      <c r="T117" s="267" t="str">
        <f>+IF(JULIO!T117=0,"",JULIO!T117)</f>
        <v>Programa de Salud Ocupacional</v>
      </c>
      <c r="U117" s="373">
        <f>+ENERO!U117</f>
        <v>20000000</v>
      </c>
      <c r="V117" s="220">
        <f>JULIO!V117+AGOSTO!AL117</f>
        <v>0</v>
      </c>
      <c r="W117" s="220">
        <f>JULIO!W117+AGOSTO!AM117</f>
        <v>0</v>
      </c>
      <c r="X117" s="271">
        <f t="shared" si="122"/>
        <v>20000000</v>
      </c>
      <c r="Y117" s="270">
        <f>JULIO!AA117</f>
        <v>0</v>
      </c>
      <c r="Z117" s="208">
        <v>4278050</v>
      </c>
      <c r="AA117" s="271">
        <f t="shared" si="123"/>
        <v>4278050</v>
      </c>
      <c r="AB117" s="270">
        <f>JULIO!AD117</f>
        <v>0</v>
      </c>
      <c r="AC117" s="208">
        <v>3435530</v>
      </c>
      <c r="AD117" s="271">
        <f t="shared" si="124"/>
        <v>3435530</v>
      </c>
      <c r="AE117" s="270">
        <f>JULIO!AG117</f>
        <v>0</v>
      </c>
      <c r="AF117" s="208">
        <v>0</v>
      </c>
      <c r="AG117" s="271">
        <f t="shared" si="125"/>
        <v>0</v>
      </c>
      <c r="AH117" s="270">
        <f t="shared" si="126"/>
        <v>15721950</v>
      </c>
      <c r="AI117" s="220">
        <f t="shared" si="127"/>
        <v>16564470</v>
      </c>
      <c r="AJ117" s="269">
        <f t="shared" si="128"/>
        <v>20000000</v>
      </c>
      <c r="AK117" s="101"/>
      <c r="AL117" s="204">
        <v>0</v>
      </c>
      <c r="AM117" s="210">
        <v>0</v>
      </c>
    </row>
    <row r="118" spans="1:39" ht="24.75" customHeight="1">
      <c r="A118" s="412" t="str">
        <f>+IF(JULIO!A118=0,"",JULIO!A118)</f>
        <v>2200-1</v>
      </c>
      <c r="B118" s="388" t="str">
        <f>+IF(JULIO!B118=0,"",JULIO!B118)</f>
        <v>Vigencia Anterior</v>
      </c>
      <c r="C118" s="204">
        <f>+ENERO!C118</f>
        <v>0</v>
      </c>
      <c r="D118" s="413">
        <f>JULIO!D118+AGOSTO!P118</f>
        <v>0</v>
      </c>
      <c r="E118" s="413">
        <f>JULIO!E118+AGOSTO!Q118</f>
        <v>0</v>
      </c>
      <c r="F118" s="414">
        <f t="shared" si="117"/>
        <v>0</v>
      </c>
      <c r="G118" s="415">
        <f>JULIO!I118</f>
        <v>0</v>
      </c>
      <c r="H118" s="208">
        <v>0</v>
      </c>
      <c r="I118" s="414">
        <f t="shared" si="118"/>
        <v>0</v>
      </c>
      <c r="J118" s="415">
        <f>JULIO!L118</f>
        <v>0</v>
      </c>
      <c r="K118" s="208">
        <v>0</v>
      </c>
      <c r="L118" s="416">
        <f t="shared" si="119"/>
        <v>0</v>
      </c>
      <c r="M118" s="417">
        <f t="shared" si="120"/>
        <v>0</v>
      </c>
      <c r="N118" s="416">
        <f t="shared" si="121"/>
        <v>0</v>
      </c>
      <c r="O118" s="369"/>
      <c r="P118" s="204">
        <v>0</v>
      </c>
      <c r="Q118" s="210">
        <v>0</v>
      </c>
      <c r="R118" s="101"/>
      <c r="S118" s="266" t="str">
        <f>+IF(JULIO!S118=0,"",JULIO!S118)</f>
        <v>2.1.2.02.01.003.307</v>
      </c>
      <c r="T118" s="267" t="str">
        <f>+IF(JULIO!T118=0,"",JULIO!T118)</f>
        <v>Mantenimiento - Bienes Ambiental y Sanitaria</v>
      </c>
      <c r="U118" s="373">
        <f>+ENERO!U118</f>
        <v>15180000</v>
      </c>
      <c r="V118" s="220">
        <f>JULIO!V118+AGOSTO!AL118</f>
        <v>0</v>
      </c>
      <c r="W118" s="220">
        <f>JULIO!W118+AGOSTO!AM118</f>
        <v>0</v>
      </c>
      <c r="X118" s="271">
        <f t="shared" si="122"/>
        <v>15180000</v>
      </c>
      <c r="Y118" s="270">
        <f>JULIO!AA118</f>
        <v>0</v>
      </c>
      <c r="Z118" s="208">
        <v>0</v>
      </c>
      <c r="AA118" s="271">
        <f t="shared" si="123"/>
        <v>0</v>
      </c>
      <c r="AB118" s="270">
        <f>JULIO!AD118</f>
        <v>0</v>
      </c>
      <c r="AC118" s="208">
        <v>0</v>
      </c>
      <c r="AD118" s="271">
        <f t="shared" si="124"/>
        <v>0</v>
      </c>
      <c r="AE118" s="270">
        <f>JULIO!AG118</f>
        <v>0</v>
      </c>
      <c r="AF118" s="208">
        <v>0</v>
      </c>
      <c r="AG118" s="271">
        <f t="shared" si="125"/>
        <v>0</v>
      </c>
      <c r="AH118" s="270">
        <f t="shared" si="126"/>
        <v>15180000</v>
      </c>
      <c r="AI118" s="220">
        <f t="shared" si="127"/>
        <v>15180000</v>
      </c>
      <c r="AJ118" s="269">
        <f t="shared" si="128"/>
        <v>15180000</v>
      </c>
      <c r="AK118" s="101"/>
      <c r="AL118" s="204">
        <v>0</v>
      </c>
      <c r="AM118" s="210">
        <v>0</v>
      </c>
    </row>
    <row r="119" spans="1:39" ht="24.75" customHeight="1">
      <c r="A119" s="412" t="str">
        <f>+IF(JULIO!A119=0,"",JULIO!A119)</f>
        <v>1.2.05.02</v>
      </c>
      <c r="B119" s="387" t="str">
        <f>+IF(JULIO!B119=0,"",JULIO!B119)</f>
        <v>Depositos (RENDIMIENTOS FINANCIEROS)</v>
      </c>
      <c r="C119" s="204">
        <f>+ENERO!C119</f>
        <v>0</v>
      </c>
      <c r="D119" s="413">
        <f>JULIO!D119+AGOSTO!P119</f>
        <v>0</v>
      </c>
      <c r="E119" s="413">
        <f>JULIO!E119+AGOSTO!Q119</f>
        <v>0</v>
      </c>
      <c r="F119" s="414">
        <f t="shared" si="117"/>
        <v>0</v>
      </c>
      <c r="G119" s="207">
        <f>JULIO!I119</f>
        <v>0</v>
      </c>
      <c r="H119" s="208">
        <v>0</v>
      </c>
      <c r="I119" s="419">
        <f t="shared" si="118"/>
        <v>0</v>
      </c>
      <c r="J119" s="207">
        <f>JULIO!L119</f>
        <v>0</v>
      </c>
      <c r="K119" s="208">
        <v>0</v>
      </c>
      <c r="L119" s="206">
        <f t="shared" si="119"/>
        <v>0</v>
      </c>
      <c r="M119" s="420">
        <f t="shared" si="120"/>
        <v>0</v>
      </c>
      <c r="N119" s="206">
        <f t="shared" si="121"/>
        <v>0</v>
      </c>
      <c r="O119" s="369"/>
      <c r="P119" s="204">
        <v>0</v>
      </c>
      <c r="Q119" s="210">
        <v>0</v>
      </c>
      <c r="R119" s="101"/>
      <c r="S119" s="266" t="str">
        <f>+IF(JULIO!S119=0,"",JULIO!S119)</f>
        <v>2.1.2.02.01.003.305</v>
      </c>
      <c r="T119" s="267" t="str">
        <f>+IF(JULIO!T119=0,"",JULIO!T119)</f>
        <v>Mantenimiento -  Partes, accesorios, herramientas</v>
      </c>
      <c r="U119" s="373">
        <f>+ENERO!U119</f>
        <v>0</v>
      </c>
      <c r="V119" s="220">
        <f>JULIO!V119+AGOSTO!AL119</f>
        <v>0</v>
      </c>
      <c r="W119" s="220">
        <f>JULIO!W119+AGOSTO!AM119</f>
        <v>0</v>
      </c>
      <c r="X119" s="271">
        <f t="shared" si="122"/>
        <v>0</v>
      </c>
      <c r="Y119" s="270">
        <f>JULIO!AA119</f>
        <v>0</v>
      </c>
      <c r="Z119" s="208">
        <v>0</v>
      </c>
      <c r="AA119" s="271">
        <f t="shared" si="123"/>
        <v>0</v>
      </c>
      <c r="AB119" s="270">
        <f>JULIO!AD119</f>
        <v>0</v>
      </c>
      <c r="AC119" s="208">
        <v>0</v>
      </c>
      <c r="AD119" s="271">
        <f t="shared" si="124"/>
        <v>0</v>
      </c>
      <c r="AE119" s="270">
        <f>JULIO!AG119</f>
        <v>0</v>
      </c>
      <c r="AF119" s="208">
        <v>0</v>
      </c>
      <c r="AG119" s="271">
        <f t="shared" si="125"/>
        <v>0</v>
      </c>
      <c r="AH119" s="270">
        <f t="shared" si="126"/>
        <v>0</v>
      </c>
      <c r="AI119" s="220">
        <f t="shared" si="127"/>
        <v>0</v>
      </c>
      <c r="AJ119" s="269">
        <f t="shared" si="128"/>
        <v>0</v>
      </c>
      <c r="AK119" s="101"/>
      <c r="AL119" s="204">
        <v>0</v>
      </c>
      <c r="AM119" s="210">
        <v>0</v>
      </c>
    </row>
    <row r="120" spans="1:39" ht="24.75" customHeight="1">
      <c r="A120" s="421">
        <f>+IF(JULIO!A120=0,"",JULIO!A120)</f>
        <v>2400</v>
      </c>
      <c r="B120" s="388" t="str">
        <f>+IF(JULIO!B120=0,"",JULIO!B120)</f>
        <v>VENTA DE ACTIVOS</v>
      </c>
      <c r="C120" s="204">
        <f>+ENERO!C120</f>
        <v>0</v>
      </c>
      <c r="D120" s="413">
        <f>JULIO!D120+AGOSTO!P120</f>
        <v>0</v>
      </c>
      <c r="E120" s="413">
        <f>JULIO!E120+AGOSTO!Q120</f>
        <v>0</v>
      </c>
      <c r="F120" s="414">
        <f t="shared" si="117"/>
        <v>0</v>
      </c>
      <c r="G120" s="207">
        <f>JULIO!I120</f>
        <v>0</v>
      </c>
      <c r="H120" s="208">
        <v>0</v>
      </c>
      <c r="I120" s="419">
        <f t="shared" si="118"/>
        <v>0</v>
      </c>
      <c r="J120" s="207">
        <f>JULIO!L120</f>
        <v>0</v>
      </c>
      <c r="K120" s="208">
        <v>0</v>
      </c>
      <c r="L120" s="206">
        <f t="shared" si="119"/>
        <v>0</v>
      </c>
      <c r="M120" s="420">
        <f t="shared" si="120"/>
        <v>0</v>
      </c>
      <c r="N120" s="206">
        <f t="shared" si="121"/>
        <v>0</v>
      </c>
      <c r="O120" s="67"/>
      <c r="P120" s="204">
        <v>0</v>
      </c>
      <c r="Q120" s="210">
        <v>0</v>
      </c>
      <c r="R120" s="101"/>
      <c r="S120" s="266" t="str">
        <f>+IF(JULIO!S120=0,"",JULIO!S120)</f>
        <v>2.1.2.02.01.003.308</v>
      </c>
      <c r="T120" s="267" t="str">
        <f>+IF(JULIO!T120=0,"",JULIO!T120)</f>
        <v>Mantenimiento - Bienes Adecuaciones locativas</v>
      </c>
      <c r="U120" s="373">
        <f>+ENERO!U120</f>
        <v>704984268</v>
      </c>
      <c r="V120" s="220">
        <f>JULIO!V120+AGOSTO!AL120</f>
        <v>0</v>
      </c>
      <c r="W120" s="220">
        <f>JULIO!W120+AGOSTO!AM120</f>
        <v>0</v>
      </c>
      <c r="X120" s="271">
        <f t="shared" si="122"/>
        <v>704984268</v>
      </c>
      <c r="Y120" s="270">
        <f>JULIO!AA120</f>
        <v>0</v>
      </c>
      <c r="Z120" s="208">
        <v>0</v>
      </c>
      <c r="AA120" s="271">
        <f t="shared" si="123"/>
        <v>0</v>
      </c>
      <c r="AB120" s="270">
        <f>JULIO!AD120</f>
        <v>0</v>
      </c>
      <c r="AC120" s="208">
        <v>0</v>
      </c>
      <c r="AD120" s="271">
        <f t="shared" si="124"/>
        <v>0</v>
      </c>
      <c r="AE120" s="270">
        <f>JULIO!AG120</f>
        <v>0</v>
      </c>
      <c r="AF120" s="208">
        <v>0</v>
      </c>
      <c r="AG120" s="271">
        <f t="shared" si="125"/>
        <v>0</v>
      </c>
      <c r="AH120" s="270">
        <f t="shared" si="126"/>
        <v>704984268</v>
      </c>
      <c r="AI120" s="220">
        <f t="shared" si="127"/>
        <v>704984268</v>
      </c>
      <c r="AJ120" s="269">
        <f t="shared" si="128"/>
        <v>704984268</v>
      </c>
      <c r="AK120" s="101"/>
      <c r="AL120" s="204">
        <v>0</v>
      </c>
      <c r="AM120" s="210">
        <v>0</v>
      </c>
    </row>
    <row r="121" spans="1:39" ht="24.75" customHeight="1">
      <c r="A121" s="421">
        <f>+IF(JULIO!A121=0,"",JULIO!A121)</f>
        <v>2500</v>
      </c>
      <c r="B121" s="388" t="str">
        <f>+IF(JULIO!B121=0,"",JULIO!B121)</f>
        <v>DONACIONES</v>
      </c>
      <c r="C121" s="204">
        <f>+ENERO!C121</f>
        <v>0</v>
      </c>
      <c r="D121" s="413">
        <f>JULIO!D121+AGOSTO!P121</f>
        <v>0</v>
      </c>
      <c r="E121" s="413">
        <f>JULIO!E121+AGOSTO!Q121</f>
        <v>0</v>
      </c>
      <c r="F121" s="414">
        <f t="shared" si="117"/>
        <v>0</v>
      </c>
      <c r="G121" s="207">
        <f>JULIO!I121</f>
        <v>0</v>
      </c>
      <c r="H121" s="208">
        <v>0</v>
      </c>
      <c r="I121" s="419">
        <f t="shared" si="118"/>
        <v>0</v>
      </c>
      <c r="J121" s="207">
        <f>JULIO!L121</f>
        <v>0</v>
      </c>
      <c r="K121" s="208">
        <v>0</v>
      </c>
      <c r="L121" s="206">
        <f t="shared" si="119"/>
        <v>0</v>
      </c>
      <c r="M121" s="420">
        <f t="shared" si="120"/>
        <v>0</v>
      </c>
      <c r="N121" s="206">
        <f t="shared" si="121"/>
        <v>0</v>
      </c>
      <c r="O121" s="67"/>
      <c r="P121" s="204">
        <v>0</v>
      </c>
      <c r="Q121" s="210">
        <v>0</v>
      </c>
      <c r="R121" s="101"/>
      <c r="S121" s="266" t="str">
        <f>+IF(JULIO!S121=0,"",JULIO!S121)</f>
        <v>2.1.2.02.02.008.99.02</v>
      </c>
      <c r="T121" s="267" t="str">
        <f>+IF(JULIO!T121=0,"",JULIO!T121)</f>
        <v>Vigencias Anteriores</v>
      </c>
      <c r="U121" s="373">
        <f>+ENERO!U121</f>
        <v>176000000</v>
      </c>
      <c r="V121" s="220">
        <f>JULIO!V121+AGOSTO!AL121</f>
        <v>0</v>
      </c>
      <c r="W121" s="220">
        <f>JULIO!W121+AGOSTO!AM121</f>
        <v>0</v>
      </c>
      <c r="X121" s="271">
        <f t="shared" si="122"/>
        <v>176000000</v>
      </c>
      <c r="Y121" s="270">
        <f>JULIO!AA121</f>
        <v>173710906</v>
      </c>
      <c r="Z121" s="208">
        <v>0</v>
      </c>
      <c r="AA121" s="271">
        <f t="shared" si="123"/>
        <v>173710906</v>
      </c>
      <c r="AB121" s="270">
        <f>JULIO!AD121</f>
        <v>173710906</v>
      </c>
      <c r="AC121" s="208">
        <v>0</v>
      </c>
      <c r="AD121" s="271">
        <f t="shared" si="124"/>
        <v>173710906</v>
      </c>
      <c r="AE121" s="270">
        <f>JULIO!AG121</f>
        <v>173710906</v>
      </c>
      <c r="AF121" s="208">
        <v>0</v>
      </c>
      <c r="AG121" s="271">
        <f t="shared" si="125"/>
        <v>173710906</v>
      </c>
      <c r="AH121" s="270">
        <f t="shared" si="126"/>
        <v>2289094</v>
      </c>
      <c r="AI121" s="220">
        <f t="shared" si="127"/>
        <v>2289094</v>
      </c>
      <c r="AJ121" s="269">
        <f t="shared" si="128"/>
        <v>2289094</v>
      </c>
      <c r="AK121" s="101"/>
      <c r="AL121" s="204">
        <v>0</v>
      </c>
      <c r="AM121" s="210">
        <v>0</v>
      </c>
    </row>
    <row r="122" spans="1:39" ht="24.75" customHeight="1">
      <c r="A122" s="421">
        <f>+IF(JULIO!A122=0,"",JULIO!A122)</f>
        <v>2600</v>
      </c>
      <c r="B122" s="388" t="str">
        <f>+IF(JULIO!B122=0,"",JULIO!B122)</f>
        <v>RECUPERACIÓN DE CARTERA (AÑO 2023 Y ANTERIORES)</v>
      </c>
      <c r="C122" s="204">
        <f>+ENERO!C122</f>
        <v>0</v>
      </c>
      <c r="D122" s="413">
        <f>JULIO!D122+AGOSTO!P122</f>
        <v>0</v>
      </c>
      <c r="E122" s="413">
        <f>JULIO!E122+AGOSTO!Q122</f>
        <v>0</v>
      </c>
      <c r="F122" s="414">
        <f t="shared" si="117"/>
        <v>0</v>
      </c>
      <c r="G122" s="207">
        <f>JULIO!I122</f>
        <v>0</v>
      </c>
      <c r="H122" s="208">
        <v>0</v>
      </c>
      <c r="I122" s="419">
        <f t="shared" si="118"/>
        <v>0</v>
      </c>
      <c r="J122" s="207">
        <f>JULIO!L122</f>
        <v>0</v>
      </c>
      <c r="K122" s="208">
        <v>0</v>
      </c>
      <c r="L122" s="206">
        <f t="shared" si="119"/>
        <v>0</v>
      </c>
      <c r="M122" s="420">
        <f t="shared" si="120"/>
        <v>0</v>
      </c>
      <c r="N122" s="206">
        <f t="shared" si="121"/>
        <v>0</v>
      </c>
      <c r="O122" s="67"/>
      <c r="P122" s="204">
        <v>0</v>
      </c>
      <c r="Q122" s="210">
        <v>0</v>
      </c>
      <c r="R122" s="101"/>
      <c r="S122" s="189" t="str">
        <f>+IF(JULIO!S122=0,"",JULIO!S122)</f>
        <v/>
      </c>
      <c r="T122" s="488" t="str">
        <f>+IF(JULIO!T122=0,"",JULIO!T122)</f>
        <v/>
      </c>
      <c r="U122" s="191"/>
      <c r="V122" s="191"/>
      <c r="W122" s="191"/>
      <c r="X122" s="191"/>
      <c r="Y122" s="191"/>
      <c r="Z122" s="191"/>
      <c r="AA122" s="191"/>
      <c r="AB122" s="191"/>
      <c r="AC122" s="191"/>
      <c r="AD122" s="191"/>
      <c r="AE122" s="191"/>
      <c r="AF122" s="191"/>
      <c r="AG122" s="191"/>
      <c r="AH122" s="191"/>
      <c r="AI122" s="191"/>
      <c r="AJ122" s="192"/>
      <c r="AK122" s="101"/>
      <c r="AL122" s="370"/>
      <c r="AM122" s="371"/>
    </row>
    <row r="123" spans="1:39" ht="24.75" customHeight="1">
      <c r="A123" s="421">
        <f>+IF(JULIO!A123=0,"",JULIO!A123)</f>
        <v>2700</v>
      </c>
      <c r="B123" s="388" t="str">
        <f>+IF(JULIO!B123=0,"",JULIO!B123)</f>
        <v>OTROS INGRESOS DE CAPITAL</v>
      </c>
      <c r="C123" s="204">
        <f>+ENERO!C123</f>
        <v>0</v>
      </c>
      <c r="D123" s="413">
        <f>JULIO!D123+AGOSTO!P123</f>
        <v>0</v>
      </c>
      <c r="E123" s="413">
        <f>JULIO!E123+AGOSTO!Q123</f>
        <v>0</v>
      </c>
      <c r="F123" s="414">
        <f t="shared" si="117"/>
        <v>0</v>
      </c>
      <c r="G123" s="207">
        <f>JULIO!I123</f>
        <v>0</v>
      </c>
      <c r="H123" s="208">
        <v>0</v>
      </c>
      <c r="I123" s="419">
        <f t="shared" si="118"/>
        <v>0</v>
      </c>
      <c r="J123" s="207">
        <f>JULIO!L123</f>
        <v>0</v>
      </c>
      <c r="K123" s="208">
        <v>0</v>
      </c>
      <c r="L123" s="206">
        <f t="shared" si="119"/>
        <v>0</v>
      </c>
      <c r="M123" s="420">
        <f t="shared" si="120"/>
        <v>0</v>
      </c>
      <c r="N123" s="206">
        <f t="shared" si="121"/>
        <v>0</v>
      </c>
      <c r="O123" s="67"/>
      <c r="P123" s="204">
        <v>0</v>
      </c>
      <c r="Q123" s="210">
        <v>0</v>
      </c>
      <c r="R123" s="101"/>
      <c r="S123" s="257">
        <f>+IF(JULIO!S123=0,"",JULIO!S123)</f>
        <v>2010200</v>
      </c>
      <c r="T123" s="546" t="str">
        <f>+IF(JULIO!T123=0,"",JULIO!T123)</f>
        <v>Adquisición de Servicios</v>
      </c>
      <c r="U123" s="230">
        <f t="shared" ref="U123:AJ123" si="129">SUM(U124:U139)</f>
        <v>8280375089.2777777</v>
      </c>
      <c r="V123" s="231">
        <f t="shared" si="129"/>
        <v>-730062130</v>
      </c>
      <c r="W123" s="231">
        <f t="shared" si="129"/>
        <v>169879991</v>
      </c>
      <c r="X123" s="234">
        <f t="shared" si="129"/>
        <v>7720192950.2777777</v>
      </c>
      <c r="Y123" s="233">
        <f t="shared" si="129"/>
        <v>6318163386</v>
      </c>
      <c r="Z123" s="231">
        <f t="shared" si="129"/>
        <v>529524667</v>
      </c>
      <c r="AA123" s="234">
        <f t="shared" si="129"/>
        <v>6847688053</v>
      </c>
      <c r="AB123" s="233">
        <f t="shared" si="129"/>
        <v>4801326543</v>
      </c>
      <c r="AC123" s="231">
        <f t="shared" si="129"/>
        <v>738998970</v>
      </c>
      <c r="AD123" s="234">
        <f t="shared" si="129"/>
        <v>5540325513</v>
      </c>
      <c r="AE123" s="233">
        <f t="shared" si="129"/>
        <v>4322287413</v>
      </c>
      <c r="AF123" s="231">
        <f t="shared" si="129"/>
        <v>518220861</v>
      </c>
      <c r="AG123" s="234">
        <f t="shared" si="129"/>
        <v>4840508274</v>
      </c>
      <c r="AH123" s="233">
        <f t="shared" si="129"/>
        <v>872504897.27777743</v>
      </c>
      <c r="AI123" s="231">
        <f t="shared" si="129"/>
        <v>2179867437.2777777</v>
      </c>
      <c r="AJ123" s="232">
        <f t="shared" si="129"/>
        <v>2879684676.2777777</v>
      </c>
      <c r="AK123" s="101"/>
      <c r="AL123" s="233">
        <f>SUM(AL124:AL139)</f>
        <v>0</v>
      </c>
      <c r="AM123" s="232">
        <f>SUM(AM124:AM139)</f>
        <v>0</v>
      </c>
    </row>
    <row r="124" spans="1:39" ht="24.75" customHeight="1" thickBot="1">
      <c r="A124" s="428">
        <f>+IF(JULIO!A124=0,"",JULIO!A124)</f>
        <v>2800</v>
      </c>
      <c r="B124" s="390" t="str">
        <f>+IF(JULIO!B124=0,"",JULIO!B124)</f>
        <v/>
      </c>
      <c r="C124" s="242">
        <f>+ENERO!C124</f>
        <v>0</v>
      </c>
      <c r="D124" s="429">
        <f>JULIO!D124+AGOSTO!P124</f>
        <v>0</v>
      </c>
      <c r="E124" s="429">
        <f>JULIO!E124+AGOSTO!Q124</f>
        <v>0</v>
      </c>
      <c r="F124" s="430">
        <f t="shared" si="117"/>
        <v>0</v>
      </c>
      <c r="G124" s="245">
        <f>JULIO!I124</f>
        <v>0</v>
      </c>
      <c r="H124" s="246">
        <v>0</v>
      </c>
      <c r="I124" s="431">
        <f t="shared" si="118"/>
        <v>0</v>
      </c>
      <c r="J124" s="245">
        <f>JULIO!L124</f>
        <v>0</v>
      </c>
      <c r="K124" s="246">
        <v>0</v>
      </c>
      <c r="L124" s="244">
        <f t="shared" si="119"/>
        <v>0</v>
      </c>
      <c r="M124" s="432">
        <f t="shared" si="120"/>
        <v>0</v>
      </c>
      <c r="N124" s="244">
        <f t="shared" si="121"/>
        <v>0</v>
      </c>
      <c r="O124" s="67"/>
      <c r="P124" s="242">
        <v>0</v>
      </c>
      <c r="Q124" s="248">
        <v>0</v>
      </c>
      <c r="R124" s="101"/>
      <c r="S124" s="266" t="str">
        <f>+IF(JULIO!S124=0,"",JULIO!S124)</f>
        <v>2.1.2.02.02.007.702</v>
      </c>
      <c r="T124" s="267" t="str">
        <f>+IF(JULIO!T124=0,"",JULIO!T124)</f>
        <v>Seguros</v>
      </c>
      <c r="U124" s="373">
        <f>+ENERO!U124</f>
        <v>1040000000</v>
      </c>
      <c r="V124" s="220">
        <f>JULIO!V124+AGOSTO!AL124</f>
        <v>-75000000</v>
      </c>
      <c r="W124" s="220">
        <f>JULIO!W124+AGOSTO!AM124</f>
        <v>0</v>
      </c>
      <c r="X124" s="271">
        <f t="shared" ref="X124:X139" si="130">SUM(U124:W124)</f>
        <v>965000000</v>
      </c>
      <c r="Y124" s="270">
        <f>JULIO!AA124</f>
        <v>881018227</v>
      </c>
      <c r="Z124" s="208">
        <v>0</v>
      </c>
      <c r="AA124" s="271">
        <f t="shared" ref="AA124:AA139" si="131">SUM(Y124:Z124)</f>
        <v>881018227</v>
      </c>
      <c r="AB124" s="270">
        <f>JULIO!AD124</f>
        <v>880699574</v>
      </c>
      <c r="AC124" s="208">
        <v>0</v>
      </c>
      <c r="AD124" s="271">
        <f t="shared" ref="AD124:AD139" si="132">SUM(AB124:AC124)</f>
        <v>880699574</v>
      </c>
      <c r="AE124" s="270">
        <f>JULIO!AG124</f>
        <v>879214668</v>
      </c>
      <c r="AF124" s="208">
        <v>714000</v>
      </c>
      <c r="AG124" s="271">
        <f t="shared" ref="AG124:AG139" si="133">SUM(AE124:AF124)</f>
        <v>879928668</v>
      </c>
      <c r="AH124" s="270">
        <f t="shared" ref="AH124:AH139" si="134">X124-AA124</f>
        <v>83981773</v>
      </c>
      <c r="AI124" s="220">
        <f t="shared" ref="AI124:AI139" si="135">X124-AD124</f>
        <v>84300426</v>
      </c>
      <c r="AJ124" s="269">
        <f t="shared" ref="AJ124:AJ139" si="136">X124-AG124</f>
        <v>85071332</v>
      </c>
      <c r="AK124" s="101"/>
      <c r="AL124" s="204">
        <v>0</v>
      </c>
      <c r="AM124" s="210">
        <v>0</v>
      </c>
    </row>
    <row r="125" spans="1:39" ht="24.75" customHeight="1" thickBot="1">
      <c r="A125" s="398"/>
      <c r="B125" s="399"/>
      <c r="C125" s="400"/>
      <c r="D125" s="400"/>
      <c r="E125" s="400"/>
      <c r="F125" s="400"/>
      <c r="G125" s="400"/>
      <c r="H125" s="400"/>
      <c r="I125" s="400"/>
      <c r="J125" s="400"/>
      <c r="K125" s="400"/>
      <c r="L125" s="400"/>
      <c r="M125" s="400"/>
      <c r="N125" s="401"/>
      <c r="O125" s="67"/>
      <c r="P125" s="402"/>
      <c r="Q125" s="401"/>
      <c r="R125" s="101"/>
      <c r="S125" s="266" t="str">
        <f>+IF(JULIO!S125=0,"",JULIO!S125)</f>
        <v>2.1.2.02.02.007.703</v>
      </c>
      <c r="T125" s="267" t="str">
        <f>+IF(JULIO!T125=0,"",JULIO!T125)</f>
        <v>Arrendamientos</v>
      </c>
      <c r="U125" s="373">
        <f>+ENERO!U125</f>
        <v>75000000</v>
      </c>
      <c r="V125" s="220">
        <f>JULIO!V125+AGOSTO!AL125</f>
        <v>10000000</v>
      </c>
      <c r="W125" s="220">
        <f>JULIO!W125+AGOSTO!AM125</f>
        <v>0</v>
      </c>
      <c r="X125" s="271">
        <f t="shared" si="130"/>
        <v>85000000</v>
      </c>
      <c r="Y125" s="270">
        <f>JULIO!AA125</f>
        <v>80000000</v>
      </c>
      <c r="Z125" s="208">
        <v>0</v>
      </c>
      <c r="AA125" s="271">
        <f t="shared" si="131"/>
        <v>80000000</v>
      </c>
      <c r="AB125" s="270">
        <f>JULIO!AD125</f>
        <v>45000000</v>
      </c>
      <c r="AC125" s="208">
        <v>0</v>
      </c>
      <c r="AD125" s="271">
        <f t="shared" si="132"/>
        <v>45000000</v>
      </c>
      <c r="AE125" s="270">
        <f>JULIO!AG125</f>
        <v>40000000</v>
      </c>
      <c r="AF125" s="208">
        <v>0</v>
      </c>
      <c r="AG125" s="271">
        <f t="shared" si="133"/>
        <v>40000000</v>
      </c>
      <c r="AH125" s="270">
        <f t="shared" si="134"/>
        <v>5000000</v>
      </c>
      <c r="AI125" s="220">
        <f t="shared" si="135"/>
        <v>40000000</v>
      </c>
      <c r="AJ125" s="269">
        <f t="shared" si="136"/>
        <v>45000000</v>
      </c>
      <c r="AK125" s="101"/>
      <c r="AL125" s="204">
        <v>0</v>
      </c>
      <c r="AM125" s="210">
        <v>0</v>
      </c>
    </row>
    <row r="126" spans="1:39" ht="24.75" customHeight="1" thickBot="1">
      <c r="A126" s="433" t="s">
        <v>278</v>
      </c>
      <c r="B126" s="434"/>
      <c r="C126" s="435">
        <f t="shared" ref="C126:N126" si="137">C8-C128</f>
        <v>138960268668.37653</v>
      </c>
      <c r="D126" s="435">
        <f t="shared" si="137"/>
        <v>0</v>
      </c>
      <c r="E126" s="435">
        <f t="shared" si="137"/>
        <v>23438975921</v>
      </c>
      <c r="F126" s="435">
        <f t="shared" si="137"/>
        <v>162399244589.37653</v>
      </c>
      <c r="G126" s="435">
        <f t="shared" si="137"/>
        <v>103065605739</v>
      </c>
      <c r="H126" s="435">
        <f t="shared" si="137"/>
        <v>17029698224</v>
      </c>
      <c r="I126" s="435">
        <f t="shared" si="137"/>
        <v>120075567174</v>
      </c>
      <c r="J126" s="435">
        <f t="shared" si="137"/>
        <v>42949780399</v>
      </c>
      <c r="K126" s="435">
        <f t="shared" si="137"/>
        <v>8328139216</v>
      </c>
      <c r="L126" s="435">
        <f t="shared" si="137"/>
        <v>51258182826</v>
      </c>
      <c r="M126" s="435">
        <f t="shared" si="137"/>
        <v>42323677415.376518</v>
      </c>
      <c r="N126" s="436">
        <f t="shared" si="137"/>
        <v>111141061763.37651</v>
      </c>
      <c r="O126" s="67"/>
      <c r="P126" s="437">
        <f>P8-P128</f>
        <v>0</v>
      </c>
      <c r="Q126" s="438">
        <f>Q8-Q128</f>
        <v>657553400</v>
      </c>
      <c r="R126" s="101"/>
      <c r="S126" s="266" t="str">
        <f>+IF(JULIO!S126=0,"",JULIO!S126)</f>
        <v>2.1.2.02.02.008.801</v>
      </c>
      <c r="T126" s="267" t="str">
        <f>+IF(JULIO!T126=0,"",JULIO!T126)</f>
        <v>Servicios Publicos (energia, Gas, Agua, Internet, Telefonia Fija y Movil)</v>
      </c>
      <c r="U126" s="373">
        <f>+ENERO!U126</f>
        <v>2804022659</v>
      </c>
      <c r="V126" s="220">
        <f>JULIO!V126+AGOSTO!AL126</f>
        <v>-180000000</v>
      </c>
      <c r="W126" s="220">
        <f>JULIO!W126+AGOSTO!AM126</f>
        <v>0</v>
      </c>
      <c r="X126" s="271">
        <f t="shared" si="130"/>
        <v>2624022659</v>
      </c>
      <c r="Y126" s="270">
        <f>JULIO!AA126</f>
        <v>1772238801</v>
      </c>
      <c r="Z126" s="208">
        <v>523873817</v>
      </c>
      <c r="AA126" s="271">
        <f t="shared" si="131"/>
        <v>2296112618</v>
      </c>
      <c r="AB126" s="270">
        <f>JULIO!AD126</f>
        <v>1762677901</v>
      </c>
      <c r="AC126" s="208">
        <v>305779188</v>
      </c>
      <c r="AD126" s="271">
        <f t="shared" si="132"/>
        <v>2068457089</v>
      </c>
      <c r="AE126" s="270">
        <f>JULIO!AG126</f>
        <v>1692607423</v>
      </c>
      <c r="AF126" s="208">
        <v>307257831</v>
      </c>
      <c r="AG126" s="271">
        <f t="shared" si="133"/>
        <v>1999865254</v>
      </c>
      <c r="AH126" s="270">
        <f t="shared" si="134"/>
        <v>327910041</v>
      </c>
      <c r="AI126" s="220">
        <f t="shared" si="135"/>
        <v>555565570</v>
      </c>
      <c r="AJ126" s="269">
        <f t="shared" si="136"/>
        <v>624157405</v>
      </c>
      <c r="AK126" s="101"/>
      <c r="AL126" s="204">
        <v>0</v>
      </c>
      <c r="AM126" s="210">
        <v>0</v>
      </c>
    </row>
    <row r="127" spans="1:39" ht="24.75" customHeight="1" thickBot="1">
      <c r="A127" s="556"/>
      <c r="B127" s="399"/>
      <c r="C127" s="400"/>
      <c r="D127" s="400"/>
      <c r="E127" s="400"/>
      <c r="F127" s="400"/>
      <c r="G127" s="400"/>
      <c r="H127" s="400"/>
      <c r="I127" s="400"/>
      <c r="J127" s="400"/>
      <c r="K127" s="400"/>
      <c r="L127" s="400"/>
      <c r="M127" s="400"/>
      <c r="N127" s="401"/>
      <c r="O127" s="67"/>
      <c r="P127" s="402"/>
      <c r="Q127" s="401"/>
      <c r="R127" s="101"/>
      <c r="S127" s="266" t="str">
        <f>+IF(JULIO!S127=0,"",JULIO!S127)</f>
        <v>2.1.2.02.02.006.603</v>
      </c>
      <c r="T127" s="267" t="str">
        <f>+IF(JULIO!T127=0,"",JULIO!T127)</f>
        <v>Comunicaciones y Transportes</v>
      </c>
      <c r="U127" s="373">
        <f>+ENERO!U127</f>
        <v>341244561.11111116</v>
      </c>
      <c r="V127" s="220">
        <f>JULIO!V127+AGOSTO!AL127</f>
        <v>0</v>
      </c>
      <c r="W127" s="220">
        <f>JULIO!W127+AGOSTO!AM127</f>
        <v>0</v>
      </c>
      <c r="X127" s="271">
        <f t="shared" si="130"/>
        <v>341244561.11111116</v>
      </c>
      <c r="Y127" s="270">
        <f>JULIO!AA127</f>
        <v>213853650</v>
      </c>
      <c r="Z127" s="208">
        <v>72800</v>
      </c>
      <c r="AA127" s="271">
        <f t="shared" si="131"/>
        <v>213926450</v>
      </c>
      <c r="AB127" s="270">
        <f>JULIO!AD127</f>
        <v>110117595</v>
      </c>
      <c r="AC127" s="208">
        <v>13265699</v>
      </c>
      <c r="AD127" s="271">
        <f t="shared" si="132"/>
        <v>123383294</v>
      </c>
      <c r="AE127" s="270">
        <f>JULIO!AG127</f>
        <v>71486787</v>
      </c>
      <c r="AF127" s="208">
        <v>13315859</v>
      </c>
      <c r="AG127" s="271">
        <f t="shared" si="133"/>
        <v>84802646</v>
      </c>
      <c r="AH127" s="270">
        <f t="shared" si="134"/>
        <v>127318111.11111116</v>
      </c>
      <c r="AI127" s="220">
        <f t="shared" si="135"/>
        <v>217861267.11111116</v>
      </c>
      <c r="AJ127" s="269">
        <f t="shared" si="136"/>
        <v>256441915.11111116</v>
      </c>
      <c r="AK127" s="101"/>
      <c r="AL127" s="204">
        <v>0</v>
      </c>
      <c r="AM127" s="210">
        <v>0</v>
      </c>
    </row>
    <row r="128" spans="1:39" ht="24.75" customHeight="1" thickBot="1">
      <c r="A128" s="439" t="s">
        <v>280</v>
      </c>
      <c r="B128" s="440"/>
      <c r="C128" s="876">
        <f>SUM(C124+C111+C102+C92+C83+C80+C77+C74+C71+C68+C65+C62+C59+C56+C53+C50+C47+C44+C37+C34+C31+C27+C24)</f>
        <v>19182884469.099998</v>
      </c>
      <c r="D128" s="876">
        <f>SUMIF($B8:$B$122,$B$24,D8:D122)+D122</f>
        <v>0</v>
      </c>
      <c r="E128" s="876">
        <f>SUM(E124+E111+E102+E92+E83+E80+E77+E74+E71+E68+E65+E62+E59+E56+E53+E50+E47+E44+E37+E34+E31+E27+E24)</f>
        <v>26177223554</v>
      </c>
      <c r="F128" s="876">
        <f>SUM(F124+F111+F102+F92+F83+F80+F77+F74+F71+F68+F65+F62+F59+F56+F53+F50+F47+F44+F37+F34+F31+F27+F24)</f>
        <v>45360108023.099998</v>
      </c>
      <c r="G128" s="876">
        <f>SUMIF($B8:$B$122,$B$24,G8:G122)+G122</f>
        <v>44705189804</v>
      </c>
      <c r="H128" s="876">
        <f>SUM(H124+H111+H102+H92+H83+H80+H77+H74+H71+H68+H65+H62+H59+H56+H53+H50+H47+H44+H37+H34+H31+H27+H24)</f>
        <v>3070127331</v>
      </c>
      <c r="I128" s="876">
        <f>SUM(I124+I111+I102+I92+I83+I80+I77+I74+I71+I68+I65+I62+I59+I56+I53+I50+I47+I44+I37+I34+I31+I27+I24)</f>
        <v>47795053924</v>
      </c>
      <c r="J128" s="876">
        <f>SUMIF($B8:$B$122,$B$24,J8:J122)+J1211</f>
        <v>44705189804</v>
      </c>
      <c r="K128" s="876">
        <f>SUM(K124+K111+K102+K92+K83+K80+K77+K74+K71+K68+K65+K62+K59+K56+K53+K50+K47+K44+K37+K34+K31+K27+K24)</f>
        <v>3070127331</v>
      </c>
      <c r="L128" s="876">
        <f>SUM(L124+L111+L102+L92+L83+L80+L77+L74+L71+L68+L65+L62+L59+L56+L53+L50+L47+L44+L37+L34+L31+L27+L24)</f>
        <v>47795053924</v>
      </c>
      <c r="M128" s="876">
        <f>SUMIF($B8:$B$122,$B$24,M8:M122)+M12</f>
        <v>-2434945900.9000001</v>
      </c>
      <c r="N128" s="442">
        <f>SUMIF($B8:$B$122,$B$24,N8:N122)+N122</f>
        <v>-2434945900.9000001</v>
      </c>
      <c r="O128" s="369"/>
      <c r="P128" s="441">
        <f>SUMIF($B8:$B$122,$B$24,P8:P122)+P122</f>
        <v>0</v>
      </c>
      <c r="Q128" s="443">
        <f>SUMIF($B8:$B$122,$B$24,Q8:Q122)+Q122</f>
        <v>19296265683</v>
      </c>
      <c r="R128" s="101"/>
      <c r="S128" s="266" t="str">
        <f>+IF(JULIO!S128=0,"",JULIO!S128)</f>
        <v>2.1.2.02.02.006.604</v>
      </c>
      <c r="T128" s="267" t="str">
        <f>+IF(JULIO!T128=0,"",JULIO!T128)</f>
        <v>Impresos y Publicaciones</v>
      </c>
      <c r="U128" s="373">
        <f>+ENERO!U128</f>
        <v>327220927.08333331</v>
      </c>
      <c r="V128" s="220">
        <f>JULIO!V128+AGOSTO!AL128</f>
        <v>25000000</v>
      </c>
      <c r="W128" s="220">
        <f>JULIO!W128+AGOSTO!AM128</f>
        <v>0</v>
      </c>
      <c r="X128" s="271">
        <f t="shared" si="130"/>
        <v>352220927.08333331</v>
      </c>
      <c r="Y128" s="270">
        <f>JULIO!AA128</f>
        <v>350783205</v>
      </c>
      <c r="Z128" s="208">
        <v>0</v>
      </c>
      <c r="AA128" s="271">
        <f t="shared" si="131"/>
        <v>350783205</v>
      </c>
      <c r="AB128" s="270">
        <f>JULIO!AD128</f>
        <v>228321640</v>
      </c>
      <c r="AC128" s="208">
        <v>25069415</v>
      </c>
      <c r="AD128" s="271">
        <f t="shared" si="132"/>
        <v>253391055</v>
      </c>
      <c r="AE128" s="270">
        <f>JULIO!AG128</f>
        <v>90598071</v>
      </c>
      <c r="AF128" s="208">
        <v>0</v>
      </c>
      <c r="AG128" s="271">
        <f t="shared" si="133"/>
        <v>90598071</v>
      </c>
      <c r="AH128" s="270">
        <f t="shared" si="134"/>
        <v>1437722.0833333135</v>
      </c>
      <c r="AI128" s="220">
        <f t="shared" si="135"/>
        <v>98829872.083333313</v>
      </c>
      <c r="AJ128" s="269">
        <f t="shared" si="136"/>
        <v>261622856.08333331</v>
      </c>
      <c r="AK128" s="101"/>
      <c r="AL128" s="204">
        <v>0</v>
      </c>
      <c r="AM128" s="210">
        <v>0</v>
      </c>
    </row>
    <row r="129" spans="1:39" ht="24.75" customHeight="1" thickBot="1">
      <c r="A129" s="556"/>
      <c r="B129" s="399"/>
      <c r="C129" s="400"/>
      <c r="D129" s="400"/>
      <c r="E129" s="400"/>
      <c r="F129" s="400"/>
      <c r="G129" s="400"/>
      <c r="H129" s="400"/>
      <c r="I129" s="400"/>
      <c r="J129" s="400"/>
      <c r="K129" s="400"/>
      <c r="L129" s="400"/>
      <c r="M129" s="400"/>
      <c r="N129" s="401"/>
      <c r="O129" s="67"/>
      <c r="P129" s="402"/>
      <c r="Q129" s="401"/>
      <c r="R129" s="101"/>
      <c r="S129" s="266" t="str">
        <f>+IF(JULIO!S129=0,"",JULIO!S129)</f>
        <v>2.1.2.02.02.009.905</v>
      </c>
      <c r="T129" s="267" t="str">
        <f>+IF(JULIO!T129=0,"",JULIO!T129)</f>
        <v>Servicios de Capacitacion</v>
      </c>
      <c r="U129" s="373">
        <f>+ENERO!U129</f>
        <v>41029431.25</v>
      </c>
      <c r="V129" s="220">
        <f>JULIO!V129+AGOSTO!AL129</f>
        <v>0</v>
      </c>
      <c r="W129" s="220">
        <f>JULIO!W129+AGOSTO!AM129</f>
        <v>0</v>
      </c>
      <c r="X129" s="271">
        <f t="shared" si="130"/>
        <v>41029431.25</v>
      </c>
      <c r="Y129" s="270">
        <f>JULIO!AA129</f>
        <v>8356972</v>
      </c>
      <c r="Z129" s="208">
        <v>0</v>
      </c>
      <c r="AA129" s="271">
        <f t="shared" si="131"/>
        <v>8356972</v>
      </c>
      <c r="AB129" s="270">
        <f>JULIO!AD129</f>
        <v>8356972</v>
      </c>
      <c r="AC129" s="208">
        <v>0</v>
      </c>
      <c r="AD129" s="271">
        <f t="shared" si="132"/>
        <v>8356972</v>
      </c>
      <c r="AE129" s="270">
        <f>JULIO!AG129</f>
        <v>0</v>
      </c>
      <c r="AF129" s="208">
        <v>0</v>
      </c>
      <c r="AG129" s="271">
        <f t="shared" si="133"/>
        <v>0</v>
      </c>
      <c r="AH129" s="270">
        <f t="shared" si="134"/>
        <v>32672459.25</v>
      </c>
      <c r="AI129" s="220">
        <f t="shared" si="135"/>
        <v>32672459.25</v>
      </c>
      <c r="AJ129" s="269">
        <f t="shared" si="136"/>
        <v>41029431.25</v>
      </c>
      <c r="AK129" s="101"/>
      <c r="AL129" s="204">
        <v>0</v>
      </c>
      <c r="AM129" s="210">
        <v>0</v>
      </c>
    </row>
    <row r="130" spans="1:39" ht="24.75" customHeight="1" thickBot="1">
      <c r="A130" s="444" t="s">
        <v>282</v>
      </c>
      <c r="B130" s="445"/>
      <c r="C130" s="446">
        <f t="shared" ref="C130:N130" si="138">C128+C126</f>
        <v>158143153137.47653</v>
      </c>
      <c r="D130" s="447">
        <f t="shared" si="138"/>
        <v>0</v>
      </c>
      <c r="E130" s="447">
        <f t="shared" si="138"/>
        <v>49616199475</v>
      </c>
      <c r="F130" s="448">
        <f t="shared" si="138"/>
        <v>207759352612.47653</v>
      </c>
      <c r="G130" s="446">
        <f t="shared" si="138"/>
        <v>147770795543</v>
      </c>
      <c r="H130" s="447">
        <f t="shared" si="138"/>
        <v>20099825555</v>
      </c>
      <c r="I130" s="448">
        <f t="shared" si="138"/>
        <v>167870621098</v>
      </c>
      <c r="J130" s="446">
        <f t="shared" si="138"/>
        <v>87654970203</v>
      </c>
      <c r="K130" s="447">
        <f t="shared" si="138"/>
        <v>11398266547</v>
      </c>
      <c r="L130" s="448">
        <f t="shared" si="138"/>
        <v>99053236750</v>
      </c>
      <c r="M130" s="446">
        <f t="shared" si="138"/>
        <v>39888731514.476517</v>
      </c>
      <c r="N130" s="448">
        <f t="shared" si="138"/>
        <v>108706115862.47652</v>
      </c>
      <c r="O130" s="67"/>
      <c r="P130" s="437">
        <f>P128+P126</f>
        <v>0</v>
      </c>
      <c r="Q130" s="438">
        <f>Q128+Q126</f>
        <v>19953819083</v>
      </c>
      <c r="R130" s="101"/>
      <c r="S130" s="266" t="str">
        <f>+IF(JULIO!S130=0,"",JULIO!S130)</f>
        <v>2.1.2.02.02.008.804</v>
      </c>
      <c r="T130" s="267" t="str">
        <f>+IF(JULIO!T130=0,"",JULIO!T130)</f>
        <v xml:space="preserve">Vigilancia </v>
      </c>
      <c r="U130" s="373">
        <f>+ENERO!U130</f>
        <v>2929064955.833333</v>
      </c>
      <c r="V130" s="220">
        <f>JULIO!V130+AGOSTO!AL130</f>
        <v>-566000000</v>
      </c>
      <c r="W130" s="220">
        <f>JULIO!W130+AGOSTO!AM130</f>
        <v>0</v>
      </c>
      <c r="X130" s="271">
        <f t="shared" si="130"/>
        <v>2363064955.833333</v>
      </c>
      <c r="Y130" s="270">
        <f>JULIO!AA130</f>
        <v>2320627096</v>
      </c>
      <c r="Z130" s="208">
        <v>0</v>
      </c>
      <c r="AA130" s="271">
        <f t="shared" si="131"/>
        <v>2320627096</v>
      </c>
      <c r="AB130" s="270">
        <f>JULIO!AD130</f>
        <v>1147740089</v>
      </c>
      <c r="AC130" s="208">
        <v>392401868</v>
      </c>
      <c r="AD130" s="271">
        <f t="shared" si="132"/>
        <v>1540141957</v>
      </c>
      <c r="AE130" s="270">
        <f>JULIO!AG130</f>
        <v>1147740089</v>
      </c>
      <c r="AF130" s="208">
        <v>192955871</v>
      </c>
      <c r="AG130" s="271">
        <f t="shared" si="133"/>
        <v>1340695960</v>
      </c>
      <c r="AH130" s="270">
        <f t="shared" si="134"/>
        <v>42437859.833333015</v>
      </c>
      <c r="AI130" s="220">
        <f t="shared" si="135"/>
        <v>822922998.83333302</v>
      </c>
      <c r="AJ130" s="269">
        <f t="shared" si="136"/>
        <v>1022368995.833333</v>
      </c>
      <c r="AK130" s="101"/>
      <c r="AL130" s="204">
        <v>0</v>
      </c>
      <c r="AM130" s="210">
        <v>0</v>
      </c>
    </row>
    <row r="131" spans="1:39" ht="24.75" customHeight="1">
      <c r="A131" s="542"/>
      <c r="B131" s="453"/>
      <c r="C131" s="67"/>
      <c r="D131" s="67"/>
      <c r="E131" s="67"/>
      <c r="F131" s="67"/>
      <c r="G131" s="67"/>
      <c r="H131" s="67"/>
      <c r="I131" s="67"/>
      <c r="J131" s="67"/>
      <c r="K131" s="67"/>
      <c r="L131" s="67"/>
      <c r="M131" s="67"/>
      <c r="N131" s="101"/>
      <c r="O131" s="67"/>
      <c r="P131" s="67"/>
      <c r="Q131" s="67"/>
      <c r="R131" s="101"/>
      <c r="S131" s="266" t="str">
        <f>+IF(JULIO!S131=0,"",JULIO!S131)</f>
        <v>2.1.2.02.02.009.908</v>
      </c>
      <c r="T131" s="267" t="str">
        <f>+IF(JULIO!T131=0,"",JULIO!T131)</f>
        <v>Bienestar Social</v>
      </c>
      <c r="U131" s="373">
        <f>+ENERO!U131</f>
        <v>326592555</v>
      </c>
      <c r="V131" s="220">
        <f>JULIO!V131+AGOSTO!AL131</f>
        <v>45937870</v>
      </c>
      <c r="W131" s="220">
        <f>JULIO!W131+AGOSTO!AM131</f>
        <v>169879991</v>
      </c>
      <c r="X131" s="271">
        <f t="shared" si="130"/>
        <v>542410416</v>
      </c>
      <c r="Y131" s="270">
        <f>JULIO!AA131</f>
        <v>452109314</v>
      </c>
      <c r="Z131" s="208">
        <v>5578050</v>
      </c>
      <c r="AA131" s="271">
        <f t="shared" si="131"/>
        <v>457687364</v>
      </c>
      <c r="AB131" s="270">
        <f>JULIO!AD131</f>
        <v>379922441</v>
      </c>
      <c r="AC131" s="208">
        <v>2482800</v>
      </c>
      <c r="AD131" s="271">
        <f t="shared" si="132"/>
        <v>382405241</v>
      </c>
      <c r="AE131" s="270">
        <f>JULIO!AG131</f>
        <v>162150044</v>
      </c>
      <c r="AF131" s="208">
        <v>3977300</v>
      </c>
      <c r="AG131" s="271">
        <f t="shared" si="133"/>
        <v>166127344</v>
      </c>
      <c r="AH131" s="270">
        <f t="shared" si="134"/>
        <v>84723052</v>
      </c>
      <c r="AI131" s="220">
        <f t="shared" si="135"/>
        <v>160005175</v>
      </c>
      <c r="AJ131" s="269">
        <f t="shared" si="136"/>
        <v>376283072</v>
      </c>
      <c r="AK131" s="101"/>
      <c r="AL131" s="204">
        <v>0</v>
      </c>
      <c r="AM131" s="210">
        <v>0</v>
      </c>
    </row>
    <row r="132" spans="1:39" ht="24.75" customHeight="1">
      <c r="A132" s="542"/>
      <c r="B132" s="453"/>
      <c r="C132" s="67"/>
      <c r="D132" s="67"/>
      <c r="E132" s="67"/>
      <c r="F132" s="67"/>
      <c r="G132" s="67"/>
      <c r="H132" s="67"/>
      <c r="I132" s="67"/>
      <c r="J132" s="67"/>
      <c r="K132" s="67"/>
      <c r="L132" s="67"/>
      <c r="M132" s="67"/>
      <c r="N132" s="101"/>
      <c r="O132" s="67"/>
      <c r="P132" s="67"/>
      <c r="Q132" s="67"/>
      <c r="R132" s="101"/>
      <c r="S132" s="266" t="str">
        <f>+IF(JULIO!S132=0,"",JULIO!S132)</f>
        <v>2.1.2.02.02.010</v>
      </c>
      <c r="T132" s="267" t="str">
        <f>+IF(JULIO!T132=0,"",JULIO!T132)</f>
        <v>Viáticos de los funcionarios en comisión</v>
      </c>
      <c r="U132" s="373">
        <f>+ENERO!U132</f>
        <v>3000000</v>
      </c>
      <c r="V132" s="220">
        <f>JULIO!V132+AGOSTO!AL132</f>
        <v>10000000</v>
      </c>
      <c r="W132" s="220">
        <f>JULIO!W132+AGOSTO!AM132</f>
        <v>0</v>
      </c>
      <c r="X132" s="271">
        <f t="shared" si="130"/>
        <v>13000000</v>
      </c>
      <c r="Y132" s="270">
        <f>JULIO!AA132</f>
        <v>4731686</v>
      </c>
      <c r="Z132" s="208">
        <v>0</v>
      </c>
      <c r="AA132" s="271">
        <f t="shared" si="131"/>
        <v>4731686</v>
      </c>
      <c r="AB132" s="270">
        <f>JULIO!AD132</f>
        <v>4045896</v>
      </c>
      <c r="AC132" s="208">
        <v>0</v>
      </c>
      <c r="AD132" s="271">
        <f t="shared" si="132"/>
        <v>4045896</v>
      </c>
      <c r="AE132" s="270">
        <f>JULIO!AG132</f>
        <v>4045896</v>
      </c>
      <c r="AF132" s="208">
        <v>0</v>
      </c>
      <c r="AG132" s="271">
        <f t="shared" si="133"/>
        <v>4045896</v>
      </c>
      <c r="AH132" s="270">
        <f t="shared" si="134"/>
        <v>8268314</v>
      </c>
      <c r="AI132" s="220">
        <f t="shared" si="135"/>
        <v>8954104</v>
      </c>
      <c r="AJ132" s="269">
        <f t="shared" si="136"/>
        <v>8954104</v>
      </c>
      <c r="AK132" s="101"/>
      <c r="AL132" s="204">
        <v>0</v>
      </c>
      <c r="AM132" s="210">
        <v>0</v>
      </c>
    </row>
    <row r="133" spans="1:39" ht="24.75" customHeight="1">
      <c r="A133" s="542"/>
      <c r="B133" s="453"/>
      <c r="C133" s="67"/>
      <c r="D133" s="67"/>
      <c r="E133" s="67"/>
      <c r="F133" s="67"/>
      <c r="G133" s="67"/>
      <c r="H133" s="67"/>
      <c r="I133" s="67"/>
      <c r="J133" s="67"/>
      <c r="K133" s="67"/>
      <c r="L133" s="67"/>
      <c r="M133" s="67"/>
      <c r="N133" s="101"/>
      <c r="O133" s="67"/>
      <c r="P133" s="67"/>
      <c r="Q133" s="67"/>
      <c r="R133" s="101"/>
      <c r="S133" s="266" t="str">
        <f>+IF(JULIO!S133=0,"",JULIO!S133)</f>
        <v>2.1.2.02.02.009.903</v>
      </c>
      <c r="T133" s="267" t="str">
        <f>+IF(JULIO!T133=0,"",JULIO!T133)</f>
        <v>Servicios prestados por IPS</v>
      </c>
      <c r="U133" s="373">
        <f>+ENERO!U133</f>
        <v>5000000</v>
      </c>
      <c r="V133" s="220">
        <f>JULIO!V133+AGOSTO!AL133</f>
        <v>0</v>
      </c>
      <c r="W133" s="220">
        <f>JULIO!W133+AGOSTO!AM133</f>
        <v>0</v>
      </c>
      <c r="X133" s="271">
        <f t="shared" si="130"/>
        <v>5000000</v>
      </c>
      <c r="Y133" s="270">
        <f>JULIO!AA133</f>
        <v>0</v>
      </c>
      <c r="Z133" s="208">
        <v>0</v>
      </c>
      <c r="AA133" s="271">
        <f t="shared" si="131"/>
        <v>0</v>
      </c>
      <c r="AB133" s="270">
        <f>JULIO!AD133</f>
        <v>0</v>
      </c>
      <c r="AC133" s="208">
        <v>0</v>
      </c>
      <c r="AD133" s="271">
        <f t="shared" si="132"/>
        <v>0</v>
      </c>
      <c r="AE133" s="270">
        <f>JULIO!AG133</f>
        <v>0</v>
      </c>
      <c r="AF133" s="208">
        <v>0</v>
      </c>
      <c r="AG133" s="271">
        <f t="shared" si="133"/>
        <v>0</v>
      </c>
      <c r="AH133" s="270">
        <f t="shared" si="134"/>
        <v>5000000</v>
      </c>
      <c r="AI133" s="220">
        <f t="shared" si="135"/>
        <v>5000000</v>
      </c>
      <c r="AJ133" s="269">
        <f t="shared" si="136"/>
        <v>5000000</v>
      </c>
      <c r="AK133" s="101"/>
      <c r="AL133" s="204">
        <v>0</v>
      </c>
      <c r="AM133" s="210">
        <v>0</v>
      </c>
    </row>
    <row r="134" spans="1:39" ht="24.75" customHeight="1">
      <c r="A134" s="542"/>
      <c r="B134" s="453"/>
      <c r="C134" s="67"/>
      <c r="D134" s="67"/>
      <c r="E134" s="67"/>
      <c r="F134" s="67"/>
      <c r="G134" s="67"/>
      <c r="H134" s="67"/>
      <c r="I134" s="67"/>
      <c r="J134" s="67"/>
      <c r="K134" s="67"/>
      <c r="L134" s="67"/>
      <c r="M134" s="67"/>
      <c r="N134" s="101"/>
      <c r="O134" s="67"/>
      <c r="P134" s="67"/>
      <c r="Q134" s="67"/>
      <c r="R134" s="101"/>
      <c r="S134" s="266" t="str">
        <f>+IF(JULIO!S134=0,"",JULIO!S134)</f>
        <v>2010200-11</v>
      </c>
      <c r="T134" s="267" t="str">
        <f>+IF(JULIO!T134=0,"",JULIO!T134)</f>
        <v>Gastos Bancarios</v>
      </c>
      <c r="U134" s="373">
        <f>+ENERO!U134</f>
        <v>0</v>
      </c>
      <c r="V134" s="220">
        <f>JULIO!V134+AGOSTO!AL134</f>
        <v>0</v>
      </c>
      <c r="W134" s="220">
        <f>JULIO!W134+AGOSTO!AM134</f>
        <v>0</v>
      </c>
      <c r="X134" s="271">
        <f t="shared" si="130"/>
        <v>0</v>
      </c>
      <c r="Y134" s="270">
        <f>JULIO!AA134</f>
        <v>0</v>
      </c>
      <c r="Z134" s="208">
        <v>0</v>
      </c>
      <c r="AA134" s="271">
        <f t="shared" si="131"/>
        <v>0</v>
      </c>
      <c r="AB134" s="270">
        <f>JULIO!AD134</f>
        <v>0</v>
      </c>
      <c r="AC134" s="208">
        <v>0</v>
      </c>
      <c r="AD134" s="271">
        <f t="shared" si="132"/>
        <v>0</v>
      </c>
      <c r="AE134" s="270">
        <f>JULIO!AG134</f>
        <v>0</v>
      </c>
      <c r="AF134" s="208">
        <v>0</v>
      </c>
      <c r="AG134" s="271">
        <f t="shared" si="133"/>
        <v>0</v>
      </c>
      <c r="AH134" s="270">
        <f t="shared" si="134"/>
        <v>0</v>
      </c>
      <c r="AI134" s="220">
        <f t="shared" si="135"/>
        <v>0</v>
      </c>
      <c r="AJ134" s="269">
        <f t="shared" si="136"/>
        <v>0</v>
      </c>
      <c r="AK134" s="101"/>
      <c r="AL134" s="204"/>
      <c r="AM134" s="210">
        <v>0</v>
      </c>
    </row>
    <row r="135" spans="1:39" ht="24.75" customHeight="1">
      <c r="A135" s="542"/>
      <c r="B135" s="453"/>
      <c r="C135" s="67"/>
      <c r="D135" s="67"/>
      <c r="E135" s="67"/>
      <c r="F135" s="67"/>
      <c r="G135" s="67"/>
      <c r="H135" s="67"/>
      <c r="I135" s="67"/>
      <c r="J135" s="67"/>
      <c r="K135" s="67"/>
      <c r="L135" s="67"/>
      <c r="M135" s="67"/>
      <c r="N135" s="101"/>
      <c r="O135" s="67"/>
      <c r="P135" s="67"/>
      <c r="Q135" s="67"/>
      <c r="R135" s="101"/>
      <c r="S135" s="266" t="str">
        <f>+IF(JULIO!S135=0,"",JULIO!S135)</f>
        <v>2.1.2.02.02.009.909</v>
      </c>
      <c r="T135" s="267" t="str">
        <f>+IF(JULIO!T135=0,"",JULIO!T135)</f>
        <v>Convenio Docencia Servicios</v>
      </c>
      <c r="U135" s="373">
        <f>+ENERO!U135</f>
        <v>20000000</v>
      </c>
      <c r="V135" s="220">
        <f>JULIO!V135+AGOSTO!AL135</f>
        <v>0</v>
      </c>
      <c r="W135" s="220">
        <f>JULIO!W135+AGOSTO!AM135</f>
        <v>0</v>
      </c>
      <c r="X135" s="271">
        <f t="shared" si="130"/>
        <v>20000000</v>
      </c>
      <c r="Y135" s="270">
        <f>JULIO!AA135</f>
        <v>0</v>
      </c>
      <c r="Z135" s="208">
        <v>0</v>
      </c>
      <c r="AA135" s="271">
        <f t="shared" si="131"/>
        <v>0</v>
      </c>
      <c r="AB135" s="270">
        <f>JULIO!AD135</f>
        <v>0</v>
      </c>
      <c r="AC135" s="208">
        <v>0</v>
      </c>
      <c r="AD135" s="271">
        <f t="shared" si="132"/>
        <v>0</v>
      </c>
      <c r="AE135" s="270">
        <f>JULIO!AG135</f>
        <v>0</v>
      </c>
      <c r="AF135" s="208">
        <v>0</v>
      </c>
      <c r="AG135" s="271">
        <f t="shared" si="133"/>
        <v>0</v>
      </c>
      <c r="AH135" s="270">
        <f t="shared" si="134"/>
        <v>20000000</v>
      </c>
      <c r="AI135" s="220">
        <f t="shared" si="135"/>
        <v>20000000</v>
      </c>
      <c r="AJ135" s="269">
        <f t="shared" si="136"/>
        <v>20000000</v>
      </c>
      <c r="AK135" s="101"/>
      <c r="AL135" s="204">
        <v>0</v>
      </c>
      <c r="AM135" s="210">
        <v>0</v>
      </c>
    </row>
    <row r="136" spans="1:39" ht="24.75" customHeight="1">
      <c r="A136" s="542"/>
      <c r="B136" s="453"/>
      <c r="C136" s="67"/>
      <c r="D136" s="67"/>
      <c r="E136" s="67"/>
      <c r="F136" s="67"/>
      <c r="G136" s="67"/>
      <c r="H136" s="67"/>
      <c r="I136" s="67"/>
      <c r="J136" s="67"/>
      <c r="K136" s="67"/>
      <c r="L136" s="67"/>
      <c r="M136" s="67"/>
      <c r="N136" s="101"/>
      <c r="O136" s="67"/>
      <c r="P136" s="67"/>
      <c r="Q136" s="67"/>
      <c r="R136" s="101"/>
      <c r="S136" s="266" t="str">
        <f>+IF(JULIO!S136=0,"",JULIO!S136)</f>
        <v>2.1.2.02.02.008.809</v>
      </c>
      <c r="T136" s="267" t="str">
        <f>+IF(JULIO!T136=0,"",JULIO!T136)</f>
        <v>Publicidad</v>
      </c>
      <c r="U136" s="373">
        <f>+ENERO!U136</f>
        <v>0</v>
      </c>
      <c r="V136" s="220">
        <f>JULIO!V136+AGOSTO!AL136</f>
        <v>0</v>
      </c>
      <c r="W136" s="220">
        <f>JULIO!W136+AGOSTO!AM136</f>
        <v>0</v>
      </c>
      <c r="X136" s="271">
        <f t="shared" si="130"/>
        <v>0</v>
      </c>
      <c r="Y136" s="270">
        <f>JULIO!AA136</f>
        <v>0</v>
      </c>
      <c r="Z136" s="208">
        <v>0</v>
      </c>
      <c r="AA136" s="271">
        <f t="shared" si="131"/>
        <v>0</v>
      </c>
      <c r="AB136" s="270">
        <f>JULIO!AD136</f>
        <v>0</v>
      </c>
      <c r="AC136" s="208">
        <v>0</v>
      </c>
      <c r="AD136" s="271">
        <f t="shared" si="132"/>
        <v>0</v>
      </c>
      <c r="AE136" s="270">
        <f>JULIO!AG136</f>
        <v>0</v>
      </c>
      <c r="AF136" s="208">
        <v>0</v>
      </c>
      <c r="AG136" s="271">
        <f t="shared" si="133"/>
        <v>0</v>
      </c>
      <c r="AH136" s="270">
        <f t="shared" si="134"/>
        <v>0</v>
      </c>
      <c r="AI136" s="220">
        <f t="shared" si="135"/>
        <v>0</v>
      </c>
      <c r="AJ136" s="269">
        <f t="shared" si="136"/>
        <v>0</v>
      </c>
      <c r="AK136" s="101"/>
      <c r="AL136" s="204">
        <v>0</v>
      </c>
      <c r="AM136" s="210">
        <v>0</v>
      </c>
    </row>
    <row r="137" spans="1:39" ht="24.75" customHeight="1">
      <c r="A137" s="542"/>
      <c r="B137" s="453"/>
      <c r="C137" s="67"/>
      <c r="D137" s="67"/>
      <c r="E137" s="67"/>
      <c r="F137" s="67"/>
      <c r="G137" s="67"/>
      <c r="H137" s="67"/>
      <c r="I137" s="67"/>
      <c r="J137" s="67"/>
      <c r="K137" s="67"/>
      <c r="L137" s="67"/>
      <c r="M137" s="67"/>
      <c r="N137" s="101"/>
      <c r="O137" s="67"/>
      <c r="P137" s="67"/>
      <c r="Q137" s="67"/>
      <c r="R137" s="101"/>
      <c r="S137" s="266" t="str">
        <f>+IF(JULIO!S137=0,"",JULIO!S137)</f>
        <v/>
      </c>
      <c r="T137" s="267" t="str">
        <f>+IF(JULIO!T137=0,"",JULIO!T137)</f>
        <v/>
      </c>
      <c r="U137" s="373">
        <f>+ENERO!U137</f>
        <v>0</v>
      </c>
      <c r="V137" s="220">
        <f>JULIO!V137+AGOSTO!AL137</f>
        <v>0</v>
      </c>
      <c r="W137" s="220">
        <f>JULIO!W137+AGOSTO!AM137</f>
        <v>0</v>
      </c>
      <c r="X137" s="271">
        <f t="shared" si="130"/>
        <v>0</v>
      </c>
      <c r="Y137" s="270">
        <f>JULIO!AA137</f>
        <v>0</v>
      </c>
      <c r="Z137" s="208">
        <v>0</v>
      </c>
      <c r="AA137" s="271">
        <f t="shared" si="131"/>
        <v>0</v>
      </c>
      <c r="AB137" s="270">
        <f>JULIO!AD137</f>
        <v>0</v>
      </c>
      <c r="AC137" s="208">
        <v>0</v>
      </c>
      <c r="AD137" s="271">
        <f t="shared" si="132"/>
        <v>0</v>
      </c>
      <c r="AE137" s="270">
        <f>JULIO!AG137</f>
        <v>0</v>
      </c>
      <c r="AF137" s="208">
        <v>0</v>
      </c>
      <c r="AG137" s="271">
        <f t="shared" si="133"/>
        <v>0</v>
      </c>
      <c r="AH137" s="270">
        <f t="shared" si="134"/>
        <v>0</v>
      </c>
      <c r="AI137" s="220">
        <f t="shared" si="135"/>
        <v>0</v>
      </c>
      <c r="AJ137" s="269">
        <f t="shared" si="136"/>
        <v>0</v>
      </c>
      <c r="AK137" s="101"/>
      <c r="AL137" s="204">
        <v>0</v>
      </c>
      <c r="AM137" s="210">
        <v>0</v>
      </c>
    </row>
    <row r="138" spans="1:39" ht="24.75" customHeight="1">
      <c r="A138" s="542"/>
      <c r="B138" s="453"/>
      <c r="C138" s="67"/>
      <c r="D138" s="67"/>
      <c r="E138" s="67"/>
      <c r="F138" s="67"/>
      <c r="G138" s="67"/>
      <c r="H138" s="67"/>
      <c r="I138" s="67"/>
      <c r="J138" s="67"/>
      <c r="K138" s="67"/>
      <c r="L138" s="67"/>
      <c r="M138" s="67"/>
      <c r="N138" s="101"/>
      <c r="O138" s="67"/>
      <c r="P138" s="67"/>
      <c r="Q138" s="67"/>
      <c r="R138" s="101"/>
      <c r="S138" s="266" t="str">
        <f>+IF(JULIO!S138=0,"",JULIO!S138)</f>
        <v/>
      </c>
      <c r="T138" s="267" t="str">
        <f>+IF(JULIO!T138=0,"",JULIO!T138)</f>
        <v/>
      </c>
      <c r="U138" s="373">
        <f>+ENERO!U138</f>
        <v>0</v>
      </c>
      <c r="V138" s="220">
        <f>JULIO!V138+AGOSTO!AL138</f>
        <v>0</v>
      </c>
      <c r="W138" s="220">
        <f>JULIO!W138+AGOSTO!AM138</f>
        <v>0</v>
      </c>
      <c r="X138" s="271">
        <f t="shared" si="130"/>
        <v>0</v>
      </c>
      <c r="Y138" s="270">
        <f>JULIO!AA138</f>
        <v>0</v>
      </c>
      <c r="Z138" s="208">
        <v>0</v>
      </c>
      <c r="AA138" s="271">
        <f t="shared" si="131"/>
        <v>0</v>
      </c>
      <c r="AB138" s="270">
        <f>JULIO!AD138</f>
        <v>0</v>
      </c>
      <c r="AC138" s="208">
        <v>0</v>
      </c>
      <c r="AD138" s="271">
        <f t="shared" si="132"/>
        <v>0</v>
      </c>
      <c r="AE138" s="270">
        <f>JULIO!AG138</f>
        <v>0</v>
      </c>
      <c r="AF138" s="208">
        <v>0</v>
      </c>
      <c r="AG138" s="271">
        <f t="shared" si="133"/>
        <v>0</v>
      </c>
      <c r="AH138" s="270">
        <f t="shared" si="134"/>
        <v>0</v>
      </c>
      <c r="AI138" s="220">
        <f t="shared" si="135"/>
        <v>0</v>
      </c>
      <c r="AJ138" s="269">
        <f t="shared" si="136"/>
        <v>0</v>
      </c>
      <c r="AK138" s="101"/>
      <c r="AL138" s="204">
        <v>0</v>
      </c>
      <c r="AM138" s="210">
        <v>0</v>
      </c>
    </row>
    <row r="139" spans="1:39" ht="24.75" customHeight="1">
      <c r="A139" s="542"/>
      <c r="B139" s="453"/>
      <c r="C139" s="67"/>
      <c r="D139" s="67"/>
      <c r="E139" s="67"/>
      <c r="F139" s="67"/>
      <c r="G139" s="67"/>
      <c r="H139" s="67"/>
      <c r="I139" s="67"/>
      <c r="J139" s="67"/>
      <c r="K139" s="67"/>
      <c r="L139" s="67"/>
      <c r="M139" s="67"/>
      <c r="N139" s="101"/>
      <c r="O139" s="67"/>
      <c r="P139" s="67"/>
      <c r="Q139" s="67"/>
      <c r="R139" s="101"/>
      <c r="S139" s="266" t="str">
        <f>+IF(JULIO!S139=0,"",JULIO!S139)</f>
        <v>2.1.2.02.02.008.99.01</v>
      </c>
      <c r="T139" s="267" t="str">
        <f>+IF(JULIO!T139=0,"",JULIO!T139)</f>
        <v>Vigencias Anteriores</v>
      </c>
      <c r="U139" s="373">
        <f>+ENERO!U139</f>
        <v>368200000</v>
      </c>
      <c r="V139" s="220">
        <f>JULIO!V139+AGOSTO!AL139</f>
        <v>0</v>
      </c>
      <c r="W139" s="220">
        <f>JULIO!W139+AGOSTO!AM139</f>
        <v>0</v>
      </c>
      <c r="X139" s="271">
        <f t="shared" si="130"/>
        <v>368200000</v>
      </c>
      <c r="Y139" s="270">
        <f>JULIO!AA139</f>
        <v>234444435</v>
      </c>
      <c r="Z139" s="208">
        <v>0</v>
      </c>
      <c r="AA139" s="271">
        <f t="shared" si="131"/>
        <v>234444435</v>
      </c>
      <c r="AB139" s="270">
        <f>JULIO!AD139</f>
        <v>234444435</v>
      </c>
      <c r="AC139" s="208">
        <v>0</v>
      </c>
      <c r="AD139" s="271">
        <f t="shared" si="132"/>
        <v>234444435</v>
      </c>
      <c r="AE139" s="270">
        <f>JULIO!AG139</f>
        <v>234444435</v>
      </c>
      <c r="AF139" s="208">
        <v>0</v>
      </c>
      <c r="AG139" s="271">
        <f t="shared" si="133"/>
        <v>234444435</v>
      </c>
      <c r="AH139" s="270">
        <f t="shared" si="134"/>
        <v>133755565</v>
      </c>
      <c r="AI139" s="220">
        <f t="shared" si="135"/>
        <v>133755565</v>
      </c>
      <c r="AJ139" s="269">
        <f t="shared" si="136"/>
        <v>133755565</v>
      </c>
      <c r="AK139" s="101"/>
      <c r="AL139" s="204">
        <v>0</v>
      </c>
      <c r="AM139" s="210">
        <v>0</v>
      </c>
    </row>
    <row r="140" spans="1:39" ht="24.75" customHeight="1">
      <c r="A140" s="542"/>
      <c r="B140" s="453"/>
      <c r="C140" s="67"/>
      <c r="D140" s="67"/>
      <c r="E140" s="67"/>
      <c r="F140" s="67"/>
      <c r="G140" s="67"/>
      <c r="H140" s="67"/>
      <c r="I140" s="67"/>
      <c r="J140" s="67"/>
      <c r="K140" s="67"/>
      <c r="L140" s="67"/>
      <c r="M140" s="67"/>
      <c r="N140" s="101"/>
      <c r="O140" s="67"/>
      <c r="P140" s="67"/>
      <c r="Q140" s="67"/>
      <c r="R140" s="101"/>
      <c r="S140" s="189">
        <f>+IF(JULIO!S140=0,"",JULIO!S140)</f>
        <v>233459072</v>
      </c>
      <c r="T140" s="488" t="str">
        <f>+IF(JULIO!T140=0,"",JULIO!T140)</f>
        <v/>
      </c>
      <c r="U140" s="191"/>
      <c r="V140" s="191"/>
      <c r="W140" s="191"/>
      <c r="X140" s="191"/>
      <c r="Y140" s="191"/>
      <c r="Z140" s="191"/>
      <c r="AA140" s="191"/>
      <c r="AB140" s="191"/>
      <c r="AC140" s="191"/>
      <c r="AD140" s="191"/>
      <c r="AE140" s="191"/>
      <c r="AF140" s="191"/>
      <c r="AG140" s="191"/>
      <c r="AH140" s="191"/>
      <c r="AI140" s="191"/>
      <c r="AJ140" s="192"/>
      <c r="AK140" s="216"/>
      <c r="AL140" s="370"/>
      <c r="AM140" s="371"/>
    </row>
    <row r="141" spans="1:39" ht="24.75" customHeight="1">
      <c r="A141" s="542"/>
      <c r="B141" s="453"/>
      <c r="C141" s="67"/>
      <c r="D141" s="67"/>
      <c r="E141" s="67"/>
      <c r="F141" s="67"/>
      <c r="G141" s="67"/>
      <c r="H141" s="67"/>
      <c r="I141" s="67"/>
      <c r="J141" s="67"/>
      <c r="K141" s="67"/>
      <c r="L141" s="67"/>
      <c r="M141" s="67"/>
      <c r="N141" s="101"/>
      <c r="O141" s="67"/>
      <c r="P141" s="67"/>
      <c r="Q141" s="67"/>
      <c r="R141" s="101"/>
      <c r="S141" s="257" t="str">
        <f>+IF(JULIO!S141=0,"",JULIO!S141)</f>
        <v>2.1.8.01</v>
      </c>
      <c r="T141" s="546" t="str">
        <f>+IF(JULIO!T141=0,"",JULIO!T141)</f>
        <v>Impuestos y Multas</v>
      </c>
      <c r="U141" s="230">
        <f t="shared" ref="U141:AJ141" si="139">U142+U143</f>
        <v>548000000</v>
      </c>
      <c r="V141" s="231">
        <f t="shared" si="139"/>
        <v>0</v>
      </c>
      <c r="W141" s="231">
        <f t="shared" si="139"/>
        <v>0</v>
      </c>
      <c r="X141" s="234">
        <f t="shared" si="139"/>
        <v>548000000</v>
      </c>
      <c r="Y141" s="233">
        <f t="shared" si="139"/>
        <v>254316758</v>
      </c>
      <c r="Z141" s="231">
        <f t="shared" si="139"/>
        <v>0</v>
      </c>
      <c r="AA141" s="234">
        <f t="shared" si="139"/>
        <v>254316758</v>
      </c>
      <c r="AB141" s="233">
        <f t="shared" si="139"/>
        <v>254316758</v>
      </c>
      <c r="AC141" s="231">
        <f t="shared" si="139"/>
        <v>0</v>
      </c>
      <c r="AD141" s="234">
        <f t="shared" si="139"/>
        <v>254316758</v>
      </c>
      <c r="AE141" s="233">
        <f>AE142+AE143</f>
        <v>202558408</v>
      </c>
      <c r="AF141" s="231">
        <f t="shared" si="139"/>
        <v>51758350</v>
      </c>
      <c r="AG141" s="234">
        <f t="shared" si="139"/>
        <v>254316758</v>
      </c>
      <c r="AH141" s="233">
        <f t="shared" si="139"/>
        <v>293683242</v>
      </c>
      <c r="AI141" s="231">
        <f t="shared" si="139"/>
        <v>293683242</v>
      </c>
      <c r="AJ141" s="232">
        <f t="shared" si="139"/>
        <v>293683242</v>
      </c>
      <c r="AK141" s="216"/>
      <c r="AL141" s="233">
        <f>AL142+AL143</f>
        <v>0</v>
      </c>
      <c r="AM141" s="232">
        <f>AM142+AM143</f>
        <v>0</v>
      </c>
    </row>
    <row r="142" spans="1:39" ht="24.75" customHeight="1">
      <c r="A142" s="542"/>
      <c r="B142" s="453"/>
      <c r="C142" s="67"/>
      <c r="D142" s="67"/>
      <c r="E142" s="67"/>
      <c r="F142" s="67"/>
      <c r="G142" s="67"/>
      <c r="H142" s="67"/>
      <c r="I142" s="67"/>
      <c r="J142" s="67"/>
      <c r="K142" s="67"/>
      <c r="L142" s="67"/>
      <c r="M142" s="67"/>
      <c r="N142" s="101"/>
      <c r="O142" s="67"/>
      <c r="P142" s="67"/>
      <c r="Q142" s="67"/>
      <c r="R142" s="101"/>
      <c r="S142" s="266" t="str">
        <f>+IF(JULIO!S142=0,"",JULIO!S142)</f>
        <v>2.1.8.01.52</v>
      </c>
      <c r="T142" s="267" t="str">
        <f>+IF(JULIO!T142=0,"",JULIO!T142)</f>
        <v>IMPUESTO PREDIAL UNIFICADO</v>
      </c>
      <c r="U142" s="373">
        <f>+ENERO!U142</f>
        <v>148000000</v>
      </c>
      <c r="V142" s="220">
        <f>JULIO!V142+AGOSTO!AL142</f>
        <v>0</v>
      </c>
      <c r="W142" s="220">
        <f>JULIO!W142+AGOSTO!AM142</f>
        <v>0</v>
      </c>
      <c r="X142" s="271">
        <f>SUM(U142:W142)</f>
        <v>148000000</v>
      </c>
      <c r="Y142" s="270">
        <f>JULIO!AA142</f>
        <v>103516700</v>
      </c>
      <c r="Z142" s="208">
        <v>0</v>
      </c>
      <c r="AA142" s="271">
        <f>SUM(Y142:Z142)</f>
        <v>103516700</v>
      </c>
      <c r="AB142" s="270">
        <f>JULIO!AD142</f>
        <v>103516700</v>
      </c>
      <c r="AC142" s="208">
        <v>0</v>
      </c>
      <c r="AD142" s="271">
        <f>SUM(AB142:AC142)</f>
        <v>103516700</v>
      </c>
      <c r="AE142" s="270">
        <f>JULIO!AG142</f>
        <v>51758350</v>
      </c>
      <c r="AF142" s="208">
        <v>51758350</v>
      </c>
      <c r="AG142" s="271">
        <f>SUM(AE142:AF142)</f>
        <v>103516700</v>
      </c>
      <c r="AH142" s="270">
        <f>X142-AA142</f>
        <v>44483300</v>
      </c>
      <c r="AI142" s="220">
        <f>X142-AD142</f>
        <v>44483300</v>
      </c>
      <c r="AJ142" s="269">
        <f>X142-AG142</f>
        <v>44483300</v>
      </c>
      <c r="AK142" s="101"/>
      <c r="AL142" s="204">
        <v>0</v>
      </c>
      <c r="AM142" s="210">
        <v>0</v>
      </c>
    </row>
    <row r="143" spans="1:39" ht="24.75" customHeight="1">
      <c r="A143" s="542"/>
      <c r="B143" s="453"/>
      <c r="C143" s="67"/>
      <c r="D143" s="67"/>
      <c r="E143" s="67"/>
      <c r="F143" s="67"/>
      <c r="G143" s="67"/>
      <c r="H143" s="67"/>
      <c r="I143" s="67"/>
      <c r="J143" s="67"/>
      <c r="K143" s="67"/>
      <c r="L143" s="67"/>
      <c r="M143" s="67"/>
      <c r="N143" s="101"/>
      <c r="O143" s="67"/>
      <c r="P143" s="67"/>
      <c r="Q143" s="67"/>
      <c r="R143" s="101"/>
      <c r="S143" s="266" t="str">
        <f>+IF(JULIO!S143=0,"",JULIO!S143)</f>
        <v>2.1.8.01.54</v>
      </c>
      <c r="T143" s="267" t="str">
        <f>+IF(JULIO!T143=0,"",JULIO!T143)</f>
        <v>Impuesto de Industria y comercio</v>
      </c>
      <c r="U143" s="373">
        <f>+ENERO!U143</f>
        <v>400000000</v>
      </c>
      <c r="V143" s="220">
        <f>JULIO!V143+AGOSTO!AL143</f>
        <v>0</v>
      </c>
      <c r="W143" s="220">
        <f>JULIO!W143+AGOSTO!AM143</f>
        <v>0</v>
      </c>
      <c r="X143" s="271">
        <f>SUM(U143:W143)</f>
        <v>400000000</v>
      </c>
      <c r="Y143" s="270">
        <f>JULIO!AA143</f>
        <v>150800058</v>
      </c>
      <c r="Z143" s="208">
        <v>0</v>
      </c>
      <c r="AA143" s="271">
        <f>SUM(Y143:Z143)</f>
        <v>150800058</v>
      </c>
      <c r="AB143" s="270">
        <f>JULIO!AD143</f>
        <v>150800058</v>
      </c>
      <c r="AC143" s="208">
        <v>0</v>
      </c>
      <c r="AD143" s="271">
        <f>SUM(AB143:AC143)</f>
        <v>150800058</v>
      </c>
      <c r="AE143" s="270">
        <f>JULIO!AG143</f>
        <v>150800058</v>
      </c>
      <c r="AF143" s="208">
        <v>0</v>
      </c>
      <c r="AG143" s="271">
        <f>SUM(AE143:AF143)</f>
        <v>150800058</v>
      </c>
      <c r="AH143" s="270">
        <f>X143-AA143</f>
        <v>249199942</v>
      </c>
      <c r="AI143" s="220">
        <f>X143-AD143</f>
        <v>249199942</v>
      </c>
      <c r="AJ143" s="269">
        <f>X143-AG143</f>
        <v>249199942</v>
      </c>
      <c r="AK143" s="101"/>
      <c r="AL143" s="204">
        <v>0</v>
      </c>
      <c r="AM143" s="210">
        <v>0</v>
      </c>
    </row>
    <row r="144" spans="1:39" ht="24.75" customHeight="1">
      <c r="A144" s="542"/>
      <c r="B144" s="453"/>
      <c r="C144" s="67"/>
      <c r="D144" s="67"/>
      <c r="E144" s="67"/>
      <c r="F144" s="67"/>
      <c r="G144" s="67"/>
      <c r="H144" s="67"/>
      <c r="I144" s="67"/>
      <c r="J144" s="67"/>
      <c r="K144" s="67"/>
      <c r="L144" s="67"/>
      <c r="M144" s="67"/>
      <c r="N144" s="101"/>
      <c r="O144" s="67"/>
      <c r="P144" s="67"/>
      <c r="Q144" s="67"/>
      <c r="R144" s="101"/>
      <c r="S144" s="189">
        <f>+IF(JULIO!S144=0,"",JULIO!S144)</f>
        <v>8880056</v>
      </c>
      <c r="T144" s="488" t="str">
        <f>+IF(JULIO!T144=0,"",JULIO!T144)</f>
        <v/>
      </c>
      <c r="U144" s="191"/>
      <c r="V144" s="191"/>
      <c r="W144" s="191"/>
      <c r="X144" s="191"/>
      <c r="Y144" s="191"/>
      <c r="Z144" s="191"/>
      <c r="AA144" s="191"/>
      <c r="AB144" s="191"/>
      <c r="AC144" s="191"/>
      <c r="AD144" s="191"/>
      <c r="AE144" s="191"/>
      <c r="AF144" s="191"/>
      <c r="AG144" s="191"/>
      <c r="AH144" s="191"/>
      <c r="AI144" s="191"/>
      <c r="AJ144" s="192"/>
      <c r="AK144" s="101"/>
      <c r="AL144" s="370"/>
      <c r="AM144" s="371"/>
    </row>
    <row r="145" spans="19:39" ht="24.75" customHeight="1">
      <c r="S145" s="228">
        <f>+IF(JULIO!S145=0,"",JULIO!S145)</f>
        <v>2020010</v>
      </c>
      <c r="T145" s="229" t="str">
        <f>+IF(JULIO!T145=0,"",JULIO!T145)</f>
        <v>Gastos de Operación</v>
      </c>
      <c r="U145" s="230">
        <f t="shared" ref="U145:AJ145" si="140">U147+U155</f>
        <v>11892931308.176388</v>
      </c>
      <c r="V145" s="231">
        <f t="shared" si="140"/>
        <v>195000000</v>
      </c>
      <c r="W145" s="231">
        <f t="shared" si="140"/>
        <v>1423628029</v>
      </c>
      <c r="X145" s="234">
        <f t="shared" si="140"/>
        <v>13511559337.176388</v>
      </c>
      <c r="Y145" s="233">
        <f t="shared" si="140"/>
        <v>6120755467</v>
      </c>
      <c r="Z145" s="231">
        <f t="shared" si="140"/>
        <v>244554747</v>
      </c>
      <c r="AA145" s="234">
        <f t="shared" si="140"/>
        <v>6365310214</v>
      </c>
      <c r="AB145" s="233">
        <f t="shared" si="140"/>
        <v>4549674412</v>
      </c>
      <c r="AC145" s="231">
        <f t="shared" si="140"/>
        <v>467426358</v>
      </c>
      <c r="AD145" s="234">
        <f t="shared" si="140"/>
        <v>5017100770</v>
      </c>
      <c r="AE145" s="233">
        <f t="shared" si="140"/>
        <v>2776550904</v>
      </c>
      <c r="AF145" s="231">
        <f t="shared" si="140"/>
        <v>23151530</v>
      </c>
      <c r="AG145" s="234">
        <f t="shared" si="140"/>
        <v>2799702434</v>
      </c>
      <c r="AH145" s="233">
        <f t="shared" si="140"/>
        <v>7146249123.1763887</v>
      </c>
      <c r="AI145" s="231">
        <f t="shared" si="140"/>
        <v>8494458567.1763887</v>
      </c>
      <c r="AJ145" s="232">
        <f t="shared" si="140"/>
        <v>10711856903.176388</v>
      </c>
      <c r="AK145" s="216"/>
      <c r="AL145" s="233">
        <f>AL147+AL155</f>
        <v>0</v>
      </c>
      <c r="AM145" s="232">
        <f>AM147+AM155</f>
        <v>964813284</v>
      </c>
    </row>
    <row r="146" spans="19:39" ht="24.75" customHeight="1">
      <c r="S146" s="311">
        <f>+IF(JULIO!S146=0,"",JULIO!S146)</f>
        <v>2020010</v>
      </c>
      <c r="T146" s="312" t="str">
        <f>+IF(JULIO!T146=0,"",JULIO!T146)</f>
        <v/>
      </c>
      <c r="U146" s="299"/>
      <c r="V146" s="220"/>
      <c r="W146" s="220"/>
      <c r="X146" s="271"/>
      <c r="Y146" s="270"/>
      <c r="Z146" s="220"/>
      <c r="AA146" s="271"/>
      <c r="AB146" s="270"/>
      <c r="AC146" s="220"/>
      <c r="AD146" s="271"/>
      <c r="AE146" s="270"/>
      <c r="AF146" s="220"/>
      <c r="AG146" s="271"/>
      <c r="AH146" s="270"/>
      <c r="AI146" s="220"/>
      <c r="AJ146" s="269"/>
      <c r="AK146" s="101"/>
      <c r="AL146" s="370"/>
      <c r="AM146" s="371"/>
    </row>
    <row r="147" spans="19:39" ht="24.75" customHeight="1">
      <c r="S147" s="257" t="str">
        <f>+IF(JULIO!S147=0,"",JULIO!S147)</f>
        <v>2.1.2</v>
      </c>
      <c r="T147" s="546" t="str">
        <f>+IF(JULIO!T147=0,"",JULIO!T147)</f>
        <v>Adquisición de bienes</v>
      </c>
      <c r="U147" s="230">
        <f t="shared" ref="U147:AJ147" si="141">SUM(U148:U149)+U153</f>
        <v>3776193053.9541664</v>
      </c>
      <c r="V147" s="231">
        <f t="shared" si="141"/>
        <v>195000000</v>
      </c>
      <c r="W147" s="231">
        <f t="shared" si="141"/>
        <v>1264813284</v>
      </c>
      <c r="X147" s="234">
        <f t="shared" si="141"/>
        <v>5236006337.9541664</v>
      </c>
      <c r="Y147" s="233">
        <f t="shared" si="141"/>
        <v>2285677528</v>
      </c>
      <c r="Z147" s="231">
        <f t="shared" si="141"/>
        <v>242855147</v>
      </c>
      <c r="AA147" s="234">
        <f t="shared" si="141"/>
        <v>2528532675</v>
      </c>
      <c r="AB147" s="233">
        <f t="shared" si="141"/>
        <v>1922810120</v>
      </c>
      <c r="AC147" s="231">
        <f t="shared" si="141"/>
        <v>259016878</v>
      </c>
      <c r="AD147" s="234">
        <f t="shared" si="141"/>
        <v>2181826998</v>
      </c>
      <c r="AE147" s="233">
        <f t="shared" si="141"/>
        <v>1050492964</v>
      </c>
      <c r="AF147" s="231">
        <f t="shared" si="141"/>
        <v>13006990</v>
      </c>
      <c r="AG147" s="234">
        <f t="shared" si="141"/>
        <v>1063499954</v>
      </c>
      <c r="AH147" s="233">
        <f t="shared" si="141"/>
        <v>2707473662.9541664</v>
      </c>
      <c r="AI147" s="231">
        <f t="shared" si="141"/>
        <v>3054179339.9541664</v>
      </c>
      <c r="AJ147" s="232">
        <f t="shared" si="141"/>
        <v>4172506383.9541664</v>
      </c>
      <c r="AK147" s="101"/>
      <c r="AL147" s="233">
        <f>SUM(AL148:AL149)+AL153</f>
        <v>0</v>
      </c>
      <c r="AM147" s="232">
        <f>SUM(AM148:AM149)+AM153</f>
        <v>964813284</v>
      </c>
    </row>
    <row r="148" spans="19:39" ht="24.75" customHeight="1">
      <c r="S148" s="266" t="str">
        <f>+IF(JULIO!S148=0,"",JULIO!S148)</f>
        <v>2.1.2.02.01.003.305</v>
      </c>
      <c r="T148" s="267" t="str">
        <f>+IF(JULIO!T148=0,"",JULIO!T148)</f>
        <v>Mantenimiento -  Partes, accesorios, herramientas</v>
      </c>
      <c r="U148" s="373">
        <f>+ENERO!U148</f>
        <v>2090969100</v>
      </c>
      <c r="V148" s="220">
        <f>JULIO!V148+AGOSTO!AL148</f>
        <v>0</v>
      </c>
      <c r="W148" s="220">
        <f>JULIO!W148+AGOSTO!AM148</f>
        <v>964813284</v>
      </c>
      <c r="X148" s="271">
        <f>SUM(U148:W148)</f>
        <v>3055782384</v>
      </c>
      <c r="Y148" s="270">
        <f>JULIO!AA148</f>
        <v>891088506</v>
      </c>
      <c r="Z148" s="208">
        <v>108627824</v>
      </c>
      <c r="AA148" s="271">
        <f>SUM(Y148:Z148)</f>
        <v>999716330</v>
      </c>
      <c r="AB148" s="270">
        <f>JULIO!AD148</f>
        <v>645901777</v>
      </c>
      <c r="AC148" s="208">
        <v>156422461</v>
      </c>
      <c r="AD148" s="271">
        <f>SUM(AB148:AC148)</f>
        <v>802324238</v>
      </c>
      <c r="AE148" s="270">
        <f>JULIO!AG148</f>
        <v>294596518</v>
      </c>
      <c r="AF148" s="208">
        <v>9181234</v>
      </c>
      <c r="AG148" s="271">
        <f>SUM(AE148:AF148)</f>
        <v>303777752</v>
      </c>
      <c r="AH148" s="270">
        <f>X148-AA148</f>
        <v>2056066054</v>
      </c>
      <c r="AI148" s="220">
        <f>X148-AD148</f>
        <v>2253458146</v>
      </c>
      <c r="AJ148" s="269">
        <f>X148-AG148</f>
        <v>2752004632</v>
      </c>
      <c r="AK148" s="101"/>
      <c r="AL148" s="204">
        <v>0</v>
      </c>
      <c r="AM148" s="210">
        <v>964813284</v>
      </c>
    </row>
    <row r="149" spans="19:39" ht="24.75" customHeight="1">
      <c r="S149" s="266">
        <f>+IF(JULIO!S149=0,"",JULIO!S149)</f>
        <v>2020102</v>
      </c>
      <c r="T149" s="267" t="str">
        <f>+IF(JULIO!T149=0,"",JULIO!T149)</f>
        <v>Otros</v>
      </c>
      <c r="U149" s="373">
        <f t="shared" ref="U149:AJ149" si="142">SUM(U150:U152)</f>
        <v>1232308696.9541667</v>
      </c>
      <c r="V149" s="220">
        <f t="shared" si="142"/>
        <v>195000000</v>
      </c>
      <c r="W149" s="220">
        <f t="shared" si="142"/>
        <v>0</v>
      </c>
      <c r="X149" s="271">
        <f t="shared" si="142"/>
        <v>1427308696.9541667</v>
      </c>
      <c r="Y149" s="270">
        <f t="shared" si="142"/>
        <v>952842941</v>
      </c>
      <c r="Z149" s="300">
        <f t="shared" si="142"/>
        <v>134227323</v>
      </c>
      <c r="AA149" s="271">
        <f t="shared" si="142"/>
        <v>1087070264</v>
      </c>
      <c r="AB149" s="270">
        <f t="shared" si="142"/>
        <v>835162262</v>
      </c>
      <c r="AC149" s="300">
        <f>SUM(AC150:AC152)</f>
        <v>102594417</v>
      </c>
      <c r="AD149" s="271">
        <f t="shared" si="142"/>
        <v>937756679</v>
      </c>
      <c r="AE149" s="270">
        <f t="shared" si="142"/>
        <v>317700366</v>
      </c>
      <c r="AF149" s="300">
        <f>SUM(AF150:AF152)</f>
        <v>3825756</v>
      </c>
      <c r="AG149" s="271">
        <f t="shared" si="142"/>
        <v>321526122</v>
      </c>
      <c r="AH149" s="270">
        <f t="shared" si="142"/>
        <v>340238432.95416665</v>
      </c>
      <c r="AI149" s="220">
        <f t="shared" si="142"/>
        <v>489552017.95416665</v>
      </c>
      <c r="AJ149" s="269">
        <f t="shared" si="142"/>
        <v>1105782574.9541667</v>
      </c>
      <c r="AK149" s="101"/>
      <c r="AL149" s="301">
        <f>SUM(AL150:AL152)</f>
        <v>0</v>
      </c>
      <c r="AM149" s="302">
        <f>SUM(AM150:AM152)</f>
        <v>0</v>
      </c>
    </row>
    <row r="150" spans="19:39" ht="24.75" customHeight="1">
      <c r="S150" s="311" t="str">
        <f>+IF(JULIO!S150=0,"",JULIO!S150)</f>
        <v>2.1.2.02.01.002,001</v>
      </c>
      <c r="T150" s="267" t="str">
        <f>+IF(JULIO!T150=0,"",JULIO!T150)</f>
        <v>Roperia</v>
      </c>
      <c r="U150" s="373">
        <f>+ENERO!U150</f>
        <v>300724825</v>
      </c>
      <c r="V150" s="220">
        <f>JULIO!V150+AGOSTO!AL150</f>
        <v>0</v>
      </c>
      <c r="W150" s="220">
        <f>JULIO!W150+AGOSTO!AM150</f>
        <v>0</v>
      </c>
      <c r="X150" s="271">
        <f>SUM(U150:W150)</f>
        <v>300724825</v>
      </c>
      <c r="Y150" s="270">
        <f>JULIO!AA150</f>
        <v>184178680</v>
      </c>
      <c r="Z150" s="208">
        <v>0</v>
      </c>
      <c r="AA150" s="271">
        <f>SUM(Y150:Z150)</f>
        <v>184178680</v>
      </c>
      <c r="AB150" s="270">
        <f>JULIO!AD150</f>
        <v>184178680</v>
      </c>
      <c r="AC150" s="208">
        <v>0</v>
      </c>
      <c r="AD150" s="271">
        <f>SUM(AB150:AC150)</f>
        <v>184178680</v>
      </c>
      <c r="AE150" s="270">
        <f>JULIO!AG150</f>
        <v>0</v>
      </c>
      <c r="AF150" s="208">
        <v>0</v>
      </c>
      <c r="AG150" s="271">
        <f>SUM(AE150:AF150)</f>
        <v>0</v>
      </c>
      <c r="AH150" s="270">
        <f>X150-AA150</f>
        <v>116546145</v>
      </c>
      <c r="AI150" s="220">
        <f>X150-AD150</f>
        <v>116546145</v>
      </c>
      <c r="AJ150" s="269">
        <f>X150-AG150</f>
        <v>300724825</v>
      </c>
      <c r="AK150" s="101"/>
      <c r="AL150" s="204">
        <v>0</v>
      </c>
      <c r="AM150" s="210">
        <v>0</v>
      </c>
    </row>
    <row r="151" spans="19:39" ht="24.75" customHeight="1">
      <c r="S151" s="311" t="str">
        <f>+IF(JULIO!S151=0,"",JULIO!S151)</f>
        <v>2.1.2.02.01.003.303</v>
      </c>
      <c r="T151" s="267" t="str">
        <f>+IF(JULIO!T151=0,"",JULIO!T151)</f>
        <v>Elementos de Aseo</v>
      </c>
      <c r="U151" s="373">
        <f>+ENERO!U151</f>
        <v>684513688.9375</v>
      </c>
      <c r="V151" s="220">
        <f>JULIO!V151+AGOSTO!AL151</f>
        <v>0</v>
      </c>
      <c r="W151" s="220">
        <f>JULIO!W151+AGOSTO!AM151</f>
        <v>0</v>
      </c>
      <c r="X151" s="271">
        <f>SUM(U151:W151)</f>
        <v>684513688.9375</v>
      </c>
      <c r="Y151" s="270">
        <f>JULIO!AA151</f>
        <v>499144497</v>
      </c>
      <c r="Z151" s="208">
        <v>108170820</v>
      </c>
      <c r="AA151" s="271">
        <f>SUM(Y151:Z151)</f>
        <v>607315317</v>
      </c>
      <c r="AB151" s="270">
        <f>JULIO!AD151</f>
        <v>421622206</v>
      </c>
      <c r="AC151" s="208">
        <v>76601210</v>
      </c>
      <c r="AD151" s="271">
        <f>SUM(AB151:AC151)</f>
        <v>498223416</v>
      </c>
      <c r="AE151" s="270">
        <f>JULIO!AG151</f>
        <v>189692372</v>
      </c>
      <c r="AF151" s="208">
        <v>70550</v>
      </c>
      <c r="AG151" s="271">
        <f>SUM(AE151:AF151)</f>
        <v>189762922</v>
      </c>
      <c r="AH151" s="270">
        <f>X151-AA151</f>
        <v>77198371.9375</v>
      </c>
      <c r="AI151" s="220">
        <f>X151-AD151</f>
        <v>186290272.9375</v>
      </c>
      <c r="AJ151" s="269">
        <f>X151-AG151</f>
        <v>494750766.9375</v>
      </c>
      <c r="AK151" s="101"/>
      <c r="AL151" s="204">
        <v>0</v>
      </c>
      <c r="AM151" s="210">
        <v>0</v>
      </c>
    </row>
    <row r="152" spans="19:39" ht="24.75" customHeight="1">
      <c r="S152" s="311" t="str">
        <f>+IF(JULIO!S152=0,"",JULIO!S152)</f>
        <v>2.1.2.02.01.003.304</v>
      </c>
      <c r="T152" s="267" t="str">
        <f>+IF(JULIO!T152=0,"",JULIO!T152)</f>
        <v xml:space="preserve">Insumos hospitalarios </v>
      </c>
      <c r="U152" s="373">
        <f>+ENERO!U152</f>
        <v>247070183.01666665</v>
      </c>
      <c r="V152" s="220">
        <f>JULIO!V152+AGOSTO!AL152</f>
        <v>195000000</v>
      </c>
      <c r="W152" s="220">
        <f>JULIO!W152+AGOSTO!AM152</f>
        <v>0</v>
      </c>
      <c r="X152" s="271">
        <f>SUM(U152:W152)</f>
        <v>442070183.01666665</v>
      </c>
      <c r="Y152" s="270">
        <f>JULIO!AA152</f>
        <v>269519764</v>
      </c>
      <c r="Z152" s="208">
        <v>26056503</v>
      </c>
      <c r="AA152" s="271">
        <f>SUM(Y152:Z152)</f>
        <v>295576267</v>
      </c>
      <c r="AB152" s="270">
        <f>JULIO!AD152</f>
        <v>229361376</v>
      </c>
      <c r="AC152" s="208">
        <v>25993207</v>
      </c>
      <c r="AD152" s="271">
        <f>SUM(AB152:AC152)</f>
        <v>255354583</v>
      </c>
      <c r="AE152" s="270">
        <f>JULIO!AG152</f>
        <v>128007994</v>
      </c>
      <c r="AF152" s="208">
        <v>3755206</v>
      </c>
      <c r="AG152" s="271">
        <f>SUM(AE152:AF152)</f>
        <v>131763200</v>
      </c>
      <c r="AH152" s="270">
        <f>X152-AA152</f>
        <v>146493916.01666665</v>
      </c>
      <c r="AI152" s="220">
        <f>X152-AD152</f>
        <v>186715600.01666665</v>
      </c>
      <c r="AJ152" s="269">
        <f>X152-AG152</f>
        <v>310306983.01666665</v>
      </c>
      <c r="AK152" s="101"/>
      <c r="AL152" s="204">
        <v>0</v>
      </c>
      <c r="AM152" s="210">
        <v>0</v>
      </c>
    </row>
    <row r="153" spans="19:39" ht="24.75" customHeight="1">
      <c r="S153" s="266" t="str">
        <f>+IF(JULIO!S153=0,"",JULIO!S153)</f>
        <v>2.1.2.02.01.003.99</v>
      </c>
      <c r="T153" s="267" t="str">
        <f>+IF(JULIO!T153=0,"",JULIO!T153)</f>
        <v>Vigencias Anteriores</v>
      </c>
      <c r="U153" s="373">
        <f>+ENERO!U153</f>
        <v>452915257</v>
      </c>
      <c r="V153" s="220">
        <f>JULIO!V153+AGOSTO!AL153</f>
        <v>0</v>
      </c>
      <c r="W153" s="220">
        <f>JULIO!W153+AGOSTO!AM153</f>
        <v>300000000</v>
      </c>
      <c r="X153" s="271">
        <f>SUM(U153:W153)</f>
        <v>752915257</v>
      </c>
      <c r="Y153" s="270">
        <f>JULIO!AA153</f>
        <v>441746081</v>
      </c>
      <c r="Z153" s="208">
        <v>0</v>
      </c>
      <c r="AA153" s="271">
        <f>SUM(Y153:Z153)</f>
        <v>441746081</v>
      </c>
      <c r="AB153" s="270">
        <f>JULIO!AD153</f>
        <v>441746081</v>
      </c>
      <c r="AC153" s="208">
        <v>0</v>
      </c>
      <c r="AD153" s="271">
        <f>SUM(AB153:AC153)</f>
        <v>441746081</v>
      </c>
      <c r="AE153" s="270">
        <f>JULIO!AG153</f>
        <v>438196080</v>
      </c>
      <c r="AF153" s="208">
        <v>0</v>
      </c>
      <c r="AG153" s="271">
        <f>SUM(AE153:AF153)</f>
        <v>438196080</v>
      </c>
      <c r="AH153" s="270">
        <f>X153-AA153</f>
        <v>311169176</v>
      </c>
      <c r="AI153" s="220">
        <f>X153-AD153</f>
        <v>311169176</v>
      </c>
      <c r="AJ153" s="269">
        <f>X153-AG153</f>
        <v>314719177</v>
      </c>
      <c r="AK153" s="101"/>
      <c r="AL153" s="204">
        <v>0</v>
      </c>
      <c r="AM153" s="210">
        <v>0</v>
      </c>
    </row>
    <row r="154" spans="19:39" ht="24.75" customHeight="1">
      <c r="S154" s="189">
        <f>+IF(JULIO!S154=0,"",JULIO!S154)</f>
        <v>203715328</v>
      </c>
      <c r="T154" s="488" t="str">
        <f>+IF(JULIO!T154=0,"",JULIO!T154)</f>
        <v/>
      </c>
      <c r="U154" s="191"/>
      <c r="V154" s="191"/>
      <c r="W154" s="191"/>
      <c r="X154" s="191"/>
      <c r="Y154" s="191"/>
      <c r="Z154" s="191"/>
      <c r="AA154" s="191"/>
      <c r="AB154" s="191"/>
      <c r="AC154" s="191"/>
      <c r="AD154" s="191"/>
      <c r="AE154" s="191"/>
      <c r="AF154" s="191"/>
      <c r="AG154" s="191"/>
      <c r="AH154" s="191"/>
      <c r="AI154" s="191"/>
      <c r="AJ154" s="192"/>
      <c r="AK154" s="101"/>
      <c r="AL154" s="370"/>
      <c r="AM154" s="371"/>
    </row>
    <row r="155" spans="19:39" ht="24.75" customHeight="1">
      <c r="S155" s="257" t="str">
        <f>+IF(JULIO!S155=0,"",JULIO!S155)</f>
        <v>2.1.2.02.02</v>
      </c>
      <c r="T155" s="546" t="str">
        <f>+IF(JULIO!T155=0,"",JULIO!T155)</f>
        <v>Adquisición de Servicios</v>
      </c>
      <c r="U155" s="230">
        <f>SUM(U156:U157)</f>
        <v>8116738254.2222223</v>
      </c>
      <c r="V155" s="230">
        <f t="shared" ref="V155:AM155" si="143">SUM(V156:V157)</f>
        <v>0</v>
      </c>
      <c r="W155" s="230">
        <f t="shared" si="143"/>
        <v>158814745</v>
      </c>
      <c r="X155" s="230">
        <f t="shared" si="143"/>
        <v>8275552999.2222223</v>
      </c>
      <c r="Y155" s="230">
        <f t="shared" si="143"/>
        <v>3835077939</v>
      </c>
      <c r="Z155" s="230">
        <f t="shared" si="143"/>
        <v>1699600</v>
      </c>
      <c r="AA155" s="230">
        <f t="shared" si="143"/>
        <v>3836777539</v>
      </c>
      <c r="AB155" s="230">
        <f t="shared" si="143"/>
        <v>2626864292</v>
      </c>
      <c r="AC155" s="230">
        <f t="shared" si="143"/>
        <v>208409480</v>
      </c>
      <c r="AD155" s="230">
        <f t="shared" si="143"/>
        <v>2835273772</v>
      </c>
      <c r="AE155" s="230">
        <f t="shared" si="143"/>
        <v>1726057940</v>
      </c>
      <c r="AF155" s="230">
        <f t="shared" si="143"/>
        <v>10144540</v>
      </c>
      <c r="AG155" s="230">
        <f t="shared" si="143"/>
        <v>1736202480</v>
      </c>
      <c r="AH155" s="230">
        <f t="shared" si="143"/>
        <v>4438775460.2222223</v>
      </c>
      <c r="AI155" s="230">
        <f t="shared" si="143"/>
        <v>5440279227.2222223</v>
      </c>
      <c r="AJ155" s="230">
        <f t="shared" si="143"/>
        <v>6539350519.2222223</v>
      </c>
      <c r="AK155" s="230">
        <f t="shared" si="143"/>
        <v>0</v>
      </c>
      <c r="AL155" s="230">
        <f t="shared" si="143"/>
        <v>0</v>
      </c>
      <c r="AM155" s="230">
        <f t="shared" si="143"/>
        <v>0</v>
      </c>
    </row>
    <row r="156" spans="19:39" ht="24.75" customHeight="1">
      <c r="S156" s="266" t="str">
        <f>+IF(JULIO!S156=0,"",JULIO!S156)</f>
        <v>2.1.2.02.01.003.306</v>
      </c>
      <c r="T156" s="267" t="str">
        <f>+IF(JULIO!T156=0,"",JULIO!T156)</f>
        <v>Mantenimiento - Bienes sistemas</v>
      </c>
      <c r="U156" s="373">
        <f>+ENERO!U156</f>
        <v>17133955</v>
      </c>
      <c r="V156" s="220">
        <f>JULIO!V156+AGOSTO!AL156</f>
        <v>0</v>
      </c>
      <c r="W156" s="220">
        <f>JULIO!W156+AGOSTO!AM156</f>
        <v>0</v>
      </c>
      <c r="X156" s="271">
        <f>SUM(U156:W156)</f>
        <v>17133955</v>
      </c>
      <c r="Y156" s="270">
        <f>JULIO!AA156</f>
        <v>15819256</v>
      </c>
      <c r="Z156" s="208">
        <v>0</v>
      </c>
      <c r="AA156" s="271">
        <f>SUM(Y156:Z156)</f>
        <v>15819256</v>
      </c>
      <c r="AB156" s="270">
        <f>JULIO!AD156</f>
        <v>10574474</v>
      </c>
      <c r="AC156" s="208">
        <v>0</v>
      </c>
      <c r="AD156" s="271">
        <f>SUM(AB156:AC156)</f>
        <v>10574474</v>
      </c>
      <c r="AE156" s="270">
        <f>JULIO!AG156</f>
        <v>10574474</v>
      </c>
      <c r="AF156" s="208">
        <v>0</v>
      </c>
      <c r="AG156" s="271">
        <f>SUM(AE156:AF156)</f>
        <v>10574474</v>
      </c>
      <c r="AH156" s="270">
        <f>X156-AA156</f>
        <v>1314699</v>
      </c>
      <c r="AI156" s="220">
        <f>X156-AD156</f>
        <v>6559481</v>
      </c>
      <c r="AJ156" s="269">
        <f>X156-AG156</f>
        <v>6559481</v>
      </c>
      <c r="AK156" s="101"/>
      <c r="AL156" s="204">
        <v>0</v>
      </c>
      <c r="AM156" s="210">
        <v>0</v>
      </c>
    </row>
    <row r="157" spans="19:39" ht="24.75" customHeight="1">
      <c r="S157" s="266">
        <f>+IF(JULIO!S157=0,"",JULIO!S157)</f>
        <v>2020202</v>
      </c>
      <c r="T157" s="267" t="str">
        <f>+IF(JULIO!T157=0,"",JULIO!T157)</f>
        <v>Otros</v>
      </c>
      <c r="U157" s="373">
        <f t="shared" ref="U157:AJ157" si="144">SUM(U158:U166)</f>
        <v>8099604299.2222223</v>
      </c>
      <c r="V157" s="220">
        <f t="shared" si="144"/>
        <v>0</v>
      </c>
      <c r="W157" s="220">
        <f t="shared" si="144"/>
        <v>158814745</v>
      </c>
      <c r="X157" s="271">
        <f t="shared" si="144"/>
        <v>8258419044.2222223</v>
      </c>
      <c r="Y157" s="270">
        <f t="shared" si="144"/>
        <v>3819258683</v>
      </c>
      <c r="Z157" s="300">
        <f t="shared" si="144"/>
        <v>1699600</v>
      </c>
      <c r="AA157" s="271">
        <f t="shared" si="144"/>
        <v>3820958283</v>
      </c>
      <c r="AB157" s="270">
        <f t="shared" si="144"/>
        <v>2616289818</v>
      </c>
      <c r="AC157" s="300">
        <f t="shared" si="144"/>
        <v>208409480</v>
      </c>
      <c r="AD157" s="271">
        <f t="shared" si="144"/>
        <v>2824699298</v>
      </c>
      <c r="AE157" s="270">
        <f t="shared" si="144"/>
        <v>1715483466</v>
      </c>
      <c r="AF157" s="300">
        <f t="shared" si="144"/>
        <v>10144540</v>
      </c>
      <c r="AG157" s="271">
        <f t="shared" si="144"/>
        <v>1725628006</v>
      </c>
      <c r="AH157" s="270">
        <f t="shared" si="144"/>
        <v>4437460761.2222223</v>
      </c>
      <c r="AI157" s="220">
        <f t="shared" si="144"/>
        <v>5433719746.2222223</v>
      </c>
      <c r="AJ157" s="269">
        <f t="shared" si="144"/>
        <v>6532791038.2222223</v>
      </c>
      <c r="AK157" s="216"/>
      <c r="AL157" s="301">
        <f>SUM(AL158:AL166)</f>
        <v>0</v>
      </c>
      <c r="AM157" s="302">
        <f>SUM(AM158:AM166)</f>
        <v>0</v>
      </c>
    </row>
    <row r="158" spans="19:39" ht="24.75" customHeight="1">
      <c r="S158" s="311" t="str">
        <f>+IF(JULIO!S158=0,"",JULIO!S158)</f>
        <v>2.1.2.02.02.005.502</v>
      </c>
      <c r="T158" s="312" t="str">
        <f>+IF(JULIO!T158=0,"",JULIO!T158)</f>
        <v>Mantenimiento - Arrendamiento Software</v>
      </c>
      <c r="U158" s="373">
        <f>+ENERO!U158</f>
        <v>0</v>
      </c>
      <c r="V158" s="220">
        <f>JULIO!V158+AGOSTO!AL158</f>
        <v>0</v>
      </c>
      <c r="W158" s="220">
        <f>JULIO!W158+AGOSTO!AM158</f>
        <v>0</v>
      </c>
      <c r="X158" s="271">
        <f t="shared" ref="X158:X166" si="145">SUM(U158:W158)</f>
        <v>0</v>
      </c>
      <c r="Y158" s="270">
        <f>JULIO!AA158</f>
        <v>0</v>
      </c>
      <c r="Z158" s="208">
        <v>0</v>
      </c>
      <c r="AA158" s="271">
        <f t="shared" ref="AA158:AA166" si="146">SUM(Y158:Z158)</f>
        <v>0</v>
      </c>
      <c r="AB158" s="270">
        <f>JULIO!AD158</f>
        <v>0</v>
      </c>
      <c r="AC158" s="208">
        <v>0</v>
      </c>
      <c r="AD158" s="271">
        <f t="shared" ref="AD158:AD166" si="147">SUM(AB158:AC158)</f>
        <v>0</v>
      </c>
      <c r="AE158" s="270">
        <f>JULIO!AG158</f>
        <v>0</v>
      </c>
      <c r="AF158" s="208">
        <v>0</v>
      </c>
      <c r="AG158" s="271">
        <f t="shared" ref="AG158:AG166" si="148">SUM(AE158:AF158)</f>
        <v>0</v>
      </c>
      <c r="AH158" s="270">
        <f t="shared" ref="AH158:AH166" si="149">X158-AA158</f>
        <v>0</v>
      </c>
      <c r="AI158" s="220">
        <f t="shared" ref="AI158:AI166" si="150">X158-AD158</f>
        <v>0</v>
      </c>
      <c r="AJ158" s="269">
        <f t="shared" ref="AJ158:AJ166" si="151">X158-AG158</f>
        <v>0</v>
      </c>
      <c r="AK158" s="101"/>
      <c r="AL158" s="204">
        <v>0</v>
      </c>
      <c r="AM158" s="210">
        <v>0</v>
      </c>
    </row>
    <row r="159" spans="19:39" ht="24.75" customHeight="1">
      <c r="S159" s="311" t="str">
        <f>+IF(JULIO!S159=0,"",JULIO!S159)</f>
        <v>2.1.2.02.02.005.501</v>
      </c>
      <c r="T159" s="312" t="str">
        <f>+IF(JULIO!T159=0,"",JULIO!T159)</f>
        <v>Mantenimiento  - Servicios Planta Fisica</v>
      </c>
      <c r="U159" s="373">
        <f>+ENERO!U159</f>
        <v>476117296</v>
      </c>
      <c r="V159" s="220">
        <f>JULIO!V159+AGOSTO!AL159</f>
        <v>0</v>
      </c>
      <c r="W159" s="220">
        <f>JULIO!W159+AGOSTO!AM159</f>
        <v>0</v>
      </c>
      <c r="X159" s="271">
        <f t="shared" si="145"/>
        <v>476117296</v>
      </c>
      <c r="Y159" s="270">
        <f>JULIO!AA159</f>
        <v>34461031</v>
      </c>
      <c r="Z159" s="208">
        <v>0</v>
      </c>
      <c r="AA159" s="271">
        <f t="shared" si="146"/>
        <v>34461031</v>
      </c>
      <c r="AB159" s="270">
        <f>JULIO!AD159</f>
        <v>13821664</v>
      </c>
      <c r="AC159" s="208">
        <v>1481700</v>
      </c>
      <c r="AD159" s="271">
        <f t="shared" si="147"/>
        <v>15303364</v>
      </c>
      <c r="AE159" s="270">
        <f>JULIO!AG159</f>
        <v>3633822</v>
      </c>
      <c r="AF159" s="208">
        <v>434000</v>
      </c>
      <c r="AG159" s="271">
        <f t="shared" si="148"/>
        <v>4067822</v>
      </c>
      <c r="AH159" s="270">
        <f t="shared" si="149"/>
        <v>441656265</v>
      </c>
      <c r="AI159" s="220">
        <f t="shared" si="150"/>
        <v>460813932</v>
      </c>
      <c r="AJ159" s="269">
        <f t="shared" si="151"/>
        <v>472049474</v>
      </c>
      <c r="AK159" s="101"/>
      <c r="AL159" s="204">
        <v>0</v>
      </c>
      <c r="AM159" s="210">
        <v>0</v>
      </c>
    </row>
    <row r="160" spans="19:39" ht="24.75" customHeight="1">
      <c r="S160" s="311" t="str">
        <f>+IF(JULIO!S160=0,"",JULIO!S160)</f>
        <v>2.1.2.02.02.008.808</v>
      </c>
      <c r="T160" s="312" t="str">
        <f>+IF(JULIO!T160=0,"",JULIO!T160)</f>
        <v>Mantenimiento Servicios - Ambiental y sanitaria</v>
      </c>
      <c r="U160" s="373">
        <f>+ENERO!U160</f>
        <v>415609981</v>
      </c>
      <c r="V160" s="220">
        <f>JULIO!V160+AGOSTO!AL160</f>
        <v>0</v>
      </c>
      <c r="W160" s="220">
        <f>JULIO!W160+AGOSTO!AM160</f>
        <v>0</v>
      </c>
      <c r="X160" s="271">
        <f t="shared" si="145"/>
        <v>415609981</v>
      </c>
      <c r="Y160" s="270">
        <f>JULIO!AA160</f>
        <v>300920787</v>
      </c>
      <c r="Z160" s="208">
        <v>0</v>
      </c>
      <c r="AA160" s="271">
        <f t="shared" si="146"/>
        <v>300920787</v>
      </c>
      <c r="AB160" s="270">
        <f>JULIO!AD160</f>
        <v>170962678</v>
      </c>
      <c r="AC160" s="208">
        <v>33251240</v>
      </c>
      <c r="AD160" s="271">
        <f t="shared" si="147"/>
        <v>204213918</v>
      </c>
      <c r="AE160" s="270">
        <f>JULIO!AG160</f>
        <v>61360430</v>
      </c>
      <c r="AF160" s="208">
        <v>0</v>
      </c>
      <c r="AG160" s="271">
        <f t="shared" si="148"/>
        <v>61360430</v>
      </c>
      <c r="AH160" s="270">
        <f t="shared" si="149"/>
        <v>114689194</v>
      </c>
      <c r="AI160" s="220">
        <f t="shared" si="150"/>
        <v>211396063</v>
      </c>
      <c r="AJ160" s="269">
        <f t="shared" si="151"/>
        <v>354249551</v>
      </c>
      <c r="AK160" s="101"/>
      <c r="AL160" s="204">
        <v>0</v>
      </c>
      <c r="AM160" s="210">
        <v>0</v>
      </c>
    </row>
    <row r="161" spans="19:39" ht="24.75" customHeight="1">
      <c r="S161" s="311" t="str">
        <f>+IF(JULIO!S161=0,"",JULIO!S161)</f>
        <v>2.1.2.02.02.008.800</v>
      </c>
      <c r="T161" s="312" t="str">
        <f>+IF(JULIO!T161=0,"",JULIO!T161)</f>
        <v>Mantenimiento  - Servicios Dotación y vehiculos</v>
      </c>
      <c r="U161" s="373">
        <f>+ENERO!U161</f>
        <v>220500000</v>
      </c>
      <c r="V161" s="220">
        <f>JULIO!V161+AGOSTO!AL161</f>
        <v>0</v>
      </c>
      <c r="W161" s="220">
        <f>JULIO!W161+AGOSTO!AM161</f>
        <v>0</v>
      </c>
      <c r="X161" s="271">
        <f t="shared" si="145"/>
        <v>220500000</v>
      </c>
      <c r="Y161" s="270">
        <f>JULIO!AA161</f>
        <v>31535631</v>
      </c>
      <c r="Z161" s="208">
        <v>0</v>
      </c>
      <c r="AA161" s="271">
        <f t="shared" si="146"/>
        <v>31535631</v>
      </c>
      <c r="AB161" s="270">
        <f>JULIO!AD161</f>
        <v>31535631</v>
      </c>
      <c r="AC161" s="208">
        <v>0</v>
      </c>
      <c r="AD161" s="271">
        <f t="shared" si="147"/>
        <v>31535631</v>
      </c>
      <c r="AE161" s="270">
        <f>JULIO!AG161</f>
        <v>31535631</v>
      </c>
      <c r="AF161" s="208">
        <v>0</v>
      </c>
      <c r="AG161" s="271">
        <f t="shared" si="148"/>
        <v>31535631</v>
      </c>
      <c r="AH161" s="270">
        <f t="shared" si="149"/>
        <v>188964369</v>
      </c>
      <c r="AI161" s="220">
        <f t="shared" si="150"/>
        <v>188964369</v>
      </c>
      <c r="AJ161" s="269">
        <f t="shared" si="151"/>
        <v>188964369</v>
      </c>
      <c r="AK161" s="101"/>
      <c r="AL161" s="204">
        <v>0</v>
      </c>
      <c r="AM161" s="210">
        <v>0</v>
      </c>
    </row>
    <row r="162" spans="19:39" ht="24.75" customHeight="1">
      <c r="S162" s="311" t="str">
        <f>+IF(JULIO!S162=0,"",JULIO!S162)</f>
        <v>2.1.2.02.02.008.805</v>
      </c>
      <c r="T162" s="312" t="str">
        <f>+IF(JULIO!T162=0,"",JULIO!T162)</f>
        <v>Mantenimiento - Servicio de Metrología y Calibracion</v>
      </c>
      <c r="U162" s="373">
        <f>+ENERO!U162</f>
        <v>144394707</v>
      </c>
      <c r="V162" s="220">
        <f>JULIO!V162+AGOSTO!AL162</f>
        <v>0</v>
      </c>
      <c r="W162" s="220">
        <f>JULIO!W162+AGOSTO!AM162</f>
        <v>0</v>
      </c>
      <c r="X162" s="271">
        <f t="shared" si="145"/>
        <v>144394707</v>
      </c>
      <c r="Y162" s="270">
        <f>JULIO!AA162</f>
        <v>104424880</v>
      </c>
      <c r="Z162" s="208">
        <v>0</v>
      </c>
      <c r="AA162" s="271">
        <f t="shared" si="146"/>
        <v>104424880</v>
      </c>
      <c r="AB162" s="270">
        <f>JULIO!AD162</f>
        <v>0</v>
      </c>
      <c r="AC162" s="208">
        <v>0</v>
      </c>
      <c r="AD162" s="271">
        <f t="shared" si="147"/>
        <v>0</v>
      </c>
      <c r="AE162" s="270">
        <f>JULIO!AG162</f>
        <v>0</v>
      </c>
      <c r="AF162" s="208">
        <v>0</v>
      </c>
      <c r="AG162" s="271">
        <f t="shared" si="148"/>
        <v>0</v>
      </c>
      <c r="AH162" s="270">
        <f t="shared" si="149"/>
        <v>39969827</v>
      </c>
      <c r="AI162" s="220">
        <f t="shared" si="150"/>
        <v>144394707</v>
      </c>
      <c r="AJ162" s="269">
        <f t="shared" si="151"/>
        <v>144394707</v>
      </c>
      <c r="AK162" s="101"/>
      <c r="AL162" s="204">
        <v>0</v>
      </c>
      <c r="AM162" s="210">
        <v>0</v>
      </c>
    </row>
    <row r="163" spans="19:39" ht="24.75" customHeight="1">
      <c r="S163" s="311" t="str">
        <f>+IF(JULIO!S163=0,"",JULIO!S163)</f>
        <v>2.1.2.02.02.008.806</v>
      </c>
      <c r="T163" s="312" t="str">
        <f>+IF(JULIO!T163=0,"",JULIO!T163)</f>
        <v xml:space="preserve">Mantenimiento- Servicios </v>
      </c>
      <c r="U163" s="373">
        <f>+ENERO!U163</f>
        <v>4141233251</v>
      </c>
      <c r="V163" s="220">
        <f>JULIO!V163+AGOSTO!AL163</f>
        <v>0</v>
      </c>
      <c r="W163" s="220">
        <f>JULIO!W163+AGOSTO!AM163</f>
        <v>0</v>
      </c>
      <c r="X163" s="271">
        <f t="shared" si="145"/>
        <v>4141233251</v>
      </c>
      <c r="Y163" s="270">
        <f>JULIO!AA163</f>
        <v>2290490224</v>
      </c>
      <c r="Z163" s="208">
        <v>1699600</v>
      </c>
      <c r="AA163" s="271">
        <f t="shared" si="146"/>
        <v>2292189824</v>
      </c>
      <c r="AB163" s="270">
        <f>JULIO!AD163</f>
        <v>1449968121</v>
      </c>
      <c r="AC163" s="208">
        <v>164247828</v>
      </c>
      <c r="AD163" s="271">
        <f t="shared" si="147"/>
        <v>1614215949</v>
      </c>
      <c r="AE163" s="270">
        <f>JULIO!AG163</f>
        <v>719057663</v>
      </c>
      <c r="AF163" s="208">
        <v>9710540</v>
      </c>
      <c r="AG163" s="271">
        <f t="shared" si="148"/>
        <v>728768203</v>
      </c>
      <c r="AH163" s="270">
        <f t="shared" si="149"/>
        <v>1849043427</v>
      </c>
      <c r="AI163" s="220">
        <f t="shared" si="150"/>
        <v>2527017302</v>
      </c>
      <c r="AJ163" s="269">
        <f t="shared" si="151"/>
        <v>3412465048</v>
      </c>
      <c r="AK163" s="101"/>
      <c r="AL163" s="204">
        <v>0</v>
      </c>
      <c r="AM163" s="210">
        <v>0</v>
      </c>
    </row>
    <row r="164" spans="19:39" ht="24.75" customHeight="1">
      <c r="S164" s="311" t="str">
        <f>+IF(JULIO!S164=0,"",JULIO!S164)</f>
        <v>2.1.2.02.02.008.807</v>
      </c>
      <c r="T164" s="312" t="str">
        <f>+IF(JULIO!T164=0,"",JULIO!T164)</f>
        <v>Mantenimiento Servicios-fotocopias y otros</v>
      </c>
      <c r="U164" s="373">
        <f>+ENERO!U164</f>
        <v>267744477</v>
      </c>
      <c r="V164" s="220">
        <f>JULIO!V164+AGOSTO!AL164</f>
        <v>0</v>
      </c>
      <c r="W164" s="220">
        <f>JULIO!W164+AGOSTO!AM164</f>
        <v>0</v>
      </c>
      <c r="X164" s="271">
        <f t="shared" si="145"/>
        <v>267744477</v>
      </c>
      <c r="Y164" s="270">
        <f>JULIO!AA164</f>
        <v>173250000</v>
      </c>
      <c r="Z164" s="208">
        <v>0</v>
      </c>
      <c r="AA164" s="271">
        <f t="shared" si="146"/>
        <v>173250000</v>
      </c>
      <c r="AB164" s="270">
        <f>JULIO!AD164</f>
        <v>65825594</v>
      </c>
      <c r="AC164" s="208">
        <v>9428712</v>
      </c>
      <c r="AD164" s="271">
        <f t="shared" si="147"/>
        <v>75254306</v>
      </c>
      <c r="AE164" s="270">
        <f>JULIO!AG164</f>
        <v>15749990</v>
      </c>
      <c r="AF164" s="208">
        <v>0</v>
      </c>
      <c r="AG164" s="271">
        <f t="shared" si="148"/>
        <v>15749990</v>
      </c>
      <c r="AH164" s="270">
        <f t="shared" si="149"/>
        <v>94494477</v>
      </c>
      <c r="AI164" s="220">
        <f t="shared" si="150"/>
        <v>192490171</v>
      </c>
      <c r="AJ164" s="269">
        <f t="shared" si="151"/>
        <v>251994487</v>
      </c>
      <c r="AK164" s="101"/>
      <c r="AL164" s="204">
        <v>0</v>
      </c>
      <c r="AM164" s="210">
        <v>0</v>
      </c>
    </row>
    <row r="165" spans="19:39" ht="24.75" customHeight="1">
      <c r="S165" s="311" t="str">
        <f>+IF(JULIO!S165=0,"",JULIO!S165)</f>
        <v>2.1.2.02.02.008.811</v>
      </c>
      <c r="T165" s="312" t="str">
        <f>+IF(JULIO!T165=0,"",JULIO!T165)</f>
        <v>Mantenimiento servicios - planta física y sistemas</v>
      </c>
      <c r="U165" s="373">
        <f>+ENERO!U165</f>
        <v>0</v>
      </c>
      <c r="V165" s="220">
        <f>JULIO!V165+AGOSTO!AL165</f>
        <v>0</v>
      </c>
      <c r="W165" s="220">
        <f>JULIO!W165+AGOSTO!AM165</f>
        <v>0</v>
      </c>
      <c r="X165" s="271">
        <f t="shared" si="145"/>
        <v>0</v>
      </c>
      <c r="Y165" s="270">
        <f>JULIO!AA165</f>
        <v>0</v>
      </c>
      <c r="Z165" s="208">
        <v>0</v>
      </c>
      <c r="AA165" s="271">
        <f t="shared" si="146"/>
        <v>0</v>
      </c>
      <c r="AB165" s="270">
        <f>JULIO!AD165</f>
        <v>0</v>
      </c>
      <c r="AC165" s="208">
        <v>0</v>
      </c>
      <c r="AD165" s="271">
        <f t="shared" si="147"/>
        <v>0</v>
      </c>
      <c r="AE165" s="270">
        <f>JULIO!AG165</f>
        <v>0</v>
      </c>
      <c r="AF165" s="208">
        <v>0</v>
      </c>
      <c r="AG165" s="271">
        <f t="shared" si="148"/>
        <v>0</v>
      </c>
      <c r="AH165" s="270">
        <f t="shared" si="149"/>
        <v>0</v>
      </c>
      <c r="AI165" s="220">
        <f t="shared" si="150"/>
        <v>0</v>
      </c>
      <c r="AJ165" s="269">
        <f t="shared" si="151"/>
        <v>0</v>
      </c>
      <c r="AK165" s="101"/>
      <c r="AL165" s="204">
        <v>0</v>
      </c>
      <c r="AM165" s="210">
        <v>0</v>
      </c>
    </row>
    <row r="166" spans="19:39" ht="24.75" customHeight="1">
      <c r="S166" s="311" t="str">
        <f>+IF(JULIO!S166=0,"",JULIO!S166)</f>
        <v>2.1.2.02.02.008.99.03</v>
      </c>
      <c r="T166" s="312" t="str">
        <f>+IF(JULIO!T166=0,"",JULIO!T166)</f>
        <v xml:space="preserve">Vigencias Anteriores Mantenimiento Servicios </v>
      </c>
      <c r="U166" s="373">
        <f>SUM(ENERO!U167)</f>
        <v>2434004587.2222223</v>
      </c>
      <c r="V166" s="220">
        <f>JULIO!V166+AGOSTO!AL166</f>
        <v>0</v>
      </c>
      <c r="W166" s="220">
        <f>JULIO!W166+AGOSTO!AM166</f>
        <v>158814745</v>
      </c>
      <c r="X166" s="271">
        <f t="shared" si="145"/>
        <v>2592819332.2222223</v>
      </c>
      <c r="Y166" s="270">
        <f>JULIO!AA166</f>
        <v>884176130</v>
      </c>
      <c r="Z166" s="208">
        <v>0</v>
      </c>
      <c r="AA166" s="271">
        <f t="shared" si="146"/>
        <v>884176130</v>
      </c>
      <c r="AB166" s="270">
        <f>JULIO!AD166</f>
        <v>884176130</v>
      </c>
      <c r="AC166" s="208">
        <v>0</v>
      </c>
      <c r="AD166" s="271">
        <f t="shared" si="147"/>
        <v>884176130</v>
      </c>
      <c r="AE166" s="270">
        <f>JULIO!AG166</f>
        <v>884145930</v>
      </c>
      <c r="AF166" s="208">
        <v>0</v>
      </c>
      <c r="AG166" s="271">
        <f t="shared" si="148"/>
        <v>884145930</v>
      </c>
      <c r="AH166" s="270">
        <f t="shared" si="149"/>
        <v>1708643202.2222223</v>
      </c>
      <c r="AI166" s="220">
        <f t="shared" si="150"/>
        <v>1708643202.2222223</v>
      </c>
      <c r="AJ166" s="269">
        <f t="shared" si="151"/>
        <v>1708673402.2222223</v>
      </c>
      <c r="AK166" s="101"/>
      <c r="AL166" s="204">
        <v>0</v>
      </c>
      <c r="AM166" s="210">
        <v>0</v>
      </c>
    </row>
    <row r="167" spans="19:39" ht="24.75" customHeight="1">
      <c r="S167" s="189" t="str">
        <f>+IF(JULIO!S167=0,"",JULIO!S167)</f>
        <v/>
      </c>
      <c r="T167" s="488" t="str">
        <f>+IF(JULIO!T167=0,"",JULIO!T167)</f>
        <v/>
      </c>
      <c r="U167" s="191"/>
      <c r="V167" s="191"/>
      <c r="W167" s="191"/>
      <c r="X167" s="191"/>
      <c r="Y167" s="191"/>
      <c r="Z167" s="191"/>
      <c r="AA167" s="191"/>
      <c r="AB167" s="191"/>
      <c r="AC167" s="191"/>
      <c r="AD167" s="191"/>
      <c r="AE167" s="191"/>
      <c r="AF167" s="191">
        <v>0</v>
      </c>
      <c r="AG167" s="191"/>
      <c r="AH167" s="191"/>
      <c r="AI167" s="191"/>
      <c r="AJ167" s="192"/>
      <c r="AK167" s="101"/>
      <c r="AL167" s="370"/>
      <c r="AM167" s="371"/>
    </row>
    <row r="168" spans="19:39" ht="24.75" customHeight="1">
      <c r="S168" s="228">
        <f>+IF(JULIO!S168=0,"",JULIO!S168)</f>
        <v>3000000</v>
      </c>
      <c r="T168" s="404" t="str">
        <f>+IF(JULIO!T168=0,"",JULIO!T168)</f>
        <v>TRANSFERENCIAS CORRIENTES</v>
      </c>
      <c r="U168" s="405">
        <f t="shared" ref="U168:AJ168" si="152">U170+U174+U183</f>
        <v>2193060585</v>
      </c>
      <c r="V168" s="406">
        <f t="shared" si="152"/>
        <v>21000000</v>
      </c>
      <c r="W168" s="406">
        <f t="shared" si="152"/>
        <v>1400000000</v>
      </c>
      <c r="X168" s="407">
        <f t="shared" si="152"/>
        <v>3614060585</v>
      </c>
      <c r="Y168" s="217">
        <f t="shared" si="152"/>
        <v>1229658319</v>
      </c>
      <c r="Z168" s="406">
        <f t="shared" si="152"/>
        <v>84547385</v>
      </c>
      <c r="AA168" s="407">
        <f t="shared" si="152"/>
        <v>1314205704</v>
      </c>
      <c r="AB168" s="217">
        <f t="shared" si="152"/>
        <v>1229628419</v>
      </c>
      <c r="AC168" s="406">
        <f t="shared" si="152"/>
        <v>70035955</v>
      </c>
      <c r="AD168" s="407">
        <f t="shared" si="152"/>
        <v>1299664374</v>
      </c>
      <c r="AE168" s="217">
        <f t="shared" si="152"/>
        <v>1013201372.5</v>
      </c>
      <c r="AF168" s="406">
        <f t="shared" si="152"/>
        <v>146704469</v>
      </c>
      <c r="AG168" s="407">
        <f t="shared" si="152"/>
        <v>1159905841.5</v>
      </c>
      <c r="AH168" s="217">
        <f t="shared" si="152"/>
        <v>2299854881</v>
      </c>
      <c r="AI168" s="406">
        <f t="shared" si="152"/>
        <v>2314396211</v>
      </c>
      <c r="AJ168" s="218">
        <f t="shared" si="152"/>
        <v>2454154743.5</v>
      </c>
      <c r="AK168" s="101"/>
      <c r="AL168" s="233">
        <f>AL170+AL174+AL183</f>
        <v>0</v>
      </c>
      <c r="AM168" s="232">
        <f>AM170+AM174+AM183</f>
        <v>0</v>
      </c>
    </row>
    <row r="169" spans="19:39" ht="24.75" customHeight="1">
      <c r="S169" s="189" t="str">
        <f>+IF(JULIO!S169=0,"",JULIO!S169)</f>
        <v/>
      </c>
      <c r="T169" s="488" t="str">
        <f>+IF(JULIO!T169=0,"",JULIO!T169)</f>
        <v/>
      </c>
      <c r="U169" s="191"/>
      <c r="V169" s="191"/>
      <c r="W169" s="191"/>
      <c r="X169" s="191"/>
      <c r="Y169" s="191"/>
      <c r="Z169" s="191"/>
      <c r="AA169" s="191"/>
      <c r="AB169" s="191"/>
      <c r="AC169" s="191"/>
      <c r="AD169" s="191"/>
      <c r="AE169" s="191"/>
      <c r="AF169" s="191"/>
      <c r="AG169" s="191"/>
      <c r="AH169" s="191"/>
      <c r="AI169" s="191"/>
      <c r="AJ169" s="192"/>
      <c r="AK169" s="101"/>
      <c r="AL169" s="370"/>
      <c r="AM169" s="371"/>
    </row>
    <row r="170" spans="19:39" ht="24.75" customHeight="1">
      <c r="S170" s="257">
        <f>+IF(JULIO!S170=0,"",JULIO!S170)</f>
        <v>3100000</v>
      </c>
      <c r="T170" s="546" t="str">
        <f>+IF(JULIO!T170=0,"",JULIO!T170)</f>
        <v>Transferencias al Sector Público</v>
      </c>
      <c r="U170" s="230">
        <f t="shared" ref="U170:AJ170" si="153">SUM(U171:U172)</f>
        <v>570000000</v>
      </c>
      <c r="V170" s="231">
        <f t="shared" si="153"/>
        <v>0</v>
      </c>
      <c r="W170" s="231">
        <f t="shared" si="153"/>
        <v>900000000</v>
      </c>
      <c r="X170" s="234">
        <f t="shared" si="153"/>
        <v>1470000000</v>
      </c>
      <c r="Y170" s="233">
        <f t="shared" si="153"/>
        <v>288346940</v>
      </c>
      <c r="Z170" s="231">
        <f t="shared" si="153"/>
        <v>24031630</v>
      </c>
      <c r="AA170" s="234">
        <f t="shared" si="153"/>
        <v>312378570</v>
      </c>
      <c r="AB170" s="233">
        <f t="shared" si="153"/>
        <v>288346940</v>
      </c>
      <c r="AC170" s="231">
        <f t="shared" si="153"/>
        <v>10822643</v>
      </c>
      <c r="AD170" s="234">
        <f t="shared" si="153"/>
        <v>299169583</v>
      </c>
      <c r="AE170" s="233">
        <f t="shared" si="153"/>
        <v>239488740</v>
      </c>
      <c r="AF170" s="231">
        <f t="shared" si="153"/>
        <v>36246180</v>
      </c>
      <c r="AG170" s="234">
        <f t="shared" si="153"/>
        <v>275734920</v>
      </c>
      <c r="AH170" s="233">
        <f t="shared" si="153"/>
        <v>1157621430</v>
      </c>
      <c r="AI170" s="231">
        <f t="shared" si="153"/>
        <v>1170830417</v>
      </c>
      <c r="AJ170" s="232">
        <f t="shared" si="153"/>
        <v>1194265080</v>
      </c>
      <c r="AK170" s="101"/>
      <c r="AL170" s="233">
        <f>SUM(AL171:AL172)</f>
        <v>0</v>
      </c>
      <c r="AM170" s="232">
        <f>SUM(AM171:AM172)</f>
        <v>0</v>
      </c>
    </row>
    <row r="171" spans="19:39" ht="24.75" customHeight="1">
      <c r="S171" s="266" t="str">
        <f>+IF(JULIO!S171=0,"",JULIO!S171)</f>
        <v>2.1.8.04.01</v>
      </c>
      <c r="T171" s="267" t="str">
        <f>+IF(JULIO!T171=0,"",JULIO!T171)</f>
        <v>Cuotas de fiscalizacion y auditaje</v>
      </c>
      <c r="U171" s="373">
        <f>+ENERO!U172</f>
        <v>170000000</v>
      </c>
      <c r="V171" s="220">
        <f>JULIO!V171+AGOSTO!AL171</f>
        <v>0</v>
      </c>
      <c r="W171" s="220">
        <f>JULIO!W171+AGOSTO!AM171</f>
        <v>0</v>
      </c>
      <c r="X171" s="271">
        <f>SUM(U171:W171)</f>
        <v>170000000</v>
      </c>
      <c r="Y171" s="270">
        <f>JULIO!AA171</f>
        <v>122145496</v>
      </c>
      <c r="Z171" s="208">
        <v>0</v>
      </c>
      <c r="AA171" s="271">
        <f>SUM(Y171:Z171)</f>
        <v>122145496</v>
      </c>
      <c r="AB171" s="270">
        <f>JULIO!AD171</f>
        <v>122145496</v>
      </c>
      <c r="AC171" s="208">
        <v>-13208987</v>
      </c>
      <c r="AD171" s="271">
        <f>SUM(AB171:AC171)</f>
        <v>108936509</v>
      </c>
      <c r="AE171" s="270">
        <f>JULIO!AG171</f>
        <v>73287296</v>
      </c>
      <c r="AF171" s="208">
        <v>12214550</v>
      </c>
      <c r="AG171" s="271">
        <f>SUM(AE171:AF171)</f>
        <v>85501846</v>
      </c>
      <c r="AH171" s="270">
        <f>X171-AA171</f>
        <v>47854504</v>
      </c>
      <c r="AI171" s="220">
        <f>X171-AD171</f>
        <v>61063491</v>
      </c>
      <c r="AJ171" s="269">
        <f>X171-AG171</f>
        <v>84498154</v>
      </c>
      <c r="AK171" s="101"/>
      <c r="AL171" s="204">
        <v>0</v>
      </c>
      <c r="AM171" s="210">
        <v>0</v>
      </c>
    </row>
    <row r="172" spans="19:39" ht="24.75" customHeight="1">
      <c r="S172" s="266" t="str">
        <f>+IF(JULIO!S172=0,"",JULIO!S172)</f>
        <v>2.1.8.02</v>
      </c>
      <c r="T172" s="267" t="str">
        <f>+IF(JULIO!T172=0,"",JULIO!T172)</f>
        <v>Acuerdo de estampillas</v>
      </c>
      <c r="U172" s="373">
        <f>+ENERO!U173</f>
        <v>400000000</v>
      </c>
      <c r="V172" s="220">
        <f>JULIO!V172+AGOSTO!AL172</f>
        <v>0</v>
      </c>
      <c r="W172" s="220">
        <f>JULIO!W172+AGOSTO!AM172</f>
        <v>900000000</v>
      </c>
      <c r="X172" s="271">
        <f>SUM(U172:W172)</f>
        <v>1300000000</v>
      </c>
      <c r="Y172" s="270">
        <f>JULIO!AA172</f>
        <v>166201444</v>
      </c>
      <c r="Z172" s="208">
        <v>24031630</v>
      </c>
      <c r="AA172" s="271">
        <f>SUM(Y172:Z172)</f>
        <v>190233074</v>
      </c>
      <c r="AB172" s="270">
        <f>JULIO!AD172</f>
        <v>166201444</v>
      </c>
      <c r="AC172" s="208">
        <v>24031630</v>
      </c>
      <c r="AD172" s="271">
        <f>SUM(AB172:AC172)</f>
        <v>190233074</v>
      </c>
      <c r="AE172" s="270">
        <f>JULIO!AG172</f>
        <v>166201444</v>
      </c>
      <c r="AF172" s="208">
        <v>24031630</v>
      </c>
      <c r="AG172" s="271">
        <f>SUM(AE172:AF172)</f>
        <v>190233074</v>
      </c>
      <c r="AH172" s="270">
        <f>X172-AA172</f>
        <v>1109766926</v>
      </c>
      <c r="AI172" s="220">
        <f>X172-AD172</f>
        <v>1109766926</v>
      </c>
      <c r="AJ172" s="269">
        <f>X172-AG172</f>
        <v>1109766926</v>
      </c>
      <c r="AK172" s="101"/>
      <c r="AL172" s="204">
        <v>0</v>
      </c>
      <c r="AM172" s="210">
        <v>0</v>
      </c>
    </row>
    <row r="173" spans="19:39" ht="24.75" customHeight="1">
      <c r="S173" s="189">
        <f>+IF(JULIO!S173=0,"",JULIO!S173)</f>
        <v>23007296</v>
      </c>
      <c r="T173" s="488" t="str">
        <f>+IF(JULIO!T173=0,"",JULIO!T173)</f>
        <v/>
      </c>
      <c r="U173" s="191"/>
      <c r="V173" s="191"/>
      <c r="W173" s="191"/>
      <c r="X173" s="191"/>
      <c r="Y173" s="191"/>
      <c r="Z173" s="191"/>
      <c r="AA173" s="191"/>
      <c r="AB173" s="191"/>
      <c r="AC173" s="191"/>
      <c r="AD173" s="191"/>
      <c r="AE173" s="191"/>
      <c r="AF173" s="191"/>
      <c r="AG173" s="191"/>
      <c r="AH173" s="191"/>
      <c r="AI173" s="191"/>
      <c r="AJ173" s="192"/>
      <c r="AK173" s="216"/>
      <c r="AL173" s="370"/>
      <c r="AM173" s="371"/>
    </row>
    <row r="174" spans="19:39" ht="24.75" customHeight="1">
      <c r="S174" s="257">
        <f>+IF(JULIO!S174=0,"",JULIO!S174)</f>
        <v>320000</v>
      </c>
      <c r="T174" s="546" t="str">
        <f>+IF(JULIO!T174=0,"",JULIO!T174)</f>
        <v>Transf. Previsión y Seguridad Social</v>
      </c>
      <c r="U174" s="230">
        <f t="shared" ref="U174:AJ174" si="154">SUM(U175:U181)</f>
        <v>310000000</v>
      </c>
      <c r="V174" s="231">
        <f t="shared" si="154"/>
        <v>0</v>
      </c>
      <c r="W174" s="231">
        <f t="shared" si="154"/>
        <v>0</v>
      </c>
      <c r="X174" s="234">
        <f t="shared" si="154"/>
        <v>310000000</v>
      </c>
      <c r="Y174" s="233">
        <f t="shared" si="154"/>
        <v>171400080</v>
      </c>
      <c r="Z174" s="231">
        <f t="shared" si="154"/>
        <v>793929</v>
      </c>
      <c r="AA174" s="234">
        <f t="shared" si="154"/>
        <v>172194009</v>
      </c>
      <c r="AB174" s="233">
        <f t="shared" si="154"/>
        <v>171400080</v>
      </c>
      <c r="AC174" s="231">
        <f t="shared" si="154"/>
        <v>793929</v>
      </c>
      <c r="AD174" s="234">
        <f t="shared" si="154"/>
        <v>172194009</v>
      </c>
      <c r="AE174" s="233">
        <f t="shared" si="154"/>
        <v>171400080</v>
      </c>
      <c r="AF174" s="231">
        <f t="shared" si="154"/>
        <v>793929</v>
      </c>
      <c r="AG174" s="234">
        <f t="shared" si="154"/>
        <v>172194009</v>
      </c>
      <c r="AH174" s="233">
        <f t="shared" si="154"/>
        <v>137805991</v>
      </c>
      <c r="AI174" s="231">
        <f t="shared" si="154"/>
        <v>137805991</v>
      </c>
      <c r="AJ174" s="232">
        <f t="shared" si="154"/>
        <v>137805991</v>
      </c>
      <c r="AK174" s="101"/>
      <c r="AL174" s="233">
        <f>SUM(AL175:AL181)</f>
        <v>0</v>
      </c>
      <c r="AM174" s="232">
        <f>SUM(AM175:AM181)</f>
        <v>0</v>
      </c>
    </row>
    <row r="175" spans="19:39" ht="24.75" customHeight="1">
      <c r="S175" s="266">
        <f>+IF(JULIO!S175=0,"",JULIO!S175)</f>
        <v>3200100</v>
      </c>
      <c r="T175" s="267" t="str">
        <f>+IF(JULIO!T175=0,"",JULIO!T175)</f>
        <v>Pensiones y Jubilaciones (Pago Directo)</v>
      </c>
      <c r="U175" s="373">
        <f>+ENERO!U176</f>
        <v>0</v>
      </c>
      <c r="V175" s="220">
        <f>JULIO!V175+AGOSTO!AL175</f>
        <v>0</v>
      </c>
      <c r="W175" s="220">
        <f>JULIO!W175+AGOSTO!AM175</f>
        <v>0</v>
      </c>
      <c r="X175" s="271">
        <f t="shared" ref="X175:X181" si="155">SUM(U175:W175)</f>
        <v>0</v>
      </c>
      <c r="Y175" s="270">
        <f>JULIO!AA175</f>
        <v>0</v>
      </c>
      <c r="Z175" s="208"/>
      <c r="AA175" s="271">
        <f t="shared" ref="AA175:AA181" si="156">SUM(Y175:Z175)</f>
        <v>0</v>
      </c>
      <c r="AB175" s="270">
        <f>JULIO!AD175</f>
        <v>0</v>
      </c>
      <c r="AC175" s="208"/>
      <c r="AD175" s="271">
        <f t="shared" ref="AD175:AD181" si="157">SUM(AB175:AC175)</f>
        <v>0</v>
      </c>
      <c r="AE175" s="270">
        <f>JULIO!AG175</f>
        <v>0</v>
      </c>
      <c r="AF175" s="208"/>
      <c r="AG175" s="271">
        <f t="shared" ref="AG175:AG181" si="158">SUM(AE175:AF175)</f>
        <v>0</v>
      </c>
      <c r="AH175" s="270">
        <f t="shared" ref="AH175:AH181" si="159">X175-AA175</f>
        <v>0</v>
      </c>
      <c r="AI175" s="220">
        <f t="shared" ref="AI175:AI181" si="160">X175-AD175</f>
        <v>0</v>
      </c>
      <c r="AJ175" s="269">
        <f t="shared" ref="AJ175:AJ181" si="161">X175-AG175</f>
        <v>0</v>
      </c>
      <c r="AK175" s="101"/>
      <c r="AL175" s="204">
        <v>0</v>
      </c>
      <c r="AM175" s="210">
        <v>0</v>
      </c>
    </row>
    <row r="176" spans="19:39" ht="24.75" customHeight="1">
      <c r="S176" s="266">
        <f>+IF(JULIO!S176=0,"",JULIO!S176)</f>
        <v>3200200</v>
      </c>
      <c r="T176" s="267" t="str">
        <f>+IF(JULIO!T176=0,"",JULIO!T176)</f>
        <v>Cesantías Pago Directo (Pago Directo)</v>
      </c>
      <c r="U176" s="373">
        <f>+ENERO!U177</f>
        <v>0</v>
      </c>
      <c r="V176" s="220">
        <f>JULIO!V176+AGOSTO!AL176</f>
        <v>0</v>
      </c>
      <c r="W176" s="220">
        <f>JULIO!W176+AGOSTO!AM176</f>
        <v>0</v>
      </c>
      <c r="X176" s="271">
        <f t="shared" si="155"/>
        <v>0</v>
      </c>
      <c r="Y176" s="270">
        <f>JULIO!AA176</f>
        <v>0</v>
      </c>
      <c r="Z176" s="208"/>
      <c r="AA176" s="271">
        <f t="shared" si="156"/>
        <v>0</v>
      </c>
      <c r="AB176" s="270">
        <f>JULIO!AD176</f>
        <v>0</v>
      </c>
      <c r="AC176" s="208"/>
      <c r="AD176" s="271">
        <f t="shared" si="157"/>
        <v>0</v>
      </c>
      <c r="AE176" s="270">
        <f>JULIO!AG176</f>
        <v>0</v>
      </c>
      <c r="AF176" s="208"/>
      <c r="AG176" s="271">
        <f t="shared" si="158"/>
        <v>0</v>
      </c>
      <c r="AH176" s="270">
        <f t="shared" si="159"/>
        <v>0</v>
      </c>
      <c r="AI176" s="220">
        <f t="shared" si="160"/>
        <v>0</v>
      </c>
      <c r="AJ176" s="269">
        <f t="shared" si="161"/>
        <v>0</v>
      </c>
      <c r="AK176" s="101"/>
      <c r="AL176" s="204">
        <v>0</v>
      </c>
      <c r="AM176" s="210">
        <v>0</v>
      </c>
    </row>
    <row r="177" spans="19:39" ht="24.75" customHeight="1">
      <c r="S177" s="266" t="str">
        <f>+IF(JULIO!S177=0,"",JULIO!S177)</f>
        <v>2.1.3.07.02.002.02</v>
      </c>
      <c r="T177" s="267" t="str">
        <f>+IF(JULIO!T177=0,"",JULIO!T177)</f>
        <v>Cuotas partes pensionales a cargo de la entidad ( de pensiones)</v>
      </c>
      <c r="U177" s="373">
        <f>+ENERO!U178</f>
        <v>10000000</v>
      </c>
      <c r="V177" s="220">
        <f>JULIO!V177+AGOSTO!AL177</f>
        <v>0</v>
      </c>
      <c r="W177" s="220">
        <f>JULIO!W177+AGOSTO!AM177</f>
        <v>0</v>
      </c>
      <c r="X177" s="271">
        <f t="shared" si="155"/>
        <v>10000000</v>
      </c>
      <c r="Y177" s="270">
        <f>JULIO!AA177</f>
        <v>5940080</v>
      </c>
      <c r="Z177" s="208">
        <v>793929</v>
      </c>
      <c r="AA177" s="271">
        <f t="shared" si="156"/>
        <v>6734009</v>
      </c>
      <c r="AB177" s="270">
        <f>JULIO!AD177</f>
        <v>5940080</v>
      </c>
      <c r="AC177" s="208">
        <v>793929</v>
      </c>
      <c r="AD177" s="271">
        <f t="shared" si="157"/>
        <v>6734009</v>
      </c>
      <c r="AE177" s="270">
        <f>JULIO!AG177</f>
        <v>5940080</v>
      </c>
      <c r="AF177" s="208">
        <v>793929</v>
      </c>
      <c r="AG177" s="271">
        <f t="shared" si="158"/>
        <v>6734009</v>
      </c>
      <c r="AH177" s="270">
        <f t="shared" si="159"/>
        <v>3265991</v>
      </c>
      <c r="AI177" s="220">
        <f t="shared" si="160"/>
        <v>3265991</v>
      </c>
      <c r="AJ177" s="269">
        <f t="shared" si="161"/>
        <v>3265991</v>
      </c>
      <c r="AK177" s="101"/>
      <c r="AL177" s="204">
        <v>0</v>
      </c>
      <c r="AM177" s="210">
        <v>0</v>
      </c>
    </row>
    <row r="178" spans="19:39" ht="24.75" customHeight="1">
      <c r="S178" s="266" t="str">
        <f>+IF(JULIO!S178=0,"",JULIO!S178)</f>
        <v>2.1.3.07.02.003.02</v>
      </c>
      <c r="T178" s="267" t="str">
        <f>+IF(JULIO!T178=0,"",JULIO!T178)</f>
        <v>Bonos pensionales a cargo de la entidad ( de pensiones)</v>
      </c>
      <c r="U178" s="373">
        <f>+ENERO!U179</f>
        <v>300000000</v>
      </c>
      <c r="V178" s="220">
        <f>JULIO!V178+AGOSTO!AL178</f>
        <v>0</v>
      </c>
      <c r="W178" s="220">
        <f>JULIO!W178+AGOSTO!AM178</f>
        <v>0</v>
      </c>
      <c r="X178" s="271">
        <f t="shared" si="155"/>
        <v>300000000</v>
      </c>
      <c r="Y178" s="270">
        <f>JULIO!AA178</f>
        <v>165460000</v>
      </c>
      <c r="Z178" s="208">
        <v>0</v>
      </c>
      <c r="AA178" s="271">
        <f t="shared" si="156"/>
        <v>165460000</v>
      </c>
      <c r="AB178" s="270">
        <f>JULIO!AD178</f>
        <v>165460000</v>
      </c>
      <c r="AC178" s="208">
        <v>0</v>
      </c>
      <c r="AD178" s="271">
        <f t="shared" si="157"/>
        <v>165460000</v>
      </c>
      <c r="AE178" s="270">
        <f>JULIO!AG178</f>
        <v>165460000</v>
      </c>
      <c r="AF178" s="208">
        <v>0</v>
      </c>
      <c r="AG178" s="271">
        <f t="shared" si="158"/>
        <v>165460000</v>
      </c>
      <c r="AH178" s="270">
        <f t="shared" si="159"/>
        <v>134540000</v>
      </c>
      <c r="AI178" s="220">
        <f t="shared" si="160"/>
        <v>134540000</v>
      </c>
      <c r="AJ178" s="269">
        <f t="shared" si="161"/>
        <v>134540000</v>
      </c>
      <c r="AK178" s="101"/>
      <c r="AL178" s="204">
        <v>0</v>
      </c>
      <c r="AM178" s="210">
        <v>0</v>
      </c>
    </row>
    <row r="179" spans="19:39" ht="24.75" customHeight="1">
      <c r="S179" s="266" t="str">
        <f>+IF(JULIO!S179=0,"",JULIO!S179)</f>
        <v>2.1.8.04.07</v>
      </c>
      <c r="T179" s="267" t="str">
        <f>+IF(JULIO!T179=0,"",JULIO!T179)</f>
        <v>Contribucion de Vigilancia Superintendencia Nacional de Salud</v>
      </c>
      <c r="U179" s="373">
        <f>+ENERO!U180</f>
        <v>0</v>
      </c>
      <c r="V179" s="220">
        <f>JULIO!V179+AGOSTO!AL179</f>
        <v>0</v>
      </c>
      <c r="W179" s="220">
        <f>JULIO!W179+AGOSTO!AM179</f>
        <v>0</v>
      </c>
      <c r="X179" s="271">
        <f t="shared" si="155"/>
        <v>0</v>
      </c>
      <c r="Y179" s="270">
        <f>JULIO!AA179</f>
        <v>0</v>
      </c>
      <c r="Z179" s="208">
        <v>0</v>
      </c>
      <c r="AA179" s="271">
        <f t="shared" si="156"/>
        <v>0</v>
      </c>
      <c r="AB179" s="270">
        <f>JULIO!AD179</f>
        <v>0</v>
      </c>
      <c r="AC179" s="208">
        <v>0</v>
      </c>
      <c r="AD179" s="271">
        <f t="shared" si="157"/>
        <v>0</v>
      </c>
      <c r="AE179" s="270">
        <f>JULIO!AG179</f>
        <v>0</v>
      </c>
      <c r="AF179" s="208">
        <v>0</v>
      </c>
      <c r="AG179" s="271">
        <f t="shared" si="158"/>
        <v>0</v>
      </c>
      <c r="AH179" s="270">
        <f t="shared" si="159"/>
        <v>0</v>
      </c>
      <c r="AI179" s="220">
        <f t="shared" si="160"/>
        <v>0</v>
      </c>
      <c r="AJ179" s="269">
        <f t="shared" si="161"/>
        <v>0</v>
      </c>
      <c r="AK179" s="101"/>
      <c r="AL179" s="204">
        <v>0</v>
      </c>
      <c r="AM179" s="210">
        <v>0</v>
      </c>
    </row>
    <row r="180" spans="19:39" ht="24.75" customHeight="1">
      <c r="S180" s="266">
        <f>+IF(JULIO!S180=0,"",JULIO!S180)</f>
        <v>3200600</v>
      </c>
      <c r="T180" s="267" t="str">
        <f>+IF(JULIO!T180=0,"",JULIO!T180)</f>
        <v/>
      </c>
      <c r="U180" s="373">
        <f>+ENERO!U181</f>
        <v>0</v>
      </c>
      <c r="V180" s="220">
        <f>JULIO!V180+AGOSTO!AL180</f>
        <v>0</v>
      </c>
      <c r="W180" s="220">
        <f>JULIO!W180+AGOSTO!AM180</f>
        <v>0</v>
      </c>
      <c r="X180" s="271">
        <f t="shared" si="155"/>
        <v>0</v>
      </c>
      <c r="Y180" s="270">
        <f>JULIO!AA180</f>
        <v>0</v>
      </c>
      <c r="Z180" s="208">
        <v>0</v>
      </c>
      <c r="AA180" s="271">
        <f t="shared" si="156"/>
        <v>0</v>
      </c>
      <c r="AB180" s="270">
        <f>JULIO!AD180</f>
        <v>0</v>
      </c>
      <c r="AC180" s="208">
        <v>0</v>
      </c>
      <c r="AD180" s="271">
        <f t="shared" si="157"/>
        <v>0</v>
      </c>
      <c r="AE180" s="270">
        <f>JULIO!AG180</f>
        <v>0</v>
      </c>
      <c r="AF180" s="208">
        <v>0</v>
      </c>
      <c r="AG180" s="271">
        <f t="shared" si="158"/>
        <v>0</v>
      </c>
      <c r="AH180" s="270">
        <f t="shared" si="159"/>
        <v>0</v>
      </c>
      <c r="AI180" s="220">
        <f t="shared" si="160"/>
        <v>0</v>
      </c>
      <c r="AJ180" s="269">
        <f t="shared" si="161"/>
        <v>0</v>
      </c>
      <c r="AK180" s="101"/>
      <c r="AL180" s="204">
        <v>0</v>
      </c>
      <c r="AM180" s="210">
        <v>0</v>
      </c>
    </row>
    <row r="181" spans="19:39" ht="24.75" customHeight="1">
      <c r="S181" s="266" t="str">
        <f>+IF(JULIO!S181=0,"",JULIO!S181)</f>
        <v>2.1.7.01.01</v>
      </c>
      <c r="T181" s="267" t="str">
        <f>+IF(JULIO!T181=0,"",JULIO!T181)</f>
        <v>Vigencias Anteriores Cesantias</v>
      </c>
      <c r="U181" s="373">
        <f>+ENERO!U182</f>
        <v>0</v>
      </c>
      <c r="V181" s="220">
        <f>JULIO!V181+AGOSTO!AL181</f>
        <v>0</v>
      </c>
      <c r="W181" s="220">
        <f>JULIO!W181+AGOSTO!AM181</f>
        <v>0</v>
      </c>
      <c r="X181" s="271">
        <f t="shared" si="155"/>
        <v>0</v>
      </c>
      <c r="Y181" s="270">
        <f>JULIO!AA181</f>
        <v>0</v>
      </c>
      <c r="Z181" s="208">
        <v>0</v>
      </c>
      <c r="AA181" s="271">
        <f t="shared" si="156"/>
        <v>0</v>
      </c>
      <c r="AB181" s="270">
        <f>JULIO!AD181</f>
        <v>0</v>
      </c>
      <c r="AC181" s="208">
        <v>0</v>
      </c>
      <c r="AD181" s="271">
        <f t="shared" si="157"/>
        <v>0</v>
      </c>
      <c r="AE181" s="270">
        <f>JULIO!AG181</f>
        <v>0</v>
      </c>
      <c r="AF181" s="208">
        <v>0</v>
      </c>
      <c r="AG181" s="271">
        <f t="shared" si="158"/>
        <v>0</v>
      </c>
      <c r="AH181" s="270">
        <f t="shared" si="159"/>
        <v>0</v>
      </c>
      <c r="AI181" s="220">
        <f t="shared" si="160"/>
        <v>0</v>
      </c>
      <c r="AJ181" s="269">
        <f t="shared" si="161"/>
        <v>0</v>
      </c>
      <c r="AK181" s="101"/>
      <c r="AL181" s="204">
        <v>0</v>
      </c>
      <c r="AM181" s="210">
        <v>0</v>
      </c>
    </row>
    <row r="182" spans="19:39" ht="24.75" customHeight="1">
      <c r="S182" s="189" t="str">
        <f>+IF(JULIO!S182=0,"",JULIO!S182)</f>
        <v/>
      </c>
      <c r="T182" s="488" t="str">
        <f>+IF(JULIO!T182=0,"",JULIO!T182)</f>
        <v/>
      </c>
      <c r="U182" s="191"/>
      <c r="V182" s="191"/>
      <c r="W182" s="191"/>
      <c r="X182" s="191"/>
      <c r="Y182" s="191"/>
      <c r="Z182" s="191"/>
      <c r="AA182" s="191"/>
      <c r="AB182" s="191"/>
      <c r="AC182" s="191"/>
      <c r="AD182" s="191"/>
      <c r="AE182" s="191"/>
      <c r="AF182" s="191"/>
      <c r="AG182" s="191"/>
      <c r="AH182" s="191"/>
      <c r="AI182" s="191"/>
      <c r="AJ182" s="192"/>
      <c r="AK182" s="101"/>
      <c r="AL182" s="370"/>
      <c r="AM182" s="371"/>
    </row>
    <row r="183" spans="19:39" ht="24.75" customHeight="1">
      <c r="S183" s="257">
        <f>+IF(JULIO!S183=0,"",JULIO!S183)</f>
        <v>3300000</v>
      </c>
      <c r="T183" s="546" t="str">
        <f>+IF(JULIO!T183=0,"",JULIO!T183)</f>
        <v>Otras Transferencias</v>
      </c>
      <c r="U183" s="230">
        <f t="shared" ref="U183:AJ183" si="162">U184+U185+U190</f>
        <v>1313060585</v>
      </c>
      <c r="V183" s="231">
        <f t="shared" si="162"/>
        <v>21000000</v>
      </c>
      <c r="W183" s="231">
        <f t="shared" si="162"/>
        <v>500000000</v>
      </c>
      <c r="X183" s="234">
        <f t="shared" si="162"/>
        <v>1834060585</v>
      </c>
      <c r="Y183" s="233">
        <f t="shared" si="162"/>
        <v>769911299</v>
      </c>
      <c r="Z183" s="231">
        <f t="shared" si="162"/>
        <v>59721826</v>
      </c>
      <c r="AA183" s="234">
        <f t="shared" si="162"/>
        <v>829633125</v>
      </c>
      <c r="AB183" s="233">
        <f t="shared" si="162"/>
        <v>769881399</v>
      </c>
      <c r="AC183" s="231">
        <f t="shared" si="162"/>
        <v>58419383</v>
      </c>
      <c r="AD183" s="234">
        <f t="shared" si="162"/>
        <v>828300782</v>
      </c>
      <c r="AE183" s="233">
        <f t="shared" si="162"/>
        <v>602312552.5</v>
      </c>
      <c r="AF183" s="231">
        <f t="shared" si="162"/>
        <v>109664360</v>
      </c>
      <c r="AG183" s="234">
        <f t="shared" si="162"/>
        <v>711976912.5</v>
      </c>
      <c r="AH183" s="233">
        <f t="shared" si="162"/>
        <v>1004427460</v>
      </c>
      <c r="AI183" s="231">
        <f t="shared" si="162"/>
        <v>1005759803</v>
      </c>
      <c r="AJ183" s="232">
        <f t="shared" si="162"/>
        <v>1122083672.5</v>
      </c>
      <c r="AK183" s="101"/>
      <c r="AL183" s="233">
        <f>AL184+AL185+AL190</f>
        <v>0</v>
      </c>
      <c r="AM183" s="232">
        <f>AM184+AM185+AM190</f>
        <v>0</v>
      </c>
    </row>
    <row r="184" spans="19:39" ht="24.75" customHeight="1">
      <c r="S184" s="266" t="str">
        <f>+IF(JULIO!S184=0,"",JULIO!S184)</f>
        <v>2.1.3.13.01.001</v>
      </c>
      <c r="T184" s="267" t="str">
        <f>+IF(JULIO!T184=0,"",JULIO!T184)</f>
        <v>Sentencias</v>
      </c>
      <c r="U184" s="373">
        <f>+ENERO!U185</f>
        <v>800000000</v>
      </c>
      <c r="V184" s="220">
        <f>JULIO!V184+AGOSTO!AL184</f>
        <v>-350000000</v>
      </c>
      <c r="W184" s="220">
        <f>JULIO!W184+AGOSTO!AM184</f>
        <v>0</v>
      </c>
      <c r="X184" s="271">
        <f>SUM(U184:W184)</f>
        <v>450000000</v>
      </c>
      <c r="Y184" s="270">
        <f>JULIO!AA184</f>
        <v>156912292</v>
      </c>
      <c r="Z184" s="208">
        <v>0</v>
      </c>
      <c r="AA184" s="271">
        <f>SUM(Y184:Z184)</f>
        <v>156912292</v>
      </c>
      <c r="AB184" s="270">
        <f>JULIO!AD184</f>
        <v>156912292</v>
      </c>
      <c r="AC184" s="208">
        <v>0</v>
      </c>
      <c r="AD184" s="271">
        <f>SUM(AB184:AC184)</f>
        <v>156912292</v>
      </c>
      <c r="AE184" s="270">
        <f>JULIO!AG184</f>
        <v>84468577.5</v>
      </c>
      <c r="AF184" s="208">
        <v>51244977</v>
      </c>
      <c r="AG184" s="271">
        <f>SUM(AE184:AF184)</f>
        <v>135713554.5</v>
      </c>
      <c r="AH184" s="270">
        <f>X184-AA184</f>
        <v>293087708</v>
      </c>
      <c r="AI184" s="220">
        <f>X184-AD184</f>
        <v>293087708</v>
      </c>
      <c r="AJ184" s="269">
        <f>X184-AG184</f>
        <v>314286445.5</v>
      </c>
      <c r="AK184" s="101"/>
      <c r="AL184" s="204">
        <v>0</v>
      </c>
      <c r="AM184" s="210">
        <v>0</v>
      </c>
    </row>
    <row r="185" spans="19:39" ht="24.75" customHeight="1">
      <c r="S185" s="266">
        <f>+IF(JULIO!S185=0,"",JULIO!S185)</f>
        <v>3300200</v>
      </c>
      <c r="T185" s="267" t="str">
        <f>+IF(JULIO!T185=0,"",JULIO!T185)</f>
        <v>Destinatarios de otras transferencias</v>
      </c>
      <c r="U185" s="373">
        <f t="shared" ref="U185:AJ185" si="163">SUM(U186:U189)</f>
        <v>463060585</v>
      </c>
      <c r="V185" s="220">
        <f t="shared" si="163"/>
        <v>21000000</v>
      </c>
      <c r="W185" s="220">
        <f t="shared" si="163"/>
        <v>500000000</v>
      </c>
      <c r="X185" s="271">
        <f t="shared" si="163"/>
        <v>984060585</v>
      </c>
      <c r="Y185" s="270">
        <f t="shared" si="163"/>
        <v>410224798</v>
      </c>
      <c r="Z185" s="300">
        <f t="shared" si="163"/>
        <v>59721826</v>
      </c>
      <c r="AA185" s="271">
        <f t="shared" si="163"/>
        <v>469946624</v>
      </c>
      <c r="AB185" s="270">
        <f t="shared" si="163"/>
        <v>410194898</v>
      </c>
      <c r="AC185" s="300">
        <f t="shared" si="163"/>
        <v>58419383</v>
      </c>
      <c r="AD185" s="271">
        <f t="shared" si="163"/>
        <v>468614281</v>
      </c>
      <c r="AE185" s="270">
        <f t="shared" si="163"/>
        <v>315069766</v>
      </c>
      <c r="AF185" s="300">
        <f t="shared" si="163"/>
        <v>58419383</v>
      </c>
      <c r="AG185" s="271">
        <f t="shared" si="163"/>
        <v>373489149</v>
      </c>
      <c r="AH185" s="270">
        <f t="shared" si="163"/>
        <v>514113961</v>
      </c>
      <c r="AI185" s="220">
        <f t="shared" si="163"/>
        <v>515446304</v>
      </c>
      <c r="AJ185" s="269">
        <f t="shared" si="163"/>
        <v>610571436</v>
      </c>
      <c r="AK185" s="101"/>
      <c r="AL185" s="301">
        <f>SUM(AL186:AL189)</f>
        <v>0</v>
      </c>
      <c r="AM185" s="302">
        <f>SUM(AM186:AM189)</f>
        <v>0</v>
      </c>
    </row>
    <row r="186" spans="19:39" ht="24.75" customHeight="1">
      <c r="S186" s="311" t="str">
        <f>+IF(JULIO!S186=0,"",JULIO!S186)</f>
        <v>2.1.2.02.02.009.907</v>
      </c>
      <c r="T186" s="267" t="str">
        <f>+IF(JULIO!T186=0,"",JULIO!T186)</f>
        <v>Cuota de Afiliación o sostenimiento (COHAN, AESA, OTROS)</v>
      </c>
      <c r="U186" s="373">
        <f>+ENERO!U187</f>
        <v>13060585</v>
      </c>
      <c r="V186" s="220">
        <f>JULIO!V186+AGOSTO!AL186</f>
        <v>0</v>
      </c>
      <c r="W186" s="220">
        <f>JULIO!W186+AGOSTO!AM186</f>
        <v>0</v>
      </c>
      <c r="X186" s="271">
        <f>SUM(U186:W186)</f>
        <v>13060585</v>
      </c>
      <c r="Y186" s="270">
        <f>JULIO!AA186</f>
        <v>8860118</v>
      </c>
      <c r="Z186" s="208">
        <v>522703</v>
      </c>
      <c r="AA186" s="271">
        <f>SUM(Y186:Z186)</f>
        <v>9382821</v>
      </c>
      <c r="AB186" s="270">
        <f>JULIO!AD186</f>
        <v>8830218</v>
      </c>
      <c r="AC186" s="208">
        <v>522703</v>
      </c>
      <c r="AD186" s="271">
        <f>SUM(AB186:AC186)</f>
        <v>9352921</v>
      </c>
      <c r="AE186" s="270">
        <f>JULIO!AG186</f>
        <v>8830218</v>
      </c>
      <c r="AF186" s="208">
        <v>522703</v>
      </c>
      <c r="AG186" s="271">
        <f>SUM(AE186:AF186)</f>
        <v>9352921</v>
      </c>
      <c r="AH186" s="270">
        <f>X186-AA186</f>
        <v>3677764</v>
      </c>
      <c r="AI186" s="220">
        <f>X186-AD186</f>
        <v>3707664</v>
      </c>
      <c r="AJ186" s="269">
        <f>X186-AG186</f>
        <v>3707664</v>
      </c>
      <c r="AK186" s="101"/>
      <c r="AL186" s="204">
        <v>0</v>
      </c>
      <c r="AM186" s="210">
        <v>0</v>
      </c>
    </row>
    <row r="187" spans="19:39" ht="24.75" customHeight="1">
      <c r="S187" s="311" t="str">
        <f>+IF(JULIO!S187=0,"",JULIO!S187)</f>
        <v>2.1.8.04.07</v>
      </c>
      <c r="T187" s="267" t="str">
        <f>+IF(JULIO!T187=0,"",JULIO!T187)</f>
        <v>Conciliaciones</v>
      </c>
      <c r="U187" s="373">
        <f>+ENERO!U188</f>
        <v>300000000</v>
      </c>
      <c r="V187" s="220">
        <f>JULIO!V187+AGOSTO!AL187</f>
        <v>0</v>
      </c>
      <c r="W187" s="220">
        <f>JULIO!W187+AGOSTO!AM187</f>
        <v>500000000</v>
      </c>
      <c r="X187" s="271">
        <f>SUM(U187:W187)</f>
        <v>800000000</v>
      </c>
      <c r="Y187" s="270">
        <f>JULIO!AA187</f>
        <v>292500000</v>
      </c>
      <c r="Z187" s="208">
        <v>57896680</v>
      </c>
      <c r="AA187" s="271">
        <f>SUM(Y187:Z187)</f>
        <v>350396680</v>
      </c>
      <c r="AB187" s="270">
        <f>JULIO!AD187</f>
        <v>292500000</v>
      </c>
      <c r="AC187" s="208">
        <v>57896680</v>
      </c>
      <c r="AD187" s="271">
        <f>SUM(AB187:AC187)</f>
        <v>350396680</v>
      </c>
      <c r="AE187" s="270">
        <f>JULIO!AG187</f>
        <v>292500000</v>
      </c>
      <c r="AF187" s="208">
        <v>57896680</v>
      </c>
      <c r="AG187" s="271">
        <f>SUM(AE187:AF187)</f>
        <v>350396680</v>
      </c>
      <c r="AH187" s="270">
        <f>X187-AA187</f>
        <v>449603320</v>
      </c>
      <c r="AI187" s="220">
        <f>X187-AD187</f>
        <v>449603320</v>
      </c>
      <c r="AJ187" s="269">
        <f>X187-AG187</f>
        <v>449603320</v>
      </c>
      <c r="AK187" s="101"/>
      <c r="AL187" s="204">
        <v>0</v>
      </c>
      <c r="AM187" s="210">
        <v>0</v>
      </c>
    </row>
    <row r="188" spans="19:39" ht="24.75" customHeight="1">
      <c r="S188" s="311" t="str">
        <f>+IF(JULIO!S188=0,"",JULIO!S188)</f>
        <v>2.1.8.05.01</v>
      </c>
      <c r="T188" s="267" t="str">
        <f>+IF(JULIO!T188=0,"",JULIO!T188)</f>
        <v>Multas y sanciones</v>
      </c>
      <c r="U188" s="884">
        <v>0</v>
      </c>
      <c r="V188" s="220">
        <f>JULIO!V188+AGOSTO!AL188</f>
        <v>21000000</v>
      </c>
      <c r="W188" s="220">
        <f>JULIO!W188+AGOSTO!AM188</f>
        <v>0</v>
      </c>
      <c r="X188" s="271">
        <f>SUM(U188:W188)</f>
        <v>21000000</v>
      </c>
      <c r="Y188" s="270">
        <f>JULIO!AA188</f>
        <v>13739548</v>
      </c>
      <c r="Z188" s="208">
        <v>1302443</v>
      </c>
      <c r="AA188" s="271">
        <f>SUM(Y188:Z188)</f>
        <v>15041991</v>
      </c>
      <c r="AB188" s="270">
        <f>JULIO!AD188</f>
        <v>13739548</v>
      </c>
      <c r="AC188" s="208">
        <v>0</v>
      </c>
      <c r="AD188" s="271">
        <f>SUM(AB188:AC188)</f>
        <v>13739548</v>
      </c>
      <c r="AE188" s="270">
        <f>JULIO!AG188</f>
        <v>13739548</v>
      </c>
      <c r="AF188" s="208">
        <v>0</v>
      </c>
      <c r="AG188" s="271">
        <f>SUM(AE188:AF188)</f>
        <v>13739548</v>
      </c>
      <c r="AH188" s="270">
        <f>X188-AA188</f>
        <v>5958009</v>
      </c>
      <c r="AI188" s="220">
        <f>X188-AD188</f>
        <v>7260452</v>
      </c>
      <c r="AJ188" s="269">
        <f>X188-AG188</f>
        <v>7260452</v>
      </c>
      <c r="AK188" s="101"/>
      <c r="AL188" s="204">
        <v>0</v>
      </c>
      <c r="AM188" s="210">
        <v>0</v>
      </c>
    </row>
    <row r="189" spans="19:39" ht="24.75" customHeight="1">
      <c r="S189" s="311" t="str">
        <f>+IF(JULIO!S189=0,"",JULIO!S189)</f>
        <v>2.1.8.04.07</v>
      </c>
      <c r="T189" s="267" t="str">
        <f>+IF(JULIO!T189=0,"",JULIO!T189)</f>
        <v>Cuotas de auditaje supersalud</v>
      </c>
      <c r="U189" s="373">
        <f>+ENERO!U190</f>
        <v>150000000</v>
      </c>
      <c r="V189" s="220">
        <f>JULIO!V189+AGOSTO!AL189</f>
        <v>0</v>
      </c>
      <c r="W189" s="220">
        <f>JULIO!W189+AGOSTO!AM189</f>
        <v>0</v>
      </c>
      <c r="X189" s="271">
        <f>SUM(U189:W189)</f>
        <v>150000000</v>
      </c>
      <c r="Y189" s="270">
        <f>JULIO!AA189</f>
        <v>95125132</v>
      </c>
      <c r="Z189" s="208"/>
      <c r="AA189" s="271">
        <f>SUM(Y189:Z189)</f>
        <v>95125132</v>
      </c>
      <c r="AB189" s="270">
        <f>JULIO!AD189</f>
        <v>95125132</v>
      </c>
      <c r="AC189" s="208">
        <v>0</v>
      </c>
      <c r="AD189" s="271">
        <f>SUM(AB189:AC189)</f>
        <v>95125132</v>
      </c>
      <c r="AE189" s="270">
        <f>JULIO!AG189</f>
        <v>0</v>
      </c>
      <c r="AF189" s="208">
        <v>0</v>
      </c>
      <c r="AG189" s="271">
        <f>SUM(AE189:AF189)</f>
        <v>0</v>
      </c>
      <c r="AH189" s="270">
        <f>X189-AA189</f>
        <v>54874868</v>
      </c>
      <c r="AI189" s="220">
        <f>X189-AD189</f>
        <v>54874868</v>
      </c>
      <c r="AJ189" s="269">
        <f>X189-AG189</f>
        <v>150000000</v>
      </c>
      <c r="AK189" s="101"/>
      <c r="AL189" s="204">
        <v>0</v>
      </c>
      <c r="AM189" s="210">
        <v>0</v>
      </c>
    </row>
    <row r="190" spans="19:39" ht="24.75" customHeight="1">
      <c r="S190" s="266" t="str">
        <f>+IF(JULIO!S190=0,"",JULIO!S190)</f>
        <v>2.1.3.13.01.002.99</v>
      </c>
      <c r="T190" s="267" t="str">
        <f>+IF(JULIO!T190=0,"",JULIO!T190)</f>
        <v>Vigencias Anteriores Conciliaciones</v>
      </c>
      <c r="U190" s="373">
        <f>+ENERO!U191</f>
        <v>50000000</v>
      </c>
      <c r="V190" s="220">
        <f>JULIO!V190+AGOSTO!AL190</f>
        <v>350000000</v>
      </c>
      <c r="W190" s="220">
        <f>JULIO!W190+AGOSTO!AM190</f>
        <v>0</v>
      </c>
      <c r="X190" s="271">
        <f>SUM(U190:W190)</f>
        <v>400000000</v>
      </c>
      <c r="Y190" s="270">
        <f>JULIO!AA190</f>
        <v>202774209</v>
      </c>
      <c r="Z190" s="208">
        <v>0</v>
      </c>
      <c r="AA190" s="271">
        <f>SUM(Y190:Z190)</f>
        <v>202774209</v>
      </c>
      <c r="AB190" s="270">
        <f>JULIO!AD190</f>
        <v>202774209</v>
      </c>
      <c r="AC190" s="208">
        <v>0</v>
      </c>
      <c r="AD190" s="271">
        <f>SUM(AB190:AC190)</f>
        <v>202774209</v>
      </c>
      <c r="AE190" s="270">
        <f>JULIO!AG190</f>
        <v>202774209</v>
      </c>
      <c r="AF190" s="208">
        <v>0</v>
      </c>
      <c r="AG190" s="271">
        <f>SUM(AE190:AF190)</f>
        <v>202774209</v>
      </c>
      <c r="AH190" s="270">
        <f>X190-AA190</f>
        <v>197225791</v>
      </c>
      <c r="AI190" s="220">
        <f>X190-AD190</f>
        <v>197225791</v>
      </c>
      <c r="AJ190" s="269">
        <f>X190-AG190</f>
        <v>197225791</v>
      </c>
      <c r="AK190" s="101"/>
      <c r="AL190" s="204">
        <v>0</v>
      </c>
      <c r="AM190" s="210">
        <v>0</v>
      </c>
    </row>
    <row r="191" spans="19:39" ht="24.75" customHeight="1">
      <c r="S191" s="558"/>
      <c r="T191" s="559"/>
      <c r="U191" s="557"/>
      <c r="V191" s="560"/>
      <c r="W191" s="560"/>
      <c r="X191" s="560"/>
      <c r="Y191" s="560"/>
      <c r="Z191" s="561"/>
      <c r="AA191" s="560"/>
      <c r="AB191" s="560"/>
      <c r="AC191" s="561"/>
      <c r="AD191" s="560"/>
      <c r="AE191" s="560"/>
      <c r="AF191" s="561"/>
      <c r="AG191" s="560"/>
      <c r="AH191" s="560"/>
      <c r="AI191" s="560"/>
      <c r="AJ191" s="371"/>
      <c r="AK191" s="101"/>
      <c r="AL191" s="562"/>
      <c r="AM191" s="563"/>
    </row>
    <row r="192" spans="19:39" ht="40.5" customHeight="1">
      <c r="S192" s="462" t="s">
        <v>294</v>
      </c>
      <c r="T192" s="463" t="s">
        <v>295</v>
      </c>
      <c r="U192" s="405">
        <f t="shared" ref="U192:AJ192" si="164">U194+U208</f>
        <v>42375190113.666664</v>
      </c>
      <c r="V192" s="406">
        <f t="shared" si="164"/>
        <v>0</v>
      </c>
      <c r="W192" s="406">
        <f t="shared" si="164"/>
        <v>15584000000</v>
      </c>
      <c r="X192" s="218">
        <f t="shared" si="164"/>
        <v>57959190113.666664</v>
      </c>
      <c r="Y192" s="217">
        <f t="shared" si="164"/>
        <v>42139677472</v>
      </c>
      <c r="Z192" s="406">
        <f t="shared" si="164"/>
        <v>1954344891</v>
      </c>
      <c r="AA192" s="218">
        <f t="shared" si="164"/>
        <v>44094022363</v>
      </c>
      <c r="AB192" s="405">
        <f t="shared" si="164"/>
        <v>34432487524</v>
      </c>
      <c r="AC192" s="406">
        <f t="shared" si="164"/>
        <v>4264348653</v>
      </c>
      <c r="AD192" s="407">
        <f t="shared" si="164"/>
        <v>38696836177</v>
      </c>
      <c r="AE192" s="217">
        <f t="shared" si="164"/>
        <v>22814273308</v>
      </c>
      <c r="AF192" s="406">
        <f t="shared" si="164"/>
        <v>1346709940</v>
      </c>
      <c r="AG192" s="218">
        <f t="shared" si="164"/>
        <v>24160983248</v>
      </c>
      <c r="AH192" s="217">
        <f t="shared" si="164"/>
        <v>13865167750.666666</v>
      </c>
      <c r="AI192" s="406">
        <f t="shared" si="164"/>
        <v>19262353936.666664</v>
      </c>
      <c r="AJ192" s="218">
        <f t="shared" si="164"/>
        <v>33798206865.666664</v>
      </c>
      <c r="AK192" s="101"/>
      <c r="AL192" s="217">
        <f>AL194+AL208</f>
        <v>0</v>
      </c>
      <c r="AM192" s="218">
        <f>AM194+AM208</f>
        <v>12904000000</v>
      </c>
    </row>
    <row r="193" spans="19:39" ht="24.75" customHeight="1">
      <c r="S193" s="189" t="str">
        <f>+IF(JULIO!S193=0,"",JULIO!S193)</f>
        <v/>
      </c>
      <c r="T193" s="488" t="str">
        <f>+IF(JULIO!T193=0,"",JULIO!T193)</f>
        <v/>
      </c>
      <c r="U193" s="191"/>
      <c r="V193" s="191"/>
      <c r="W193" s="191"/>
      <c r="X193" s="191"/>
      <c r="Y193" s="191"/>
      <c r="Z193" s="191"/>
      <c r="AA193" s="191"/>
      <c r="AB193" s="191"/>
      <c r="AC193" s="191"/>
      <c r="AD193" s="191"/>
      <c r="AE193" s="191"/>
      <c r="AF193" s="191"/>
      <c r="AG193" s="191"/>
      <c r="AH193" s="191"/>
      <c r="AI193" s="191"/>
      <c r="AJ193" s="192"/>
      <c r="AK193" s="101"/>
      <c r="AL193" s="370"/>
      <c r="AM193" s="371"/>
    </row>
    <row r="194" spans="19:39" ht="24.75" customHeight="1">
      <c r="S194" s="228" t="str">
        <f>+IF(JULIO!S194=0,"",JULIO!S194)</f>
        <v>2.4</v>
      </c>
      <c r="T194" s="404" t="str">
        <f>+IF(JULIO!T194=0,"",JULIO!T194)</f>
        <v>GASTOS  DEOPERACIÓN COMERCIAL</v>
      </c>
      <c r="U194" s="405">
        <f t="shared" ref="U194:AJ194" si="165">U195</f>
        <v>40172190113.666664</v>
      </c>
      <c r="V194" s="406">
        <f t="shared" si="165"/>
        <v>-2112559635</v>
      </c>
      <c r="W194" s="406">
        <f t="shared" si="165"/>
        <v>15234000000</v>
      </c>
      <c r="X194" s="407">
        <f t="shared" si="165"/>
        <v>53293630478.666664</v>
      </c>
      <c r="Y194" s="217">
        <f t="shared" si="165"/>
        <v>37543514629</v>
      </c>
      <c r="Z194" s="406">
        <f t="shared" si="165"/>
        <v>1954344891</v>
      </c>
      <c r="AA194" s="407">
        <f t="shared" si="165"/>
        <v>39497859520</v>
      </c>
      <c r="AB194" s="217">
        <f t="shared" si="165"/>
        <v>29836324681</v>
      </c>
      <c r="AC194" s="406">
        <f t="shared" si="165"/>
        <v>4264348653</v>
      </c>
      <c r="AD194" s="407">
        <f t="shared" si="165"/>
        <v>34100673334</v>
      </c>
      <c r="AE194" s="217">
        <f t="shared" si="165"/>
        <v>18218110465</v>
      </c>
      <c r="AF194" s="406">
        <f t="shared" si="165"/>
        <v>1346709940</v>
      </c>
      <c r="AG194" s="407">
        <f t="shared" si="165"/>
        <v>19564820405</v>
      </c>
      <c r="AH194" s="217">
        <f t="shared" si="165"/>
        <v>13795770958.666666</v>
      </c>
      <c r="AI194" s="406">
        <f t="shared" si="165"/>
        <v>19192957144.666664</v>
      </c>
      <c r="AJ194" s="218">
        <f t="shared" si="165"/>
        <v>33728810073.666664</v>
      </c>
      <c r="AK194" s="101"/>
      <c r="AL194" s="233">
        <f>AL195</f>
        <v>0</v>
      </c>
      <c r="AM194" s="232">
        <f>AM195</f>
        <v>12904000000</v>
      </c>
    </row>
    <row r="195" spans="19:39" ht="24.75" customHeight="1">
      <c r="S195" s="257" t="str">
        <f>+IF(JULIO!S195=0,"",JULIO!S195)</f>
        <v>2.4.5</v>
      </c>
      <c r="T195" s="546" t="str">
        <f>+IF(JULIO!T195=0,"",JULIO!T195)</f>
        <v>GASTOS DE COMERCIALIZACIÓN Y PRODUCCIÓN</v>
      </c>
      <c r="U195" s="230">
        <f t="shared" ref="U195:AJ195" si="166">U196+U204+U206</f>
        <v>40172190113.666664</v>
      </c>
      <c r="V195" s="231">
        <f t="shared" si="166"/>
        <v>-2112559635</v>
      </c>
      <c r="W195" s="231">
        <f t="shared" si="166"/>
        <v>15234000000</v>
      </c>
      <c r="X195" s="234">
        <f t="shared" si="166"/>
        <v>53293630478.666664</v>
      </c>
      <c r="Y195" s="233">
        <f t="shared" si="166"/>
        <v>37543514629</v>
      </c>
      <c r="Z195" s="231">
        <f t="shared" si="166"/>
        <v>1954344891</v>
      </c>
      <c r="AA195" s="234">
        <f t="shared" si="166"/>
        <v>39497859520</v>
      </c>
      <c r="AB195" s="233">
        <f t="shared" si="166"/>
        <v>29836324681</v>
      </c>
      <c r="AC195" s="231">
        <f t="shared" si="166"/>
        <v>4264348653</v>
      </c>
      <c r="AD195" s="234">
        <f t="shared" si="166"/>
        <v>34100673334</v>
      </c>
      <c r="AE195" s="233">
        <f t="shared" si="166"/>
        <v>18218110465</v>
      </c>
      <c r="AF195" s="231">
        <f t="shared" si="166"/>
        <v>1346709940</v>
      </c>
      <c r="AG195" s="234">
        <f t="shared" si="166"/>
        <v>19564820405</v>
      </c>
      <c r="AH195" s="233">
        <f t="shared" si="166"/>
        <v>13795770958.666666</v>
      </c>
      <c r="AI195" s="231">
        <f t="shared" si="166"/>
        <v>19192957144.666664</v>
      </c>
      <c r="AJ195" s="232">
        <f t="shared" si="166"/>
        <v>33728810073.666664</v>
      </c>
      <c r="AK195" s="216"/>
      <c r="AL195" s="233">
        <f>AL196+AL204+AL206</f>
        <v>0</v>
      </c>
      <c r="AM195" s="232">
        <f>AM196+AM204+AM206</f>
        <v>12904000000</v>
      </c>
    </row>
    <row r="196" spans="19:39" ht="24.75" customHeight="1">
      <c r="S196" s="266" t="str">
        <f>+IF(JULIO!S196=0,"",JULIO!S196)</f>
        <v>2.4.5.01</v>
      </c>
      <c r="T196" s="267" t="str">
        <f>+IF(JULIO!T196=0,"",JULIO!T196)</f>
        <v>Materiales y suministros</v>
      </c>
      <c r="U196" s="373">
        <f t="shared" ref="U196:AJ196" si="167">SUM(U197:U203)</f>
        <v>28648709150.333332</v>
      </c>
      <c r="V196" s="220">
        <f t="shared" si="167"/>
        <v>-65559635</v>
      </c>
      <c r="W196" s="220">
        <f t="shared" si="167"/>
        <v>13284000000</v>
      </c>
      <c r="X196" s="271">
        <f t="shared" si="167"/>
        <v>41867149515.333328</v>
      </c>
      <c r="Y196" s="270">
        <f t="shared" si="167"/>
        <v>28136652074</v>
      </c>
      <c r="Z196" s="300">
        <f t="shared" si="167"/>
        <v>1954344891</v>
      </c>
      <c r="AA196" s="271">
        <f t="shared" si="167"/>
        <v>30090996965</v>
      </c>
      <c r="AB196" s="270">
        <f t="shared" si="167"/>
        <v>22517105894</v>
      </c>
      <c r="AC196" s="300">
        <f t="shared" si="167"/>
        <v>2925257366</v>
      </c>
      <c r="AD196" s="271">
        <f t="shared" si="167"/>
        <v>25442363260</v>
      </c>
      <c r="AE196" s="270">
        <f t="shared" si="167"/>
        <v>10898891680</v>
      </c>
      <c r="AF196" s="300">
        <f t="shared" si="167"/>
        <v>1346709940</v>
      </c>
      <c r="AG196" s="271">
        <f t="shared" si="167"/>
        <v>12245601620</v>
      </c>
      <c r="AH196" s="270">
        <f t="shared" si="167"/>
        <v>11776152550.333332</v>
      </c>
      <c r="AI196" s="220">
        <f t="shared" si="167"/>
        <v>16424786255.333332</v>
      </c>
      <c r="AJ196" s="269">
        <f t="shared" si="167"/>
        <v>29621547895.333332</v>
      </c>
      <c r="AK196" s="101"/>
      <c r="AL196" s="301">
        <f>SUM(AL197:AL203)</f>
        <v>0</v>
      </c>
      <c r="AM196" s="302">
        <f>SUM(AM197:AM203)</f>
        <v>10954000000</v>
      </c>
    </row>
    <row r="197" spans="19:39" ht="24.75" customHeight="1">
      <c r="S197" s="311" t="str">
        <f>+IF(JULIO!S197=0,"",JULIO!S197)</f>
        <v>2.4.5.01.03.301</v>
      </c>
      <c r="T197" s="312" t="str">
        <f>+IF(JULIO!T197=0,"",JULIO!T197)</f>
        <v>Medicamentos</v>
      </c>
      <c r="U197" s="373">
        <f>+ENERO!U198</f>
        <v>7396066391.666666</v>
      </c>
      <c r="V197" s="220">
        <f>JULIO!V197+AGOSTO!AL197</f>
        <v>-632000000</v>
      </c>
      <c r="W197" s="220">
        <f>JULIO!W197+AGOSTO!AM197</f>
        <v>2500000000</v>
      </c>
      <c r="X197" s="271">
        <f t="shared" ref="X197:X203" si="168">SUM(U197:W197)</f>
        <v>9264066391.666666</v>
      </c>
      <c r="Y197" s="270">
        <f>JULIO!AA197</f>
        <v>6071363172</v>
      </c>
      <c r="Z197" s="208">
        <v>556849085</v>
      </c>
      <c r="AA197" s="271">
        <f t="shared" ref="AA197:AA203" si="169">SUM(Y197:Z197)</f>
        <v>6628212257</v>
      </c>
      <c r="AB197" s="270">
        <f>JULIO!AD197</f>
        <v>5127815699</v>
      </c>
      <c r="AC197" s="208">
        <v>555025697</v>
      </c>
      <c r="AD197" s="271">
        <f t="shared" ref="AD197:AD203" si="170">SUM(AB197:AC197)</f>
        <v>5682841396</v>
      </c>
      <c r="AE197" s="270">
        <f>JULIO!AG197</f>
        <v>2508110299</v>
      </c>
      <c r="AF197" s="208">
        <v>164842854</v>
      </c>
      <c r="AG197" s="271">
        <f t="shared" ref="AG197:AG203" si="171">SUM(AE197:AF197)</f>
        <v>2672953153</v>
      </c>
      <c r="AH197" s="270">
        <f t="shared" ref="AH197:AH203" si="172">X197-AA197</f>
        <v>2635854134.666666</v>
      </c>
      <c r="AI197" s="220">
        <f t="shared" ref="AI197:AI203" si="173">X197-AD197</f>
        <v>3581224995.666666</v>
      </c>
      <c r="AJ197" s="269">
        <f t="shared" ref="AJ197:AJ203" si="174">X197-AG197</f>
        <v>6591113238.666666</v>
      </c>
      <c r="AK197" s="101"/>
      <c r="AL197" s="204">
        <v>0</v>
      </c>
      <c r="AM197" s="204">
        <v>2500000000</v>
      </c>
    </row>
    <row r="198" spans="19:39" ht="24.75" customHeight="1">
      <c r="S198" s="311" t="str">
        <f>+IF(JULIO!S198=0,"",JULIO!S198)</f>
        <v>2.4.5.01.03.302</v>
      </c>
      <c r="T198" s="312" t="str">
        <f>+IF(JULIO!T198=0,"",JULIO!T198)</f>
        <v>Material Médico Quirúrgico</v>
      </c>
      <c r="U198" s="373">
        <f>+ENERO!U199</f>
        <v>6198007399.166666</v>
      </c>
      <c r="V198" s="220">
        <f>JULIO!V198+AGOSTO!AL198</f>
        <v>1420000000</v>
      </c>
      <c r="W198" s="220">
        <f>JULIO!W198+AGOSTO!AM198</f>
        <v>4700000000</v>
      </c>
      <c r="X198" s="271">
        <f t="shared" si="168"/>
        <v>12318007399.166666</v>
      </c>
      <c r="Y198" s="270">
        <f>JULIO!AA198</f>
        <v>7249894084</v>
      </c>
      <c r="Z198" s="208">
        <v>840413541</v>
      </c>
      <c r="AA198" s="271">
        <f t="shared" si="169"/>
        <v>8090307625</v>
      </c>
      <c r="AB198" s="270">
        <f>JULIO!AD198</f>
        <v>6730336585</v>
      </c>
      <c r="AC198" s="208">
        <v>897837859</v>
      </c>
      <c r="AD198" s="271">
        <f t="shared" si="170"/>
        <v>7628174444</v>
      </c>
      <c r="AE198" s="270">
        <f>JULIO!AG198</f>
        <v>3432876137</v>
      </c>
      <c r="AF198" s="208">
        <v>145669846</v>
      </c>
      <c r="AG198" s="271">
        <f t="shared" si="171"/>
        <v>3578545983</v>
      </c>
      <c r="AH198" s="270">
        <f t="shared" si="172"/>
        <v>4227699774.166666</v>
      </c>
      <c r="AI198" s="220">
        <f t="shared" si="173"/>
        <v>4689832955.166666</v>
      </c>
      <c r="AJ198" s="269">
        <f t="shared" si="174"/>
        <v>8739461416.166666</v>
      </c>
      <c r="AK198" s="101"/>
      <c r="AL198" s="204">
        <v>0</v>
      </c>
      <c r="AM198" s="204">
        <v>4500000000</v>
      </c>
    </row>
    <row r="199" spans="19:39" ht="24.75" customHeight="1">
      <c r="S199" s="311" t="str">
        <f>+IF([2]Hoja1!A15=0,"",[2]Hoja1!A15)</f>
        <v>2.4.5.01.03.303</v>
      </c>
      <c r="T199" s="312" t="str">
        <f>+IF([2]Hoja1!B15=0,"",[2]Hoja1!B15)</f>
        <v>Material de Laboratorio</v>
      </c>
      <c r="U199" s="373">
        <f>+ENERO!U200</f>
        <v>2001528195</v>
      </c>
      <c r="V199" s="220">
        <f>JULIO!V199+AGOSTO!AL199</f>
        <v>-320000000</v>
      </c>
      <c r="W199" s="220">
        <f>JULIO!W199+AGOSTO!AM199</f>
        <v>2800000000</v>
      </c>
      <c r="X199" s="271">
        <f t="shared" si="168"/>
        <v>4481528195</v>
      </c>
      <c r="Y199" s="270">
        <f>JULIO!AA199</f>
        <v>2363340639</v>
      </c>
      <c r="Z199" s="208">
        <v>271082265</v>
      </c>
      <c r="AA199" s="271">
        <f t="shared" si="169"/>
        <v>2634422904</v>
      </c>
      <c r="AB199" s="270">
        <f>JULIO!AD199</f>
        <v>1931826365</v>
      </c>
      <c r="AC199" s="208">
        <v>275397134</v>
      </c>
      <c r="AD199" s="271">
        <f t="shared" si="170"/>
        <v>2207223499</v>
      </c>
      <c r="AE199" s="270">
        <f>JULIO!AG199</f>
        <v>676248126</v>
      </c>
      <c r="AF199" s="208">
        <v>14603303</v>
      </c>
      <c r="AG199" s="271">
        <f t="shared" si="171"/>
        <v>690851429</v>
      </c>
      <c r="AH199" s="270">
        <f t="shared" si="172"/>
        <v>1847105291</v>
      </c>
      <c r="AI199" s="220">
        <f t="shared" si="173"/>
        <v>2274304696</v>
      </c>
      <c r="AJ199" s="269">
        <f t="shared" si="174"/>
        <v>3790676766</v>
      </c>
      <c r="AK199" s="101"/>
      <c r="AL199" s="204">
        <v>0</v>
      </c>
      <c r="AM199" s="204">
        <v>1200000000</v>
      </c>
    </row>
    <row r="200" spans="19:39" ht="24.75" customHeight="1">
      <c r="S200" s="311" t="str">
        <f>+IF(JULIO!S200=0,"",JULIO!S200)</f>
        <v>2.4.5.02.09.901</v>
      </c>
      <c r="T200" s="312" t="str">
        <f>+IF(JULIO!T200=0,"",JULIO!T200)</f>
        <v xml:space="preserve">Servicio de Lavandería </v>
      </c>
      <c r="U200" s="373">
        <f>+ENERO!U201</f>
        <v>758333333.33333325</v>
      </c>
      <c r="V200" s="220">
        <f>JULIO!V200+AGOSTO!AL200</f>
        <v>382000000</v>
      </c>
      <c r="W200" s="220">
        <f>JULIO!W200+AGOSTO!AM200</f>
        <v>345000000</v>
      </c>
      <c r="X200" s="271">
        <f t="shared" si="168"/>
        <v>1485333333.3333333</v>
      </c>
      <c r="Y200" s="270">
        <f>JULIO!AA200</f>
        <v>1124899860</v>
      </c>
      <c r="Z200" s="208">
        <v>0</v>
      </c>
      <c r="AA200" s="271">
        <f t="shared" si="169"/>
        <v>1124899860</v>
      </c>
      <c r="AB200" s="270">
        <f>JULIO!AD200</f>
        <v>743127693</v>
      </c>
      <c r="AC200" s="208">
        <v>107983373</v>
      </c>
      <c r="AD200" s="271">
        <f t="shared" si="170"/>
        <v>851111066</v>
      </c>
      <c r="AE200" s="270">
        <f>JULIO!AG200</f>
        <v>525507838</v>
      </c>
      <c r="AF200" s="208">
        <v>110501865</v>
      </c>
      <c r="AG200" s="271">
        <f t="shared" si="171"/>
        <v>636009703</v>
      </c>
      <c r="AH200" s="270">
        <f t="shared" si="172"/>
        <v>360433473.33333325</v>
      </c>
      <c r="AI200" s="220">
        <f t="shared" si="173"/>
        <v>634222267.33333325</v>
      </c>
      <c r="AJ200" s="269">
        <f t="shared" si="174"/>
        <v>849323630.33333325</v>
      </c>
      <c r="AK200" s="101"/>
      <c r="AL200" s="204">
        <v>0</v>
      </c>
      <c r="AM200" s="204">
        <v>345000000</v>
      </c>
    </row>
    <row r="201" spans="19:39" ht="24.75" customHeight="1">
      <c r="S201" s="311" t="str">
        <f>+IF(JULIO!S201=0,"",JULIO!S201)</f>
        <v>2.4.5.02.09.902</v>
      </c>
      <c r="T201" s="312" t="str">
        <f>+IF(JULIO!T201=0,"",JULIO!T201)</f>
        <v>Servicios de esterilización</v>
      </c>
      <c r="U201" s="373">
        <f>+ENERO!U202</f>
        <v>166666666.66666666</v>
      </c>
      <c r="V201" s="220">
        <f>JULIO!V201+AGOSTO!AL201</f>
        <v>0</v>
      </c>
      <c r="W201" s="220">
        <f>JULIO!W201+AGOSTO!AM201</f>
        <v>0</v>
      </c>
      <c r="X201" s="271">
        <f t="shared" si="168"/>
        <v>166666666.66666666</v>
      </c>
      <c r="Y201" s="270">
        <f>JULIO!AA201</f>
        <v>109200000</v>
      </c>
      <c r="Z201" s="208">
        <v>0</v>
      </c>
      <c r="AA201" s="271">
        <f t="shared" si="169"/>
        <v>109200000</v>
      </c>
      <c r="AB201" s="270">
        <f>JULIO!AD201</f>
        <v>45660622</v>
      </c>
      <c r="AC201" s="208">
        <v>6449323</v>
      </c>
      <c r="AD201" s="271">
        <f t="shared" si="170"/>
        <v>52109945</v>
      </c>
      <c r="AE201" s="270">
        <f>JULIO!AG201</f>
        <v>8032995</v>
      </c>
      <c r="AF201" s="208">
        <v>0</v>
      </c>
      <c r="AG201" s="271">
        <f t="shared" si="171"/>
        <v>8032995</v>
      </c>
      <c r="AH201" s="270">
        <f t="shared" si="172"/>
        <v>57466666.666666657</v>
      </c>
      <c r="AI201" s="220">
        <f t="shared" si="173"/>
        <v>114556721.66666666</v>
      </c>
      <c r="AJ201" s="269">
        <f t="shared" si="174"/>
        <v>158633671.66666666</v>
      </c>
      <c r="AK201" s="101"/>
      <c r="AL201" s="204">
        <v>0</v>
      </c>
      <c r="AM201" s="204">
        <v>0</v>
      </c>
    </row>
    <row r="202" spans="19:39" ht="24.75" customHeight="1">
      <c r="S202" s="311" t="str">
        <f>+IF(JULIO!S202=0,"",JULIO!S202)</f>
        <v>2.4.5.01.03.305</v>
      </c>
      <c r="T202" s="312" t="str">
        <f>+IF(JULIO!T202=0,"",JULIO!T202)</f>
        <v>Sangre</v>
      </c>
      <c r="U202" s="373">
        <f>+ENERO!U203</f>
        <v>1257440000</v>
      </c>
      <c r="V202" s="220">
        <f>JULIO!V202+AGOSTO!AL202</f>
        <v>100000000</v>
      </c>
      <c r="W202" s="220">
        <f>JULIO!W202+AGOSTO!AM202</f>
        <v>409000000</v>
      </c>
      <c r="X202" s="271">
        <f t="shared" si="168"/>
        <v>1766440000</v>
      </c>
      <c r="Y202" s="270">
        <f>JULIO!AA202</f>
        <v>1221200000</v>
      </c>
      <c r="Z202" s="208">
        <v>40000000</v>
      </c>
      <c r="AA202" s="271">
        <f t="shared" si="169"/>
        <v>1261200000</v>
      </c>
      <c r="AB202" s="270">
        <f>JULIO!AD202</f>
        <v>956129519</v>
      </c>
      <c r="AC202" s="208">
        <v>99181317</v>
      </c>
      <c r="AD202" s="271">
        <f t="shared" si="170"/>
        <v>1055310836</v>
      </c>
      <c r="AE202" s="270">
        <f>JULIO!AG202</f>
        <v>325415942</v>
      </c>
      <c r="AF202" s="208">
        <v>0</v>
      </c>
      <c r="AG202" s="271">
        <f t="shared" si="171"/>
        <v>325415942</v>
      </c>
      <c r="AH202" s="270">
        <f t="shared" si="172"/>
        <v>505240000</v>
      </c>
      <c r="AI202" s="220">
        <f t="shared" si="173"/>
        <v>711129164</v>
      </c>
      <c r="AJ202" s="269">
        <f t="shared" si="174"/>
        <v>1441024058</v>
      </c>
      <c r="AK202" s="101"/>
      <c r="AL202" s="204">
        <v>0</v>
      </c>
      <c r="AM202" s="204">
        <v>409000000</v>
      </c>
    </row>
    <row r="203" spans="19:39" ht="24.75" customHeight="1">
      <c r="S203" s="311" t="str">
        <f>+IF(JULIO!S203=0,"",JULIO!S203)</f>
        <v>2.4.5.02.08</v>
      </c>
      <c r="T203" s="312" t="str">
        <f>+IF(JULIO!T203=0,"",JULIO!T203)</f>
        <v>Servicios de ayudas diagnòsticas</v>
      </c>
      <c r="U203" s="373">
        <f>+ENERO!U204</f>
        <v>10870667164.5</v>
      </c>
      <c r="V203" s="220">
        <f>JULIO!V203+AGOSTO!AL203</f>
        <v>-1015559635</v>
      </c>
      <c r="W203" s="220">
        <f>JULIO!W203+AGOSTO!AM203</f>
        <v>2530000000</v>
      </c>
      <c r="X203" s="271">
        <f t="shared" si="168"/>
        <v>12385107529.5</v>
      </c>
      <c r="Y203" s="270">
        <f>JULIO!AA203</f>
        <v>9996754319</v>
      </c>
      <c r="Z203" s="208">
        <v>246000000</v>
      </c>
      <c r="AA203" s="271">
        <f t="shared" si="169"/>
        <v>10242754319</v>
      </c>
      <c r="AB203" s="270">
        <f>JULIO!AD203</f>
        <v>6982209411</v>
      </c>
      <c r="AC203" s="208">
        <v>983382663</v>
      </c>
      <c r="AD203" s="271">
        <f t="shared" si="170"/>
        <v>7965592074</v>
      </c>
      <c r="AE203" s="270">
        <f>JULIO!AG203</f>
        <v>3422700343</v>
      </c>
      <c r="AF203" s="208">
        <v>911092072</v>
      </c>
      <c r="AG203" s="271">
        <f t="shared" si="171"/>
        <v>4333792415</v>
      </c>
      <c r="AH203" s="270">
        <f t="shared" si="172"/>
        <v>2142353210.5</v>
      </c>
      <c r="AI203" s="220">
        <f t="shared" si="173"/>
        <v>4419515455.5</v>
      </c>
      <c r="AJ203" s="269">
        <f t="shared" si="174"/>
        <v>8051315114.5</v>
      </c>
      <c r="AK203" s="101"/>
      <c r="AL203" s="204">
        <v>0</v>
      </c>
      <c r="AM203" s="204">
        <v>2000000000</v>
      </c>
    </row>
    <row r="204" spans="19:39" ht="24.75" customHeight="1">
      <c r="S204" s="266">
        <f>+IF(JULIO!S204=0,"",JULIO!S204)</f>
        <v>4100200</v>
      </c>
      <c r="T204" s="267" t="str">
        <f>+IF(JULIO!T204=0,"",JULIO!T204)</f>
        <v>Gastos Complementarios e Intermedios</v>
      </c>
      <c r="U204" s="373">
        <f t="shared" ref="U204:AJ204" si="175">U205</f>
        <v>5609700000</v>
      </c>
      <c r="V204" s="220">
        <f t="shared" si="175"/>
        <v>150000000</v>
      </c>
      <c r="W204" s="220">
        <f t="shared" si="175"/>
        <v>1950000000</v>
      </c>
      <c r="X204" s="271">
        <f t="shared" si="175"/>
        <v>7709700000</v>
      </c>
      <c r="Y204" s="270">
        <f t="shared" si="175"/>
        <v>5752600000</v>
      </c>
      <c r="Z204" s="300">
        <f t="shared" si="175"/>
        <v>0</v>
      </c>
      <c r="AA204" s="271">
        <f t="shared" si="175"/>
        <v>5752600000</v>
      </c>
      <c r="AB204" s="270">
        <f t="shared" si="175"/>
        <v>3671156232</v>
      </c>
      <c r="AC204" s="300">
        <f t="shared" si="175"/>
        <v>1339091287</v>
      </c>
      <c r="AD204" s="271">
        <f t="shared" si="175"/>
        <v>5010247519</v>
      </c>
      <c r="AE204" s="270">
        <f t="shared" si="175"/>
        <v>3671156232</v>
      </c>
      <c r="AF204" s="300">
        <f t="shared" si="175"/>
        <v>0</v>
      </c>
      <c r="AG204" s="271">
        <f t="shared" si="175"/>
        <v>3671156232</v>
      </c>
      <c r="AH204" s="270">
        <f t="shared" si="175"/>
        <v>1957100000</v>
      </c>
      <c r="AI204" s="220">
        <f t="shared" si="175"/>
        <v>2699452481</v>
      </c>
      <c r="AJ204" s="269">
        <f t="shared" si="175"/>
        <v>4038543768</v>
      </c>
      <c r="AK204" s="101"/>
      <c r="AL204" s="301">
        <f>AL205</f>
        <v>0</v>
      </c>
      <c r="AM204" s="302">
        <f>AM205</f>
        <v>1950000000</v>
      </c>
    </row>
    <row r="205" spans="19:39" ht="24.75" customHeight="1">
      <c r="S205" s="311" t="str">
        <f>+IF(JULIO!S205=0,"",JULIO!S205)</f>
        <v>2.4.5.02.06.601</v>
      </c>
      <c r="T205" s="312" t="str">
        <f>+IF(JULIO!T205=0,"",JULIO!T205)</f>
        <v>Servicio de alimentación</v>
      </c>
      <c r="U205" s="373">
        <f>+ENERO!U206</f>
        <v>5609700000</v>
      </c>
      <c r="V205" s="220">
        <f>JULIO!V205+AGOSTO!AL205</f>
        <v>150000000</v>
      </c>
      <c r="W205" s="220">
        <f>JULIO!W205+AGOSTO!AM205</f>
        <v>1950000000</v>
      </c>
      <c r="X205" s="271">
        <f>SUM(U205:W205)</f>
        <v>7709700000</v>
      </c>
      <c r="Y205" s="270">
        <f>JULIO!AA205</f>
        <v>5752600000</v>
      </c>
      <c r="Z205" s="208">
        <v>0</v>
      </c>
      <c r="AA205" s="271">
        <f>SUM(Y205:Z205)</f>
        <v>5752600000</v>
      </c>
      <c r="AB205" s="270">
        <f>JULIO!AD205</f>
        <v>3671156232</v>
      </c>
      <c r="AC205" s="208">
        <v>1339091287</v>
      </c>
      <c r="AD205" s="271">
        <f>SUM(AB205:AC205)</f>
        <v>5010247519</v>
      </c>
      <c r="AE205" s="270">
        <f>JULIO!AG205</f>
        <v>3671156232</v>
      </c>
      <c r="AF205" s="208">
        <v>0</v>
      </c>
      <c r="AG205" s="271">
        <f>SUM(AE205:AF205)</f>
        <v>3671156232</v>
      </c>
      <c r="AH205" s="270">
        <f>X205-AA205</f>
        <v>1957100000</v>
      </c>
      <c r="AI205" s="220">
        <f>X205-AD205</f>
        <v>2699452481</v>
      </c>
      <c r="AJ205" s="269">
        <f>X205-AG205</f>
        <v>4038543768</v>
      </c>
      <c r="AK205" s="101"/>
      <c r="AL205" s="204">
        <v>0</v>
      </c>
      <c r="AM205" s="210">
        <v>1950000000</v>
      </c>
    </row>
    <row r="206" spans="19:39" ht="24.75" customHeight="1" thickBot="1">
      <c r="S206" s="466" t="s">
        <v>697</v>
      </c>
      <c r="T206" s="467" t="str">
        <f>+IF(JULIO!T206=0,"",JULIO!T206)</f>
        <v>Vigencias Anteriores</v>
      </c>
      <c r="U206" s="547">
        <f>+ENERO!U207</f>
        <v>5913780963.333334</v>
      </c>
      <c r="V206" s="468">
        <f>JULIO!V206+AGOSTO!AL206</f>
        <v>-2197000000</v>
      </c>
      <c r="W206" s="468">
        <f>JULIO!W206+AGOSTO!AM206</f>
        <v>0</v>
      </c>
      <c r="X206" s="471">
        <f>SUM(U206:W206)</f>
        <v>3716780963.333334</v>
      </c>
      <c r="Y206" s="470">
        <f>JULIO!AA206</f>
        <v>3654262555</v>
      </c>
      <c r="Z206" s="246">
        <v>0</v>
      </c>
      <c r="AA206" s="471">
        <f>SUM(Y206:Z206)</f>
        <v>3654262555</v>
      </c>
      <c r="AB206" s="470">
        <f>JULIO!AD206</f>
        <v>3648062555</v>
      </c>
      <c r="AC206" s="246">
        <v>0</v>
      </c>
      <c r="AD206" s="471">
        <f>SUM(AB206:AC206)</f>
        <v>3648062555</v>
      </c>
      <c r="AE206" s="470">
        <f>JULIO!AG206</f>
        <v>3648062553</v>
      </c>
      <c r="AF206" s="246">
        <v>0</v>
      </c>
      <c r="AG206" s="471">
        <f>SUM(AE206:AF206)</f>
        <v>3648062553</v>
      </c>
      <c r="AH206" s="470">
        <f>X206-AA206</f>
        <v>62518408.333333969</v>
      </c>
      <c r="AI206" s="468">
        <f>X206-AD206</f>
        <v>68718408.333333969</v>
      </c>
      <c r="AJ206" s="469">
        <f>X206-AG206</f>
        <v>68718410.333333969</v>
      </c>
      <c r="AK206" s="101"/>
      <c r="AL206" s="242"/>
      <c r="AM206" s="248"/>
    </row>
    <row r="207" spans="19:39" ht="24.75" customHeight="1">
      <c r="S207" s="455">
        <f>+IF(JULIO!S207=0,"",JULIO!S207)</f>
        <v>1050551296</v>
      </c>
      <c r="T207" s="456" t="str">
        <f>+IF(JULIO!T207=0,"",JULIO!T207)</f>
        <v/>
      </c>
      <c r="U207" s="457"/>
      <c r="V207" s="457"/>
      <c r="W207" s="457"/>
      <c r="X207" s="457"/>
      <c r="Y207" s="457"/>
      <c r="Z207" s="457"/>
      <c r="AA207" s="457"/>
      <c r="AB207" s="457"/>
      <c r="AC207" s="457"/>
      <c r="AD207" s="457"/>
      <c r="AE207" s="457"/>
      <c r="AF207" s="457"/>
      <c r="AG207" s="457"/>
      <c r="AH207" s="457"/>
      <c r="AI207" s="457"/>
      <c r="AJ207" s="458"/>
      <c r="AK207" s="101"/>
      <c r="AL207" s="460"/>
      <c r="AM207" s="461"/>
    </row>
    <row r="208" spans="19:39" ht="24.75" customHeight="1">
      <c r="S208" s="228">
        <f>+IF(JULIO!S208=0,"",JULIO!S208)</f>
        <v>5000000</v>
      </c>
      <c r="T208" s="545" t="str">
        <f>+IF(JULIO!T208=0,"",JULIO!T208)</f>
        <v>GASTOS DE COMERCIALIZACION</v>
      </c>
      <c r="U208" s="405">
        <f t="shared" ref="U208:AJ208" si="176">U209</f>
        <v>2203000000</v>
      </c>
      <c r="V208" s="406">
        <f t="shared" si="176"/>
        <v>2112559635</v>
      </c>
      <c r="W208" s="406">
        <f t="shared" si="176"/>
        <v>350000000</v>
      </c>
      <c r="X208" s="407">
        <f t="shared" si="176"/>
        <v>4665559635</v>
      </c>
      <c r="Y208" s="217">
        <f t="shared" si="176"/>
        <v>4596162843</v>
      </c>
      <c r="Z208" s="406">
        <f t="shared" si="176"/>
        <v>0</v>
      </c>
      <c r="AA208" s="407">
        <f t="shared" si="176"/>
        <v>4596162843</v>
      </c>
      <c r="AB208" s="217">
        <f t="shared" si="176"/>
        <v>4596162843</v>
      </c>
      <c r="AC208" s="406">
        <f t="shared" si="176"/>
        <v>0</v>
      </c>
      <c r="AD208" s="407">
        <f t="shared" si="176"/>
        <v>4596162843</v>
      </c>
      <c r="AE208" s="217">
        <f t="shared" si="176"/>
        <v>4596162843</v>
      </c>
      <c r="AF208" s="406">
        <f t="shared" si="176"/>
        <v>0</v>
      </c>
      <c r="AG208" s="407">
        <f t="shared" si="176"/>
        <v>4596162843</v>
      </c>
      <c r="AH208" s="217">
        <f t="shared" si="176"/>
        <v>69396792</v>
      </c>
      <c r="AI208" s="406">
        <f t="shared" si="176"/>
        <v>69396792</v>
      </c>
      <c r="AJ208" s="218">
        <f t="shared" si="176"/>
        <v>69396792</v>
      </c>
      <c r="AK208" s="101"/>
      <c r="AL208" s="233">
        <f>AL209</f>
        <v>0</v>
      </c>
      <c r="AM208" s="232">
        <f>AM209</f>
        <v>0</v>
      </c>
    </row>
    <row r="209" spans="19:39" ht="24.75" customHeight="1">
      <c r="S209" s="257">
        <f>+IF(JULIO!S209=0,"",JULIO!S209)</f>
        <v>5100000</v>
      </c>
      <c r="T209" s="546" t="str">
        <f>+IF(JULIO!T209=0,"",JULIO!T209)</f>
        <v>Insumos y Suministros para Venta al Público</v>
      </c>
      <c r="U209" s="230">
        <f t="shared" ref="U209:AJ209" si="177">U210+U217</f>
        <v>2203000000</v>
      </c>
      <c r="V209" s="231">
        <f t="shared" si="177"/>
        <v>2112559635</v>
      </c>
      <c r="W209" s="231">
        <f t="shared" si="177"/>
        <v>350000000</v>
      </c>
      <c r="X209" s="234">
        <f t="shared" si="177"/>
        <v>4665559635</v>
      </c>
      <c r="Y209" s="233">
        <f t="shared" si="177"/>
        <v>4596162843</v>
      </c>
      <c r="Z209" s="231">
        <f t="shared" si="177"/>
        <v>0</v>
      </c>
      <c r="AA209" s="234">
        <f t="shared" si="177"/>
        <v>4596162843</v>
      </c>
      <c r="AB209" s="233">
        <f t="shared" si="177"/>
        <v>4596162843</v>
      </c>
      <c r="AC209" s="231">
        <f t="shared" si="177"/>
        <v>0</v>
      </c>
      <c r="AD209" s="234">
        <f t="shared" si="177"/>
        <v>4596162843</v>
      </c>
      <c r="AE209" s="233">
        <f t="shared" si="177"/>
        <v>4596162843</v>
      </c>
      <c r="AF209" s="231">
        <f t="shared" si="177"/>
        <v>0</v>
      </c>
      <c r="AG209" s="234">
        <f t="shared" si="177"/>
        <v>4596162843</v>
      </c>
      <c r="AH209" s="233">
        <f t="shared" si="177"/>
        <v>69396792</v>
      </c>
      <c r="AI209" s="231">
        <f t="shared" si="177"/>
        <v>69396792</v>
      </c>
      <c r="AJ209" s="232">
        <f t="shared" si="177"/>
        <v>69396792</v>
      </c>
      <c r="AK209" s="101"/>
      <c r="AL209" s="233">
        <f>AL210+AL217</f>
        <v>0</v>
      </c>
      <c r="AM209" s="232">
        <f>AM210+AM217</f>
        <v>0</v>
      </c>
    </row>
    <row r="210" spans="19:39" ht="24.75" customHeight="1">
      <c r="S210" s="266">
        <f>+IF(JULIO!S210=0,"",JULIO!S210)</f>
        <v>5100100</v>
      </c>
      <c r="T210" s="267" t="str">
        <f>+IF(JULIO!T210=0,"",JULIO!T210)</f>
        <v>Compra de Bienes para la venta</v>
      </c>
      <c r="U210" s="373">
        <f t="shared" ref="U210:AJ210" si="178">SUM(U211:U216)</f>
        <v>3000000</v>
      </c>
      <c r="V210" s="220">
        <f t="shared" si="178"/>
        <v>0</v>
      </c>
      <c r="W210" s="220">
        <f t="shared" si="178"/>
        <v>0</v>
      </c>
      <c r="X210" s="271">
        <f t="shared" si="178"/>
        <v>3000000</v>
      </c>
      <c r="Y210" s="270">
        <f t="shared" si="178"/>
        <v>0</v>
      </c>
      <c r="Z210" s="300">
        <f t="shared" si="178"/>
        <v>0</v>
      </c>
      <c r="AA210" s="271">
        <f t="shared" si="178"/>
        <v>0</v>
      </c>
      <c r="AB210" s="270">
        <f t="shared" si="178"/>
        <v>0</v>
      </c>
      <c r="AC210" s="300">
        <f t="shared" si="178"/>
        <v>0</v>
      </c>
      <c r="AD210" s="271">
        <f t="shared" si="178"/>
        <v>0</v>
      </c>
      <c r="AE210" s="270">
        <f t="shared" si="178"/>
        <v>0</v>
      </c>
      <c r="AF210" s="300">
        <f t="shared" si="178"/>
        <v>0</v>
      </c>
      <c r="AG210" s="271">
        <f t="shared" si="178"/>
        <v>0</v>
      </c>
      <c r="AH210" s="270">
        <f t="shared" si="178"/>
        <v>3000000</v>
      </c>
      <c r="AI210" s="220">
        <f t="shared" si="178"/>
        <v>3000000</v>
      </c>
      <c r="AJ210" s="269">
        <f t="shared" si="178"/>
        <v>3000000</v>
      </c>
      <c r="AK210" s="216"/>
      <c r="AL210" s="301">
        <f>SUM(AL211:AL216)</f>
        <v>0</v>
      </c>
      <c r="AM210" s="302">
        <f>SUM(AM211:AM216)</f>
        <v>0</v>
      </c>
    </row>
    <row r="211" spans="19:39" ht="24.75" customHeight="1">
      <c r="S211" s="311" t="str">
        <f>+IF(JULIO!S211=0,"",JULIO!S211)</f>
        <v>5100100-1</v>
      </c>
      <c r="T211" s="312" t="str">
        <f>+IF(JULIO!T211=0,"",JULIO!T211)</f>
        <v>Productos Farmaceuticos</v>
      </c>
      <c r="U211" s="373">
        <f>+ENERO!U212</f>
        <v>0</v>
      </c>
      <c r="V211" s="220">
        <f>JULIO!V211+AGOSTO!AL211</f>
        <v>0</v>
      </c>
      <c r="W211" s="220">
        <f>JULIO!W211+AGOSTO!AM211</f>
        <v>0</v>
      </c>
      <c r="X211" s="271">
        <f t="shared" ref="X211:X217" si="179">SUM(U211:W211)</f>
        <v>0</v>
      </c>
      <c r="Y211" s="270">
        <f>JULIO!AA211</f>
        <v>0</v>
      </c>
      <c r="Z211" s="208">
        <v>0</v>
      </c>
      <c r="AA211" s="271">
        <f t="shared" ref="AA211:AA217" si="180">SUM(Y211:Z211)</f>
        <v>0</v>
      </c>
      <c r="AB211" s="270">
        <f>JULIO!AD211</f>
        <v>0</v>
      </c>
      <c r="AC211" s="208">
        <v>0</v>
      </c>
      <c r="AD211" s="271">
        <f t="shared" ref="AD211:AD217" si="181">SUM(AB211:AC211)</f>
        <v>0</v>
      </c>
      <c r="AE211" s="270">
        <f>JULIO!AG211</f>
        <v>0</v>
      </c>
      <c r="AF211" s="208">
        <v>0</v>
      </c>
      <c r="AG211" s="271">
        <f t="shared" ref="AG211:AG217" si="182">SUM(AE211:AF211)</f>
        <v>0</v>
      </c>
      <c r="AH211" s="270">
        <f t="shared" ref="AH211:AH217" si="183">X211-AA211</f>
        <v>0</v>
      </c>
      <c r="AI211" s="220">
        <f t="shared" ref="AI211:AI217" si="184">X211-AD211</f>
        <v>0</v>
      </c>
      <c r="AJ211" s="269">
        <f t="shared" ref="AJ211:AJ217" si="185">X211-AG211</f>
        <v>0</v>
      </c>
      <c r="AK211" s="101"/>
      <c r="AL211" s="204">
        <v>0</v>
      </c>
      <c r="AM211" s="210">
        <v>0</v>
      </c>
    </row>
    <row r="212" spans="19:39" ht="24.75" customHeight="1">
      <c r="S212" s="311" t="str">
        <f>+IF(JULIO!S212=0,"",JULIO!S212)</f>
        <v>5100100-2</v>
      </c>
      <c r="T212" s="312" t="str">
        <f>+IF(JULIO!T212=0,"",JULIO!T212)</f>
        <v>Material Médico Quirúrgico</v>
      </c>
      <c r="U212" s="373">
        <f>+ENERO!U213</f>
        <v>0</v>
      </c>
      <c r="V212" s="220">
        <f>JULIO!V212+AGOSTO!AL212</f>
        <v>0</v>
      </c>
      <c r="W212" s="220">
        <f>JULIO!W212+AGOSTO!AM212</f>
        <v>0</v>
      </c>
      <c r="X212" s="271">
        <f t="shared" si="179"/>
        <v>0</v>
      </c>
      <c r="Y212" s="270">
        <f>JULIO!AA212</f>
        <v>0</v>
      </c>
      <c r="Z212" s="208">
        <v>0</v>
      </c>
      <c r="AA212" s="271">
        <f t="shared" si="180"/>
        <v>0</v>
      </c>
      <c r="AB212" s="270">
        <f>JULIO!AD212</f>
        <v>0</v>
      </c>
      <c r="AC212" s="208">
        <v>0</v>
      </c>
      <c r="AD212" s="271">
        <f t="shared" si="181"/>
        <v>0</v>
      </c>
      <c r="AE212" s="270">
        <f>JULIO!AG212</f>
        <v>0</v>
      </c>
      <c r="AF212" s="208">
        <v>0</v>
      </c>
      <c r="AG212" s="271">
        <f t="shared" si="182"/>
        <v>0</v>
      </c>
      <c r="AH212" s="270">
        <f t="shared" si="183"/>
        <v>0</v>
      </c>
      <c r="AI212" s="220">
        <f t="shared" si="184"/>
        <v>0</v>
      </c>
      <c r="AJ212" s="269">
        <f t="shared" si="185"/>
        <v>0</v>
      </c>
      <c r="AK212" s="101"/>
      <c r="AL212" s="204">
        <v>0</v>
      </c>
      <c r="AM212" s="210">
        <v>0</v>
      </c>
    </row>
    <row r="213" spans="19:39" ht="24.75" customHeight="1">
      <c r="S213" s="311" t="str">
        <f>+IF(JULIO!S213=0,"",JULIO!S213)</f>
        <v>5100100-3</v>
      </c>
      <c r="T213" s="312" t="str">
        <f>+IF(JULIO!T213=0,"",JULIO!T213)</f>
        <v>Material de Laboratorio</v>
      </c>
      <c r="U213" s="373">
        <f>+ENERO!U214</f>
        <v>0</v>
      </c>
      <c r="V213" s="220">
        <f>JULIO!V213+AGOSTO!AL213</f>
        <v>0</v>
      </c>
      <c r="W213" s="220">
        <f>JULIO!W213+AGOSTO!AM213</f>
        <v>0</v>
      </c>
      <c r="X213" s="271">
        <f t="shared" si="179"/>
        <v>0</v>
      </c>
      <c r="Y213" s="270">
        <f>JULIO!AA213</f>
        <v>0</v>
      </c>
      <c r="Z213" s="208">
        <v>0</v>
      </c>
      <c r="AA213" s="271">
        <f t="shared" si="180"/>
        <v>0</v>
      </c>
      <c r="AB213" s="270">
        <f>JULIO!AD213</f>
        <v>0</v>
      </c>
      <c r="AC213" s="208">
        <v>0</v>
      </c>
      <c r="AD213" s="271">
        <f t="shared" si="181"/>
        <v>0</v>
      </c>
      <c r="AE213" s="270">
        <f>JULIO!AG213</f>
        <v>0</v>
      </c>
      <c r="AF213" s="208">
        <v>0</v>
      </c>
      <c r="AG213" s="271">
        <f t="shared" si="182"/>
        <v>0</v>
      </c>
      <c r="AH213" s="270">
        <f t="shared" si="183"/>
        <v>0</v>
      </c>
      <c r="AI213" s="220">
        <f t="shared" si="184"/>
        <v>0</v>
      </c>
      <c r="AJ213" s="269">
        <f t="shared" si="185"/>
        <v>0</v>
      </c>
      <c r="AK213" s="101"/>
      <c r="AL213" s="204">
        <v>0</v>
      </c>
      <c r="AM213" s="210">
        <v>0</v>
      </c>
    </row>
    <row r="214" spans="19:39" ht="24.75" customHeight="1">
      <c r="S214" s="311" t="str">
        <f>+IF(JULIO!S214=0,"",JULIO!S214)</f>
        <v>2.4.5.02.09.91122</v>
      </c>
      <c r="T214" s="312" t="str">
        <f>+IF(JULIO!T214=0,"",JULIO!T214)</f>
        <v>Servicios de Certificación, Habilitación y Acreditación</v>
      </c>
      <c r="U214" s="373">
        <f>+ENERO!U215</f>
        <v>3000000</v>
      </c>
      <c r="V214" s="220">
        <f>JULIO!V214+AGOSTO!AL214</f>
        <v>0</v>
      </c>
      <c r="W214" s="220">
        <f>JULIO!W214+AGOSTO!AM214</f>
        <v>0</v>
      </c>
      <c r="X214" s="271">
        <f t="shared" si="179"/>
        <v>3000000</v>
      </c>
      <c r="Y214" s="270">
        <f>JULIO!AA214</f>
        <v>0</v>
      </c>
      <c r="Z214" s="208">
        <v>0</v>
      </c>
      <c r="AA214" s="271">
        <f t="shared" si="180"/>
        <v>0</v>
      </c>
      <c r="AB214" s="270">
        <f>JULIO!AD214</f>
        <v>0</v>
      </c>
      <c r="AC214" s="208">
        <v>0</v>
      </c>
      <c r="AD214" s="271">
        <f t="shared" si="181"/>
        <v>0</v>
      </c>
      <c r="AE214" s="270">
        <f>JULIO!AG214</f>
        <v>0</v>
      </c>
      <c r="AF214" s="208">
        <v>0</v>
      </c>
      <c r="AG214" s="271">
        <f t="shared" si="182"/>
        <v>0</v>
      </c>
      <c r="AH214" s="270">
        <f t="shared" si="183"/>
        <v>3000000</v>
      </c>
      <c r="AI214" s="220">
        <f t="shared" si="184"/>
        <v>3000000</v>
      </c>
      <c r="AJ214" s="269">
        <f t="shared" si="185"/>
        <v>3000000</v>
      </c>
      <c r="AK214" s="101"/>
      <c r="AL214" s="204">
        <v>0</v>
      </c>
      <c r="AM214" s="210">
        <v>0</v>
      </c>
    </row>
    <row r="215" spans="19:39" ht="24.75" customHeight="1">
      <c r="S215" s="311" t="str">
        <f>+IF(JULIO!S215=0,"",JULIO!S215)</f>
        <v>2.4.5.02.08.801.99</v>
      </c>
      <c r="T215" s="312" t="str">
        <f>+IF(JULIO!T215=0,"",JULIO!T215)</f>
        <v>Vigencias Anteriores</v>
      </c>
      <c r="U215" s="373">
        <f>+ENERO!U216</f>
        <v>0</v>
      </c>
      <c r="V215" s="220">
        <f>JULIO!V215+AGOSTO!AL215</f>
        <v>0</v>
      </c>
      <c r="W215" s="220">
        <f>JULIO!W215+AGOSTO!AM215</f>
        <v>0</v>
      </c>
      <c r="X215" s="271">
        <f t="shared" si="179"/>
        <v>0</v>
      </c>
      <c r="Y215" s="270">
        <f>JULIO!AA215</f>
        <v>0</v>
      </c>
      <c r="Z215" s="208">
        <v>0</v>
      </c>
      <c r="AA215" s="271">
        <f t="shared" si="180"/>
        <v>0</v>
      </c>
      <c r="AB215" s="270">
        <f>JULIO!AD215</f>
        <v>0</v>
      </c>
      <c r="AC215" s="208">
        <v>0</v>
      </c>
      <c r="AD215" s="271">
        <f t="shared" si="181"/>
        <v>0</v>
      </c>
      <c r="AE215" s="270">
        <f>JULIO!AG215</f>
        <v>0</v>
      </c>
      <c r="AF215" s="208">
        <v>0</v>
      </c>
      <c r="AG215" s="271">
        <f t="shared" si="182"/>
        <v>0</v>
      </c>
      <c r="AH215" s="270">
        <f t="shared" si="183"/>
        <v>0</v>
      </c>
      <c r="AI215" s="220">
        <f t="shared" si="184"/>
        <v>0</v>
      </c>
      <c r="AJ215" s="269">
        <f t="shared" si="185"/>
        <v>0</v>
      </c>
      <c r="AK215" s="101"/>
      <c r="AL215" s="204">
        <v>0</v>
      </c>
      <c r="AM215" s="210">
        <v>0</v>
      </c>
    </row>
    <row r="216" spans="19:39" ht="24.75" customHeight="1">
      <c r="S216" s="311" t="str">
        <f>+IF(JULIO!S216=0,"",JULIO!S216)</f>
        <v>2.4.5.02.08.802.99</v>
      </c>
      <c r="T216" s="312" t="str">
        <f>+IF(JULIO!T216=0,"",JULIO!T216)</f>
        <v>Vigencias Anteriores</v>
      </c>
      <c r="U216" s="373">
        <f>+ENERO!U217</f>
        <v>0</v>
      </c>
      <c r="V216" s="220">
        <f>JULIO!V216+AGOSTO!AL216</f>
        <v>0</v>
      </c>
      <c r="W216" s="220">
        <f>JULIO!W216+AGOSTO!AM216</f>
        <v>0</v>
      </c>
      <c r="X216" s="271">
        <f t="shared" si="179"/>
        <v>0</v>
      </c>
      <c r="Y216" s="270">
        <f>JULIO!AA216</f>
        <v>0</v>
      </c>
      <c r="Z216" s="208">
        <v>0</v>
      </c>
      <c r="AA216" s="271">
        <f t="shared" si="180"/>
        <v>0</v>
      </c>
      <c r="AB216" s="270">
        <f>JULIO!AD216</f>
        <v>0</v>
      </c>
      <c r="AC216" s="208">
        <v>0</v>
      </c>
      <c r="AD216" s="271">
        <f t="shared" si="181"/>
        <v>0</v>
      </c>
      <c r="AE216" s="270">
        <f>JULIO!AG216</f>
        <v>0</v>
      </c>
      <c r="AF216" s="208">
        <v>0</v>
      </c>
      <c r="AG216" s="271">
        <f t="shared" si="182"/>
        <v>0</v>
      </c>
      <c r="AH216" s="270">
        <f t="shared" si="183"/>
        <v>0</v>
      </c>
      <c r="AI216" s="220">
        <f t="shared" si="184"/>
        <v>0</v>
      </c>
      <c r="AJ216" s="269">
        <f t="shared" si="185"/>
        <v>0</v>
      </c>
      <c r="AK216" s="101"/>
      <c r="AL216" s="204">
        <v>0</v>
      </c>
      <c r="AM216" s="210">
        <v>0</v>
      </c>
    </row>
    <row r="217" spans="19:39" ht="24.75" customHeight="1" thickBot="1">
      <c r="S217" s="499" t="str">
        <f>+IF(JULIO!S217=0,"",JULIO!S217)</f>
        <v>2.4.5.02.08.99</v>
      </c>
      <c r="T217" s="500" t="str">
        <f>+IF(JULIO!T217=0,"",JULIO!T217)</f>
        <v>Vigencias Anteriores</v>
      </c>
      <c r="U217" s="547">
        <f>+ENERO!U218</f>
        <v>2200000000</v>
      </c>
      <c r="V217" s="468">
        <f>JULIO!V217+AGOSTO!AL217</f>
        <v>2112559635</v>
      </c>
      <c r="W217" s="468">
        <f>JULIO!W217+AGOSTO!AM217</f>
        <v>350000000</v>
      </c>
      <c r="X217" s="471">
        <f t="shared" si="179"/>
        <v>4662559635</v>
      </c>
      <c r="Y217" s="470">
        <f>JULIO!AA217</f>
        <v>4596162843</v>
      </c>
      <c r="Z217" s="246">
        <v>0</v>
      </c>
      <c r="AA217" s="471">
        <f t="shared" si="180"/>
        <v>4596162843</v>
      </c>
      <c r="AB217" s="470">
        <f>JULIO!AD217</f>
        <v>4596162843</v>
      </c>
      <c r="AC217" s="246">
        <v>0</v>
      </c>
      <c r="AD217" s="471">
        <f t="shared" si="181"/>
        <v>4596162843</v>
      </c>
      <c r="AE217" s="470">
        <f>JULIO!AG217</f>
        <v>4596162843</v>
      </c>
      <c r="AF217" s="246">
        <v>0</v>
      </c>
      <c r="AG217" s="471">
        <f t="shared" si="182"/>
        <v>4596162843</v>
      </c>
      <c r="AH217" s="470">
        <f t="shared" si="183"/>
        <v>66396792</v>
      </c>
      <c r="AI217" s="468">
        <f t="shared" si="184"/>
        <v>66396792</v>
      </c>
      <c r="AJ217" s="469">
        <f t="shared" si="185"/>
        <v>66396792</v>
      </c>
      <c r="AK217" s="101"/>
      <c r="AL217" s="489"/>
      <c r="AM217" s="490"/>
    </row>
    <row r="218" spans="19:39" ht="24.75" customHeight="1" thickBot="1">
      <c r="S218" s="480">
        <f>+IF(JULIO!S218=0,"",JULIO!S218)</f>
        <v>1133096960</v>
      </c>
      <c r="T218" s="481" t="str">
        <f>+IF(JULIO!T218=0,"",JULIO!T218)</f>
        <v/>
      </c>
      <c r="U218" s="482"/>
      <c r="V218" s="482"/>
      <c r="W218" s="482"/>
      <c r="X218" s="482"/>
      <c r="Y218" s="482"/>
      <c r="Z218" s="482"/>
      <c r="AA218" s="482"/>
      <c r="AB218" s="482"/>
      <c r="AC218" s="482"/>
      <c r="AD218" s="482"/>
      <c r="AE218" s="482"/>
      <c r="AF218" s="482"/>
      <c r="AG218" s="482"/>
      <c r="AH218" s="482"/>
      <c r="AI218" s="482"/>
      <c r="AJ218" s="484"/>
      <c r="AK218" s="216"/>
      <c r="AL218" s="485"/>
      <c r="AM218" s="486"/>
    </row>
    <row r="219" spans="19:39" ht="24.75" customHeight="1">
      <c r="S219" s="176" t="str">
        <f>+IF(JULIO!S219=0,"",JULIO!S219)</f>
        <v>C</v>
      </c>
      <c r="T219" s="177" t="str">
        <f>+IF(JULIO!T219=0,"",JULIO!T219)</f>
        <v xml:space="preserve">SERVICIO DE LA DEUDA </v>
      </c>
      <c r="U219" s="178">
        <f t="shared" ref="U219:AJ219" si="186">U221+U226</f>
        <v>3239175000</v>
      </c>
      <c r="V219" s="179">
        <f t="shared" si="186"/>
        <v>0</v>
      </c>
      <c r="W219" s="179">
        <f t="shared" si="186"/>
        <v>0</v>
      </c>
      <c r="X219" s="182">
        <f t="shared" si="186"/>
        <v>3239175000</v>
      </c>
      <c r="Y219" s="181">
        <f t="shared" si="186"/>
        <v>786228840</v>
      </c>
      <c r="Z219" s="179">
        <f t="shared" si="186"/>
        <v>99792900</v>
      </c>
      <c r="AA219" s="182">
        <f t="shared" si="186"/>
        <v>886021740</v>
      </c>
      <c r="AB219" s="181">
        <f t="shared" si="186"/>
        <v>786228840</v>
      </c>
      <c r="AC219" s="179">
        <f t="shared" si="186"/>
        <v>99792900</v>
      </c>
      <c r="AD219" s="182">
        <f t="shared" si="186"/>
        <v>886021740</v>
      </c>
      <c r="AE219" s="181">
        <f t="shared" si="186"/>
        <v>786228840</v>
      </c>
      <c r="AF219" s="179">
        <f t="shared" si="186"/>
        <v>99792900</v>
      </c>
      <c r="AG219" s="182">
        <f t="shared" si="186"/>
        <v>886021740</v>
      </c>
      <c r="AH219" s="181">
        <f t="shared" si="186"/>
        <v>2353153260</v>
      </c>
      <c r="AI219" s="179">
        <f t="shared" si="186"/>
        <v>2353153260</v>
      </c>
      <c r="AJ219" s="180">
        <f t="shared" si="186"/>
        <v>2353153260</v>
      </c>
      <c r="AK219" s="487"/>
      <c r="AL219" s="181">
        <f>AL221+AL226</f>
        <v>0</v>
      </c>
      <c r="AM219" s="180">
        <f>AM221+AM226</f>
        <v>0</v>
      </c>
    </row>
    <row r="220" spans="19:39" ht="24.75" customHeight="1">
      <c r="S220" s="189">
        <f>+IF(JULIO!S220=0,"",JULIO!S220)</f>
        <v>1133096960</v>
      </c>
      <c r="T220" s="488" t="str">
        <f>+IF(JULIO!T220=0,"",JULIO!T220)</f>
        <v/>
      </c>
      <c r="U220" s="191"/>
      <c r="V220" s="191"/>
      <c r="W220" s="191"/>
      <c r="X220" s="191"/>
      <c r="Y220" s="191"/>
      <c r="Z220" s="191"/>
      <c r="AA220" s="191"/>
      <c r="AB220" s="191"/>
      <c r="AC220" s="191"/>
      <c r="AD220" s="191"/>
      <c r="AE220" s="191"/>
      <c r="AF220" s="191"/>
      <c r="AG220" s="191"/>
      <c r="AH220" s="191"/>
      <c r="AI220" s="191"/>
      <c r="AJ220" s="192"/>
      <c r="AK220" s="101"/>
      <c r="AL220" s="370"/>
      <c r="AM220" s="371"/>
    </row>
    <row r="221" spans="19:39" ht="24.75" customHeight="1">
      <c r="S221" s="257">
        <f>+IF(JULIO!S221=0,"",JULIO!S221)</f>
        <v>7001000</v>
      </c>
      <c r="T221" s="546" t="str">
        <f>+IF(JULIO!T221=0,"",JULIO!T221)</f>
        <v>SERVICIO DE LA DEUDA INTERNA</v>
      </c>
      <c r="U221" s="230">
        <f t="shared" ref="U221:AJ221" si="187">SUM(U222:U224)</f>
        <v>3239175000</v>
      </c>
      <c r="V221" s="231">
        <f t="shared" si="187"/>
        <v>0</v>
      </c>
      <c r="W221" s="231">
        <f t="shared" si="187"/>
        <v>0</v>
      </c>
      <c r="X221" s="234">
        <f t="shared" si="187"/>
        <v>3239175000</v>
      </c>
      <c r="Y221" s="233">
        <f t="shared" si="187"/>
        <v>786228840</v>
      </c>
      <c r="Z221" s="231">
        <f t="shared" si="187"/>
        <v>99792900</v>
      </c>
      <c r="AA221" s="234">
        <f t="shared" si="187"/>
        <v>886021740</v>
      </c>
      <c r="AB221" s="233">
        <f t="shared" si="187"/>
        <v>786228840</v>
      </c>
      <c r="AC221" s="231">
        <f t="shared" si="187"/>
        <v>99792900</v>
      </c>
      <c r="AD221" s="234">
        <f t="shared" si="187"/>
        <v>886021740</v>
      </c>
      <c r="AE221" s="233">
        <f t="shared" si="187"/>
        <v>786228840</v>
      </c>
      <c r="AF221" s="231">
        <f t="shared" si="187"/>
        <v>99792900</v>
      </c>
      <c r="AG221" s="234">
        <f t="shared" si="187"/>
        <v>886021740</v>
      </c>
      <c r="AH221" s="233">
        <f t="shared" si="187"/>
        <v>2353153260</v>
      </c>
      <c r="AI221" s="231">
        <f t="shared" si="187"/>
        <v>2353153260</v>
      </c>
      <c r="AJ221" s="232">
        <f t="shared" si="187"/>
        <v>2353153260</v>
      </c>
      <c r="AK221" s="101"/>
      <c r="AL221" s="233">
        <f>SUM(AL222:AL224)</f>
        <v>0</v>
      </c>
      <c r="AM221" s="232">
        <f>SUM(AM222:AM224)</f>
        <v>0</v>
      </c>
    </row>
    <row r="222" spans="19:39" ht="24.75" customHeight="1">
      <c r="S222" s="266" t="str">
        <f>+IF(JULIO!S222=0,"",JULIO!S222)</f>
        <v>2.2.2.2.01.02.002.02</v>
      </c>
      <c r="T222" s="267" t="str">
        <f>+IF(JULIO!T222=0,"",JULIO!T222)</f>
        <v>Banca Comercial</v>
      </c>
      <c r="U222" s="373">
        <f>+ENERO!U223</f>
        <v>2000000000</v>
      </c>
      <c r="V222" s="220">
        <f>JULIO!V222+AGOSTO!AL222</f>
        <v>0</v>
      </c>
      <c r="W222" s="220">
        <f>JULIO!W222+AGOSTO!AM222</f>
        <v>0</v>
      </c>
      <c r="X222" s="271">
        <f>SUM(U222:W222)</f>
        <v>2000000000</v>
      </c>
      <c r="Y222" s="270">
        <f>JULIO!AA222</f>
        <v>0</v>
      </c>
      <c r="Z222" s="208">
        <v>0</v>
      </c>
      <c r="AA222" s="271">
        <f>SUM(Y222:Z222)</f>
        <v>0</v>
      </c>
      <c r="AB222" s="270">
        <f>JULIO!AD222</f>
        <v>0</v>
      </c>
      <c r="AC222" s="208">
        <v>0</v>
      </c>
      <c r="AD222" s="271">
        <f>SUM(AB222:AC222)</f>
        <v>0</v>
      </c>
      <c r="AE222" s="270">
        <f>JULIO!AG222</f>
        <v>0</v>
      </c>
      <c r="AF222" s="208">
        <v>0</v>
      </c>
      <c r="AG222" s="271">
        <f>SUM(AE222:AF222)</f>
        <v>0</v>
      </c>
      <c r="AH222" s="270">
        <f>X222-AA222</f>
        <v>2000000000</v>
      </c>
      <c r="AI222" s="220">
        <f>X222-AD222</f>
        <v>2000000000</v>
      </c>
      <c r="AJ222" s="269">
        <f>X222-AG222</f>
        <v>2000000000</v>
      </c>
      <c r="AK222" s="101"/>
      <c r="AL222" s="204">
        <v>0</v>
      </c>
      <c r="AM222" s="210">
        <v>0</v>
      </c>
    </row>
    <row r="223" spans="19:39" ht="24.75" customHeight="1">
      <c r="S223" s="266" t="str">
        <f>+IF(JULIO!S223=0,"",JULIO!S223)</f>
        <v>2.2.2.02</v>
      </c>
      <c r="T223" s="267" t="str">
        <f>+IF(JULIO!T223=0,"",JULIO!T223)</f>
        <v>Intereses Comisiones y gastos de la Deuda Pública</v>
      </c>
      <c r="U223" s="373">
        <f>+ENERO!U224</f>
        <v>1239175000</v>
      </c>
      <c r="V223" s="220">
        <f>JULIO!V223+AGOSTO!AL223</f>
        <v>0</v>
      </c>
      <c r="W223" s="220">
        <f>JULIO!W223+AGOSTO!AM223</f>
        <v>0</v>
      </c>
      <c r="X223" s="271">
        <f>SUM(U223:W223)</f>
        <v>1239175000</v>
      </c>
      <c r="Y223" s="270">
        <f>JULIO!AA223</f>
        <v>786228840</v>
      </c>
      <c r="Z223" s="208">
        <v>99792900</v>
      </c>
      <c r="AA223" s="271">
        <f>SUM(Y223:Z223)</f>
        <v>886021740</v>
      </c>
      <c r="AB223" s="270">
        <f>JULIO!AD223</f>
        <v>786228840</v>
      </c>
      <c r="AC223" s="208">
        <v>99792900</v>
      </c>
      <c r="AD223" s="271">
        <f>SUM(AB223:AC223)</f>
        <v>886021740</v>
      </c>
      <c r="AE223" s="270">
        <f>JULIO!AG223</f>
        <v>786228840</v>
      </c>
      <c r="AF223" s="208">
        <v>99792900</v>
      </c>
      <c r="AG223" s="271">
        <f>SUM(AE223:AF223)</f>
        <v>886021740</v>
      </c>
      <c r="AH223" s="270">
        <f>X223-AA223</f>
        <v>353153260</v>
      </c>
      <c r="AI223" s="220">
        <f>X223-AD223</f>
        <v>353153260</v>
      </c>
      <c r="AJ223" s="269">
        <f>X223-AG223</f>
        <v>353153260</v>
      </c>
      <c r="AK223" s="101"/>
      <c r="AL223" s="204">
        <v>0</v>
      </c>
      <c r="AM223" s="210">
        <v>0</v>
      </c>
    </row>
    <row r="224" spans="19:39" ht="24.75" customHeight="1">
      <c r="S224" s="266" t="str">
        <f>+IF(JULIO!S224=0,"",JULIO!S224)</f>
        <v>2.2.2.02</v>
      </c>
      <c r="T224" s="267" t="str">
        <f>+IF(JULIO!T224=0,"",JULIO!T224)</f>
        <v>Vigencias Anteriores Deuda Pública</v>
      </c>
      <c r="U224" s="373">
        <f>+ENERO!U225</f>
        <v>0</v>
      </c>
      <c r="V224" s="220">
        <f>JULIO!V224+AGOSTO!AL224</f>
        <v>0</v>
      </c>
      <c r="W224" s="220">
        <f>JULIO!W224+AGOSTO!AM224</f>
        <v>0</v>
      </c>
      <c r="X224" s="271">
        <f>SUM(U224:W224)</f>
        <v>0</v>
      </c>
      <c r="Y224" s="270">
        <f>JULIO!AA224</f>
        <v>0</v>
      </c>
      <c r="Z224" s="208">
        <v>0</v>
      </c>
      <c r="AA224" s="271">
        <f>SUM(Y224:Z224)</f>
        <v>0</v>
      </c>
      <c r="AB224" s="270">
        <f>JULIO!AD224</f>
        <v>0</v>
      </c>
      <c r="AC224" s="208">
        <v>0</v>
      </c>
      <c r="AD224" s="271">
        <f>SUM(AB224:AC224)</f>
        <v>0</v>
      </c>
      <c r="AE224" s="270">
        <f>JULIO!AG224</f>
        <v>0</v>
      </c>
      <c r="AF224" s="208">
        <v>0</v>
      </c>
      <c r="AG224" s="271">
        <f>SUM(AE224:AF224)</f>
        <v>0</v>
      </c>
      <c r="AH224" s="270">
        <f>X224-AA224</f>
        <v>0</v>
      </c>
      <c r="AI224" s="220">
        <f>X224-AD224</f>
        <v>0</v>
      </c>
      <c r="AJ224" s="269">
        <f>X224-AG224</f>
        <v>0</v>
      </c>
      <c r="AK224" s="101"/>
      <c r="AL224" s="204">
        <v>0</v>
      </c>
      <c r="AM224" s="210">
        <v>0</v>
      </c>
    </row>
    <row r="225" spans="19:39" ht="24.75" customHeight="1">
      <c r="S225" s="189" t="str">
        <f>+IF(JULIO!S225=0,"",JULIO!S225)</f>
        <v/>
      </c>
      <c r="T225" s="488" t="str">
        <f>+IF(JULIO!T225=0,"",JULIO!T225)</f>
        <v/>
      </c>
      <c r="U225" s="191"/>
      <c r="V225" s="191"/>
      <c r="W225" s="191"/>
      <c r="X225" s="191"/>
      <c r="Y225" s="191"/>
      <c r="Z225" s="191"/>
      <c r="AA225" s="191"/>
      <c r="AB225" s="191"/>
      <c r="AC225" s="191"/>
      <c r="AD225" s="191"/>
      <c r="AE225" s="191"/>
      <c r="AF225" s="191"/>
      <c r="AG225" s="191"/>
      <c r="AH225" s="191"/>
      <c r="AI225" s="191"/>
      <c r="AJ225" s="192"/>
      <c r="AK225" s="216"/>
      <c r="AL225" s="370"/>
      <c r="AM225" s="371"/>
    </row>
    <row r="226" spans="19:39" ht="24.75" customHeight="1">
      <c r="S226" s="257">
        <f>+IF(JULIO!S226=0,"",JULIO!S226)</f>
        <v>7002001</v>
      </c>
      <c r="T226" s="546" t="str">
        <f>+IF(JULIO!T226=0,"",JULIO!T226)</f>
        <v>SERVICIO DE LA DEUDA EXTERNA</v>
      </c>
      <c r="U226" s="230">
        <f t="shared" ref="U226:AJ226" si="188">SUM(U227:U229)</f>
        <v>0</v>
      </c>
      <c r="V226" s="231">
        <f t="shared" si="188"/>
        <v>0</v>
      </c>
      <c r="W226" s="231">
        <f t="shared" si="188"/>
        <v>0</v>
      </c>
      <c r="X226" s="234">
        <f t="shared" si="188"/>
        <v>0</v>
      </c>
      <c r="Y226" s="233">
        <f t="shared" si="188"/>
        <v>0</v>
      </c>
      <c r="Z226" s="231">
        <f t="shared" si="188"/>
        <v>0</v>
      </c>
      <c r="AA226" s="234">
        <f t="shared" si="188"/>
        <v>0</v>
      </c>
      <c r="AB226" s="233">
        <f t="shared" si="188"/>
        <v>0</v>
      </c>
      <c r="AC226" s="231">
        <f t="shared" si="188"/>
        <v>0</v>
      </c>
      <c r="AD226" s="234">
        <f t="shared" si="188"/>
        <v>0</v>
      </c>
      <c r="AE226" s="233">
        <f t="shared" si="188"/>
        <v>0</v>
      </c>
      <c r="AF226" s="231">
        <f t="shared" si="188"/>
        <v>0</v>
      </c>
      <c r="AG226" s="234">
        <f t="shared" si="188"/>
        <v>0</v>
      </c>
      <c r="AH226" s="233">
        <f t="shared" si="188"/>
        <v>0</v>
      </c>
      <c r="AI226" s="231">
        <f t="shared" si="188"/>
        <v>0</v>
      </c>
      <c r="AJ226" s="232">
        <f t="shared" si="188"/>
        <v>0</v>
      </c>
      <c r="AK226" s="216"/>
      <c r="AL226" s="233">
        <f>SUM(AL227:AL229)</f>
        <v>0</v>
      </c>
      <c r="AM226" s="232">
        <f>SUM(AM227:AM229)</f>
        <v>0</v>
      </c>
    </row>
    <row r="227" spans="19:39" ht="24.75" customHeight="1">
      <c r="S227" s="266">
        <f>+IF(JULIO!S227=0,"",JULIO!S227)</f>
        <v>7002100</v>
      </c>
      <c r="T227" s="267" t="str">
        <f>+IF(JULIO!T227=0,"",JULIO!T227)</f>
        <v>Amortización deuda Pública Externa</v>
      </c>
      <c r="U227" s="373">
        <f>+ENERO!U228</f>
        <v>0</v>
      </c>
      <c r="V227" s="220">
        <f>JULIO!V227+AGOSTO!AL227</f>
        <v>0</v>
      </c>
      <c r="W227" s="220">
        <f>JULIO!W227+AGOSTO!AM227</f>
        <v>0</v>
      </c>
      <c r="X227" s="271">
        <f>SUM(U227:W227)</f>
        <v>0</v>
      </c>
      <c r="Y227" s="270">
        <f>JULIO!AA227</f>
        <v>0</v>
      </c>
      <c r="Z227" s="208">
        <v>0</v>
      </c>
      <c r="AA227" s="271">
        <f>SUM(Y227:Z227)</f>
        <v>0</v>
      </c>
      <c r="AB227" s="270">
        <f>JULIO!AD227</f>
        <v>0</v>
      </c>
      <c r="AC227" s="208">
        <v>0</v>
      </c>
      <c r="AD227" s="271">
        <f>SUM(AB227:AC227)</f>
        <v>0</v>
      </c>
      <c r="AE227" s="270">
        <f>JULIO!AG227</f>
        <v>0</v>
      </c>
      <c r="AF227" s="208">
        <v>0</v>
      </c>
      <c r="AG227" s="271">
        <f>SUM(AE227:AF227)</f>
        <v>0</v>
      </c>
      <c r="AH227" s="270">
        <f>X227-AA227</f>
        <v>0</v>
      </c>
      <c r="AI227" s="220">
        <f>X227-AD227</f>
        <v>0</v>
      </c>
      <c r="AJ227" s="269">
        <f>X227-AG227</f>
        <v>0</v>
      </c>
      <c r="AK227" s="101"/>
      <c r="AL227" s="204">
        <v>0</v>
      </c>
      <c r="AM227" s="210">
        <v>0</v>
      </c>
    </row>
    <row r="228" spans="19:39" ht="24.75" customHeight="1">
      <c r="S228" s="266">
        <f>+IF(JULIO!S228=0,"",JULIO!S228)</f>
        <v>7002200</v>
      </c>
      <c r="T228" s="267" t="str">
        <f>+IF(JULIO!T228=0,"",JULIO!T228)</f>
        <v>Intereses Comisiones y gastos de la Deuda Pública</v>
      </c>
      <c r="U228" s="373">
        <f>+ENERO!U229</f>
        <v>0</v>
      </c>
      <c r="V228" s="220">
        <f>JULIO!V228+AGOSTO!AL228</f>
        <v>0</v>
      </c>
      <c r="W228" s="220">
        <f>JULIO!W228+AGOSTO!AM228</f>
        <v>0</v>
      </c>
      <c r="X228" s="271">
        <f>SUM(U228:W228)</f>
        <v>0</v>
      </c>
      <c r="Y228" s="270">
        <f>JULIO!AA228</f>
        <v>0</v>
      </c>
      <c r="Z228" s="208">
        <v>0</v>
      </c>
      <c r="AA228" s="271">
        <f>SUM(Y228:Z228)</f>
        <v>0</v>
      </c>
      <c r="AB228" s="270">
        <f>JULIO!AD228</f>
        <v>0</v>
      </c>
      <c r="AC228" s="208">
        <v>0</v>
      </c>
      <c r="AD228" s="271">
        <f>SUM(AB228:AC228)</f>
        <v>0</v>
      </c>
      <c r="AE228" s="270">
        <f>JULIO!AG228</f>
        <v>0</v>
      </c>
      <c r="AF228" s="208">
        <v>0</v>
      </c>
      <c r="AG228" s="271">
        <f>SUM(AE228:AF228)</f>
        <v>0</v>
      </c>
      <c r="AH228" s="270">
        <f>X228-AA228</f>
        <v>0</v>
      </c>
      <c r="AI228" s="220">
        <f>X228-AD228</f>
        <v>0</v>
      </c>
      <c r="AJ228" s="269">
        <f>X228-AG228</f>
        <v>0</v>
      </c>
      <c r="AK228" s="101"/>
      <c r="AL228" s="204">
        <v>0</v>
      </c>
      <c r="AM228" s="210">
        <v>0</v>
      </c>
    </row>
    <row r="229" spans="19:39" ht="24.75" customHeight="1" thickBot="1">
      <c r="S229" s="466">
        <f>+IF(JULIO!S229=0,"",JULIO!S229)</f>
        <v>7002999</v>
      </c>
      <c r="T229" s="467" t="str">
        <f>+IF(JULIO!T229=0,"",JULIO!T229)</f>
        <v>Vigencias Anteriores</v>
      </c>
      <c r="U229" s="547">
        <f>+ENERO!U230</f>
        <v>0</v>
      </c>
      <c r="V229" s="468">
        <f>JULIO!V229+AGOSTO!AL229</f>
        <v>0</v>
      </c>
      <c r="W229" s="468">
        <f>JULIO!W229+AGOSTO!AM229</f>
        <v>0</v>
      </c>
      <c r="X229" s="471">
        <f>SUM(U229:W229)</f>
        <v>0</v>
      </c>
      <c r="Y229" s="470">
        <f>JULIO!AA229</f>
        <v>0</v>
      </c>
      <c r="Z229" s="246">
        <v>0</v>
      </c>
      <c r="AA229" s="471">
        <f>SUM(Y229:Z229)</f>
        <v>0</v>
      </c>
      <c r="AB229" s="470">
        <f>JULIO!AD229</f>
        <v>0</v>
      </c>
      <c r="AC229" s="246">
        <v>0</v>
      </c>
      <c r="AD229" s="471">
        <f>SUM(AB229:AC229)</f>
        <v>0</v>
      </c>
      <c r="AE229" s="470">
        <f>JULIO!AG229</f>
        <v>0</v>
      </c>
      <c r="AF229" s="246">
        <v>0</v>
      </c>
      <c r="AG229" s="471">
        <f>SUM(AE229:AF229)</f>
        <v>0</v>
      </c>
      <c r="AH229" s="470">
        <f>X229-AA229</f>
        <v>0</v>
      </c>
      <c r="AI229" s="468">
        <f>X229-AD229</f>
        <v>0</v>
      </c>
      <c r="AJ229" s="469">
        <f>X229-AG229</f>
        <v>0</v>
      </c>
      <c r="AK229" s="101"/>
      <c r="AL229" s="489">
        <v>0</v>
      </c>
      <c r="AM229" s="490">
        <v>0</v>
      </c>
    </row>
    <row r="230" spans="19:39" ht="24.75" customHeight="1">
      <c r="S230" s="455" t="str">
        <f>+IF(JULIO!S230=0,"",JULIO!S230)</f>
        <v/>
      </c>
      <c r="T230" s="456" t="str">
        <f>+IF(JULIO!T230=0,"",JULIO!T230)</f>
        <v/>
      </c>
      <c r="U230" s="457"/>
      <c r="V230" s="457"/>
      <c r="W230" s="457"/>
      <c r="X230" s="457"/>
      <c r="Y230" s="457"/>
      <c r="Z230" s="457"/>
      <c r="AA230" s="457"/>
      <c r="AB230" s="457"/>
      <c r="AC230" s="457"/>
      <c r="AD230" s="457"/>
      <c r="AE230" s="457"/>
      <c r="AF230" s="457"/>
      <c r="AG230" s="457"/>
      <c r="AH230" s="457"/>
      <c r="AI230" s="457"/>
      <c r="AJ230" s="458"/>
      <c r="AK230" s="101"/>
      <c r="AL230" s="491"/>
      <c r="AM230" s="492"/>
    </row>
    <row r="231" spans="19:39" ht="24.75" customHeight="1">
      <c r="S231" s="493" t="str">
        <f>+IF(JULIO!S231=0,"",JULIO!S231)</f>
        <v>D</v>
      </c>
      <c r="T231" s="494" t="str">
        <f>+IF(JULIO!T231=0,"",JULIO!T231)</f>
        <v>INVERSION</v>
      </c>
      <c r="U231" s="405">
        <f t="shared" ref="U231:AJ231" si="189">U233+U242</f>
        <v>0</v>
      </c>
      <c r="V231" s="406">
        <f t="shared" si="189"/>
        <v>0</v>
      </c>
      <c r="W231" s="406">
        <f t="shared" si="189"/>
        <v>22683056295</v>
      </c>
      <c r="X231" s="407">
        <f t="shared" si="189"/>
        <v>22683056295</v>
      </c>
      <c r="Y231" s="217">
        <f t="shared" si="189"/>
        <v>16368940991</v>
      </c>
      <c r="Z231" s="406">
        <f t="shared" si="189"/>
        <v>227209072</v>
      </c>
      <c r="AA231" s="407">
        <f t="shared" si="189"/>
        <v>16596150063</v>
      </c>
      <c r="AB231" s="217">
        <f t="shared" si="189"/>
        <v>10709941431</v>
      </c>
      <c r="AC231" s="406">
        <f t="shared" si="189"/>
        <v>2038774557</v>
      </c>
      <c r="AD231" s="407">
        <f t="shared" si="189"/>
        <v>12748715988</v>
      </c>
      <c r="AE231" s="217">
        <f t="shared" si="189"/>
        <v>7122268743</v>
      </c>
      <c r="AF231" s="406">
        <f t="shared" si="189"/>
        <v>1178145939</v>
      </c>
      <c r="AG231" s="407">
        <f t="shared" si="189"/>
        <v>8300414682</v>
      </c>
      <c r="AH231" s="217">
        <f t="shared" si="189"/>
        <v>6086906232</v>
      </c>
      <c r="AI231" s="406">
        <f t="shared" si="189"/>
        <v>9934340307</v>
      </c>
      <c r="AJ231" s="218">
        <f t="shared" si="189"/>
        <v>14382641613</v>
      </c>
      <c r="AK231" s="487"/>
      <c r="AL231" s="217">
        <f>AL233+AL242</f>
        <v>0</v>
      </c>
      <c r="AM231" s="218">
        <f>AM233+AM242</f>
        <v>657553400</v>
      </c>
    </row>
    <row r="232" spans="19:39" ht="24.75" customHeight="1">
      <c r="S232" s="189" t="str">
        <f>+IF(JULIO!S232=0,"",JULIO!S232)</f>
        <v/>
      </c>
      <c r="T232" s="488" t="str">
        <f>+IF(JULIO!T232=0,"",JULIO!T232)</f>
        <v/>
      </c>
      <c r="U232" s="191"/>
      <c r="V232" s="191"/>
      <c r="W232" s="191"/>
      <c r="X232" s="191"/>
      <c r="Y232" s="191"/>
      <c r="Z232" s="191"/>
      <c r="AA232" s="191"/>
      <c r="AB232" s="191"/>
      <c r="AC232" s="191"/>
      <c r="AD232" s="191"/>
      <c r="AE232" s="191"/>
      <c r="AF232" s="191"/>
      <c r="AG232" s="191"/>
      <c r="AH232" s="191"/>
      <c r="AI232" s="191"/>
      <c r="AJ232" s="192"/>
      <c r="AK232" s="101"/>
      <c r="AL232" s="370"/>
      <c r="AM232" s="371"/>
    </row>
    <row r="233" spans="19:39" ht="24.75" customHeight="1">
      <c r="S233" s="257">
        <f>+IF(JULIO!S233=0,"",JULIO!S233)</f>
        <v>8000000</v>
      </c>
      <c r="T233" s="546" t="str">
        <f>+IF(JULIO!T233=0,"",JULIO!T233)</f>
        <v>Programas de Inversión</v>
      </c>
      <c r="U233" s="230">
        <f t="shared" ref="U233:AJ233" si="190">U234</f>
        <v>0</v>
      </c>
      <c r="V233" s="231">
        <f t="shared" si="190"/>
        <v>0</v>
      </c>
      <c r="W233" s="231">
        <f t="shared" si="190"/>
        <v>22683056295</v>
      </c>
      <c r="X233" s="234">
        <f t="shared" si="190"/>
        <v>22683056295</v>
      </c>
      <c r="Y233" s="233">
        <f t="shared" si="190"/>
        <v>16368940991</v>
      </c>
      <c r="Z233" s="231">
        <f t="shared" si="190"/>
        <v>227209072</v>
      </c>
      <c r="AA233" s="234">
        <f t="shared" si="190"/>
        <v>16596150063</v>
      </c>
      <c r="AB233" s="233">
        <f t="shared" si="190"/>
        <v>10709941431</v>
      </c>
      <c r="AC233" s="231">
        <f t="shared" si="190"/>
        <v>2038774557</v>
      </c>
      <c r="AD233" s="234">
        <f t="shared" si="190"/>
        <v>12748715988</v>
      </c>
      <c r="AE233" s="233">
        <f t="shared" si="190"/>
        <v>7122268743</v>
      </c>
      <c r="AF233" s="231">
        <f t="shared" si="190"/>
        <v>1178145939</v>
      </c>
      <c r="AG233" s="234">
        <f t="shared" si="190"/>
        <v>8300414682</v>
      </c>
      <c r="AH233" s="233">
        <f t="shared" si="190"/>
        <v>6086906232</v>
      </c>
      <c r="AI233" s="231">
        <f t="shared" si="190"/>
        <v>9934340307</v>
      </c>
      <c r="AJ233" s="232">
        <f t="shared" si="190"/>
        <v>14382641613</v>
      </c>
      <c r="AK233" s="101"/>
      <c r="AL233" s="233">
        <f>AL234</f>
        <v>0</v>
      </c>
      <c r="AM233" s="232">
        <f>AM234</f>
        <v>657553400</v>
      </c>
    </row>
    <row r="234" spans="19:39" ht="24.75" customHeight="1">
      <c r="S234" s="266">
        <f>+IF(JULIO!S234=0,"",JULIO!S234)</f>
        <v>8001000</v>
      </c>
      <c r="T234" s="267" t="str">
        <f>+IF(JULIO!T234=0,"",JULIO!T234)</f>
        <v>Formación Bruta del Capital</v>
      </c>
      <c r="U234" s="373">
        <f t="shared" ref="U234:AJ234" si="191">SUM(U235:U240)</f>
        <v>0</v>
      </c>
      <c r="V234" s="220">
        <f t="shared" si="191"/>
        <v>0</v>
      </c>
      <c r="W234" s="220">
        <f t="shared" si="191"/>
        <v>22683056295</v>
      </c>
      <c r="X234" s="271">
        <f t="shared" si="191"/>
        <v>22683056295</v>
      </c>
      <c r="Y234" s="270">
        <f t="shared" si="191"/>
        <v>16368940991</v>
      </c>
      <c r="Z234" s="300">
        <f t="shared" si="191"/>
        <v>227209072</v>
      </c>
      <c r="AA234" s="271">
        <f t="shared" si="191"/>
        <v>16596150063</v>
      </c>
      <c r="AB234" s="270">
        <f t="shared" si="191"/>
        <v>10709941431</v>
      </c>
      <c r="AC234" s="300">
        <f t="shared" si="191"/>
        <v>2038774557</v>
      </c>
      <c r="AD234" s="271">
        <f t="shared" si="191"/>
        <v>12748715988</v>
      </c>
      <c r="AE234" s="270">
        <f t="shared" si="191"/>
        <v>7122268743</v>
      </c>
      <c r="AF234" s="300">
        <f t="shared" si="191"/>
        <v>1178145939</v>
      </c>
      <c r="AG234" s="271">
        <f t="shared" si="191"/>
        <v>8300414682</v>
      </c>
      <c r="AH234" s="270">
        <f t="shared" si="191"/>
        <v>6086906232</v>
      </c>
      <c r="AI234" s="220">
        <f t="shared" si="191"/>
        <v>9934340307</v>
      </c>
      <c r="AJ234" s="269">
        <f t="shared" si="191"/>
        <v>14382641613</v>
      </c>
      <c r="AK234" s="101"/>
      <c r="AL234" s="301">
        <f>SUM(AL235:AL240)</f>
        <v>0</v>
      </c>
      <c r="AM234" s="302">
        <f>SUM(AM235:AM240)</f>
        <v>657553400</v>
      </c>
    </row>
    <row r="235" spans="19:39" ht="24.75" customHeight="1">
      <c r="S235" s="311" t="str">
        <f>+IF(JULIO!S235=0,"",JULIO!S235)</f>
        <v>2.3.2.01.01</v>
      </c>
      <c r="T235" s="312" t="s">
        <v>698</v>
      </c>
      <c r="U235" s="373">
        <f>+ENERO!U236</f>
        <v>0</v>
      </c>
      <c r="V235" s="220">
        <f>JULIO!V235+AGOSTO!AL235</f>
        <v>0</v>
      </c>
      <c r="W235" s="220">
        <f>JULIO!W235+AGOSTO!AM235</f>
        <v>0</v>
      </c>
      <c r="X235" s="271">
        <f t="shared" ref="X235:X240" si="192">SUM(U235:W235)</f>
        <v>0</v>
      </c>
      <c r="Y235" s="270">
        <f>JULIO!AA235</f>
        <v>0</v>
      </c>
      <c r="Z235" s="208">
        <v>0</v>
      </c>
      <c r="AA235" s="271">
        <f t="shared" ref="AA235:AA240" si="193">SUM(Y235:Z235)</f>
        <v>0</v>
      </c>
      <c r="AB235" s="270">
        <f>JULIO!AD235</f>
        <v>0</v>
      </c>
      <c r="AC235" s="208">
        <v>0</v>
      </c>
      <c r="AD235" s="271">
        <f t="shared" ref="AD235:AD240" si="194">SUM(AB235:AC235)</f>
        <v>0</v>
      </c>
      <c r="AE235" s="270">
        <f>JULIO!AG235</f>
        <v>0</v>
      </c>
      <c r="AF235" s="208">
        <v>0</v>
      </c>
      <c r="AG235" s="271">
        <f t="shared" ref="AG235:AG240" si="195">SUM(AE235:AF235)</f>
        <v>0</v>
      </c>
      <c r="AH235" s="270">
        <f t="shared" ref="AH235:AH240" si="196">X235-AA235</f>
        <v>0</v>
      </c>
      <c r="AI235" s="220">
        <f t="shared" ref="AI235:AI240" si="197">X235-AD235</f>
        <v>0</v>
      </c>
      <c r="AJ235" s="269">
        <f t="shared" ref="AJ235:AJ240" si="198">X235-AG235</f>
        <v>0</v>
      </c>
      <c r="AK235" s="101"/>
      <c r="AL235" s="204"/>
      <c r="AM235" s="210"/>
    </row>
    <row r="236" spans="19:39" ht="24.75" customHeight="1">
      <c r="S236" s="311" t="str">
        <f>+IF(JULIO!S236=0,"",JULIO!S236)</f>
        <v>2.3.2.02.02.005</v>
      </c>
      <c r="T236" s="312" t="str">
        <f>+IF(JULIO!T236=0,"",JULIO!T236)</f>
        <v>Proyecto Mantenimiento Preventivo y Correctivo de Infraestructura</v>
      </c>
      <c r="U236" s="373">
        <f>+ENERO!U237</f>
        <v>0</v>
      </c>
      <c r="V236" s="220">
        <f>JULIO!V236+AGOSTO!AL236</f>
        <v>0</v>
      </c>
      <c r="W236" s="220">
        <f>JULIO!W236+AGOSTO!AM236</f>
        <v>0</v>
      </c>
      <c r="X236" s="271">
        <f t="shared" si="192"/>
        <v>0</v>
      </c>
      <c r="Y236" s="270">
        <f>JULIO!AA236</f>
        <v>0</v>
      </c>
      <c r="Z236" s="208"/>
      <c r="AA236" s="271">
        <f t="shared" si="193"/>
        <v>0</v>
      </c>
      <c r="AB236" s="270">
        <f>JULIO!AD236</f>
        <v>0</v>
      </c>
      <c r="AC236" s="208">
        <v>0</v>
      </c>
      <c r="AD236" s="271">
        <f t="shared" si="194"/>
        <v>0</v>
      </c>
      <c r="AE236" s="270">
        <f>JULIO!AG236</f>
        <v>0</v>
      </c>
      <c r="AF236" s="208">
        <v>0</v>
      </c>
      <c r="AG236" s="271">
        <f t="shared" si="195"/>
        <v>0</v>
      </c>
      <c r="AH236" s="270">
        <f t="shared" si="196"/>
        <v>0</v>
      </c>
      <c r="AI236" s="220">
        <f t="shared" si="197"/>
        <v>0</v>
      </c>
      <c r="AJ236" s="269">
        <f t="shared" si="198"/>
        <v>0</v>
      </c>
      <c r="AK236" s="101"/>
      <c r="AL236" s="204"/>
      <c r="AM236" s="210">
        <v>0</v>
      </c>
    </row>
    <row r="237" spans="19:39" ht="24.75" customHeight="1">
      <c r="S237" s="311" t="str">
        <f>+IF(JULIO!S237=0,"",JULIO!S237)</f>
        <v>2.3.2.02.02.009</v>
      </c>
      <c r="T237" s="312" t="str">
        <f>+IF(JULIO!T237=0,"",JULIO!T237)</f>
        <v>Servicios para la Comunidad Sociales y personales</v>
      </c>
      <c r="U237" s="373">
        <f>+ENERO!U238</f>
        <v>0</v>
      </c>
      <c r="V237" s="220">
        <f>JULIO!V237+AGOSTO!AL237</f>
        <v>0</v>
      </c>
      <c r="W237" s="220">
        <f>JULIO!W237+AGOSTO!AM237</f>
        <v>22232273766</v>
      </c>
      <c r="X237" s="271">
        <f t="shared" si="192"/>
        <v>22232273766</v>
      </c>
      <c r="Y237" s="270">
        <f>JULIO!AA237</f>
        <v>16368940991</v>
      </c>
      <c r="Z237" s="208">
        <v>227209072</v>
      </c>
      <c r="AA237" s="271">
        <f t="shared" si="193"/>
        <v>16596150063</v>
      </c>
      <c r="AB237" s="270">
        <f>JULIO!AD237</f>
        <v>10709941431</v>
      </c>
      <c r="AC237" s="208">
        <v>2038774557</v>
      </c>
      <c r="AD237" s="271">
        <f t="shared" si="194"/>
        <v>12748715988</v>
      </c>
      <c r="AE237" s="270">
        <f>JULIO!AG237</f>
        <v>7122268743</v>
      </c>
      <c r="AF237" s="208">
        <v>1178145939</v>
      </c>
      <c r="AG237" s="271">
        <f t="shared" si="195"/>
        <v>8300414682</v>
      </c>
      <c r="AH237" s="270">
        <f t="shared" si="196"/>
        <v>5636123703</v>
      </c>
      <c r="AI237" s="220">
        <f t="shared" si="197"/>
        <v>9483557778</v>
      </c>
      <c r="AJ237" s="269">
        <f t="shared" si="198"/>
        <v>13931859084</v>
      </c>
      <c r="AK237" s="101"/>
      <c r="AL237" s="204"/>
      <c r="AM237" s="210">
        <v>657553400</v>
      </c>
    </row>
    <row r="238" spans="19:39" ht="24.75" customHeight="1">
      <c r="S238" s="311" t="s">
        <v>692</v>
      </c>
      <c r="T238" s="312" t="s">
        <v>693</v>
      </c>
      <c r="U238" s="373">
        <f>+ENERO!U239</f>
        <v>0</v>
      </c>
      <c r="V238" s="220">
        <f>JULIO!V238+AGOSTO!AL238</f>
        <v>0</v>
      </c>
      <c r="W238" s="220">
        <f>JULIO!W238+AGOSTO!AM238</f>
        <v>0</v>
      </c>
      <c r="X238" s="271">
        <f t="shared" si="192"/>
        <v>0</v>
      </c>
      <c r="Y238" s="270">
        <f>JULIO!AA238</f>
        <v>0</v>
      </c>
      <c r="Z238" s="208"/>
      <c r="AA238" s="271">
        <f t="shared" si="193"/>
        <v>0</v>
      </c>
      <c r="AB238" s="270">
        <f>JULIO!AD238</f>
        <v>0</v>
      </c>
      <c r="AC238" s="208"/>
      <c r="AD238" s="271">
        <f t="shared" si="194"/>
        <v>0</v>
      </c>
      <c r="AE238" s="270">
        <f>JULIO!AG238</f>
        <v>0</v>
      </c>
      <c r="AF238" s="208"/>
      <c r="AG238" s="271">
        <f t="shared" si="195"/>
        <v>0</v>
      </c>
      <c r="AH238" s="270">
        <f t="shared" si="196"/>
        <v>0</v>
      </c>
      <c r="AI238" s="220">
        <f t="shared" si="197"/>
        <v>0</v>
      </c>
      <c r="AJ238" s="269">
        <f t="shared" si="198"/>
        <v>0</v>
      </c>
      <c r="AK238" s="101"/>
      <c r="AL238" s="204"/>
      <c r="AM238" s="210">
        <v>0</v>
      </c>
    </row>
    <row r="239" spans="19:39" ht="24.75" customHeight="1">
      <c r="S239" s="311" t="str">
        <f>+IF(JULIO!S239=0,"",JULIO!S239)</f>
        <v>8001000-5</v>
      </c>
      <c r="T239" s="312" t="str">
        <f>+IF(JULIO!T239=0,"",JULIO!T239)</f>
        <v>Subprogr.Construc. Remodelac. Adecuación y Apliac.5</v>
      </c>
      <c r="U239" s="373">
        <f>+ENERO!U240</f>
        <v>0</v>
      </c>
      <c r="V239" s="220">
        <f>JULIO!V239+AGOSTO!AL239</f>
        <v>0</v>
      </c>
      <c r="W239" s="220">
        <f>JULIO!W239+AGOSTO!AM239</f>
        <v>0</v>
      </c>
      <c r="X239" s="271">
        <f t="shared" si="192"/>
        <v>0</v>
      </c>
      <c r="Y239" s="270">
        <f>JULIO!AA239</f>
        <v>0</v>
      </c>
      <c r="Z239" s="208"/>
      <c r="AA239" s="271">
        <f t="shared" si="193"/>
        <v>0</v>
      </c>
      <c r="AB239" s="270">
        <f>JULIO!AD239</f>
        <v>0</v>
      </c>
      <c r="AC239" s="208"/>
      <c r="AD239" s="271">
        <f t="shared" si="194"/>
        <v>0</v>
      </c>
      <c r="AE239" s="270">
        <f>JULIO!AG239</f>
        <v>0</v>
      </c>
      <c r="AF239" s="208">
        <v>0</v>
      </c>
      <c r="AG239" s="271">
        <f t="shared" si="195"/>
        <v>0</v>
      </c>
      <c r="AH239" s="270">
        <f t="shared" si="196"/>
        <v>0</v>
      </c>
      <c r="AI239" s="220">
        <f t="shared" si="197"/>
        <v>0</v>
      </c>
      <c r="AJ239" s="269">
        <f t="shared" si="198"/>
        <v>0</v>
      </c>
      <c r="AK239" s="101"/>
      <c r="AL239" s="204">
        <v>0</v>
      </c>
      <c r="AM239" s="210">
        <v>0</v>
      </c>
    </row>
    <row r="240" spans="19:39" ht="24.75" customHeight="1">
      <c r="S240" s="496" t="str">
        <f>+IF(JULIO!S240=0,"",JULIO!S240)</f>
        <v>2.3.2.02.02.009.99</v>
      </c>
      <c r="T240" s="312" t="str">
        <f>+IF(JULIO!T240=0,"",JULIO!T240)</f>
        <v>Vigencias Anteriores</v>
      </c>
      <c r="U240" s="373">
        <f>+ENERO!U241</f>
        <v>0</v>
      </c>
      <c r="V240" s="220">
        <f>JULIO!V240+AGOSTO!AL240</f>
        <v>0</v>
      </c>
      <c r="W240" s="220">
        <f>JULIO!W240+AGOSTO!AM240</f>
        <v>450782529</v>
      </c>
      <c r="X240" s="271">
        <f t="shared" si="192"/>
        <v>450782529</v>
      </c>
      <c r="Y240" s="270">
        <f>JULIO!AA240</f>
        <v>0</v>
      </c>
      <c r="Z240" s="208">
        <v>0</v>
      </c>
      <c r="AA240" s="271">
        <f t="shared" si="193"/>
        <v>0</v>
      </c>
      <c r="AB240" s="270">
        <f>JULIO!AD240</f>
        <v>0</v>
      </c>
      <c r="AC240" s="208">
        <v>0</v>
      </c>
      <c r="AD240" s="271">
        <f t="shared" si="194"/>
        <v>0</v>
      </c>
      <c r="AE240" s="270">
        <f>JULIO!AG240</f>
        <v>0</v>
      </c>
      <c r="AF240" s="208">
        <v>0</v>
      </c>
      <c r="AG240" s="271">
        <f t="shared" si="195"/>
        <v>0</v>
      </c>
      <c r="AH240" s="270">
        <f t="shared" si="196"/>
        <v>450782529</v>
      </c>
      <c r="AI240" s="220">
        <f t="shared" si="197"/>
        <v>450782529</v>
      </c>
      <c r="AJ240" s="269">
        <f t="shared" si="198"/>
        <v>450782529</v>
      </c>
      <c r="AK240" s="101"/>
      <c r="AL240" s="204">
        <v>0</v>
      </c>
      <c r="AM240" s="210">
        <v>0</v>
      </c>
    </row>
    <row r="241" spans="19:39" ht="24.75" customHeight="1">
      <c r="S241" s="189" t="str">
        <f>+IF(JULIO!S241=0,"",JULIO!S241)</f>
        <v/>
      </c>
      <c r="T241" s="488" t="str">
        <f>+IF(JULIO!T241=0,"",JULIO!T241)</f>
        <v/>
      </c>
      <c r="U241" s="191"/>
      <c r="V241" s="191"/>
      <c r="W241" s="191"/>
      <c r="X241" s="191"/>
      <c r="Y241" s="191"/>
      <c r="Z241" s="191"/>
      <c r="AA241" s="191"/>
      <c r="AB241" s="191"/>
      <c r="AC241" s="191"/>
      <c r="AD241" s="191"/>
      <c r="AE241" s="191"/>
      <c r="AF241" s="191"/>
      <c r="AG241" s="191"/>
      <c r="AH241" s="191"/>
      <c r="AI241" s="191"/>
      <c r="AJ241" s="192"/>
      <c r="AK241" s="101"/>
      <c r="AL241" s="370"/>
      <c r="AM241" s="371"/>
    </row>
    <row r="242" spans="19:39" ht="24.75" customHeight="1">
      <c r="S242" s="257">
        <f>+IF(JULIO!S242=0,"",JULIO!S242)</f>
        <v>8002001</v>
      </c>
      <c r="T242" s="546" t="str">
        <f>+IF(JULIO!T242=0,"",JULIO!T242)</f>
        <v>Gastos Operativos de Inversion   (Programas Especiales)</v>
      </c>
      <c r="U242" s="230">
        <f t="shared" ref="U242:AJ242" si="199">SUM(U243:U255)</f>
        <v>0</v>
      </c>
      <c r="V242" s="231">
        <f t="shared" si="199"/>
        <v>0</v>
      </c>
      <c r="W242" s="231">
        <f t="shared" si="199"/>
        <v>0</v>
      </c>
      <c r="X242" s="234">
        <f t="shared" si="199"/>
        <v>0</v>
      </c>
      <c r="Y242" s="233">
        <f t="shared" si="199"/>
        <v>0</v>
      </c>
      <c r="Z242" s="231">
        <f t="shared" si="199"/>
        <v>0</v>
      </c>
      <c r="AA242" s="234">
        <f t="shared" si="199"/>
        <v>0</v>
      </c>
      <c r="AB242" s="233">
        <f t="shared" si="199"/>
        <v>0</v>
      </c>
      <c r="AC242" s="231">
        <f t="shared" si="199"/>
        <v>0</v>
      </c>
      <c r="AD242" s="234">
        <f t="shared" si="199"/>
        <v>0</v>
      </c>
      <c r="AE242" s="233">
        <f t="shared" si="199"/>
        <v>0</v>
      </c>
      <c r="AF242" s="231">
        <f t="shared" si="199"/>
        <v>0</v>
      </c>
      <c r="AG242" s="234">
        <f t="shared" si="199"/>
        <v>0</v>
      </c>
      <c r="AH242" s="233">
        <f t="shared" si="199"/>
        <v>0</v>
      </c>
      <c r="AI242" s="231">
        <f t="shared" si="199"/>
        <v>0</v>
      </c>
      <c r="AJ242" s="232">
        <f t="shared" si="199"/>
        <v>0</v>
      </c>
      <c r="AK242" s="101"/>
      <c r="AL242" s="233">
        <f>SUM(AL243:AL255)</f>
        <v>0</v>
      </c>
      <c r="AM242" s="232">
        <f>SUM(AM243:AM255)</f>
        <v>0</v>
      </c>
    </row>
    <row r="243" spans="19:39" ht="24.75" customHeight="1">
      <c r="S243" s="311" t="str">
        <f>+IF(JULIO!S243=0,"",JULIO!S243)</f>
        <v>8002100-1</v>
      </c>
      <c r="T243" s="312" t="str">
        <f>+IF(JULIO!T243=0,"",JULIO!T243)</f>
        <v>Fondo de la Vivienda</v>
      </c>
      <c r="U243" s="373">
        <f>+ENERO!U244</f>
        <v>0</v>
      </c>
      <c r="V243" s="220">
        <f>JULIO!V243+AGOSTO!AL243</f>
        <v>0</v>
      </c>
      <c r="W243" s="220">
        <f>JULIO!W243+AGOSTO!AM243</f>
        <v>0</v>
      </c>
      <c r="X243" s="271">
        <f t="shared" ref="X243:X255" si="200">SUM(U243:W243)</f>
        <v>0</v>
      </c>
      <c r="Y243" s="270">
        <f>JULIO!AA243</f>
        <v>0</v>
      </c>
      <c r="Z243" s="208">
        <v>0</v>
      </c>
      <c r="AA243" s="271">
        <f t="shared" ref="AA243:AA255" si="201">SUM(Y243:Z243)</f>
        <v>0</v>
      </c>
      <c r="AB243" s="270">
        <f>JULIO!AD243</f>
        <v>0</v>
      </c>
      <c r="AC243" s="208">
        <v>0</v>
      </c>
      <c r="AD243" s="271">
        <f t="shared" ref="AD243:AD255" si="202">SUM(AB243:AC243)</f>
        <v>0</v>
      </c>
      <c r="AE243" s="270">
        <f>JULIO!AG243</f>
        <v>0</v>
      </c>
      <c r="AF243" s="208">
        <v>0</v>
      </c>
      <c r="AG243" s="271">
        <f t="shared" ref="AG243:AG255" si="203">SUM(AE243:AF243)</f>
        <v>0</v>
      </c>
      <c r="AH243" s="270">
        <f t="shared" ref="AH243:AH255" si="204">X243-AA243</f>
        <v>0</v>
      </c>
      <c r="AI243" s="220">
        <f t="shared" ref="AI243:AI255" si="205">X243-AD243</f>
        <v>0</v>
      </c>
      <c r="AJ243" s="269">
        <f t="shared" ref="AJ243:AJ255" si="206">X243-AG243</f>
        <v>0</v>
      </c>
      <c r="AK243" s="101"/>
      <c r="AL243" s="204">
        <v>0</v>
      </c>
      <c r="AM243" s="210">
        <v>0</v>
      </c>
    </row>
    <row r="244" spans="19:39" ht="24.75" customHeight="1">
      <c r="S244" s="311" t="str">
        <f>+IF(JULIO!S244=0,"",JULIO!S244)</f>
        <v>8002100-2</v>
      </c>
      <c r="T244" s="312" t="str">
        <f>+IF(JULIO!T244=0,"",JULIO!T244)</f>
        <v>Plan Nacional de Vacunación</v>
      </c>
      <c r="U244" s="373">
        <f>+ENERO!U245</f>
        <v>0</v>
      </c>
      <c r="V244" s="220">
        <f>JULIO!V244+AGOSTO!AL244</f>
        <v>0</v>
      </c>
      <c r="W244" s="220">
        <f>JULIO!W244+AGOSTO!AM244</f>
        <v>0</v>
      </c>
      <c r="X244" s="271">
        <f t="shared" si="200"/>
        <v>0</v>
      </c>
      <c r="Y244" s="270">
        <f>JULIO!AA244</f>
        <v>0</v>
      </c>
      <c r="Z244" s="208">
        <v>0</v>
      </c>
      <c r="AA244" s="271">
        <f t="shared" si="201"/>
        <v>0</v>
      </c>
      <c r="AB244" s="270">
        <f>JULIO!AD244</f>
        <v>0</v>
      </c>
      <c r="AC244" s="208">
        <v>0</v>
      </c>
      <c r="AD244" s="271">
        <f t="shared" si="202"/>
        <v>0</v>
      </c>
      <c r="AE244" s="270">
        <f>JULIO!AG244</f>
        <v>0</v>
      </c>
      <c r="AF244" s="208">
        <v>0</v>
      </c>
      <c r="AG244" s="271">
        <f t="shared" si="203"/>
        <v>0</v>
      </c>
      <c r="AH244" s="270">
        <f t="shared" si="204"/>
        <v>0</v>
      </c>
      <c r="AI244" s="220">
        <f t="shared" si="205"/>
        <v>0</v>
      </c>
      <c r="AJ244" s="269">
        <f t="shared" si="206"/>
        <v>0</v>
      </c>
      <c r="AK244" s="101"/>
      <c r="AL244" s="204">
        <v>0</v>
      </c>
      <c r="AM244" s="210">
        <v>0</v>
      </c>
    </row>
    <row r="245" spans="19:39" ht="24.75" customHeight="1">
      <c r="S245" s="311" t="str">
        <f>+IF(JULIO!S245=0,"",JULIO!S245)</f>
        <v>8002100-3</v>
      </c>
      <c r="T245" s="312" t="str">
        <f>+IF(JULIO!T245=0,"",JULIO!T245)</f>
        <v>Adquisicion de Equipos de Computo</v>
      </c>
      <c r="U245" s="373">
        <f>+ENERO!U246</f>
        <v>0</v>
      </c>
      <c r="V245" s="220">
        <f>JULIO!V245+AGOSTO!AL245</f>
        <v>0</v>
      </c>
      <c r="W245" s="220">
        <f>JULIO!W245+AGOSTO!AM245</f>
        <v>0</v>
      </c>
      <c r="X245" s="271">
        <f t="shared" si="200"/>
        <v>0</v>
      </c>
      <c r="Y245" s="270">
        <f>JULIO!AA245</f>
        <v>0</v>
      </c>
      <c r="Z245" s="208">
        <v>0</v>
      </c>
      <c r="AA245" s="271">
        <f t="shared" si="201"/>
        <v>0</v>
      </c>
      <c r="AB245" s="270">
        <f>JULIO!AD245</f>
        <v>0</v>
      </c>
      <c r="AC245" s="208">
        <v>0</v>
      </c>
      <c r="AD245" s="271">
        <f t="shared" si="202"/>
        <v>0</v>
      </c>
      <c r="AE245" s="270">
        <f>JULIO!AG245</f>
        <v>0</v>
      </c>
      <c r="AF245" s="208">
        <v>0</v>
      </c>
      <c r="AG245" s="271">
        <f t="shared" si="203"/>
        <v>0</v>
      </c>
      <c r="AH245" s="270">
        <f t="shared" si="204"/>
        <v>0</v>
      </c>
      <c r="AI245" s="220">
        <f t="shared" si="205"/>
        <v>0</v>
      </c>
      <c r="AJ245" s="269">
        <f t="shared" si="206"/>
        <v>0</v>
      </c>
      <c r="AK245" s="101"/>
      <c r="AL245" s="204">
        <v>0</v>
      </c>
      <c r="AM245" s="210">
        <v>0</v>
      </c>
    </row>
    <row r="246" spans="19:39" ht="24.75" customHeight="1">
      <c r="S246" s="311" t="str">
        <f>+IF(JULIO!S246=0,"",JULIO!S246)</f>
        <v>8002100-4</v>
      </c>
      <c r="T246" s="312" t="str">
        <f>+IF(JULIO!T246=0,"",JULIO!T246)</f>
        <v>Adquisiciòm de Dispositvos mèdicos para dotaciòn proyecto de Quiròfanos</v>
      </c>
      <c r="U246" s="373">
        <f>+ENERO!U247</f>
        <v>0</v>
      </c>
      <c r="V246" s="220">
        <f>JULIO!V246+AGOSTO!AL246</f>
        <v>0</v>
      </c>
      <c r="W246" s="220">
        <f>JULIO!W246+AGOSTO!AM246</f>
        <v>0</v>
      </c>
      <c r="X246" s="271">
        <f t="shared" si="200"/>
        <v>0</v>
      </c>
      <c r="Y246" s="270">
        <f>JULIO!AA246</f>
        <v>0</v>
      </c>
      <c r="Z246" s="208">
        <v>0</v>
      </c>
      <c r="AA246" s="271">
        <f t="shared" si="201"/>
        <v>0</v>
      </c>
      <c r="AB246" s="270">
        <f>JULIO!AD246</f>
        <v>0</v>
      </c>
      <c r="AC246" s="208">
        <v>0</v>
      </c>
      <c r="AD246" s="271">
        <f t="shared" si="202"/>
        <v>0</v>
      </c>
      <c r="AE246" s="270">
        <f>JULIO!AG246</f>
        <v>0</v>
      </c>
      <c r="AF246" s="208">
        <v>0</v>
      </c>
      <c r="AG246" s="271">
        <f t="shared" si="203"/>
        <v>0</v>
      </c>
      <c r="AH246" s="270">
        <f t="shared" si="204"/>
        <v>0</v>
      </c>
      <c r="AI246" s="220">
        <f t="shared" si="205"/>
        <v>0</v>
      </c>
      <c r="AJ246" s="269">
        <f t="shared" si="206"/>
        <v>0</v>
      </c>
      <c r="AK246" s="101"/>
      <c r="AL246" s="204">
        <v>0</v>
      </c>
      <c r="AM246" s="210">
        <v>0</v>
      </c>
    </row>
    <row r="247" spans="19:39" ht="24.75" customHeight="1">
      <c r="S247" s="311" t="str">
        <f>+IF(JULIO!S247=0,"",JULIO!S247)</f>
        <v>8002100-5</v>
      </c>
      <c r="T247" s="312" t="str">
        <f>+IF(JULIO!T247=0,"",JULIO!T247)</f>
        <v>Programas Especial 04</v>
      </c>
      <c r="U247" s="373">
        <f>+ENERO!U248</f>
        <v>0</v>
      </c>
      <c r="V247" s="220">
        <f>JULIO!V247+AGOSTO!AL247</f>
        <v>0</v>
      </c>
      <c r="W247" s="220">
        <f>JULIO!W247+AGOSTO!AM247</f>
        <v>0</v>
      </c>
      <c r="X247" s="271">
        <f t="shared" si="200"/>
        <v>0</v>
      </c>
      <c r="Y247" s="270">
        <f>JULIO!AA247</f>
        <v>0</v>
      </c>
      <c r="Z247" s="208">
        <v>0</v>
      </c>
      <c r="AA247" s="271">
        <f t="shared" si="201"/>
        <v>0</v>
      </c>
      <c r="AB247" s="270">
        <f>JULIO!AD247</f>
        <v>0</v>
      </c>
      <c r="AC247" s="208">
        <v>0</v>
      </c>
      <c r="AD247" s="271">
        <f t="shared" si="202"/>
        <v>0</v>
      </c>
      <c r="AE247" s="270">
        <f>JULIO!AG247</f>
        <v>0</v>
      </c>
      <c r="AF247" s="208">
        <v>0</v>
      </c>
      <c r="AG247" s="271">
        <f t="shared" si="203"/>
        <v>0</v>
      </c>
      <c r="AH247" s="270">
        <f t="shared" si="204"/>
        <v>0</v>
      </c>
      <c r="AI247" s="220">
        <f t="shared" si="205"/>
        <v>0</v>
      </c>
      <c r="AJ247" s="269">
        <f t="shared" si="206"/>
        <v>0</v>
      </c>
      <c r="AK247" s="101"/>
      <c r="AL247" s="204">
        <v>0</v>
      </c>
      <c r="AM247" s="210">
        <v>0</v>
      </c>
    </row>
    <row r="248" spans="19:39" ht="24.75" customHeight="1">
      <c r="S248" s="311" t="str">
        <f>+IF(JULIO!S248=0,"",JULIO!S248)</f>
        <v>8002100-6</v>
      </c>
      <c r="T248" s="312" t="str">
        <f>+IF(JULIO!T248=0,"",JULIO!T248)</f>
        <v>Programas Especial 05</v>
      </c>
      <c r="U248" s="373">
        <f>+ENERO!U249</f>
        <v>0</v>
      </c>
      <c r="V248" s="220">
        <f>JULIO!V248+AGOSTO!AL248</f>
        <v>0</v>
      </c>
      <c r="W248" s="220">
        <f>JULIO!W248+AGOSTO!AM248</f>
        <v>0</v>
      </c>
      <c r="X248" s="271">
        <f t="shared" si="200"/>
        <v>0</v>
      </c>
      <c r="Y248" s="270">
        <f>JULIO!AA248</f>
        <v>0</v>
      </c>
      <c r="Z248" s="208">
        <v>0</v>
      </c>
      <c r="AA248" s="271">
        <f t="shared" si="201"/>
        <v>0</v>
      </c>
      <c r="AB248" s="270">
        <f>JULIO!AD248</f>
        <v>0</v>
      </c>
      <c r="AC248" s="208">
        <v>0</v>
      </c>
      <c r="AD248" s="271">
        <f t="shared" si="202"/>
        <v>0</v>
      </c>
      <c r="AE248" s="270">
        <f>JULIO!AG248</f>
        <v>0</v>
      </c>
      <c r="AF248" s="208">
        <v>0</v>
      </c>
      <c r="AG248" s="271">
        <f t="shared" si="203"/>
        <v>0</v>
      </c>
      <c r="AH248" s="270">
        <f t="shared" si="204"/>
        <v>0</v>
      </c>
      <c r="AI248" s="220">
        <f t="shared" si="205"/>
        <v>0</v>
      </c>
      <c r="AJ248" s="269">
        <f t="shared" si="206"/>
        <v>0</v>
      </c>
      <c r="AK248" s="101"/>
      <c r="AL248" s="204">
        <v>0</v>
      </c>
      <c r="AM248" s="210">
        <v>0</v>
      </c>
    </row>
    <row r="249" spans="19:39" ht="24.75" customHeight="1">
      <c r="S249" s="311" t="str">
        <f>+IF(JULIO!S249=0,"",JULIO!S249)</f>
        <v>8002100-7</v>
      </c>
      <c r="T249" s="312" t="str">
        <f>+IF(JULIO!T249=0,"",JULIO!T249)</f>
        <v>Programas Especial 06</v>
      </c>
      <c r="U249" s="373">
        <f>+ENERO!U250</f>
        <v>0</v>
      </c>
      <c r="V249" s="220">
        <f>JULIO!V249+AGOSTO!AL249</f>
        <v>0</v>
      </c>
      <c r="W249" s="220">
        <f>JULIO!W249+AGOSTO!AM249</f>
        <v>0</v>
      </c>
      <c r="X249" s="271">
        <f t="shared" si="200"/>
        <v>0</v>
      </c>
      <c r="Y249" s="270">
        <f>JULIO!AA249</f>
        <v>0</v>
      </c>
      <c r="Z249" s="208">
        <v>0</v>
      </c>
      <c r="AA249" s="271">
        <f t="shared" si="201"/>
        <v>0</v>
      </c>
      <c r="AB249" s="270">
        <f>JULIO!AD249</f>
        <v>0</v>
      </c>
      <c r="AC249" s="208">
        <v>0</v>
      </c>
      <c r="AD249" s="271">
        <f t="shared" si="202"/>
        <v>0</v>
      </c>
      <c r="AE249" s="270">
        <f>JULIO!AG249</f>
        <v>0</v>
      </c>
      <c r="AF249" s="208">
        <v>0</v>
      </c>
      <c r="AG249" s="271">
        <f t="shared" si="203"/>
        <v>0</v>
      </c>
      <c r="AH249" s="270">
        <f t="shared" si="204"/>
        <v>0</v>
      </c>
      <c r="AI249" s="220">
        <f t="shared" si="205"/>
        <v>0</v>
      </c>
      <c r="AJ249" s="269">
        <f t="shared" si="206"/>
        <v>0</v>
      </c>
      <c r="AK249" s="101"/>
      <c r="AL249" s="204">
        <v>0</v>
      </c>
      <c r="AM249" s="210">
        <v>0</v>
      </c>
    </row>
    <row r="250" spans="19:39" ht="24.75" customHeight="1">
      <c r="S250" s="311" t="str">
        <f>+IF(JULIO!S250=0,"",JULIO!S250)</f>
        <v>8002100-8</v>
      </c>
      <c r="T250" s="312" t="str">
        <f>+IF(JULIO!T250=0,"",JULIO!T250)</f>
        <v>Programas Especial 07</v>
      </c>
      <c r="U250" s="373">
        <f>+ENERO!U251</f>
        <v>0</v>
      </c>
      <c r="V250" s="220">
        <f>JULIO!V250+AGOSTO!AL250</f>
        <v>0</v>
      </c>
      <c r="W250" s="220">
        <f>JULIO!W250+AGOSTO!AM250</f>
        <v>0</v>
      </c>
      <c r="X250" s="271">
        <f t="shared" si="200"/>
        <v>0</v>
      </c>
      <c r="Y250" s="270">
        <f>JULIO!AA250</f>
        <v>0</v>
      </c>
      <c r="Z250" s="208">
        <v>0</v>
      </c>
      <c r="AA250" s="271">
        <f t="shared" si="201"/>
        <v>0</v>
      </c>
      <c r="AB250" s="270">
        <f>JULIO!AD250</f>
        <v>0</v>
      </c>
      <c r="AC250" s="208">
        <v>0</v>
      </c>
      <c r="AD250" s="271">
        <f t="shared" si="202"/>
        <v>0</v>
      </c>
      <c r="AE250" s="270">
        <f>JULIO!AG250</f>
        <v>0</v>
      </c>
      <c r="AF250" s="208">
        <v>0</v>
      </c>
      <c r="AG250" s="271">
        <f t="shared" si="203"/>
        <v>0</v>
      </c>
      <c r="AH250" s="270">
        <f t="shared" si="204"/>
        <v>0</v>
      </c>
      <c r="AI250" s="220">
        <f t="shared" si="205"/>
        <v>0</v>
      </c>
      <c r="AJ250" s="269">
        <f t="shared" si="206"/>
        <v>0</v>
      </c>
      <c r="AK250" s="101"/>
      <c r="AL250" s="204">
        <v>0</v>
      </c>
      <c r="AM250" s="210">
        <v>0</v>
      </c>
    </row>
    <row r="251" spans="19:39" ht="24.75" customHeight="1">
      <c r="S251" s="311" t="str">
        <f>+IF(JULIO!S251=0,"",JULIO!S251)</f>
        <v>8002100-9</v>
      </c>
      <c r="T251" s="312" t="str">
        <f>+IF(JULIO!T251=0,"",JULIO!T251)</f>
        <v>Programas Especial 08</v>
      </c>
      <c r="U251" s="373">
        <f>+ENERO!U252</f>
        <v>0</v>
      </c>
      <c r="V251" s="220">
        <f>JULIO!V251+AGOSTO!AL251</f>
        <v>0</v>
      </c>
      <c r="W251" s="220">
        <f>JULIO!W251+AGOSTO!AM251</f>
        <v>0</v>
      </c>
      <c r="X251" s="271">
        <f t="shared" si="200"/>
        <v>0</v>
      </c>
      <c r="Y251" s="270">
        <f>JULIO!AA251</f>
        <v>0</v>
      </c>
      <c r="Z251" s="208">
        <v>0</v>
      </c>
      <c r="AA251" s="271">
        <f t="shared" si="201"/>
        <v>0</v>
      </c>
      <c r="AB251" s="270">
        <f>JULIO!AD251</f>
        <v>0</v>
      </c>
      <c r="AC251" s="208">
        <v>0</v>
      </c>
      <c r="AD251" s="271">
        <f t="shared" si="202"/>
        <v>0</v>
      </c>
      <c r="AE251" s="270">
        <f>JULIO!AG251</f>
        <v>0</v>
      </c>
      <c r="AF251" s="208">
        <v>0</v>
      </c>
      <c r="AG251" s="271">
        <f t="shared" si="203"/>
        <v>0</v>
      </c>
      <c r="AH251" s="270">
        <f t="shared" si="204"/>
        <v>0</v>
      </c>
      <c r="AI251" s="220">
        <f t="shared" si="205"/>
        <v>0</v>
      </c>
      <c r="AJ251" s="269">
        <f t="shared" si="206"/>
        <v>0</v>
      </c>
      <c r="AK251" s="101"/>
      <c r="AL251" s="204">
        <v>0</v>
      </c>
      <c r="AM251" s="210">
        <v>0</v>
      </c>
    </row>
    <row r="252" spans="19:39" ht="24.75" customHeight="1">
      <c r="S252" s="311" t="str">
        <f>+IF(JULIO!S252=0,"",JULIO!S252)</f>
        <v>8002100-10</v>
      </c>
      <c r="T252" s="312" t="str">
        <f>+IF(JULIO!T252=0,"",JULIO!T252)</f>
        <v>Programas Especial 09</v>
      </c>
      <c r="U252" s="373">
        <f>+ENERO!U253</f>
        <v>0</v>
      </c>
      <c r="V252" s="220">
        <f>JULIO!V252+AGOSTO!AL252</f>
        <v>0</v>
      </c>
      <c r="W252" s="220">
        <f>JULIO!W252+AGOSTO!AM252</f>
        <v>0</v>
      </c>
      <c r="X252" s="271">
        <f t="shared" si="200"/>
        <v>0</v>
      </c>
      <c r="Y252" s="270">
        <f>JULIO!AA252</f>
        <v>0</v>
      </c>
      <c r="Z252" s="208">
        <v>0</v>
      </c>
      <c r="AA252" s="271">
        <f t="shared" si="201"/>
        <v>0</v>
      </c>
      <c r="AB252" s="270">
        <f>JULIO!AD252</f>
        <v>0</v>
      </c>
      <c r="AC252" s="208">
        <v>0</v>
      </c>
      <c r="AD252" s="271">
        <f t="shared" si="202"/>
        <v>0</v>
      </c>
      <c r="AE252" s="270">
        <f>JULIO!AG252</f>
        <v>0</v>
      </c>
      <c r="AF252" s="208">
        <v>0</v>
      </c>
      <c r="AG252" s="271">
        <f t="shared" si="203"/>
        <v>0</v>
      </c>
      <c r="AH252" s="270">
        <f t="shared" si="204"/>
        <v>0</v>
      </c>
      <c r="AI252" s="220">
        <f t="shared" si="205"/>
        <v>0</v>
      </c>
      <c r="AJ252" s="269">
        <f t="shared" si="206"/>
        <v>0</v>
      </c>
      <c r="AK252" s="101"/>
      <c r="AL252" s="204">
        <v>0</v>
      </c>
      <c r="AM252" s="210">
        <v>0</v>
      </c>
    </row>
    <row r="253" spans="19:39" ht="24.75" customHeight="1">
      <c r="S253" s="311" t="str">
        <f>+IF(JULIO!S253=0,"",JULIO!S253)</f>
        <v>8002100-11</v>
      </c>
      <c r="T253" s="312" t="str">
        <f>+IF(JULIO!T253=0,"",JULIO!T253)</f>
        <v>Programas Especial 10</v>
      </c>
      <c r="U253" s="373">
        <f>+ENERO!U254</f>
        <v>0</v>
      </c>
      <c r="V253" s="220">
        <f>JULIO!V253+AGOSTO!AL253</f>
        <v>0</v>
      </c>
      <c r="W253" s="220">
        <f>JULIO!W253+AGOSTO!AM253</f>
        <v>0</v>
      </c>
      <c r="X253" s="271">
        <f t="shared" si="200"/>
        <v>0</v>
      </c>
      <c r="Y253" s="270">
        <f>JULIO!AA253</f>
        <v>0</v>
      </c>
      <c r="Z253" s="208">
        <v>0</v>
      </c>
      <c r="AA253" s="271">
        <f t="shared" si="201"/>
        <v>0</v>
      </c>
      <c r="AB253" s="270">
        <f>JULIO!AD253</f>
        <v>0</v>
      </c>
      <c r="AC253" s="208">
        <v>0</v>
      </c>
      <c r="AD253" s="271">
        <f t="shared" si="202"/>
        <v>0</v>
      </c>
      <c r="AE253" s="270">
        <f>JULIO!AG253</f>
        <v>0</v>
      </c>
      <c r="AF253" s="208">
        <v>0</v>
      </c>
      <c r="AG253" s="271">
        <f t="shared" si="203"/>
        <v>0</v>
      </c>
      <c r="AH253" s="270">
        <f t="shared" si="204"/>
        <v>0</v>
      </c>
      <c r="AI253" s="220">
        <f t="shared" si="205"/>
        <v>0</v>
      </c>
      <c r="AJ253" s="269">
        <f t="shared" si="206"/>
        <v>0</v>
      </c>
      <c r="AK253" s="101"/>
      <c r="AL253" s="204">
        <v>0</v>
      </c>
      <c r="AM253" s="210">
        <v>0</v>
      </c>
    </row>
    <row r="254" spans="19:39" ht="24.75" customHeight="1">
      <c r="S254" s="311" t="str">
        <f>+IF(JULIO!S254=0,"",JULIO!S254)</f>
        <v>8002100-12</v>
      </c>
      <c r="T254" s="312" t="str">
        <f>+IF(JULIO!T254=0,"",JULIO!T254)</f>
        <v>Programas Especial 11</v>
      </c>
      <c r="U254" s="373">
        <f>+ENERO!U255</f>
        <v>0</v>
      </c>
      <c r="V254" s="220">
        <f>JULIO!V254+AGOSTO!AL254</f>
        <v>0</v>
      </c>
      <c r="W254" s="220">
        <f>JULIO!W254+AGOSTO!AM254</f>
        <v>0</v>
      </c>
      <c r="X254" s="271">
        <f t="shared" si="200"/>
        <v>0</v>
      </c>
      <c r="Y254" s="270">
        <f>JULIO!AA254</f>
        <v>0</v>
      </c>
      <c r="Z254" s="208">
        <v>0</v>
      </c>
      <c r="AA254" s="271">
        <f t="shared" si="201"/>
        <v>0</v>
      </c>
      <c r="AB254" s="270">
        <f>JULIO!AD254</f>
        <v>0</v>
      </c>
      <c r="AC254" s="208">
        <v>0</v>
      </c>
      <c r="AD254" s="271">
        <f t="shared" si="202"/>
        <v>0</v>
      </c>
      <c r="AE254" s="270">
        <f>JULIO!AG254</f>
        <v>0</v>
      </c>
      <c r="AF254" s="208">
        <v>0</v>
      </c>
      <c r="AG254" s="271">
        <f t="shared" si="203"/>
        <v>0</v>
      </c>
      <c r="AH254" s="270">
        <f t="shared" si="204"/>
        <v>0</v>
      </c>
      <c r="AI254" s="220">
        <f t="shared" si="205"/>
        <v>0</v>
      </c>
      <c r="AJ254" s="269">
        <f t="shared" si="206"/>
        <v>0</v>
      </c>
      <c r="AK254" s="101"/>
      <c r="AL254" s="204">
        <v>0</v>
      </c>
      <c r="AM254" s="210">
        <v>0</v>
      </c>
    </row>
    <row r="255" spans="19:39" ht="24.75" customHeight="1" thickBot="1">
      <c r="S255" s="499" t="str">
        <f>+IF(JULIO!S255=0,"",JULIO!S255)</f>
        <v>2.3.2.01.01.99</v>
      </c>
      <c r="T255" s="500" t="str">
        <f>+IF(JULIO!T255=0,"",JULIO!T255)</f>
        <v>Vigencias Anteriores Activos Fijos</v>
      </c>
      <c r="U255" s="547">
        <f>+ENERO!U256</f>
        <v>0</v>
      </c>
      <c r="V255" s="468">
        <f>JULIO!V255+AGOSTO!AL255</f>
        <v>0</v>
      </c>
      <c r="W255" s="468">
        <f>JULIO!W255+AGOSTO!AM255</f>
        <v>0</v>
      </c>
      <c r="X255" s="471">
        <f t="shared" si="200"/>
        <v>0</v>
      </c>
      <c r="Y255" s="470">
        <f>JULIO!AA255</f>
        <v>0</v>
      </c>
      <c r="Z255" s="246">
        <v>0</v>
      </c>
      <c r="AA255" s="471">
        <f t="shared" si="201"/>
        <v>0</v>
      </c>
      <c r="AB255" s="470">
        <f>JULIO!AD255</f>
        <v>0</v>
      </c>
      <c r="AC255" s="246">
        <v>0</v>
      </c>
      <c r="AD255" s="471">
        <f t="shared" si="202"/>
        <v>0</v>
      </c>
      <c r="AE255" s="470">
        <f>JULIO!AG255</f>
        <v>0</v>
      </c>
      <c r="AF255" s="246">
        <v>0</v>
      </c>
      <c r="AG255" s="471">
        <f t="shared" si="203"/>
        <v>0</v>
      </c>
      <c r="AH255" s="470">
        <f t="shared" si="204"/>
        <v>0</v>
      </c>
      <c r="AI255" s="468">
        <f t="shared" si="205"/>
        <v>0</v>
      </c>
      <c r="AJ255" s="469">
        <f t="shared" si="206"/>
        <v>0</v>
      </c>
      <c r="AK255" s="101"/>
      <c r="AL255" s="242">
        <v>0</v>
      </c>
      <c r="AM255" s="248">
        <v>0</v>
      </c>
    </row>
    <row r="256" spans="19:39" ht="24.75" customHeight="1" thickBot="1">
      <c r="S256" s="480" t="str">
        <f>+IF(JULIO!S256=0,"",JULIO!S256)</f>
        <v/>
      </c>
      <c r="T256" s="481" t="str">
        <f>+IF(JULIO!T256=0,"",JULIO!T256)</f>
        <v/>
      </c>
      <c r="U256" s="482"/>
      <c r="V256" s="482"/>
      <c r="W256" s="482"/>
      <c r="X256" s="482"/>
      <c r="Y256" s="482"/>
      <c r="Z256" s="482"/>
      <c r="AA256" s="482"/>
      <c r="AB256" s="482"/>
      <c r="AC256" s="482"/>
      <c r="AD256" s="482"/>
      <c r="AE256" s="482"/>
      <c r="AF256" s="482"/>
      <c r="AG256" s="482"/>
      <c r="AH256" s="482"/>
      <c r="AI256" s="482"/>
      <c r="AJ256" s="484"/>
      <c r="AK256" s="216"/>
      <c r="AL256" s="889"/>
      <c r="AM256" s="502"/>
    </row>
    <row r="257" spans="19:39" ht="24.75" customHeight="1" thickBot="1">
      <c r="S257" s="503" t="s">
        <v>342</v>
      </c>
      <c r="T257" s="504" t="s">
        <v>197</v>
      </c>
      <c r="U257" s="136">
        <f t="shared" ref="U257:AJ257" si="207">+(C10+C17+C113)-(U10+U192+U219+U231)</f>
        <v>0.30987548828125</v>
      </c>
      <c r="V257" s="136">
        <f t="shared" si="207"/>
        <v>0</v>
      </c>
      <c r="W257" s="136">
        <f t="shared" si="207"/>
        <v>0</v>
      </c>
      <c r="X257" s="136">
        <f t="shared" si="207"/>
        <v>0.30987548828125</v>
      </c>
      <c r="Y257" s="136">
        <f t="shared" si="207"/>
        <v>-9553003808</v>
      </c>
      <c r="Z257" s="136">
        <f t="shared" si="207"/>
        <v>16292480923</v>
      </c>
      <c r="AA257" s="136">
        <f t="shared" si="207"/>
        <v>6739477115</v>
      </c>
      <c r="AB257" s="136">
        <f t="shared" si="207"/>
        <v>-32446536153</v>
      </c>
      <c r="AC257" s="136">
        <f t="shared" si="207"/>
        <v>-3349434684</v>
      </c>
      <c r="AD257" s="136">
        <f t="shared" si="207"/>
        <v>-35795970837</v>
      </c>
      <c r="AE257" s="136">
        <f t="shared" si="207"/>
        <v>-44197722657.023483</v>
      </c>
      <c r="AF257" s="136">
        <f t="shared" si="207"/>
        <v>98895175953.476517</v>
      </c>
      <c r="AG257" s="136">
        <f t="shared" si="207"/>
        <v>-93897394080.5</v>
      </c>
      <c r="AH257" s="136">
        <f t="shared" si="207"/>
        <v>-46628208629.166664</v>
      </c>
      <c r="AI257" s="136">
        <f t="shared" si="207"/>
        <v>-52956325942.166656</v>
      </c>
      <c r="AJ257" s="505">
        <f t="shared" si="207"/>
        <v>-113861958531.66666</v>
      </c>
      <c r="AK257" s="101"/>
      <c r="AL257" s="134">
        <v>0</v>
      </c>
      <c r="AM257" s="135">
        <v>0</v>
      </c>
    </row>
    <row r="258" spans="19:39" ht="24.75" customHeight="1" thickBot="1">
      <c r="S258" s="1326"/>
      <c r="T258" s="1327"/>
      <c r="U258" s="506"/>
      <c r="V258" s="506"/>
      <c r="W258" s="506"/>
      <c r="X258" s="506"/>
      <c r="Y258" s="506"/>
      <c r="Z258" s="506"/>
      <c r="AA258" s="506"/>
      <c r="AB258" s="506"/>
      <c r="AC258" s="506"/>
      <c r="AD258" s="506"/>
      <c r="AE258" s="506"/>
      <c r="AF258" s="506"/>
      <c r="AG258" s="506"/>
      <c r="AH258" s="506"/>
      <c r="AI258" s="506"/>
      <c r="AJ258" s="507"/>
      <c r="AK258" s="216"/>
      <c r="AL258" s="508">
        <f>+SUMIF(AK8:AK255,AK33,AL8:AL255)</f>
        <v>0</v>
      </c>
      <c r="AM258" s="509">
        <f>+SUMIF(AL8:AL255,AL33,AM8:AM255)</f>
        <v>118407807698</v>
      </c>
    </row>
    <row r="259" spans="19:39" ht="24.75" customHeight="1" thickBot="1">
      <c r="S259" s="510" t="s">
        <v>343</v>
      </c>
      <c r="T259" s="511"/>
      <c r="U259" s="512">
        <f t="shared" ref="U259:AJ259" si="208">+U8-U261</f>
        <v>135355804552.9446</v>
      </c>
      <c r="V259" s="512">
        <f t="shared" si="208"/>
        <v>-3141258168</v>
      </c>
      <c r="W259" s="512">
        <f t="shared" si="208"/>
        <v>45428419440</v>
      </c>
      <c r="X259" s="512">
        <f t="shared" si="208"/>
        <v>177642965824.94461</v>
      </c>
      <c r="Y259" s="512">
        <f t="shared" si="208"/>
        <v>130153327103</v>
      </c>
      <c r="Z259" s="512">
        <f t="shared" si="208"/>
        <v>3807344632</v>
      </c>
      <c r="AA259" s="512">
        <f t="shared" si="208"/>
        <v>133960671735</v>
      </c>
      <c r="AB259" s="512">
        <f t="shared" si="208"/>
        <v>92937234108</v>
      </c>
      <c r="AC259" s="512">
        <f t="shared" si="208"/>
        <v>14747701231</v>
      </c>
      <c r="AD259" s="512">
        <f t="shared" si="208"/>
        <v>107684935339</v>
      </c>
      <c r="AE259" s="512">
        <f t="shared" si="208"/>
        <v>56925762126.5</v>
      </c>
      <c r="AF259" s="512">
        <f t="shared" si="208"/>
        <v>9810939909</v>
      </c>
      <c r="AG259" s="512">
        <f t="shared" si="208"/>
        <v>66736702035.5</v>
      </c>
      <c r="AH259" s="512">
        <f t="shared" si="208"/>
        <v>43682294089.944611</v>
      </c>
      <c r="AI259" s="512">
        <f t="shared" si="208"/>
        <v>69958030485.944595</v>
      </c>
      <c r="AJ259" s="513">
        <f t="shared" si="208"/>
        <v>110906263789.4446</v>
      </c>
      <c r="AK259" s="216"/>
      <c r="AL259" s="67"/>
      <c r="AM259" s="67"/>
    </row>
    <row r="260" spans="19:39" ht="24.75" customHeight="1">
      <c r="S260" s="514"/>
      <c r="T260" s="515"/>
      <c r="U260" s="516"/>
      <c r="V260" s="516"/>
      <c r="W260" s="516"/>
      <c r="X260" s="516"/>
      <c r="Y260" s="516"/>
      <c r="Z260" s="516"/>
      <c r="AA260" s="516"/>
      <c r="AB260" s="516"/>
      <c r="AC260" s="516"/>
      <c r="AD260" s="516"/>
      <c r="AE260" s="516"/>
      <c r="AF260" s="516"/>
      <c r="AG260" s="516"/>
      <c r="AH260" s="516"/>
      <c r="AI260" s="516"/>
      <c r="AJ260" s="517"/>
      <c r="AK260" s="36"/>
      <c r="AL260" s="31"/>
      <c r="AM260" s="31"/>
    </row>
    <row r="261" spans="19:39" ht="24.75" customHeight="1">
      <c r="S261" s="518" t="s">
        <v>344</v>
      </c>
      <c r="T261" s="519"/>
      <c r="U261" s="660">
        <f>SUM(U255+U240+U229+U224+U217+U206+U190+U181+U166+U153+U139+U121+U108+U102+U88+U81+U61+U55+U41+U33)</f>
        <v>22787348584.222057</v>
      </c>
      <c r="V261" s="660">
        <f t="shared" ref="V261:AJ261" si="209">SUM(V255+V240+V229+V224+V217+V206+V190+V181+V166+V153+V139+V121+V108+V102+V88+V81+V61+V55+V41+V33)</f>
        <v>3141258168</v>
      </c>
      <c r="W261" s="660">
        <f t="shared" si="209"/>
        <v>4187780035</v>
      </c>
      <c r="X261" s="660">
        <f t="shared" si="209"/>
        <v>30116386787.222057</v>
      </c>
      <c r="Y261" s="660">
        <f t="shared" si="209"/>
        <v>27170472248</v>
      </c>
      <c r="Z261" s="660">
        <f t="shared" si="209"/>
        <v>0</v>
      </c>
      <c r="AA261" s="660">
        <f t="shared" si="209"/>
        <v>27170472248</v>
      </c>
      <c r="AB261" s="660">
        <f t="shared" si="209"/>
        <v>27164272248</v>
      </c>
      <c r="AC261" s="660">
        <f t="shared" si="209"/>
        <v>0</v>
      </c>
      <c r="AD261" s="660">
        <f t="shared" si="209"/>
        <v>27164272248</v>
      </c>
      <c r="AE261" s="660">
        <f t="shared" si="209"/>
        <v>27160692045</v>
      </c>
      <c r="AF261" s="660">
        <f t="shared" si="209"/>
        <v>0</v>
      </c>
      <c r="AG261" s="660">
        <f t="shared" si="209"/>
        <v>27160692045</v>
      </c>
      <c r="AH261" s="660">
        <f t="shared" si="209"/>
        <v>2945914539.2220573</v>
      </c>
      <c r="AI261" s="660">
        <f t="shared" si="209"/>
        <v>2952114539.2220573</v>
      </c>
      <c r="AJ261" s="660">
        <f t="shared" si="209"/>
        <v>2955694742.2220573</v>
      </c>
      <c r="AK261" s="36"/>
      <c r="AL261" s="31"/>
      <c r="AM261" s="31"/>
    </row>
    <row r="262" spans="19:39" ht="24.75" customHeight="1">
      <c r="S262" s="514"/>
      <c r="T262" s="515"/>
      <c r="U262" s="515"/>
      <c r="V262" s="516"/>
      <c r="W262" s="516"/>
      <c r="X262" s="516"/>
      <c r="Y262" s="516"/>
      <c r="Z262" s="516"/>
      <c r="AA262" s="516"/>
      <c r="AB262" s="516"/>
      <c r="AC262" s="516"/>
      <c r="AD262" s="516"/>
      <c r="AE262" s="516"/>
      <c r="AF262" s="516"/>
      <c r="AG262" s="516"/>
      <c r="AH262" s="516"/>
      <c r="AI262" s="516"/>
      <c r="AJ262" s="516"/>
      <c r="AK262" s="36"/>
      <c r="AL262" s="31"/>
      <c r="AM262" s="31"/>
    </row>
    <row r="263" spans="19:39" ht="24.75" customHeight="1">
      <c r="S263" s="520" t="s">
        <v>345</v>
      </c>
      <c r="T263" s="521"/>
      <c r="U263" s="522">
        <f t="shared" ref="U263:AJ263" si="210">+U259+U261</f>
        <v>158143153137.16666</v>
      </c>
      <c r="V263" s="522">
        <f t="shared" si="210"/>
        <v>0</v>
      </c>
      <c r="W263" s="522">
        <f t="shared" si="210"/>
        <v>49616199475</v>
      </c>
      <c r="X263" s="522">
        <f t="shared" si="210"/>
        <v>207759352612.16666</v>
      </c>
      <c r="Y263" s="522">
        <f t="shared" si="210"/>
        <v>157323799351</v>
      </c>
      <c r="Z263" s="522">
        <f t="shared" si="210"/>
        <v>3807344632</v>
      </c>
      <c r="AA263" s="522">
        <f t="shared" si="210"/>
        <v>161131143983</v>
      </c>
      <c r="AB263" s="522">
        <f t="shared" si="210"/>
        <v>120101506356</v>
      </c>
      <c r="AC263" s="522">
        <f t="shared" si="210"/>
        <v>14747701231</v>
      </c>
      <c r="AD263" s="522">
        <f t="shared" si="210"/>
        <v>134849207587</v>
      </c>
      <c r="AE263" s="522">
        <f t="shared" si="210"/>
        <v>84086454171.5</v>
      </c>
      <c r="AF263" s="522">
        <f t="shared" si="210"/>
        <v>9810939909</v>
      </c>
      <c r="AG263" s="522">
        <f t="shared" si="210"/>
        <v>93897394080.5</v>
      </c>
      <c r="AH263" s="522">
        <f t="shared" si="210"/>
        <v>46628208629.166672</v>
      </c>
      <c r="AI263" s="522">
        <f t="shared" si="210"/>
        <v>72910145025.166656</v>
      </c>
      <c r="AJ263" s="523">
        <f t="shared" si="210"/>
        <v>113861958531.66666</v>
      </c>
      <c r="AK263" s="36"/>
      <c r="AL263" s="31"/>
      <c r="AM263" s="31"/>
    </row>
  </sheetData>
  <autoFilter ref="A6:BR6" xr:uid="{00000000-0009-0000-0000-000008000000}"/>
  <mergeCells count="55">
    <mergeCell ref="A5:A6"/>
    <mergeCell ref="B5:B6"/>
    <mergeCell ref="C5:F5"/>
    <mergeCell ref="A1:B1"/>
    <mergeCell ref="C1:J1"/>
    <mergeCell ref="K1:N1"/>
    <mergeCell ref="L2:M2"/>
    <mergeCell ref="P2:Q2"/>
    <mergeCell ref="D2:E2"/>
    <mergeCell ref="B3:B4"/>
    <mergeCell ref="D3:E4"/>
    <mergeCell ref="F3:K4"/>
    <mergeCell ref="L3:M4"/>
    <mergeCell ref="P3:P5"/>
    <mergeCell ref="Q3:Q5"/>
    <mergeCell ref="G5:I5"/>
    <mergeCell ref="J5:L5"/>
    <mergeCell ref="M5:N5"/>
    <mergeCell ref="N3:N4"/>
    <mergeCell ref="BB2:BC2"/>
    <mergeCell ref="V2:X2"/>
    <mergeCell ref="BH5:BK5"/>
    <mergeCell ref="BM5:BM6"/>
    <mergeCell ref="BN5:BQ5"/>
    <mergeCell ref="BG2:BI2"/>
    <mergeCell ref="BM2:BO2"/>
    <mergeCell ref="V3:X4"/>
    <mergeCell ref="AP3:AZ3"/>
    <mergeCell ref="BF5:BF6"/>
    <mergeCell ref="BM3:BO3"/>
    <mergeCell ref="BL5:BL6"/>
    <mergeCell ref="BG3:BI3"/>
    <mergeCell ref="BB3:BC3"/>
    <mergeCell ref="BC5:BE5"/>
    <mergeCell ref="Y2:AG2"/>
    <mergeCell ref="AH2:AI2"/>
    <mergeCell ref="AL2:AM2"/>
    <mergeCell ref="AP2:AZ2"/>
    <mergeCell ref="Y3:AG4"/>
    <mergeCell ref="AH3:AI4"/>
    <mergeCell ref="AJ3:AJ4"/>
    <mergeCell ref="AW4:AZ4"/>
    <mergeCell ref="S258:T258"/>
    <mergeCell ref="AM3:AM5"/>
    <mergeCell ref="AW19:AZ19"/>
    <mergeCell ref="AW35:AX35"/>
    <mergeCell ref="AL3:AL5"/>
    <mergeCell ref="AH5:AJ5"/>
    <mergeCell ref="T5:T6"/>
    <mergeCell ref="U5:X5"/>
    <mergeCell ref="Y5:AA5"/>
    <mergeCell ref="AB5:AD5"/>
    <mergeCell ref="AE5:AG5"/>
    <mergeCell ref="T3:T4"/>
    <mergeCell ref="S5:S6"/>
  </mergeCells>
  <conditionalFormatting sqref="B5:B7">
    <cfRule type="expression" dxfId="4" priority="1" stopIfTrue="1">
      <formula>$B$5="OJO - RECUERDE RECAUDAR LA DISPONIBLIDAD INICIAL EN ESTE TRIMESTRE, haga clik en H9 para ampliar la información"</formula>
    </cfRule>
  </conditionalFormatting>
  <printOptions horizontalCentered="1" verticalCentered="1"/>
  <pageMargins left="0.59055118110236227" right="0.59055118110236227" top="0.43307086614173229" bottom="0.39370078740157483" header="0" footer="0"/>
  <pageSetup paperSize="14" scale="50" orientation="landscape" r:id="rId1"/>
  <headerFooter>
    <oddFooter>&amp;CPágina &amp;P de</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4</vt:i4>
      </vt:variant>
    </vt:vector>
  </HeadingPairs>
  <TitlesOfParts>
    <vt:vector size="21" baseType="lpstr">
      <vt:lpstr>INSTRUCCIONES</vt:lpstr>
      <vt:lpstr>ENERO</vt:lpstr>
      <vt:lpstr>FEBRERO</vt:lpstr>
      <vt:lpstr>MARZO</vt:lpstr>
      <vt:lpstr>ABRIL</vt:lpstr>
      <vt:lpstr>MAYO</vt:lpstr>
      <vt:lpstr>JUNIO</vt:lpstr>
      <vt:lpstr>JULIO</vt:lpstr>
      <vt:lpstr>AGOSTO</vt:lpstr>
      <vt:lpstr>SEPTIEMBRE</vt:lpstr>
      <vt:lpstr>VALIDACION SIHO CONTRATACION</vt:lpstr>
      <vt:lpstr>OCTUBRE</vt:lpstr>
      <vt:lpstr>NOVIEMBRE</vt:lpstr>
      <vt:lpstr>DICIEMBRE</vt:lpstr>
      <vt:lpstr>Datos para el 2193</vt:lpstr>
      <vt:lpstr>SEGUIMIENTO EQUILIBRIOS</vt:lpstr>
      <vt:lpstr>VERIFICACION MANTENIMIENTO</vt:lpstr>
      <vt:lpstr>Reconocimiento_dispon_inicial_ene</vt:lpstr>
      <vt:lpstr>Reconocimiento_dispon_inicial_feb</vt:lpstr>
      <vt:lpstr>Reconocimiento_dispon_inicial_mar</vt:lpstr>
      <vt:lpstr>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SX2000;MARIA EUGENIA ZAPATA MARIN</dc:creator>
  <cp:lastModifiedBy>Lyda Dinorah Suarez Arredondo</cp:lastModifiedBy>
  <cp:lastPrinted>2025-09-16T19:01:57Z</cp:lastPrinted>
  <dcterms:created xsi:type="dcterms:W3CDTF">2009-01-29T18:34:20Z</dcterms:created>
  <dcterms:modified xsi:type="dcterms:W3CDTF">2026-02-13T14:39:06Z</dcterms:modified>
</cp:coreProperties>
</file>